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"/>
    </mc:Choice>
  </mc:AlternateContent>
  <xr:revisionPtr revIDLastSave="0" documentId="13_ncr:1_{D74A90B4-2DBB-4B4F-9488-20D1D8DFF21C}" xr6:coauthVersionLast="47" xr6:coauthVersionMax="47" xr10:uidLastSave="{00000000-0000-0000-0000-000000000000}"/>
  <bookViews>
    <workbookView xWindow="-120" yWindow="-120" windowWidth="29040" windowHeight="15720" tabRatio="925" firstSheet="1" activeTab="1" xr2:uid="{00000000-000D-0000-FFFF-FFFF00000000}"/>
  </bookViews>
  <sheets>
    <sheet name="⚪概述" sheetId="1" r:id="rId1"/>
    <sheet name="⚪设计" sheetId="2" r:id="rId2"/>
    <sheet name="⚪关卡设计" sheetId="20" r:id="rId3"/>
    <sheet name="引导" sheetId="18" r:id="rId4"/>
    <sheet name="战斗节奏" sheetId="3" r:id="rId5"/>
    <sheet name="防御塔" sheetId="5" r:id="rId6"/>
    <sheet name="新手关卡" sheetId="17" r:id="rId7"/>
    <sheet name="挑战模式" sheetId="16" r:id="rId8"/>
    <sheet name="无限模式" sheetId="13" r:id="rId9"/>
    <sheet name="线下模式" sheetId="19" r:id="rId10"/>
    <sheet name="活动关卡" sheetId="21" r:id="rId11"/>
    <sheet name="UnitCfg" sheetId="15" r:id="rId12"/>
    <sheet name="UnitPropertyCfg" sheetId="7" r:id="rId13"/>
    <sheet name="MonsterWaveCallRuleCfg" sheetId="14" r:id="rId14"/>
    <sheet name="GamePlayTowerDefenseCfg" sheetId="12" r:id="rId15"/>
    <sheet name="SkillCfg" sheetId="6" r:id="rId16"/>
    <sheet name="ActionCfg_DamageUnit" sheetId="10" r:id="rId17"/>
    <sheet name="TowerCfg" sheetId="11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2" i="2" l="1"/>
  <c r="C71" i="2"/>
  <c r="C74" i="2"/>
  <c r="C73" i="2"/>
  <c r="C70" i="2"/>
  <c r="C69" i="2"/>
  <c r="C68" i="2"/>
  <c r="C67" i="2"/>
  <c r="C66" i="2"/>
  <c r="C65" i="2"/>
  <c r="C64" i="2"/>
  <c r="C63" i="2"/>
  <c r="C61" i="2"/>
  <c r="C62" i="2"/>
  <c r="C60" i="2"/>
  <c r="B61" i="2"/>
  <c r="B62" i="2"/>
  <c r="B63" i="2"/>
  <c r="B64" i="2"/>
  <c r="B65" i="2"/>
  <c r="B68" i="2"/>
  <c r="B69" i="2"/>
  <c r="B70" i="2"/>
  <c r="B71" i="2"/>
  <c r="B73" i="2"/>
  <c r="B74" i="2"/>
  <c r="B60" i="2"/>
  <c r="B9" i="5" l="1"/>
  <c r="B14" i="5"/>
  <c r="B2" i="5"/>
  <c r="G61" i="2"/>
  <c r="B4" i="5" s="1"/>
  <c r="G62" i="2"/>
  <c r="B5" i="5" s="1"/>
  <c r="G63" i="2"/>
  <c r="B6" i="5" s="1"/>
  <c r="G64" i="2"/>
  <c r="B7" i="5" s="1"/>
  <c r="G65" i="2"/>
  <c r="B8" i="5" s="1"/>
  <c r="G66" i="2"/>
  <c r="G67" i="2"/>
  <c r="B10" i="5" s="1"/>
  <c r="G68" i="2"/>
  <c r="B11" i="5" s="1"/>
  <c r="G69" i="2"/>
  <c r="B12" i="5" s="1"/>
  <c r="G70" i="2"/>
  <c r="B13" i="5" s="1"/>
  <c r="G71" i="2"/>
  <c r="G72" i="2"/>
  <c r="B15" i="5" s="1"/>
  <c r="G73" i="2"/>
  <c r="B16" i="5" s="1"/>
  <c r="G74" i="2"/>
  <c r="B17" i="5" s="1"/>
  <c r="G60" i="2"/>
  <c r="B3" i="5" s="1"/>
  <c r="G9" i="10"/>
  <c r="V71" i="13" l="1"/>
  <c r="Q71" i="13"/>
  <c r="L71" i="13"/>
  <c r="G71" i="13"/>
  <c r="V70" i="13"/>
  <c r="Q70" i="13"/>
  <c r="L70" i="13"/>
  <c r="G70" i="13"/>
  <c r="V69" i="13"/>
  <c r="Q69" i="13"/>
  <c r="L69" i="13"/>
  <c r="G69" i="13"/>
  <c r="V68" i="13"/>
  <c r="Q68" i="13"/>
  <c r="L68" i="13"/>
  <c r="G68" i="13"/>
  <c r="V67" i="13"/>
  <c r="Q67" i="13"/>
  <c r="L67" i="13"/>
  <c r="G67" i="13"/>
  <c r="V66" i="13"/>
  <c r="Q66" i="13"/>
  <c r="L66" i="13"/>
  <c r="G66" i="13"/>
  <c r="V65" i="13"/>
  <c r="Q65" i="13"/>
  <c r="L65" i="13"/>
  <c r="G65" i="13"/>
  <c r="V64" i="13"/>
  <c r="Q64" i="13"/>
  <c r="L64" i="13"/>
  <c r="G64" i="13"/>
  <c r="V63" i="13"/>
  <c r="Q63" i="13"/>
  <c r="L63" i="13"/>
  <c r="G63" i="13"/>
  <c r="V62" i="13"/>
  <c r="Q62" i="13"/>
  <c r="L62" i="13"/>
  <c r="G62" i="13"/>
  <c r="V61" i="13"/>
  <c r="Q61" i="13"/>
  <c r="L61" i="13"/>
  <c r="G61" i="13"/>
  <c r="V60" i="13"/>
  <c r="Q60" i="13"/>
  <c r="L60" i="13"/>
  <c r="G60" i="13"/>
  <c r="V59" i="13"/>
  <c r="Q59" i="13"/>
  <c r="L59" i="13"/>
  <c r="G59" i="13"/>
  <c r="V58" i="13"/>
  <c r="Q58" i="13"/>
  <c r="L58" i="13"/>
  <c r="G58" i="13"/>
  <c r="V57" i="13"/>
  <c r="Q57" i="13"/>
  <c r="L57" i="13"/>
  <c r="G57" i="13"/>
  <c r="V56" i="13"/>
  <c r="Q56" i="13"/>
  <c r="L56" i="13"/>
  <c r="G56" i="13"/>
  <c r="V55" i="13"/>
  <c r="Q55" i="13"/>
  <c r="L55" i="13"/>
  <c r="G55" i="13"/>
  <c r="V54" i="13"/>
  <c r="Q54" i="13"/>
  <c r="L54" i="13"/>
  <c r="G54" i="13"/>
  <c r="V53" i="13"/>
  <c r="Q53" i="13"/>
  <c r="L53" i="13"/>
  <c r="G53" i="13"/>
  <c r="V52" i="13"/>
  <c r="Q52" i="13"/>
  <c r="L52" i="13"/>
  <c r="G52" i="13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53" i="2"/>
  <c r="L896" i="14"/>
  <c r="J896" i="14"/>
  <c r="I896" i="14"/>
  <c r="L895" i="14"/>
  <c r="J895" i="14"/>
  <c r="I895" i="14"/>
  <c r="L894" i="14"/>
  <c r="J894" i="14"/>
  <c r="I894" i="14"/>
  <c r="L893" i="14"/>
  <c r="J893" i="14"/>
  <c r="I893" i="14"/>
  <c r="L892" i="14"/>
  <c r="J892" i="14"/>
  <c r="I892" i="14"/>
  <c r="L891" i="14"/>
  <c r="J891" i="14"/>
  <c r="I891" i="14"/>
  <c r="L890" i="14"/>
  <c r="J890" i="14"/>
  <c r="I890" i="14"/>
  <c r="L889" i="14"/>
  <c r="J889" i="14"/>
  <c r="I889" i="14"/>
  <c r="L856" i="14"/>
  <c r="J856" i="14"/>
  <c r="I856" i="14"/>
  <c r="L855" i="14"/>
  <c r="J855" i="14"/>
  <c r="I855" i="14"/>
  <c r="L854" i="14"/>
  <c r="J854" i="14"/>
  <c r="I854" i="14"/>
  <c r="L853" i="14"/>
  <c r="J853" i="14"/>
  <c r="I853" i="14"/>
  <c r="L852" i="14"/>
  <c r="J852" i="14"/>
  <c r="I852" i="14"/>
  <c r="L851" i="14"/>
  <c r="J851" i="14"/>
  <c r="I851" i="14"/>
  <c r="L850" i="14"/>
  <c r="J850" i="14"/>
  <c r="I850" i="14"/>
  <c r="L849" i="14"/>
  <c r="J849" i="14"/>
  <c r="I849" i="14"/>
  <c r="D302" i="15" l="1"/>
  <c r="P302" i="15" s="1"/>
  <c r="D301" i="15"/>
  <c r="P301" i="15" s="1"/>
  <c r="D300" i="15"/>
  <c r="E300" i="15" s="1"/>
  <c r="D299" i="15"/>
  <c r="P299" i="15" s="1"/>
  <c r="D298" i="15"/>
  <c r="P298" i="15" s="1"/>
  <c r="D297" i="15"/>
  <c r="D296" i="15"/>
  <c r="E296" i="15" s="1"/>
  <c r="D295" i="15"/>
  <c r="D294" i="15"/>
  <c r="D293" i="15"/>
  <c r="K293" i="15" s="1"/>
  <c r="D292" i="15"/>
  <c r="K292" i="15" s="1"/>
  <c r="D291" i="15"/>
  <c r="P291" i="15" s="1"/>
  <c r="D290" i="15"/>
  <c r="P290" i="15" s="1"/>
  <c r="D289" i="15"/>
  <c r="K289" i="15" s="1"/>
  <c r="D288" i="15"/>
  <c r="P288" i="15" s="1"/>
  <c r="D287" i="15"/>
  <c r="P287" i="15" s="1"/>
  <c r="D286" i="15"/>
  <c r="P286" i="15" s="1"/>
  <c r="D285" i="15"/>
  <c r="P285" i="15" s="1"/>
  <c r="D284" i="15"/>
  <c r="E284" i="15" s="1"/>
  <c r="D283" i="15"/>
  <c r="P283" i="15" s="1"/>
  <c r="D282" i="15"/>
  <c r="P282" i="15" s="1"/>
  <c r="D281" i="15"/>
  <c r="D280" i="15"/>
  <c r="E280" i="15" s="1"/>
  <c r="D279" i="15"/>
  <c r="D278" i="15"/>
  <c r="D277" i="15"/>
  <c r="P277" i="15" s="1"/>
  <c r="D276" i="15"/>
  <c r="K276" i="15" s="1"/>
  <c r="D275" i="15"/>
  <c r="P275" i="15" s="1"/>
  <c r="D274" i="15"/>
  <c r="P274" i="15" s="1"/>
  <c r="D273" i="15"/>
  <c r="K273" i="15" s="1"/>
  <c r="D272" i="15"/>
  <c r="P272" i="15" s="1"/>
  <c r="D271" i="15"/>
  <c r="P271" i="15" s="1"/>
  <c r="D270" i="15"/>
  <c r="P270" i="15" s="1"/>
  <c r="D269" i="15"/>
  <c r="P269" i="15" s="1"/>
  <c r="D268" i="15"/>
  <c r="P268" i="15" s="1"/>
  <c r="D267" i="15"/>
  <c r="P267" i="15" s="1"/>
  <c r="D266" i="15"/>
  <c r="P266" i="15" s="1"/>
  <c r="D265" i="15"/>
  <c r="D264" i="15"/>
  <c r="K264" i="15" s="1"/>
  <c r="D263" i="15"/>
  <c r="P263" i="15" s="1"/>
  <c r="D262" i="15"/>
  <c r="P262" i="15" s="1"/>
  <c r="D261" i="15"/>
  <c r="K261" i="15" s="1"/>
  <c r="D345" i="15"/>
  <c r="D344" i="15"/>
  <c r="K344" i="15" s="1"/>
  <c r="D343" i="15"/>
  <c r="E343" i="15" s="1"/>
  <c r="D342" i="15"/>
  <c r="P342" i="15" s="1"/>
  <c r="D341" i="15"/>
  <c r="P341" i="15" s="1"/>
  <c r="D340" i="15"/>
  <c r="P340" i="15" s="1"/>
  <c r="D339" i="15"/>
  <c r="P339" i="15" s="1"/>
  <c r="D338" i="15"/>
  <c r="P338" i="15" s="1"/>
  <c r="D337" i="15"/>
  <c r="P337" i="15" s="1"/>
  <c r="D336" i="15"/>
  <c r="K336" i="15" s="1"/>
  <c r="D335" i="15"/>
  <c r="P335" i="15" s="1"/>
  <c r="D334" i="15"/>
  <c r="D333" i="15"/>
  <c r="P333" i="15" s="1"/>
  <c r="D332" i="15"/>
  <c r="P332" i="15" s="1"/>
  <c r="D331" i="15"/>
  <c r="P331" i="15" s="1"/>
  <c r="D330" i="15"/>
  <c r="P330" i="15" s="1"/>
  <c r="D329" i="15"/>
  <c r="D328" i="15"/>
  <c r="K328" i="15" s="1"/>
  <c r="D327" i="15"/>
  <c r="P327" i="15" s="1"/>
  <c r="D326" i="15"/>
  <c r="P326" i="15" s="1"/>
  <c r="D325" i="15"/>
  <c r="P325" i="15" s="1"/>
  <c r="D324" i="15"/>
  <c r="P324" i="15" s="1"/>
  <c r="D323" i="15"/>
  <c r="P323" i="15" s="1"/>
  <c r="D322" i="15"/>
  <c r="P322" i="15" s="1"/>
  <c r="D321" i="15"/>
  <c r="P321" i="15" s="1"/>
  <c r="D320" i="15"/>
  <c r="K320" i="15" s="1"/>
  <c r="D319" i="15"/>
  <c r="E319" i="15" s="1"/>
  <c r="D318" i="15"/>
  <c r="D317" i="15"/>
  <c r="P317" i="15" s="1"/>
  <c r="D316" i="15"/>
  <c r="P316" i="15" s="1"/>
  <c r="D315" i="15"/>
  <c r="P315" i="15" s="1"/>
  <c r="D314" i="15"/>
  <c r="P314" i="15" s="1"/>
  <c r="D313" i="15"/>
  <c r="P313" i="15" s="1"/>
  <c r="D312" i="15"/>
  <c r="K312" i="15" s="1"/>
  <c r="D311" i="15"/>
  <c r="P311" i="15" s="1"/>
  <c r="D310" i="15"/>
  <c r="P310" i="15" s="1"/>
  <c r="D309" i="15"/>
  <c r="P309" i="15" s="1"/>
  <c r="D308" i="15"/>
  <c r="P308" i="15" s="1"/>
  <c r="D307" i="15"/>
  <c r="P307" i="15" s="1"/>
  <c r="D306" i="15"/>
  <c r="P306" i="15" s="1"/>
  <c r="D305" i="15"/>
  <c r="P305" i="15" s="1"/>
  <c r="D304" i="15"/>
  <c r="K304" i="15" s="1"/>
  <c r="P294" i="15"/>
  <c r="P265" i="15"/>
  <c r="D259" i="15"/>
  <c r="P259" i="15" s="1"/>
  <c r="D258" i="15"/>
  <c r="P258" i="15" s="1"/>
  <c r="D257" i="15"/>
  <c r="E257" i="15" s="1"/>
  <c r="D256" i="15"/>
  <c r="P256" i="15" s="1"/>
  <c r="D255" i="15"/>
  <c r="P255" i="15" s="1"/>
  <c r="D254" i="15"/>
  <c r="K254" i="15" s="1"/>
  <c r="D253" i="15"/>
  <c r="E253" i="15" s="1"/>
  <c r="D252" i="15"/>
  <c r="P252" i="15" s="1"/>
  <c r="D251" i="15"/>
  <c r="P251" i="15" s="1"/>
  <c r="D250" i="15"/>
  <c r="K250" i="15" s="1"/>
  <c r="D249" i="15"/>
  <c r="E249" i="15" s="1"/>
  <c r="D248" i="15"/>
  <c r="P248" i="15" s="1"/>
  <c r="D247" i="15"/>
  <c r="P247" i="15" s="1"/>
  <c r="D246" i="15"/>
  <c r="K246" i="15" s="1"/>
  <c r="D245" i="15"/>
  <c r="K245" i="15" s="1"/>
  <c r="D244" i="15"/>
  <c r="P244" i="15" s="1"/>
  <c r="D243" i="15"/>
  <c r="P243" i="15" s="1"/>
  <c r="D242" i="15"/>
  <c r="K242" i="15" s="1"/>
  <c r="D241" i="15"/>
  <c r="K241" i="15" s="1"/>
  <c r="D240" i="15"/>
  <c r="P240" i="15" s="1"/>
  <c r="D239" i="15"/>
  <c r="P239" i="15" s="1"/>
  <c r="D238" i="15"/>
  <c r="K238" i="15" s="1"/>
  <c r="D237" i="15"/>
  <c r="E237" i="15" s="1"/>
  <c r="D236" i="15"/>
  <c r="P236" i="15" s="1"/>
  <c r="D235" i="15"/>
  <c r="D234" i="15"/>
  <c r="K234" i="15" s="1"/>
  <c r="D233" i="15"/>
  <c r="E233" i="15" s="1"/>
  <c r="D232" i="15"/>
  <c r="P232" i="15" s="1"/>
  <c r="D231" i="15"/>
  <c r="P231" i="15" s="1"/>
  <c r="D230" i="15"/>
  <c r="K230" i="15" s="1"/>
  <c r="D229" i="15"/>
  <c r="E229" i="15" s="1"/>
  <c r="D228" i="15"/>
  <c r="P228" i="15" s="1"/>
  <c r="D227" i="15"/>
  <c r="P227" i="15" s="1"/>
  <c r="D226" i="15"/>
  <c r="K226" i="15" s="1"/>
  <c r="D225" i="15"/>
  <c r="E225" i="15" s="1"/>
  <c r="D224" i="15"/>
  <c r="P224" i="15" s="1"/>
  <c r="D223" i="15"/>
  <c r="P223" i="15" s="1"/>
  <c r="D222" i="15"/>
  <c r="P222" i="15" s="1"/>
  <c r="D221" i="15"/>
  <c r="K221" i="15" s="1"/>
  <c r="D220" i="15"/>
  <c r="P220" i="15" s="1"/>
  <c r="D219" i="15"/>
  <c r="P219" i="15" s="1"/>
  <c r="D218" i="15"/>
  <c r="K218" i="15" s="1"/>
  <c r="P345" i="15"/>
  <c r="P334" i="15"/>
  <c r="K332" i="15"/>
  <c r="E332" i="15"/>
  <c r="K331" i="15"/>
  <c r="E331" i="15"/>
  <c r="P329" i="15"/>
  <c r="P328" i="15"/>
  <c r="E327" i="15"/>
  <c r="P318" i="15"/>
  <c r="K315" i="15"/>
  <c r="E315" i="15"/>
  <c r="E312" i="15"/>
  <c r="E297" i="15"/>
  <c r="P297" i="15"/>
  <c r="P295" i="15"/>
  <c r="P292" i="15"/>
  <c r="E281" i="15"/>
  <c r="P281" i="15"/>
  <c r="P279" i="15"/>
  <c r="P278" i="15"/>
  <c r="K265" i="15"/>
  <c r="D216" i="15"/>
  <c r="K216" i="15" s="1"/>
  <c r="D215" i="15"/>
  <c r="P215" i="15" s="1"/>
  <c r="D214" i="15"/>
  <c r="K214" i="15" s="1"/>
  <c r="D213" i="15"/>
  <c r="P213" i="15" s="1"/>
  <c r="D212" i="15"/>
  <c r="P212" i="15" s="1"/>
  <c r="D211" i="15"/>
  <c r="P211" i="15" s="1"/>
  <c r="D210" i="15"/>
  <c r="E210" i="15" s="1"/>
  <c r="D209" i="15"/>
  <c r="E209" i="15" s="1"/>
  <c r="D208" i="15"/>
  <c r="E208" i="15" s="1"/>
  <c r="D207" i="15"/>
  <c r="P207" i="15" s="1"/>
  <c r="D206" i="15"/>
  <c r="P206" i="15" s="1"/>
  <c r="D205" i="15"/>
  <c r="E205" i="15" s="1"/>
  <c r="D204" i="15"/>
  <c r="K204" i="15" s="1"/>
  <c r="D203" i="15"/>
  <c r="K203" i="15" s="1"/>
  <c r="D202" i="15"/>
  <c r="E202" i="15" s="1"/>
  <c r="D201" i="15"/>
  <c r="E201" i="15" s="1"/>
  <c r="D200" i="15"/>
  <c r="P200" i="15" s="1"/>
  <c r="D199" i="15"/>
  <c r="P199" i="15" s="1"/>
  <c r="D198" i="15"/>
  <c r="E198" i="15" s="1"/>
  <c r="D197" i="15"/>
  <c r="P197" i="15" s="1"/>
  <c r="D196" i="15"/>
  <c r="P196" i="15" s="1"/>
  <c r="D195" i="15"/>
  <c r="P195" i="15" s="1"/>
  <c r="D194" i="15"/>
  <c r="P194" i="15" s="1"/>
  <c r="D193" i="15"/>
  <c r="P193" i="15" s="1"/>
  <c r="D192" i="15"/>
  <c r="K192" i="15" s="1"/>
  <c r="D191" i="15"/>
  <c r="E191" i="15" s="1"/>
  <c r="D190" i="15"/>
  <c r="E190" i="15" s="1"/>
  <c r="D189" i="15"/>
  <c r="E189" i="15" s="1"/>
  <c r="D188" i="15"/>
  <c r="K188" i="15" s="1"/>
  <c r="D187" i="15"/>
  <c r="E187" i="15" s="1"/>
  <c r="D186" i="15"/>
  <c r="E186" i="15" s="1"/>
  <c r="D185" i="15"/>
  <c r="E185" i="15" s="1"/>
  <c r="D184" i="15"/>
  <c r="E184" i="15" s="1"/>
  <c r="D183" i="15"/>
  <c r="P183" i="15" s="1"/>
  <c r="D182" i="15"/>
  <c r="E182" i="15" s="1"/>
  <c r="D181" i="15"/>
  <c r="P181" i="15" s="1"/>
  <c r="D180" i="15"/>
  <c r="P180" i="15" s="1"/>
  <c r="D179" i="15"/>
  <c r="P179" i="15" s="1"/>
  <c r="D178" i="15"/>
  <c r="P178" i="15" s="1"/>
  <c r="D177" i="15"/>
  <c r="K177" i="15" s="1"/>
  <c r="D176" i="15"/>
  <c r="E176" i="15" s="1"/>
  <c r="D175" i="15"/>
  <c r="K175" i="15" s="1"/>
  <c r="D425" i="14"/>
  <c r="D424" i="14"/>
  <c r="D423" i="14"/>
  <c r="D422" i="14"/>
  <c r="D421" i="14"/>
  <c r="D420" i="14"/>
  <c r="D419" i="14"/>
  <c r="D418" i="14"/>
  <c r="D417" i="14"/>
  <c r="D416" i="14"/>
  <c r="D415" i="14"/>
  <c r="D414" i="14"/>
  <c r="D413" i="14"/>
  <c r="D412" i="14"/>
  <c r="D411" i="14"/>
  <c r="D410" i="14"/>
  <c r="D409" i="14"/>
  <c r="D408" i="14"/>
  <c r="D407" i="14"/>
  <c r="D406" i="14"/>
  <c r="D405" i="14"/>
  <c r="D404" i="14"/>
  <c r="D403" i="14"/>
  <c r="D402" i="14"/>
  <c r="D401" i="14"/>
  <c r="D400" i="14"/>
  <c r="D399" i="14"/>
  <c r="D398" i="14"/>
  <c r="D397" i="14"/>
  <c r="D396" i="14"/>
  <c r="D395" i="14"/>
  <c r="D394" i="14"/>
  <c r="D393" i="14"/>
  <c r="D392" i="14"/>
  <c r="D391" i="14"/>
  <c r="D390" i="14"/>
  <c r="D389" i="14"/>
  <c r="D388" i="14"/>
  <c r="D387" i="14"/>
  <c r="D386" i="14"/>
  <c r="D385" i="14"/>
  <c r="D384" i="14"/>
  <c r="D383" i="14"/>
  <c r="D382" i="14"/>
  <c r="D381" i="14"/>
  <c r="D380" i="14"/>
  <c r="D379" i="14"/>
  <c r="D378" i="14"/>
  <c r="D377" i="14"/>
  <c r="D376" i="14"/>
  <c r="D375" i="14"/>
  <c r="D374" i="14"/>
  <c r="D373" i="14"/>
  <c r="D372" i="14"/>
  <c r="D371" i="14"/>
  <c r="D370" i="14"/>
  <c r="D369" i="14"/>
  <c r="D368" i="14"/>
  <c r="D367" i="14"/>
  <c r="D366" i="14"/>
  <c r="D365" i="14"/>
  <c r="D364" i="14"/>
  <c r="D363" i="14"/>
  <c r="D362" i="14"/>
  <c r="D361" i="14"/>
  <c r="D360" i="14"/>
  <c r="D359" i="14"/>
  <c r="D358" i="14"/>
  <c r="D357" i="14"/>
  <c r="D356" i="14"/>
  <c r="D355" i="14"/>
  <c r="D354" i="14"/>
  <c r="D353" i="14"/>
  <c r="D352" i="14"/>
  <c r="D351" i="14"/>
  <c r="D350" i="14"/>
  <c r="D349" i="14"/>
  <c r="D348" i="14"/>
  <c r="D347" i="14"/>
  <c r="F427" i="14"/>
  <c r="P426" i="14"/>
  <c r="G426" i="14"/>
  <c r="F426" i="14"/>
  <c r="D426" i="14"/>
  <c r="P425" i="14"/>
  <c r="G425" i="14"/>
  <c r="F425" i="14"/>
  <c r="P424" i="14"/>
  <c r="G424" i="14"/>
  <c r="F424" i="14"/>
  <c r="P423" i="14"/>
  <c r="G423" i="14"/>
  <c r="F423" i="14"/>
  <c r="G422" i="14"/>
  <c r="F422" i="14"/>
  <c r="G421" i="14"/>
  <c r="F421" i="14"/>
  <c r="G420" i="14"/>
  <c r="F420" i="14"/>
  <c r="P419" i="14"/>
  <c r="G419" i="14"/>
  <c r="F419" i="14"/>
  <c r="G418" i="14"/>
  <c r="F418" i="14"/>
  <c r="G417" i="14"/>
  <c r="F417" i="14"/>
  <c r="P416" i="14"/>
  <c r="G416" i="14"/>
  <c r="F416" i="14"/>
  <c r="P415" i="14"/>
  <c r="G415" i="14"/>
  <c r="F415" i="14"/>
  <c r="G414" i="14"/>
  <c r="F414" i="14"/>
  <c r="G413" i="14"/>
  <c r="F413" i="14"/>
  <c r="P412" i="14"/>
  <c r="P413" i="14" s="1"/>
  <c r="G412" i="14"/>
  <c r="F412" i="14"/>
  <c r="P411" i="14"/>
  <c r="G411" i="14"/>
  <c r="F411" i="14"/>
  <c r="P410" i="14"/>
  <c r="G410" i="14"/>
  <c r="F410" i="14"/>
  <c r="P409" i="14"/>
  <c r="G409" i="14"/>
  <c r="F409" i="14"/>
  <c r="P408" i="14"/>
  <c r="G408" i="14"/>
  <c r="F408" i="14"/>
  <c r="P407" i="14"/>
  <c r="G407" i="14"/>
  <c r="F407" i="14"/>
  <c r="G406" i="14"/>
  <c r="F406" i="14"/>
  <c r="G405" i="14"/>
  <c r="F405" i="14"/>
  <c r="G404" i="14"/>
  <c r="F404" i="14"/>
  <c r="P403" i="14"/>
  <c r="G403" i="14"/>
  <c r="F403" i="14"/>
  <c r="G402" i="14"/>
  <c r="F402" i="14"/>
  <c r="G401" i="14"/>
  <c r="F401" i="14"/>
  <c r="P400" i="14"/>
  <c r="G400" i="14"/>
  <c r="F400" i="14"/>
  <c r="P399" i="14"/>
  <c r="G399" i="14"/>
  <c r="F399" i="14"/>
  <c r="G398" i="14"/>
  <c r="F398" i="14"/>
  <c r="G397" i="14"/>
  <c r="F397" i="14"/>
  <c r="P396" i="14"/>
  <c r="P397" i="14" s="1"/>
  <c r="G396" i="14"/>
  <c r="F396" i="14"/>
  <c r="P395" i="14"/>
  <c r="G395" i="14"/>
  <c r="F395" i="14"/>
  <c r="P394" i="14"/>
  <c r="G394" i="14"/>
  <c r="F394" i="14"/>
  <c r="P393" i="14"/>
  <c r="G393" i="14"/>
  <c r="F393" i="14"/>
  <c r="P392" i="14"/>
  <c r="G392" i="14"/>
  <c r="F392" i="14"/>
  <c r="P391" i="14"/>
  <c r="G391" i="14"/>
  <c r="F391" i="14"/>
  <c r="G390" i="14"/>
  <c r="F390" i="14"/>
  <c r="G389" i="14"/>
  <c r="F389" i="14"/>
  <c r="G388" i="14"/>
  <c r="F388" i="14"/>
  <c r="P387" i="14"/>
  <c r="G387" i="14"/>
  <c r="F387" i="14"/>
  <c r="G386" i="14"/>
  <c r="F386" i="14"/>
  <c r="G385" i="14"/>
  <c r="F385" i="14"/>
  <c r="P384" i="14"/>
  <c r="G384" i="14"/>
  <c r="F384" i="14"/>
  <c r="P383" i="14"/>
  <c r="G383" i="14"/>
  <c r="F383" i="14"/>
  <c r="G382" i="14"/>
  <c r="F382" i="14"/>
  <c r="G381" i="14"/>
  <c r="F381" i="14"/>
  <c r="P380" i="14"/>
  <c r="P381" i="14" s="1"/>
  <c r="G380" i="14"/>
  <c r="F380" i="14"/>
  <c r="P379" i="14"/>
  <c r="G379" i="14"/>
  <c r="F379" i="14"/>
  <c r="P378" i="14"/>
  <c r="G378" i="14"/>
  <c r="F378" i="14"/>
  <c r="P377" i="14"/>
  <c r="G377" i="14"/>
  <c r="F377" i="14"/>
  <c r="P376" i="14"/>
  <c r="G376" i="14"/>
  <c r="F376" i="14"/>
  <c r="P375" i="14"/>
  <c r="G375" i="14"/>
  <c r="F375" i="14"/>
  <c r="G374" i="14"/>
  <c r="F374" i="14"/>
  <c r="G373" i="14"/>
  <c r="F373" i="14"/>
  <c r="G372" i="14"/>
  <c r="F372" i="14"/>
  <c r="P371" i="14"/>
  <c r="G371" i="14"/>
  <c r="F371" i="14"/>
  <c r="G370" i="14"/>
  <c r="F370" i="14"/>
  <c r="G369" i="14"/>
  <c r="F369" i="14"/>
  <c r="P368" i="14"/>
  <c r="G368" i="14"/>
  <c r="F368" i="14"/>
  <c r="P367" i="14"/>
  <c r="G367" i="14"/>
  <c r="F367" i="14"/>
  <c r="G366" i="14"/>
  <c r="F366" i="14"/>
  <c r="G365" i="14"/>
  <c r="F365" i="14"/>
  <c r="P364" i="14"/>
  <c r="P365" i="14" s="1"/>
  <c r="G364" i="14"/>
  <c r="F364" i="14"/>
  <c r="P363" i="14"/>
  <c r="G363" i="14"/>
  <c r="F363" i="14"/>
  <c r="P362" i="14"/>
  <c r="G362" i="14"/>
  <c r="F362" i="14"/>
  <c r="P361" i="14"/>
  <c r="G361" i="14"/>
  <c r="F361" i="14"/>
  <c r="P360" i="14"/>
  <c r="G360" i="14"/>
  <c r="F360" i="14"/>
  <c r="P359" i="14"/>
  <c r="G359" i="14"/>
  <c r="F359" i="14"/>
  <c r="G358" i="14"/>
  <c r="F358" i="14"/>
  <c r="G357" i="14"/>
  <c r="F357" i="14"/>
  <c r="G356" i="14"/>
  <c r="F356" i="14"/>
  <c r="P355" i="14"/>
  <c r="G355" i="14"/>
  <c r="F355" i="14"/>
  <c r="G354" i="14"/>
  <c r="F354" i="14"/>
  <c r="G353" i="14"/>
  <c r="F353" i="14"/>
  <c r="P352" i="14"/>
  <c r="G352" i="14"/>
  <c r="F352" i="14"/>
  <c r="P351" i="14"/>
  <c r="G351" i="14"/>
  <c r="F351" i="14"/>
  <c r="G350" i="14"/>
  <c r="F350" i="14"/>
  <c r="G349" i="14"/>
  <c r="F349" i="14"/>
  <c r="P348" i="14"/>
  <c r="P349" i="14" s="1"/>
  <c r="G348" i="14"/>
  <c r="F348" i="14"/>
  <c r="P347" i="14"/>
  <c r="G347" i="14"/>
  <c r="F347" i="14"/>
  <c r="D344" i="14"/>
  <c r="D343" i="14"/>
  <c r="D342" i="14"/>
  <c r="D341" i="14"/>
  <c r="D340" i="14"/>
  <c r="D339" i="14"/>
  <c r="D338" i="14"/>
  <c r="D337" i="14"/>
  <c r="D336" i="14"/>
  <c r="D335" i="14"/>
  <c r="D334" i="14"/>
  <c r="D333" i="14"/>
  <c r="D332" i="14"/>
  <c r="D331" i="14"/>
  <c r="D330" i="14"/>
  <c r="D329" i="14"/>
  <c r="D328" i="14"/>
  <c r="D327" i="14"/>
  <c r="D326" i="14"/>
  <c r="D325" i="14"/>
  <c r="D324" i="14"/>
  <c r="D323" i="14"/>
  <c r="D322" i="14"/>
  <c r="D321" i="14"/>
  <c r="D320" i="14"/>
  <c r="D319" i="14"/>
  <c r="D318" i="14"/>
  <c r="D317" i="14"/>
  <c r="D316" i="14"/>
  <c r="D315" i="14"/>
  <c r="D314" i="14"/>
  <c r="D313" i="14"/>
  <c r="D312" i="14"/>
  <c r="D311" i="14"/>
  <c r="D310" i="14"/>
  <c r="D309" i="14"/>
  <c r="D308" i="14"/>
  <c r="D307" i="14"/>
  <c r="D306" i="14"/>
  <c r="D305" i="14"/>
  <c r="D304" i="14"/>
  <c r="D303" i="14"/>
  <c r="D302" i="14"/>
  <c r="D301" i="14"/>
  <c r="D300" i="14"/>
  <c r="D299" i="14"/>
  <c r="D298" i="14"/>
  <c r="D297" i="14"/>
  <c r="D296" i="14"/>
  <c r="D295" i="14"/>
  <c r="D294" i="14"/>
  <c r="D293" i="14"/>
  <c r="D292" i="14"/>
  <c r="D291" i="14"/>
  <c r="D290" i="14"/>
  <c r="D289" i="14"/>
  <c r="D288" i="14"/>
  <c r="D287" i="14"/>
  <c r="D286" i="14"/>
  <c r="D285" i="14"/>
  <c r="D284" i="14"/>
  <c r="D283" i="14"/>
  <c r="D282" i="14"/>
  <c r="D281" i="14"/>
  <c r="D280" i="14"/>
  <c r="D279" i="14"/>
  <c r="D278" i="14"/>
  <c r="D277" i="14"/>
  <c r="D276" i="14"/>
  <c r="D275" i="14"/>
  <c r="D274" i="14"/>
  <c r="D273" i="14"/>
  <c r="D272" i="14"/>
  <c r="D271" i="14"/>
  <c r="D270" i="14"/>
  <c r="D269" i="14"/>
  <c r="D268" i="14"/>
  <c r="D267" i="14"/>
  <c r="D266" i="14"/>
  <c r="F346" i="14"/>
  <c r="G345" i="14"/>
  <c r="F345" i="14"/>
  <c r="D345" i="14"/>
  <c r="G344" i="14"/>
  <c r="F344" i="14"/>
  <c r="G343" i="14"/>
  <c r="F343" i="14"/>
  <c r="P342" i="14"/>
  <c r="P343" i="14" s="1"/>
  <c r="G342" i="14"/>
  <c r="F342" i="14"/>
  <c r="G341" i="14"/>
  <c r="F341" i="14"/>
  <c r="G340" i="14"/>
  <c r="F340" i="14"/>
  <c r="P339" i="14"/>
  <c r="G339" i="14"/>
  <c r="F339" i="14"/>
  <c r="P338" i="14"/>
  <c r="G338" i="14"/>
  <c r="F338" i="14"/>
  <c r="G337" i="14"/>
  <c r="F337" i="14"/>
  <c r="G336" i="14"/>
  <c r="F336" i="14"/>
  <c r="G335" i="14"/>
  <c r="F335" i="14"/>
  <c r="P334" i="14"/>
  <c r="G334" i="14"/>
  <c r="F334" i="14"/>
  <c r="G333" i="14"/>
  <c r="F333" i="14"/>
  <c r="G332" i="14"/>
  <c r="F332" i="14"/>
  <c r="G331" i="14"/>
  <c r="F331" i="14"/>
  <c r="P330" i="14"/>
  <c r="G330" i="14"/>
  <c r="F330" i="14"/>
  <c r="G329" i="14"/>
  <c r="F329" i="14"/>
  <c r="G328" i="14"/>
  <c r="F328" i="14"/>
  <c r="G327" i="14"/>
  <c r="F327" i="14"/>
  <c r="P326" i="14"/>
  <c r="G326" i="14"/>
  <c r="F326" i="14"/>
  <c r="G325" i="14"/>
  <c r="F325" i="14"/>
  <c r="G324" i="14"/>
  <c r="F324" i="14"/>
  <c r="P323" i="14"/>
  <c r="G323" i="14"/>
  <c r="F323" i="14"/>
  <c r="P322" i="14"/>
  <c r="G322" i="14"/>
  <c r="F322" i="14"/>
  <c r="G321" i="14"/>
  <c r="F321" i="14"/>
  <c r="G320" i="14"/>
  <c r="F320" i="14"/>
  <c r="P319" i="14"/>
  <c r="G319" i="14"/>
  <c r="F319" i="14"/>
  <c r="P318" i="14"/>
  <c r="G318" i="14"/>
  <c r="F318" i="14"/>
  <c r="G317" i="14"/>
  <c r="F317" i="14"/>
  <c r="G316" i="14"/>
  <c r="F316" i="14"/>
  <c r="G315" i="14"/>
  <c r="F315" i="14"/>
  <c r="P314" i="14"/>
  <c r="G314" i="14"/>
  <c r="F314" i="14"/>
  <c r="G313" i="14"/>
  <c r="F313" i="14"/>
  <c r="G312" i="14"/>
  <c r="F312" i="14"/>
  <c r="G311" i="14"/>
  <c r="F311" i="14"/>
  <c r="P310" i="14"/>
  <c r="G310" i="14"/>
  <c r="F310" i="14"/>
  <c r="G309" i="14"/>
  <c r="F309" i="14"/>
  <c r="G308" i="14"/>
  <c r="F308" i="14"/>
  <c r="P307" i="14"/>
  <c r="G307" i="14"/>
  <c r="F307" i="14"/>
  <c r="P306" i="14"/>
  <c r="G306" i="14"/>
  <c r="F306" i="14"/>
  <c r="G305" i="14"/>
  <c r="F305" i="14"/>
  <c r="G304" i="14"/>
  <c r="F304" i="14"/>
  <c r="G303" i="14"/>
  <c r="F303" i="14"/>
  <c r="P302" i="14"/>
  <c r="G302" i="14"/>
  <c r="F302" i="14"/>
  <c r="G301" i="14"/>
  <c r="F301" i="14"/>
  <c r="G300" i="14"/>
  <c r="F300" i="14"/>
  <c r="G299" i="14"/>
  <c r="F299" i="14"/>
  <c r="P298" i="14"/>
  <c r="P299" i="14" s="1"/>
  <c r="G298" i="14"/>
  <c r="F298" i="14"/>
  <c r="G297" i="14"/>
  <c r="F297" i="14"/>
  <c r="G296" i="14"/>
  <c r="F296" i="14"/>
  <c r="G295" i="14"/>
  <c r="F295" i="14"/>
  <c r="P294" i="14"/>
  <c r="G294" i="14"/>
  <c r="F294" i="14"/>
  <c r="G293" i="14"/>
  <c r="F293" i="14"/>
  <c r="G292" i="14"/>
  <c r="F292" i="14"/>
  <c r="P291" i="14"/>
  <c r="G291" i="14"/>
  <c r="F291" i="14"/>
  <c r="P290" i="14"/>
  <c r="G290" i="14"/>
  <c r="F290" i="14"/>
  <c r="G289" i="14"/>
  <c r="F289" i="14"/>
  <c r="G288" i="14"/>
  <c r="F288" i="14"/>
  <c r="P287" i="14"/>
  <c r="G287" i="14"/>
  <c r="F287" i="14"/>
  <c r="P286" i="14"/>
  <c r="G286" i="14"/>
  <c r="F286" i="14"/>
  <c r="G285" i="14"/>
  <c r="F285" i="14"/>
  <c r="G284" i="14"/>
  <c r="F284" i="14"/>
  <c r="G283" i="14"/>
  <c r="F283" i="14"/>
  <c r="P282" i="14"/>
  <c r="P283" i="14" s="1"/>
  <c r="G282" i="14"/>
  <c r="F282" i="14"/>
  <c r="G281" i="14"/>
  <c r="F281" i="14"/>
  <c r="G280" i="14"/>
  <c r="F280" i="14"/>
  <c r="G279" i="14"/>
  <c r="F279" i="14"/>
  <c r="P278" i="14"/>
  <c r="G278" i="14"/>
  <c r="F278" i="14"/>
  <c r="G277" i="14"/>
  <c r="F277" i="14"/>
  <c r="G276" i="14"/>
  <c r="F276" i="14"/>
  <c r="P275" i="14"/>
  <c r="G275" i="14"/>
  <c r="F275" i="14"/>
  <c r="P274" i="14"/>
  <c r="G274" i="14"/>
  <c r="F274" i="14"/>
  <c r="G273" i="14"/>
  <c r="F273" i="14"/>
  <c r="G272" i="14"/>
  <c r="F272" i="14"/>
  <c r="G271" i="14"/>
  <c r="F271" i="14"/>
  <c r="P270" i="14"/>
  <c r="G270" i="14"/>
  <c r="F270" i="14"/>
  <c r="G269" i="14"/>
  <c r="F269" i="14"/>
  <c r="G268" i="14"/>
  <c r="F268" i="14"/>
  <c r="G267" i="14"/>
  <c r="F267" i="14"/>
  <c r="P266" i="14"/>
  <c r="P267" i="14" s="1"/>
  <c r="G266" i="14"/>
  <c r="F266" i="14"/>
  <c r="D263" i="14"/>
  <c r="D262" i="14"/>
  <c r="D261" i="14"/>
  <c r="D260" i="14"/>
  <c r="D259" i="14"/>
  <c r="D258" i="14"/>
  <c r="D257" i="14"/>
  <c r="D256" i="14"/>
  <c r="D255" i="14"/>
  <c r="D254" i="14"/>
  <c r="D253" i="14"/>
  <c r="D252" i="14"/>
  <c r="D251" i="14"/>
  <c r="D250" i="14"/>
  <c r="D249" i="14"/>
  <c r="D248" i="14"/>
  <c r="D247" i="14"/>
  <c r="D246" i="14"/>
  <c r="D245" i="14"/>
  <c r="D244" i="14"/>
  <c r="D243" i="14"/>
  <c r="D242" i="14"/>
  <c r="D241" i="14"/>
  <c r="D240" i="14"/>
  <c r="D239" i="14"/>
  <c r="D238" i="14"/>
  <c r="D237" i="14"/>
  <c r="D236" i="14"/>
  <c r="D235" i="14"/>
  <c r="D234" i="14"/>
  <c r="D233" i="14"/>
  <c r="D232" i="14"/>
  <c r="D231" i="14"/>
  <c r="D230" i="14"/>
  <c r="D229" i="14"/>
  <c r="D228" i="14"/>
  <c r="D227" i="14"/>
  <c r="D226" i="14"/>
  <c r="D225" i="14"/>
  <c r="D224" i="14"/>
  <c r="D223" i="14"/>
  <c r="D222" i="14"/>
  <c r="D221" i="14"/>
  <c r="D220" i="14"/>
  <c r="D219" i="14"/>
  <c r="D218" i="14"/>
  <c r="D217" i="14"/>
  <c r="D216" i="14"/>
  <c r="D215" i="14"/>
  <c r="D214" i="14"/>
  <c r="D213" i="14"/>
  <c r="D212" i="14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F265" i="14"/>
  <c r="G264" i="14"/>
  <c r="F264" i="14"/>
  <c r="D264" i="14"/>
  <c r="G263" i="14"/>
  <c r="F263" i="14"/>
  <c r="G262" i="14"/>
  <c r="F262" i="14"/>
  <c r="P261" i="14"/>
  <c r="G261" i="14"/>
  <c r="F261" i="14"/>
  <c r="G260" i="14"/>
  <c r="F260" i="14"/>
  <c r="G259" i="14"/>
  <c r="F259" i="14"/>
  <c r="G258" i="14"/>
  <c r="F258" i="14"/>
  <c r="P257" i="14"/>
  <c r="G257" i="14"/>
  <c r="F257" i="14"/>
  <c r="G256" i="14"/>
  <c r="F256" i="14"/>
  <c r="G255" i="14"/>
  <c r="F255" i="14"/>
  <c r="G254" i="14"/>
  <c r="F254" i="14"/>
  <c r="P253" i="14"/>
  <c r="G253" i="14"/>
  <c r="F253" i="14"/>
  <c r="G252" i="14"/>
  <c r="F252" i="14"/>
  <c r="G251" i="14"/>
  <c r="F251" i="14"/>
  <c r="G250" i="14"/>
  <c r="F250" i="14"/>
  <c r="P249" i="14"/>
  <c r="G249" i="14"/>
  <c r="F249" i="14"/>
  <c r="G248" i="14"/>
  <c r="F248" i="14"/>
  <c r="G247" i="14"/>
  <c r="F247" i="14"/>
  <c r="G246" i="14"/>
  <c r="F246" i="14"/>
  <c r="P245" i="14"/>
  <c r="G245" i="14"/>
  <c r="F245" i="14"/>
  <c r="G244" i="14"/>
  <c r="F244" i="14"/>
  <c r="G243" i="14"/>
  <c r="F243" i="14"/>
  <c r="G242" i="14"/>
  <c r="F242" i="14"/>
  <c r="P241" i="14"/>
  <c r="G241" i="14"/>
  <c r="F241" i="14"/>
  <c r="G240" i="14"/>
  <c r="F240" i="14"/>
  <c r="G239" i="14"/>
  <c r="F239" i="14"/>
  <c r="G238" i="14"/>
  <c r="F238" i="14"/>
  <c r="P237" i="14"/>
  <c r="G237" i="14"/>
  <c r="F237" i="14"/>
  <c r="G236" i="14"/>
  <c r="F236" i="14"/>
  <c r="G235" i="14"/>
  <c r="F235" i="14"/>
  <c r="G234" i="14"/>
  <c r="F234" i="14"/>
  <c r="P233" i="14"/>
  <c r="G233" i="14"/>
  <c r="F233" i="14"/>
  <c r="G232" i="14"/>
  <c r="F232" i="14"/>
  <c r="G231" i="14"/>
  <c r="F231" i="14"/>
  <c r="G230" i="14"/>
  <c r="F230" i="14"/>
  <c r="P229" i="14"/>
  <c r="G229" i="14"/>
  <c r="F229" i="14"/>
  <c r="G228" i="14"/>
  <c r="F228" i="14"/>
  <c r="G227" i="14"/>
  <c r="F227" i="14"/>
  <c r="G226" i="14"/>
  <c r="F226" i="14"/>
  <c r="P225" i="14"/>
  <c r="G225" i="14"/>
  <c r="F225" i="14"/>
  <c r="G224" i="14"/>
  <c r="F224" i="14"/>
  <c r="G223" i="14"/>
  <c r="F223" i="14"/>
  <c r="P222" i="14"/>
  <c r="G222" i="14"/>
  <c r="F222" i="14"/>
  <c r="P221" i="14"/>
  <c r="G221" i="14"/>
  <c r="F221" i="14"/>
  <c r="G220" i="14"/>
  <c r="F220" i="14"/>
  <c r="G219" i="14"/>
  <c r="F219" i="14"/>
  <c r="G218" i="14"/>
  <c r="F218" i="14"/>
  <c r="P217" i="14"/>
  <c r="G217" i="14"/>
  <c r="F217" i="14"/>
  <c r="G216" i="14"/>
  <c r="F216" i="14"/>
  <c r="G215" i="14"/>
  <c r="F215" i="14"/>
  <c r="G214" i="14"/>
  <c r="F214" i="14"/>
  <c r="P213" i="14"/>
  <c r="G213" i="14"/>
  <c r="F213" i="14"/>
  <c r="G212" i="14"/>
  <c r="F212" i="14"/>
  <c r="G211" i="14"/>
  <c r="F211" i="14"/>
  <c r="P210" i="14"/>
  <c r="G210" i="14"/>
  <c r="F210" i="14"/>
  <c r="P209" i="14"/>
  <c r="G209" i="14"/>
  <c r="F209" i="14"/>
  <c r="G208" i="14"/>
  <c r="F208" i="14"/>
  <c r="G207" i="14"/>
  <c r="F207" i="14"/>
  <c r="G206" i="14"/>
  <c r="F206" i="14"/>
  <c r="P205" i="14"/>
  <c r="G205" i="14"/>
  <c r="F205" i="14"/>
  <c r="G204" i="14"/>
  <c r="F204" i="14"/>
  <c r="G203" i="14"/>
  <c r="F203" i="14"/>
  <c r="P202" i="14"/>
  <c r="P203" i="14" s="1"/>
  <c r="G202" i="14"/>
  <c r="F202" i="14"/>
  <c r="P201" i="14"/>
  <c r="G201" i="14"/>
  <c r="F201" i="14"/>
  <c r="G200" i="14"/>
  <c r="F200" i="14"/>
  <c r="G199" i="14"/>
  <c r="F199" i="14"/>
  <c r="G198" i="14"/>
  <c r="F198" i="14"/>
  <c r="P197" i="14"/>
  <c r="G197" i="14"/>
  <c r="F197" i="14"/>
  <c r="G196" i="14"/>
  <c r="F196" i="14"/>
  <c r="G195" i="14"/>
  <c r="F195" i="14"/>
  <c r="G194" i="14"/>
  <c r="F194" i="14"/>
  <c r="P193" i="14"/>
  <c r="G193" i="14"/>
  <c r="F193" i="14"/>
  <c r="G192" i="14"/>
  <c r="F192" i="14"/>
  <c r="G191" i="14"/>
  <c r="F191" i="14"/>
  <c r="G190" i="14"/>
  <c r="F190" i="14"/>
  <c r="P189" i="14"/>
  <c r="G189" i="14"/>
  <c r="F189" i="14"/>
  <c r="G188" i="14"/>
  <c r="F188" i="14"/>
  <c r="G187" i="14"/>
  <c r="F187" i="14"/>
  <c r="G186" i="14"/>
  <c r="F186" i="14"/>
  <c r="P185" i="14"/>
  <c r="G185" i="14"/>
  <c r="F185" i="14"/>
  <c r="D104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F184" i="14"/>
  <c r="G183" i="14"/>
  <c r="F183" i="14"/>
  <c r="D183" i="14"/>
  <c r="G182" i="14"/>
  <c r="F182" i="14"/>
  <c r="G181" i="14"/>
  <c r="F181" i="14"/>
  <c r="P180" i="14"/>
  <c r="G180" i="14"/>
  <c r="F180" i="14"/>
  <c r="G179" i="14"/>
  <c r="F179" i="14"/>
  <c r="G178" i="14"/>
  <c r="F178" i="14"/>
  <c r="G177" i="14"/>
  <c r="F177" i="14"/>
  <c r="P176" i="14"/>
  <c r="P177" i="14" s="1"/>
  <c r="G176" i="14"/>
  <c r="F176" i="14"/>
  <c r="G175" i="14"/>
  <c r="F175" i="14"/>
  <c r="G174" i="14"/>
  <c r="F174" i="14"/>
  <c r="G173" i="14"/>
  <c r="F173" i="14"/>
  <c r="P172" i="14"/>
  <c r="P173" i="14" s="1"/>
  <c r="G172" i="14"/>
  <c r="F172" i="14"/>
  <c r="G171" i="14"/>
  <c r="F171" i="14"/>
  <c r="G170" i="14"/>
  <c r="F170" i="14"/>
  <c r="G169" i="14"/>
  <c r="F169" i="14"/>
  <c r="P168" i="14"/>
  <c r="G168" i="14"/>
  <c r="F168" i="14"/>
  <c r="G167" i="14"/>
  <c r="F167" i="14"/>
  <c r="G166" i="14"/>
  <c r="F166" i="14"/>
  <c r="G165" i="14"/>
  <c r="F165" i="14"/>
  <c r="P164" i="14"/>
  <c r="G164" i="14"/>
  <c r="F164" i="14"/>
  <c r="G163" i="14"/>
  <c r="F163" i="14"/>
  <c r="G162" i="14"/>
  <c r="F162" i="14"/>
  <c r="G161" i="14"/>
  <c r="F161" i="14"/>
  <c r="P160" i="14"/>
  <c r="G160" i="14"/>
  <c r="F160" i="14"/>
  <c r="G159" i="14"/>
  <c r="F159" i="14"/>
  <c r="G158" i="14"/>
  <c r="F158" i="14"/>
  <c r="G157" i="14"/>
  <c r="F157" i="14"/>
  <c r="P156" i="14"/>
  <c r="G156" i="14"/>
  <c r="F156" i="14"/>
  <c r="G155" i="14"/>
  <c r="F155" i="14"/>
  <c r="G154" i="14"/>
  <c r="F154" i="14"/>
  <c r="G153" i="14"/>
  <c r="F153" i="14"/>
  <c r="P152" i="14"/>
  <c r="G152" i="14"/>
  <c r="F152" i="14"/>
  <c r="G151" i="14"/>
  <c r="F151" i="14"/>
  <c r="G150" i="14"/>
  <c r="F150" i="14"/>
  <c r="G149" i="14"/>
  <c r="F149" i="14"/>
  <c r="P148" i="14"/>
  <c r="P149" i="14" s="1"/>
  <c r="G148" i="14"/>
  <c r="F148" i="14"/>
  <c r="G147" i="14"/>
  <c r="F147" i="14"/>
  <c r="G146" i="14"/>
  <c r="F146" i="14"/>
  <c r="G145" i="14"/>
  <c r="F145" i="14"/>
  <c r="P144" i="14"/>
  <c r="P145" i="14" s="1"/>
  <c r="G144" i="14"/>
  <c r="F144" i="14"/>
  <c r="G143" i="14"/>
  <c r="F143" i="14"/>
  <c r="G142" i="14"/>
  <c r="F142" i="14"/>
  <c r="G141" i="14"/>
  <c r="F141" i="14"/>
  <c r="P140" i="14"/>
  <c r="G140" i="14"/>
  <c r="F140" i="14"/>
  <c r="G139" i="14"/>
  <c r="F139" i="14"/>
  <c r="G138" i="14"/>
  <c r="F138" i="14"/>
  <c r="G137" i="14"/>
  <c r="F137" i="14"/>
  <c r="P136" i="14"/>
  <c r="G136" i="14"/>
  <c r="F136" i="14"/>
  <c r="G135" i="14"/>
  <c r="F135" i="14"/>
  <c r="G134" i="14"/>
  <c r="F134" i="14"/>
  <c r="G133" i="14"/>
  <c r="F133" i="14"/>
  <c r="P132" i="14"/>
  <c r="P133" i="14" s="1"/>
  <c r="G132" i="14"/>
  <c r="F132" i="14"/>
  <c r="G131" i="14"/>
  <c r="F131" i="14"/>
  <c r="G130" i="14"/>
  <c r="F130" i="14"/>
  <c r="G129" i="14"/>
  <c r="F129" i="14"/>
  <c r="P128" i="14"/>
  <c r="G128" i="14"/>
  <c r="F128" i="14"/>
  <c r="G127" i="14"/>
  <c r="F127" i="14"/>
  <c r="G126" i="14"/>
  <c r="F126" i="14"/>
  <c r="G125" i="14"/>
  <c r="F125" i="14"/>
  <c r="P124" i="14"/>
  <c r="G124" i="14"/>
  <c r="F124" i="14"/>
  <c r="G123" i="14"/>
  <c r="F123" i="14"/>
  <c r="G122" i="14"/>
  <c r="F122" i="14"/>
  <c r="G121" i="14"/>
  <c r="F121" i="14"/>
  <c r="P120" i="14"/>
  <c r="G120" i="14"/>
  <c r="F120" i="14"/>
  <c r="G119" i="14"/>
  <c r="F119" i="14"/>
  <c r="G118" i="14"/>
  <c r="F118" i="14"/>
  <c r="G117" i="14"/>
  <c r="F117" i="14"/>
  <c r="P116" i="14"/>
  <c r="G116" i="14"/>
  <c r="F116" i="14"/>
  <c r="G115" i="14"/>
  <c r="F115" i="14"/>
  <c r="G114" i="14"/>
  <c r="F114" i="14"/>
  <c r="G113" i="14"/>
  <c r="F113" i="14"/>
  <c r="P112" i="14"/>
  <c r="G112" i="14"/>
  <c r="F112" i="14"/>
  <c r="G111" i="14"/>
  <c r="F111" i="14"/>
  <c r="G110" i="14"/>
  <c r="F110" i="14"/>
  <c r="G109" i="14"/>
  <c r="F109" i="14"/>
  <c r="P108" i="14"/>
  <c r="G108" i="14"/>
  <c r="F108" i="14"/>
  <c r="G107" i="14"/>
  <c r="F107" i="14"/>
  <c r="G106" i="14"/>
  <c r="F106" i="14"/>
  <c r="G105" i="14"/>
  <c r="F105" i="14"/>
  <c r="P104" i="14"/>
  <c r="G104" i="14"/>
  <c r="F104" i="14"/>
  <c r="T119" i="13"/>
  <c r="J274" i="7" s="1"/>
  <c r="O119" i="13"/>
  <c r="J273" i="7" s="1"/>
  <c r="J119" i="13"/>
  <c r="J272" i="7" s="1"/>
  <c r="E119" i="13"/>
  <c r="J271" i="7" s="1"/>
  <c r="T118" i="13"/>
  <c r="W118" i="13" s="1"/>
  <c r="O118" i="13"/>
  <c r="J270" i="7" s="1"/>
  <c r="J118" i="13"/>
  <c r="J269" i="7" s="1"/>
  <c r="E118" i="13"/>
  <c r="J268" i="7" s="1"/>
  <c r="T117" i="13"/>
  <c r="W117" i="13" s="1"/>
  <c r="O117" i="13"/>
  <c r="R117" i="13" s="1"/>
  <c r="J117" i="13"/>
  <c r="J267" i="7" s="1"/>
  <c r="E117" i="13"/>
  <c r="J266" i="7" s="1"/>
  <c r="T116" i="13"/>
  <c r="W116" i="13" s="1"/>
  <c r="O116" i="13"/>
  <c r="R116" i="13" s="1"/>
  <c r="J116" i="13"/>
  <c r="J265" i="7" s="1"/>
  <c r="E116" i="13"/>
  <c r="J264" i="7" s="1"/>
  <c r="T115" i="13"/>
  <c r="W115" i="13" s="1"/>
  <c r="O115" i="13"/>
  <c r="R115" i="13" s="1"/>
  <c r="J115" i="13"/>
  <c r="J263" i="7" s="1"/>
  <c r="E115" i="13"/>
  <c r="J262" i="7" s="1"/>
  <c r="T114" i="13"/>
  <c r="W114" i="13" s="1"/>
  <c r="O114" i="13"/>
  <c r="P114" i="13" s="1"/>
  <c r="J114" i="13"/>
  <c r="J261" i="7" s="1"/>
  <c r="E114" i="13"/>
  <c r="J260" i="7" s="1"/>
  <c r="T113" i="13"/>
  <c r="W113" i="13" s="1"/>
  <c r="O113" i="13"/>
  <c r="R113" i="13" s="1"/>
  <c r="J113" i="13"/>
  <c r="J259" i="7" s="1"/>
  <c r="E113" i="13"/>
  <c r="J258" i="7" s="1"/>
  <c r="T112" i="13"/>
  <c r="U112" i="13" s="1"/>
  <c r="O112" i="13"/>
  <c r="P112" i="13" s="1"/>
  <c r="J112" i="13"/>
  <c r="M112" i="13" s="1"/>
  <c r="E112" i="13"/>
  <c r="J257" i="7" s="1"/>
  <c r="T111" i="13"/>
  <c r="W111" i="13" s="1"/>
  <c r="O111" i="13"/>
  <c r="J256" i="7" s="1"/>
  <c r="J111" i="13"/>
  <c r="J255" i="7" s="1"/>
  <c r="E111" i="13"/>
  <c r="J254" i="7" s="1"/>
  <c r="T110" i="13"/>
  <c r="U110" i="13" s="1"/>
  <c r="O110" i="13"/>
  <c r="P110" i="13" s="1"/>
  <c r="J110" i="13"/>
  <c r="J253" i="7" s="1"/>
  <c r="E110" i="13"/>
  <c r="J252" i="7" s="1"/>
  <c r="T109" i="13"/>
  <c r="W109" i="13" s="1"/>
  <c r="O109" i="13"/>
  <c r="R109" i="13" s="1"/>
  <c r="J109" i="13"/>
  <c r="J251" i="7" s="1"/>
  <c r="E109" i="13"/>
  <c r="J250" i="7" s="1"/>
  <c r="T108" i="13"/>
  <c r="U108" i="13" s="1"/>
  <c r="O108" i="13"/>
  <c r="R108" i="13" s="1"/>
  <c r="J108" i="13"/>
  <c r="J249" i="7" s="1"/>
  <c r="E108" i="13"/>
  <c r="J248" i="7" s="1"/>
  <c r="T107" i="13"/>
  <c r="W107" i="13" s="1"/>
  <c r="O107" i="13"/>
  <c r="R107" i="13" s="1"/>
  <c r="J107" i="13"/>
  <c r="J247" i="7" s="1"/>
  <c r="E107" i="13"/>
  <c r="J246" i="7" s="1"/>
  <c r="T106" i="13"/>
  <c r="U106" i="13" s="1"/>
  <c r="O106" i="13"/>
  <c r="R106" i="13" s="1"/>
  <c r="J106" i="13"/>
  <c r="J245" i="7" s="1"/>
  <c r="E106" i="13"/>
  <c r="J244" i="7" s="1"/>
  <c r="T105" i="13"/>
  <c r="W105" i="13" s="1"/>
  <c r="O105" i="13"/>
  <c r="R105" i="13" s="1"/>
  <c r="J105" i="13"/>
  <c r="J243" i="7" s="1"/>
  <c r="E105" i="13"/>
  <c r="J242" i="7" s="1"/>
  <c r="T104" i="13"/>
  <c r="W104" i="13" s="1"/>
  <c r="O104" i="13"/>
  <c r="R104" i="13" s="1"/>
  <c r="J104" i="13"/>
  <c r="J241" i="7" s="1"/>
  <c r="E104" i="13"/>
  <c r="J240" i="7" s="1"/>
  <c r="T103" i="13"/>
  <c r="W103" i="13" s="1"/>
  <c r="O103" i="13"/>
  <c r="R103" i="13" s="1"/>
  <c r="J103" i="13"/>
  <c r="J239" i="7" s="1"/>
  <c r="E103" i="13"/>
  <c r="J238" i="7" s="1"/>
  <c r="T102" i="13"/>
  <c r="W102" i="13" s="1"/>
  <c r="O102" i="13"/>
  <c r="R102" i="13" s="1"/>
  <c r="J102" i="13"/>
  <c r="J237" i="7" s="1"/>
  <c r="E102" i="13"/>
  <c r="J236" i="7" s="1"/>
  <c r="T101" i="13"/>
  <c r="W101" i="13" s="1"/>
  <c r="O101" i="13"/>
  <c r="R101" i="13" s="1"/>
  <c r="J101" i="13"/>
  <c r="J235" i="7" s="1"/>
  <c r="E101" i="13"/>
  <c r="J234" i="7" s="1"/>
  <c r="T100" i="13"/>
  <c r="W100" i="13" s="1"/>
  <c r="O100" i="13"/>
  <c r="R100" i="13" s="1"/>
  <c r="J100" i="13"/>
  <c r="M100" i="13" s="1"/>
  <c r="E100" i="13"/>
  <c r="J233" i="7" s="1"/>
  <c r="V119" i="13"/>
  <c r="Q119" i="13"/>
  <c r="L119" i="13"/>
  <c r="G119" i="13"/>
  <c r="J423" i="14" s="1"/>
  <c r="V118" i="13"/>
  <c r="Q118" i="13"/>
  <c r="L118" i="13"/>
  <c r="G118" i="13"/>
  <c r="V117" i="13"/>
  <c r="Q117" i="13"/>
  <c r="L117" i="13"/>
  <c r="G117" i="13"/>
  <c r="V116" i="13"/>
  <c r="Q116" i="13"/>
  <c r="L116" i="13"/>
  <c r="G116" i="13"/>
  <c r="V115" i="13"/>
  <c r="Q115" i="13"/>
  <c r="L115" i="13"/>
  <c r="G115" i="13"/>
  <c r="V114" i="13"/>
  <c r="Q114" i="13"/>
  <c r="L114" i="13"/>
  <c r="G114" i="13"/>
  <c r="V113" i="13"/>
  <c r="Q113" i="13"/>
  <c r="L113" i="13"/>
  <c r="G113" i="13"/>
  <c r="F113" i="13" s="1"/>
  <c r="V112" i="13"/>
  <c r="Q112" i="13"/>
  <c r="L112" i="13"/>
  <c r="G112" i="13"/>
  <c r="V111" i="13"/>
  <c r="Q111" i="13"/>
  <c r="L111" i="13"/>
  <c r="G111" i="13"/>
  <c r="V110" i="13"/>
  <c r="Q110" i="13"/>
  <c r="L110" i="13"/>
  <c r="G110" i="13"/>
  <c r="V109" i="13"/>
  <c r="Q109" i="13"/>
  <c r="L109" i="13"/>
  <c r="G109" i="13"/>
  <c r="V108" i="13"/>
  <c r="Q108" i="13"/>
  <c r="L108" i="13"/>
  <c r="G108" i="13"/>
  <c r="V107" i="13"/>
  <c r="Q107" i="13"/>
  <c r="L107" i="13"/>
  <c r="G107" i="13"/>
  <c r="V106" i="13"/>
  <c r="Q106" i="13"/>
  <c r="L106" i="13"/>
  <c r="G106" i="13"/>
  <c r="V105" i="13"/>
  <c r="Q105" i="13"/>
  <c r="L105" i="13"/>
  <c r="G105" i="13"/>
  <c r="V104" i="13"/>
  <c r="Q104" i="13"/>
  <c r="L104" i="13"/>
  <c r="G104" i="13"/>
  <c r="V103" i="13"/>
  <c r="Q103" i="13"/>
  <c r="L103" i="13"/>
  <c r="G103" i="13"/>
  <c r="V102" i="13"/>
  <c r="Q102" i="13"/>
  <c r="L102" i="13"/>
  <c r="G102" i="13"/>
  <c r="V101" i="13"/>
  <c r="Q101" i="13"/>
  <c r="L101" i="13"/>
  <c r="G101" i="13"/>
  <c r="V100" i="13"/>
  <c r="Q100" i="13"/>
  <c r="L100" i="13"/>
  <c r="G100" i="13"/>
  <c r="T95" i="13"/>
  <c r="O95" i="13"/>
  <c r="J95" i="13"/>
  <c r="E95" i="13"/>
  <c r="T94" i="13"/>
  <c r="W94" i="13" s="1"/>
  <c r="O94" i="13"/>
  <c r="J94" i="13"/>
  <c r="E94" i="13"/>
  <c r="T93" i="13"/>
  <c r="W93" i="13" s="1"/>
  <c r="O93" i="13"/>
  <c r="R93" i="13" s="1"/>
  <c r="J93" i="13"/>
  <c r="E93" i="13"/>
  <c r="T92" i="13"/>
  <c r="W92" i="13" s="1"/>
  <c r="O92" i="13"/>
  <c r="R92" i="13" s="1"/>
  <c r="J92" i="13"/>
  <c r="E92" i="13"/>
  <c r="T91" i="13"/>
  <c r="W91" i="13" s="1"/>
  <c r="O91" i="13"/>
  <c r="R91" i="13" s="1"/>
  <c r="J91" i="13"/>
  <c r="E91" i="13"/>
  <c r="T90" i="13"/>
  <c r="W90" i="13" s="1"/>
  <c r="O90" i="13"/>
  <c r="P90" i="13" s="1"/>
  <c r="J90" i="13"/>
  <c r="E90" i="13"/>
  <c r="L322" i="14" s="1"/>
  <c r="T89" i="13"/>
  <c r="W89" i="13" s="1"/>
  <c r="O89" i="13"/>
  <c r="R89" i="13" s="1"/>
  <c r="J89" i="13"/>
  <c r="E89" i="13"/>
  <c r="L318" i="14" s="1"/>
  <c r="T88" i="13"/>
  <c r="U88" i="13" s="1"/>
  <c r="O88" i="13"/>
  <c r="P88" i="13" s="1"/>
  <c r="J88" i="13"/>
  <c r="M88" i="13" s="1"/>
  <c r="E88" i="13"/>
  <c r="T87" i="13"/>
  <c r="W87" i="13" s="1"/>
  <c r="O87" i="13"/>
  <c r="J87" i="13"/>
  <c r="E87" i="13"/>
  <c r="T86" i="13"/>
  <c r="W86" i="13" s="1"/>
  <c r="O86" i="13"/>
  <c r="R86" i="13" s="1"/>
  <c r="J86" i="13"/>
  <c r="E86" i="13"/>
  <c r="L306" i="14" s="1"/>
  <c r="T85" i="13"/>
  <c r="W85" i="13" s="1"/>
  <c r="O85" i="13"/>
  <c r="R85" i="13" s="1"/>
  <c r="J85" i="13"/>
  <c r="E85" i="13"/>
  <c r="T84" i="13"/>
  <c r="W84" i="13" s="1"/>
  <c r="O84" i="13"/>
  <c r="P84" i="13" s="1"/>
  <c r="J84" i="13"/>
  <c r="L299" i="14" s="1"/>
  <c r="E84" i="13"/>
  <c r="T83" i="13"/>
  <c r="W83" i="13" s="1"/>
  <c r="O83" i="13"/>
  <c r="R83" i="13" s="1"/>
  <c r="J83" i="13"/>
  <c r="E83" i="13"/>
  <c r="T82" i="13"/>
  <c r="U82" i="13" s="1"/>
  <c r="O82" i="13"/>
  <c r="R82" i="13" s="1"/>
  <c r="J82" i="13"/>
  <c r="E82" i="13"/>
  <c r="L290" i="14" s="1"/>
  <c r="T81" i="13"/>
  <c r="W81" i="13" s="1"/>
  <c r="O81" i="13"/>
  <c r="R81" i="13" s="1"/>
  <c r="J81" i="13"/>
  <c r="E81" i="13"/>
  <c r="L286" i="14" s="1"/>
  <c r="T80" i="13"/>
  <c r="W80" i="13" s="1"/>
  <c r="O80" i="13"/>
  <c r="R80" i="13" s="1"/>
  <c r="J80" i="13"/>
  <c r="L283" i="14" s="1"/>
  <c r="E80" i="13"/>
  <c r="T79" i="13"/>
  <c r="W79" i="13" s="1"/>
  <c r="O79" i="13"/>
  <c r="R79" i="13" s="1"/>
  <c r="J79" i="13"/>
  <c r="E79" i="13"/>
  <c r="T78" i="13"/>
  <c r="W78" i="13" s="1"/>
  <c r="O78" i="13"/>
  <c r="R78" i="13" s="1"/>
  <c r="J78" i="13"/>
  <c r="E78" i="13"/>
  <c r="L274" i="14" s="1"/>
  <c r="T77" i="13"/>
  <c r="W77" i="13" s="1"/>
  <c r="O77" i="13"/>
  <c r="R77" i="13" s="1"/>
  <c r="J77" i="13"/>
  <c r="E77" i="13"/>
  <c r="T76" i="13"/>
  <c r="W76" i="13" s="1"/>
  <c r="O76" i="13"/>
  <c r="R76" i="13" s="1"/>
  <c r="J76" i="13"/>
  <c r="M76" i="13" s="1"/>
  <c r="E76" i="13"/>
  <c r="V95" i="13"/>
  <c r="Q95" i="13"/>
  <c r="L95" i="13"/>
  <c r="G95" i="13"/>
  <c r="V94" i="13"/>
  <c r="Q94" i="13"/>
  <c r="L94" i="13"/>
  <c r="G94" i="13"/>
  <c r="V93" i="13"/>
  <c r="Q93" i="13"/>
  <c r="L93" i="13"/>
  <c r="G93" i="13"/>
  <c r="V92" i="13"/>
  <c r="Q92" i="13"/>
  <c r="L92" i="13"/>
  <c r="G92" i="13"/>
  <c r="V91" i="13"/>
  <c r="Q91" i="13"/>
  <c r="L91" i="13"/>
  <c r="G91" i="13"/>
  <c r="V90" i="13"/>
  <c r="Q90" i="13"/>
  <c r="L90" i="13"/>
  <c r="G90" i="13"/>
  <c r="V89" i="13"/>
  <c r="Q89" i="13"/>
  <c r="L89" i="13"/>
  <c r="G89" i="13"/>
  <c r="V88" i="13"/>
  <c r="Q88" i="13"/>
  <c r="L88" i="13"/>
  <c r="G88" i="13"/>
  <c r="V87" i="13"/>
  <c r="Q87" i="13"/>
  <c r="L87" i="13"/>
  <c r="G87" i="13"/>
  <c r="V86" i="13"/>
  <c r="Q86" i="13"/>
  <c r="L86" i="13"/>
  <c r="G86" i="13"/>
  <c r="V85" i="13"/>
  <c r="Q85" i="13"/>
  <c r="L85" i="13"/>
  <c r="G85" i="13"/>
  <c r="V84" i="13"/>
  <c r="Q84" i="13"/>
  <c r="L84" i="13"/>
  <c r="G84" i="13"/>
  <c r="V83" i="13"/>
  <c r="Q83" i="13"/>
  <c r="L83" i="13"/>
  <c r="G83" i="13"/>
  <c r="V82" i="13"/>
  <c r="Q82" i="13"/>
  <c r="L82" i="13"/>
  <c r="G82" i="13"/>
  <c r="V81" i="13"/>
  <c r="Q81" i="13"/>
  <c r="L81" i="13"/>
  <c r="G81" i="13"/>
  <c r="V80" i="13"/>
  <c r="Q80" i="13"/>
  <c r="L80" i="13"/>
  <c r="G80" i="13"/>
  <c r="V79" i="13"/>
  <c r="Q79" i="13"/>
  <c r="L79" i="13"/>
  <c r="G79" i="13"/>
  <c r="V78" i="13"/>
  <c r="Q78" i="13"/>
  <c r="L78" i="13"/>
  <c r="G78" i="13"/>
  <c r="V77" i="13"/>
  <c r="Q77" i="13"/>
  <c r="L77" i="13"/>
  <c r="G77" i="13"/>
  <c r="V76" i="13"/>
  <c r="Q76" i="13"/>
  <c r="L76" i="13"/>
  <c r="G76" i="13"/>
  <c r="T71" i="13"/>
  <c r="O71" i="13"/>
  <c r="J71" i="13"/>
  <c r="E71" i="13"/>
  <c r="T70" i="13"/>
  <c r="W70" i="13" s="1"/>
  <c r="O70" i="13"/>
  <c r="J70" i="13"/>
  <c r="E70" i="13"/>
  <c r="T69" i="13"/>
  <c r="W69" i="13" s="1"/>
  <c r="O69" i="13"/>
  <c r="R69" i="13" s="1"/>
  <c r="J69" i="13"/>
  <c r="E69" i="13"/>
  <c r="T68" i="13"/>
  <c r="W68" i="13" s="1"/>
  <c r="O68" i="13"/>
  <c r="R68" i="13" s="1"/>
  <c r="J68" i="13"/>
  <c r="E68" i="13"/>
  <c r="T67" i="13"/>
  <c r="W67" i="13" s="1"/>
  <c r="O67" i="13"/>
  <c r="P67" i="13" s="1"/>
  <c r="J67" i="13"/>
  <c r="E67" i="13"/>
  <c r="T66" i="13"/>
  <c r="W66" i="13" s="1"/>
  <c r="O66" i="13"/>
  <c r="R66" i="13" s="1"/>
  <c r="J66" i="13"/>
  <c r="E66" i="13"/>
  <c r="T65" i="13"/>
  <c r="W65" i="13" s="1"/>
  <c r="O65" i="13"/>
  <c r="R65" i="13" s="1"/>
  <c r="J65" i="13"/>
  <c r="E65" i="13"/>
  <c r="T64" i="13"/>
  <c r="U64" i="13" s="1"/>
  <c r="O64" i="13"/>
  <c r="R64" i="13" s="1"/>
  <c r="J64" i="13"/>
  <c r="K64" i="13" s="1"/>
  <c r="E64" i="13"/>
  <c r="T63" i="13"/>
  <c r="W63" i="13" s="1"/>
  <c r="O63" i="13"/>
  <c r="J63" i="13"/>
  <c r="E63" i="13"/>
  <c r="T62" i="13"/>
  <c r="W62" i="13" s="1"/>
  <c r="O62" i="13"/>
  <c r="P62" i="13" s="1"/>
  <c r="J62" i="13"/>
  <c r="E62" i="13"/>
  <c r="T61" i="13"/>
  <c r="W61" i="13" s="1"/>
  <c r="O61" i="13"/>
  <c r="R61" i="13" s="1"/>
  <c r="J61" i="13"/>
  <c r="E61" i="13"/>
  <c r="T60" i="13"/>
  <c r="U60" i="13" s="1"/>
  <c r="O60" i="13"/>
  <c r="R60" i="13" s="1"/>
  <c r="J60" i="13"/>
  <c r="E60" i="13"/>
  <c r="T59" i="13"/>
  <c r="W59" i="13" s="1"/>
  <c r="O59" i="13"/>
  <c r="R59" i="13" s="1"/>
  <c r="J59" i="13"/>
  <c r="E59" i="13"/>
  <c r="T58" i="13"/>
  <c r="W58" i="13" s="1"/>
  <c r="O58" i="13"/>
  <c r="R58" i="13" s="1"/>
  <c r="J58" i="13"/>
  <c r="E58" i="13"/>
  <c r="T57" i="13"/>
  <c r="W57" i="13" s="1"/>
  <c r="O57" i="13"/>
  <c r="R57" i="13" s="1"/>
  <c r="J57" i="13"/>
  <c r="E57" i="13"/>
  <c r="T56" i="13"/>
  <c r="W56" i="13" s="1"/>
  <c r="O56" i="13"/>
  <c r="R56" i="13" s="1"/>
  <c r="J56" i="13"/>
  <c r="E56" i="13"/>
  <c r="T55" i="13"/>
  <c r="W55" i="13" s="1"/>
  <c r="O55" i="13"/>
  <c r="R55" i="13" s="1"/>
  <c r="J55" i="13"/>
  <c r="E55" i="13"/>
  <c r="T54" i="13"/>
  <c r="U54" i="13" s="1"/>
  <c r="O54" i="13"/>
  <c r="R54" i="13" s="1"/>
  <c r="J54" i="13"/>
  <c r="E54" i="13"/>
  <c r="T53" i="13"/>
  <c r="W53" i="13" s="1"/>
  <c r="O53" i="13"/>
  <c r="R53" i="13" s="1"/>
  <c r="J53" i="13"/>
  <c r="E53" i="13"/>
  <c r="T52" i="13"/>
  <c r="W52" i="13" s="1"/>
  <c r="O52" i="13"/>
  <c r="R52" i="13" s="1"/>
  <c r="J52" i="13"/>
  <c r="M52" i="13" s="1"/>
  <c r="E52" i="13"/>
  <c r="T22" i="13"/>
  <c r="O22" i="13"/>
  <c r="J22" i="13"/>
  <c r="E22" i="13"/>
  <c r="T21" i="13"/>
  <c r="W21" i="13" s="1"/>
  <c r="O21" i="13"/>
  <c r="J21" i="13"/>
  <c r="E21" i="13"/>
  <c r="T20" i="13"/>
  <c r="W20" i="13" s="1"/>
  <c r="O20" i="13"/>
  <c r="R20" i="13" s="1"/>
  <c r="J20" i="13"/>
  <c r="E20" i="13"/>
  <c r="T19" i="13"/>
  <c r="W19" i="13" s="1"/>
  <c r="O19" i="13"/>
  <c r="R19" i="13" s="1"/>
  <c r="J19" i="13"/>
  <c r="E19" i="13"/>
  <c r="T18" i="13"/>
  <c r="W18" i="13" s="1"/>
  <c r="O18" i="13"/>
  <c r="R18" i="13" s="1"/>
  <c r="J18" i="13"/>
  <c r="E18" i="13"/>
  <c r="T17" i="13"/>
  <c r="W17" i="13" s="1"/>
  <c r="O17" i="13"/>
  <c r="R17" i="13" s="1"/>
  <c r="J17" i="13"/>
  <c r="E17" i="13"/>
  <c r="T16" i="13"/>
  <c r="W16" i="13" s="1"/>
  <c r="O16" i="13"/>
  <c r="R16" i="13" s="1"/>
  <c r="J16" i="13"/>
  <c r="E16" i="13"/>
  <c r="T15" i="13"/>
  <c r="W15" i="13" s="1"/>
  <c r="O15" i="13"/>
  <c r="R15" i="13" s="1"/>
  <c r="J15" i="13"/>
  <c r="M15" i="13" s="1"/>
  <c r="E15" i="13"/>
  <c r="T14" i="13"/>
  <c r="W14" i="13" s="1"/>
  <c r="O14" i="13"/>
  <c r="J14" i="13"/>
  <c r="E14" i="13"/>
  <c r="T13" i="13"/>
  <c r="W13" i="13" s="1"/>
  <c r="O13" i="13"/>
  <c r="R13" i="13" s="1"/>
  <c r="J13" i="13"/>
  <c r="E13" i="13"/>
  <c r="T12" i="13"/>
  <c r="W12" i="13" s="1"/>
  <c r="O12" i="13"/>
  <c r="R12" i="13" s="1"/>
  <c r="J12" i="13"/>
  <c r="E12" i="13"/>
  <c r="T11" i="13"/>
  <c r="W11" i="13" s="1"/>
  <c r="O11" i="13"/>
  <c r="R11" i="13" s="1"/>
  <c r="J11" i="13"/>
  <c r="E11" i="13"/>
  <c r="T10" i="13"/>
  <c r="W10" i="13" s="1"/>
  <c r="O10" i="13"/>
  <c r="R10" i="13" s="1"/>
  <c r="J10" i="13"/>
  <c r="E10" i="13"/>
  <c r="T9" i="13"/>
  <c r="W9" i="13" s="1"/>
  <c r="O9" i="13"/>
  <c r="R9" i="13" s="1"/>
  <c r="J9" i="13"/>
  <c r="E9" i="13"/>
  <c r="T8" i="13"/>
  <c r="W8" i="13" s="1"/>
  <c r="O8" i="13"/>
  <c r="R8" i="13" s="1"/>
  <c r="J8" i="13"/>
  <c r="E8" i="13"/>
  <c r="T7" i="13"/>
  <c r="W7" i="13" s="1"/>
  <c r="O7" i="13"/>
  <c r="R7" i="13" s="1"/>
  <c r="J7" i="13"/>
  <c r="E7" i="13"/>
  <c r="T6" i="13"/>
  <c r="W6" i="13" s="1"/>
  <c r="O6" i="13"/>
  <c r="R6" i="13" s="1"/>
  <c r="J6" i="13"/>
  <c r="E6" i="13"/>
  <c r="T5" i="13"/>
  <c r="W5" i="13" s="1"/>
  <c r="O5" i="13"/>
  <c r="R5" i="13" s="1"/>
  <c r="J5" i="13"/>
  <c r="E5" i="13"/>
  <c r="T4" i="13"/>
  <c r="W4" i="13" s="1"/>
  <c r="O4" i="13"/>
  <c r="R4" i="13" s="1"/>
  <c r="J4" i="13"/>
  <c r="E4" i="13"/>
  <c r="T3" i="13"/>
  <c r="W3" i="13" s="1"/>
  <c r="O3" i="13"/>
  <c r="R3" i="13" s="1"/>
  <c r="J3" i="13"/>
  <c r="M3" i="13" s="1"/>
  <c r="E3" i="13"/>
  <c r="T47" i="13"/>
  <c r="O47" i="13"/>
  <c r="J47" i="13"/>
  <c r="E47" i="13"/>
  <c r="T46" i="13"/>
  <c r="U46" i="13" s="1"/>
  <c r="O46" i="13"/>
  <c r="J46" i="13"/>
  <c r="E46" i="13"/>
  <c r="T45" i="13"/>
  <c r="W45" i="13" s="1"/>
  <c r="O45" i="13"/>
  <c r="R45" i="13" s="1"/>
  <c r="J45" i="13"/>
  <c r="E45" i="13"/>
  <c r="T44" i="13"/>
  <c r="W44" i="13" s="1"/>
  <c r="O44" i="13"/>
  <c r="R44" i="13" s="1"/>
  <c r="J44" i="13"/>
  <c r="E44" i="13"/>
  <c r="T43" i="13"/>
  <c r="W43" i="13" s="1"/>
  <c r="O43" i="13"/>
  <c r="R43" i="13" s="1"/>
  <c r="J43" i="13"/>
  <c r="E43" i="13"/>
  <c r="T42" i="13"/>
  <c r="W42" i="13" s="1"/>
  <c r="O42" i="13"/>
  <c r="P42" i="13" s="1"/>
  <c r="J42" i="13"/>
  <c r="E42" i="13"/>
  <c r="T41" i="13"/>
  <c r="W41" i="13" s="1"/>
  <c r="O41" i="13"/>
  <c r="P41" i="13" s="1"/>
  <c r="J41" i="13"/>
  <c r="E41" i="13"/>
  <c r="T40" i="13"/>
  <c r="W40" i="13" s="1"/>
  <c r="O40" i="13"/>
  <c r="R40" i="13" s="1"/>
  <c r="J40" i="13"/>
  <c r="M40" i="13" s="1"/>
  <c r="E40" i="13"/>
  <c r="T39" i="13"/>
  <c r="W39" i="13" s="1"/>
  <c r="O39" i="13"/>
  <c r="J39" i="13"/>
  <c r="E39" i="13"/>
  <c r="T38" i="13"/>
  <c r="W38" i="13" s="1"/>
  <c r="O38" i="13"/>
  <c r="P38" i="13" s="1"/>
  <c r="J38" i="13"/>
  <c r="E38" i="13"/>
  <c r="T37" i="13"/>
  <c r="U37" i="13" s="1"/>
  <c r="O37" i="13"/>
  <c r="P37" i="13" s="1"/>
  <c r="J37" i="13"/>
  <c r="E37" i="13"/>
  <c r="T36" i="13"/>
  <c r="W36" i="13" s="1"/>
  <c r="O36" i="13"/>
  <c r="R36" i="13" s="1"/>
  <c r="J36" i="13"/>
  <c r="E36" i="13"/>
  <c r="T35" i="13"/>
  <c r="U35" i="13" s="1"/>
  <c r="O35" i="13"/>
  <c r="R35" i="13" s="1"/>
  <c r="J35" i="13"/>
  <c r="E35" i="13"/>
  <c r="T34" i="13"/>
  <c r="W34" i="13" s="1"/>
  <c r="O34" i="13"/>
  <c r="R34" i="13" s="1"/>
  <c r="J34" i="13"/>
  <c r="E34" i="13"/>
  <c r="T33" i="13"/>
  <c r="W33" i="13" s="1"/>
  <c r="O33" i="13"/>
  <c r="P33" i="13" s="1"/>
  <c r="J33" i="13"/>
  <c r="E33" i="13"/>
  <c r="T32" i="13"/>
  <c r="W32" i="13" s="1"/>
  <c r="O32" i="13"/>
  <c r="R32" i="13" s="1"/>
  <c r="J32" i="13"/>
  <c r="E32" i="13"/>
  <c r="T31" i="13"/>
  <c r="W31" i="13" s="1"/>
  <c r="O31" i="13"/>
  <c r="R31" i="13" s="1"/>
  <c r="J31" i="13"/>
  <c r="E31" i="13"/>
  <c r="T30" i="13"/>
  <c r="U30" i="13" s="1"/>
  <c r="O30" i="13"/>
  <c r="R30" i="13" s="1"/>
  <c r="J30" i="13"/>
  <c r="E30" i="13"/>
  <c r="T29" i="13"/>
  <c r="W29" i="13" s="1"/>
  <c r="O29" i="13"/>
  <c r="P29" i="13" s="1"/>
  <c r="J29" i="13"/>
  <c r="E29" i="13"/>
  <c r="T28" i="13"/>
  <c r="W28" i="13" s="1"/>
  <c r="O28" i="13"/>
  <c r="R28" i="13" s="1"/>
  <c r="J28" i="13"/>
  <c r="M28" i="13" s="1"/>
  <c r="E28" i="13"/>
  <c r="V47" i="13"/>
  <c r="Q47" i="13"/>
  <c r="L47" i="13"/>
  <c r="G47" i="13"/>
  <c r="V46" i="13"/>
  <c r="Q46" i="13"/>
  <c r="L46" i="13"/>
  <c r="G46" i="13"/>
  <c r="V45" i="13"/>
  <c r="Q45" i="13"/>
  <c r="L45" i="13"/>
  <c r="G45" i="13"/>
  <c r="V44" i="13"/>
  <c r="Q44" i="13"/>
  <c r="L44" i="13"/>
  <c r="G44" i="13"/>
  <c r="V43" i="13"/>
  <c r="Q43" i="13"/>
  <c r="L43" i="13"/>
  <c r="G43" i="13"/>
  <c r="V42" i="13"/>
  <c r="Q42" i="13"/>
  <c r="L42" i="13"/>
  <c r="G42" i="13"/>
  <c r="V41" i="13"/>
  <c r="Q41" i="13"/>
  <c r="L41" i="13"/>
  <c r="G41" i="13"/>
  <c r="V40" i="13"/>
  <c r="Q40" i="13"/>
  <c r="L40" i="13"/>
  <c r="G40" i="13"/>
  <c r="V39" i="13"/>
  <c r="Q39" i="13"/>
  <c r="L39" i="13"/>
  <c r="G39" i="13"/>
  <c r="V38" i="13"/>
  <c r="Q38" i="13"/>
  <c r="L38" i="13"/>
  <c r="G38" i="13"/>
  <c r="V37" i="13"/>
  <c r="Q37" i="13"/>
  <c r="L37" i="13"/>
  <c r="G37" i="13"/>
  <c r="V36" i="13"/>
  <c r="Q36" i="13"/>
  <c r="L36" i="13"/>
  <c r="G36" i="13"/>
  <c r="V35" i="13"/>
  <c r="Q35" i="13"/>
  <c r="L35" i="13"/>
  <c r="G35" i="13"/>
  <c r="V34" i="13"/>
  <c r="Q34" i="13"/>
  <c r="L34" i="13"/>
  <c r="G34" i="13"/>
  <c r="V33" i="13"/>
  <c r="Q33" i="13"/>
  <c r="L33" i="13"/>
  <c r="G33" i="13"/>
  <c r="V32" i="13"/>
  <c r="Q32" i="13"/>
  <c r="L32" i="13"/>
  <c r="G32" i="13"/>
  <c r="V31" i="13"/>
  <c r="Q31" i="13"/>
  <c r="L31" i="13"/>
  <c r="G31" i="13"/>
  <c r="V30" i="13"/>
  <c r="Q30" i="13"/>
  <c r="L30" i="13"/>
  <c r="G30" i="13"/>
  <c r="V29" i="13"/>
  <c r="Q29" i="13"/>
  <c r="L29" i="13"/>
  <c r="G29" i="13"/>
  <c r="V28" i="13"/>
  <c r="Q28" i="13"/>
  <c r="L28" i="13"/>
  <c r="G28" i="13"/>
  <c r="V4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3" i="13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Q19" i="15"/>
  <c r="R19" i="15"/>
  <c r="S19" i="15"/>
  <c r="Q20" i="15"/>
  <c r="R20" i="15"/>
  <c r="S20" i="15"/>
  <c r="Q21" i="15"/>
  <c r="R21" i="15"/>
  <c r="S21" i="15"/>
  <c r="Q22" i="15"/>
  <c r="R22" i="15"/>
  <c r="S22" i="15"/>
  <c r="Q23" i="15"/>
  <c r="R23" i="15"/>
  <c r="S23" i="15"/>
  <c r="Q24" i="15"/>
  <c r="R24" i="15"/>
  <c r="S24" i="15"/>
  <c r="Q25" i="15"/>
  <c r="R25" i="15"/>
  <c r="S25" i="15"/>
  <c r="Q26" i="15"/>
  <c r="R26" i="15"/>
  <c r="S26" i="15"/>
  <c r="Q27" i="15"/>
  <c r="R27" i="15"/>
  <c r="S27" i="15"/>
  <c r="Q28" i="15"/>
  <c r="R28" i="15"/>
  <c r="S28" i="15"/>
  <c r="Q29" i="15"/>
  <c r="R29" i="15"/>
  <c r="S29" i="15"/>
  <c r="Q30" i="15"/>
  <c r="R30" i="15"/>
  <c r="S30" i="15"/>
  <c r="Q31" i="15"/>
  <c r="R31" i="15"/>
  <c r="S31" i="15"/>
  <c r="Q32" i="15"/>
  <c r="R32" i="15"/>
  <c r="S32" i="15"/>
  <c r="Q33" i="15"/>
  <c r="R33" i="15"/>
  <c r="S33" i="15"/>
  <c r="Q34" i="15"/>
  <c r="R34" i="15"/>
  <c r="S34" i="15"/>
  <c r="Q35" i="15"/>
  <c r="R35" i="15"/>
  <c r="S35" i="15"/>
  <c r="Q36" i="15"/>
  <c r="R36" i="15"/>
  <c r="S36" i="15"/>
  <c r="Q37" i="15"/>
  <c r="R37" i="15"/>
  <c r="S37" i="15"/>
  <c r="Q38" i="15"/>
  <c r="R38" i="15"/>
  <c r="S38" i="15"/>
  <c r="Q39" i="15"/>
  <c r="R39" i="15"/>
  <c r="S39" i="15"/>
  <c r="Q40" i="15"/>
  <c r="R40" i="15"/>
  <c r="S40" i="15"/>
  <c r="Q41" i="15"/>
  <c r="R41" i="15"/>
  <c r="S41" i="15"/>
  <c r="Q42" i="15"/>
  <c r="R42" i="15"/>
  <c r="S42" i="15"/>
  <c r="Q43" i="15"/>
  <c r="R43" i="15"/>
  <c r="S43" i="15"/>
  <c r="Q44" i="15"/>
  <c r="R44" i="15"/>
  <c r="S44" i="15"/>
  <c r="Q45" i="15"/>
  <c r="R45" i="15"/>
  <c r="S45" i="15"/>
  <c r="Q46" i="15"/>
  <c r="R46" i="15"/>
  <c r="S46" i="15"/>
  <c r="Q47" i="15"/>
  <c r="R47" i="15"/>
  <c r="S47" i="15"/>
  <c r="Q48" i="15"/>
  <c r="R48" i="15"/>
  <c r="S48" i="15"/>
  <c r="Q49" i="15"/>
  <c r="R49" i="15"/>
  <c r="S49" i="15"/>
  <c r="Q50" i="15"/>
  <c r="R50" i="15"/>
  <c r="S50" i="15"/>
  <c r="Q51" i="15"/>
  <c r="R51" i="15"/>
  <c r="S51" i="15"/>
  <c r="Q52" i="15"/>
  <c r="R52" i="15"/>
  <c r="S52" i="15"/>
  <c r="Q53" i="15"/>
  <c r="R53" i="15"/>
  <c r="S53" i="15"/>
  <c r="Q54" i="15"/>
  <c r="R54" i="15"/>
  <c r="S54" i="15"/>
  <c r="Q55" i="15"/>
  <c r="R55" i="15"/>
  <c r="S55" i="15"/>
  <c r="Q56" i="15"/>
  <c r="R56" i="15"/>
  <c r="S56" i="15"/>
  <c r="Q57" i="15"/>
  <c r="R57" i="15"/>
  <c r="S57" i="15"/>
  <c r="Q58" i="15"/>
  <c r="R58" i="15"/>
  <c r="S58" i="15"/>
  <c r="Q59" i="15"/>
  <c r="R59" i="15"/>
  <c r="S59" i="15"/>
  <c r="Q60" i="15"/>
  <c r="R60" i="15"/>
  <c r="S60" i="15"/>
  <c r="Q61" i="15"/>
  <c r="R61" i="15"/>
  <c r="S61" i="15"/>
  <c r="Q62" i="15"/>
  <c r="R62" i="15"/>
  <c r="S62" i="15"/>
  <c r="Q63" i="15"/>
  <c r="R63" i="15"/>
  <c r="S63" i="15"/>
  <c r="Q64" i="15"/>
  <c r="R64" i="15"/>
  <c r="S64" i="15"/>
  <c r="Q65" i="15"/>
  <c r="R65" i="15"/>
  <c r="S65" i="15"/>
  <c r="Q66" i="15"/>
  <c r="R66" i="15"/>
  <c r="S66" i="15"/>
  <c r="Q67" i="15"/>
  <c r="R67" i="15"/>
  <c r="S67" i="15"/>
  <c r="Q68" i="15"/>
  <c r="R68" i="15"/>
  <c r="S68" i="15"/>
  <c r="Q69" i="15"/>
  <c r="R69" i="15"/>
  <c r="S69" i="15"/>
  <c r="Q70" i="15"/>
  <c r="R70" i="15"/>
  <c r="S70" i="15"/>
  <c r="Q71" i="15"/>
  <c r="R71" i="15"/>
  <c r="S71" i="15"/>
  <c r="Q72" i="15"/>
  <c r="R72" i="15"/>
  <c r="S72" i="15"/>
  <c r="Q73" i="15"/>
  <c r="R73" i="15"/>
  <c r="S73" i="15"/>
  <c r="Q74" i="15"/>
  <c r="R74" i="15"/>
  <c r="S74" i="15"/>
  <c r="Q75" i="15"/>
  <c r="R75" i="15"/>
  <c r="S75" i="15"/>
  <c r="Q76" i="15"/>
  <c r="R76" i="15"/>
  <c r="S76" i="15"/>
  <c r="Q77" i="15"/>
  <c r="R77" i="15"/>
  <c r="S77" i="15"/>
  <c r="Q78" i="15"/>
  <c r="R78" i="15"/>
  <c r="S78" i="15"/>
  <c r="Q79" i="15"/>
  <c r="R79" i="15"/>
  <c r="S79" i="15"/>
  <c r="Q80" i="15"/>
  <c r="R80" i="15"/>
  <c r="S80" i="15"/>
  <c r="Q81" i="15"/>
  <c r="R81" i="15"/>
  <c r="S81" i="15"/>
  <c r="Q82" i="15"/>
  <c r="R82" i="15"/>
  <c r="S82" i="15"/>
  <c r="Q83" i="15"/>
  <c r="R83" i="15"/>
  <c r="S83" i="15"/>
  <c r="Q84" i="15"/>
  <c r="R84" i="15"/>
  <c r="S84" i="15"/>
  <c r="Q85" i="15"/>
  <c r="R85" i="15"/>
  <c r="S85" i="15"/>
  <c r="Q86" i="15"/>
  <c r="R86" i="15"/>
  <c r="S86" i="15"/>
  <c r="Q87" i="15"/>
  <c r="R87" i="15"/>
  <c r="S87" i="15"/>
  <c r="Q88" i="15"/>
  <c r="R88" i="15"/>
  <c r="S88" i="15"/>
  <c r="Q89" i="15"/>
  <c r="R89" i="15"/>
  <c r="S89" i="15"/>
  <c r="Q90" i="15"/>
  <c r="R90" i="15"/>
  <c r="S90" i="15"/>
  <c r="Q91" i="15"/>
  <c r="R91" i="15"/>
  <c r="S91" i="15"/>
  <c r="Q92" i="15"/>
  <c r="R92" i="15"/>
  <c r="S92" i="15"/>
  <c r="Q93" i="15"/>
  <c r="R93" i="15"/>
  <c r="S93" i="15"/>
  <c r="Q94" i="15"/>
  <c r="R94" i="15"/>
  <c r="S94" i="15"/>
  <c r="Q95" i="15"/>
  <c r="R95" i="15"/>
  <c r="S95" i="15"/>
  <c r="Q96" i="15"/>
  <c r="R96" i="15"/>
  <c r="S96" i="15"/>
  <c r="Q97" i="15"/>
  <c r="R97" i="15"/>
  <c r="S97" i="15"/>
  <c r="Q98" i="15"/>
  <c r="R98" i="15"/>
  <c r="S98" i="15"/>
  <c r="Q99" i="15"/>
  <c r="R99" i="15"/>
  <c r="S99" i="15"/>
  <c r="Q100" i="15"/>
  <c r="R100" i="15"/>
  <c r="S100" i="15"/>
  <c r="Q101" i="15"/>
  <c r="R101" i="15"/>
  <c r="S101" i="15"/>
  <c r="Q102" i="15"/>
  <c r="R102" i="15"/>
  <c r="S102" i="15"/>
  <c r="Q103" i="15"/>
  <c r="R103" i="15"/>
  <c r="S103" i="15"/>
  <c r="Q104" i="15"/>
  <c r="R104" i="15"/>
  <c r="S104" i="15"/>
  <c r="Q105" i="15"/>
  <c r="R105" i="15"/>
  <c r="S105" i="15"/>
  <c r="Q106" i="15"/>
  <c r="R106" i="15"/>
  <c r="S106" i="15"/>
  <c r="R107" i="15"/>
  <c r="S107" i="15"/>
  <c r="R108" i="15"/>
  <c r="S108" i="15"/>
  <c r="R109" i="15"/>
  <c r="S109" i="15"/>
  <c r="R110" i="15"/>
  <c r="S110" i="15"/>
  <c r="R111" i="15"/>
  <c r="S111" i="15"/>
  <c r="R112" i="15"/>
  <c r="S112" i="15"/>
  <c r="R113" i="15"/>
  <c r="S113" i="15"/>
  <c r="R114" i="15"/>
  <c r="S114" i="15"/>
  <c r="R115" i="15"/>
  <c r="S115" i="15"/>
  <c r="R116" i="15"/>
  <c r="S116" i="15"/>
  <c r="R117" i="15"/>
  <c r="S117" i="15"/>
  <c r="R118" i="15"/>
  <c r="S118" i="15"/>
  <c r="R119" i="15"/>
  <c r="S119" i="15"/>
  <c r="R120" i="15"/>
  <c r="S120" i="15"/>
  <c r="R121" i="15"/>
  <c r="S121" i="15"/>
  <c r="R122" i="15"/>
  <c r="S122" i="15"/>
  <c r="R123" i="15"/>
  <c r="S123" i="15"/>
  <c r="R124" i="15"/>
  <c r="S124" i="15"/>
  <c r="R125" i="15"/>
  <c r="S125" i="15"/>
  <c r="R126" i="15"/>
  <c r="S126" i="15"/>
  <c r="R127" i="15"/>
  <c r="S127" i="15"/>
  <c r="R128" i="15"/>
  <c r="S128" i="15"/>
  <c r="R129" i="15"/>
  <c r="S129" i="15"/>
  <c r="R130" i="15"/>
  <c r="S130" i="15"/>
  <c r="Q14" i="15"/>
  <c r="R14" i="15"/>
  <c r="S14" i="15"/>
  <c r="Q15" i="15"/>
  <c r="R15" i="15"/>
  <c r="S15" i="15"/>
  <c r="Q16" i="15"/>
  <c r="R16" i="15"/>
  <c r="S16" i="15"/>
  <c r="Q17" i="15"/>
  <c r="R17" i="15"/>
  <c r="S17" i="15"/>
  <c r="Q18" i="15"/>
  <c r="R18" i="15"/>
  <c r="S18" i="15"/>
  <c r="S13" i="15"/>
  <c r="R13" i="15"/>
  <c r="Q13" i="15"/>
  <c r="G639" i="14"/>
  <c r="F639" i="14"/>
  <c r="D639" i="14"/>
  <c r="B639" i="14"/>
  <c r="G638" i="14"/>
  <c r="F638" i="14"/>
  <c r="D638" i="14"/>
  <c r="B638" i="14"/>
  <c r="G637" i="14"/>
  <c r="F637" i="14"/>
  <c r="D637" i="14"/>
  <c r="B637" i="14"/>
  <c r="Q636" i="14"/>
  <c r="Q637" i="14" s="1"/>
  <c r="Q638" i="14" s="1"/>
  <c r="Q639" i="14" s="1"/>
  <c r="G636" i="14"/>
  <c r="F636" i="14"/>
  <c r="G635" i="14"/>
  <c r="F635" i="14"/>
  <c r="D635" i="14"/>
  <c r="B635" i="14"/>
  <c r="G634" i="14"/>
  <c r="F634" i="14"/>
  <c r="D634" i="14"/>
  <c r="B634" i="14"/>
  <c r="G633" i="14"/>
  <c r="F633" i="14"/>
  <c r="D633" i="14"/>
  <c r="B633" i="14"/>
  <c r="Q632" i="14"/>
  <c r="Q633" i="14" s="1"/>
  <c r="Q634" i="14" s="1"/>
  <c r="Q635" i="14" s="1"/>
  <c r="G632" i="14"/>
  <c r="F632" i="14"/>
  <c r="G631" i="14"/>
  <c r="F631" i="14"/>
  <c r="D631" i="14"/>
  <c r="B631" i="14"/>
  <c r="G630" i="14"/>
  <c r="F630" i="14"/>
  <c r="D630" i="14"/>
  <c r="B630" i="14"/>
  <c r="G629" i="14"/>
  <c r="F629" i="14"/>
  <c r="D629" i="14"/>
  <c r="B629" i="14"/>
  <c r="Q628" i="14"/>
  <c r="Q629" i="14" s="1"/>
  <c r="Q630" i="14" s="1"/>
  <c r="Q631" i="14" s="1"/>
  <c r="G628" i="14"/>
  <c r="F628" i="14"/>
  <c r="F53" i="16"/>
  <c r="F54" i="16"/>
  <c r="F55" i="16"/>
  <c r="A53" i="16"/>
  <c r="A54" i="16"/>
  <c r="A55" i="16"/>
  <c r="A196" i="2"/>
  <c r="A195" i="2"/>
  <c r="A194" i="2"/>
  <c r="L13" i="15"/>
  <c r="F11" i="12"/>
  <c r="F12" i="12"/>
  <c r="F13" i="12"/>
  <c r="F14" i="12"/>
  <c r="F15" i="12"/>
  <c r="F16" i="12"/>
  <c r="F10" i="12"/>
  <c r="K327" i="15" l="1"/>
  <c r="E311" i="15"/>
  <c r="K343" i="15"/>
  <c r="K311" i="15"/>
  <c r="P343" i="15"/>
  <c r="U83" i="13"/>
  <c r="P312" i="15"/>
  <c r="L419" i="14"/>
  <c r="L371" i="14"/>
  <c r="L359" i="14"/>
  <c r="L375" i="14"/>
  <c r="L391" i="14"/>
  <c r="L407" i="14"/>
  <c r="L423" i="14"/>
  <c r="L403" i="14"/>
  <c r="L421" i="14"/>
  <c r="L360" i="14"/>
  <c r="L376" i="14"/>
  <c r="L392" i="14"/>
  <c r="L408" i="14"/>
  <c r="L424" i="14"/>
  <c r="L425" i="14"/>
  <c r="L355" i="14"/>
  <c r="L393" i="14"/>
  <c r="L426" i="14"/>
  <c r="L363" i="14"/>
  <c r="L364" i="14"/>
  <c r="L380" i="14"/>
  <c r="L412" i="14"/>
  <c r="L379" i="14"/>
  <c r="E316" i="15"/>
  <c r="L347" i="14"/>
  <c r="L411" i="14"/>
  <c r="L383" i="14"/>
  <c r="L399" i="14"/>
  <c r="L415" i="14"/>
  <c r="K316" i="15"/>
  <c r="L400" i="14"/>
  <c r="L387" i="14"/>
  <c r="L352" i="14"/>
  <c r="L368" i="14"/>
  <c r="L384" i="14"/>
  <c r="L416" i="14"/>
  <c r="E264" i="15"/>
  <c r="E292" i="15"/>
  <c r="E273" i="15"/>
  <c r="P273" i="15"/>
  <c r="P289" i="15"/>
  <c r="E261" i="15"/>
  <c r="E245" i="15"/>
  <c r="K65" i="13"/>
  <c r="K60" i="13"/>
  <c r="K56" i="13"/>
  <c r="I202" i="14" s="1"/>
  <c r="E241" i="15"/>
  <c r="K258" i="15"/>
  <c r="K38" i="13"/>
  <c r="J197" i="14"/>
  <c r="K187" i="15"/>
  <c r="F89" i="13"/>
  <c r="I318" i="14" s="1"/>
  <c r="U87" i="13"/>
  <c r="P64" i="13"/>
  <c r="E340" i="15"/>
  <c r="K340" i="15"/>
  <c r="P66" i="13"/>
  <c r="P65" i="13"/>
  <c r="J221" i="14"/>
  <c r="J237" i="14"/>
  <c r="F67" i="13"/>
  <c r="I245" i="14" s="1"/>
  <c r="K88" i="13"/>
  <c r="O361" i="14"/>
  <c r="I382" i="14"/>
  <c r="F69" i="13"/>
  <c r="I253" i="14" s="1"/>
  <c r="O382" i="14"/>
  <c r="J382" i="14"/>
  <c r="L397" i="14"/>
  <c r="J398" i="14"/>
  <c r="J241" i="14"/>
  <c r="J287" i="14"/>
  <c r="J351" i="14"/>
  <c r="J367" i="14"/>
  <c r="U59" i="13"/>
  <c r="L418" i="14"/>
  <c r="K52" i="13"/>
  <c r="J201" i="14"/>
  <c r="P63" i="13"/>
  <c r="O358" i="14"/>
  <c r="O422" i="14"/>
  <c r="K233" i="15"/>
  <c r="J359" i="14"/>
  <c r="P233" i="15"/>
  <c r="J356" i="14"/>
  <c r="J372" i="14"/>
  <c r="I361" i="14"/>
  <c r="K361" i="14" s="1"/>
  <c r="J377" i="14"/>
  <c r="E324" i="15"/>
  <c r="L377" i="14"/>
  <c r="P61" i="13"/>
  <c r="U107" i="13"/>
  <c r="O377" i="14"/>
  <c r="E308" i="15"/>
  <c r="J338" i="14"/>
  <c r="J229" i="14"/>
  <c r="J261" i="14"/>
  <c r="J400" i="14"/>
  <c r="J419" i="14"/>
  <c r="P304" i="15"/>
  <c r="K319" i="15"/>
  <c r="F90" i="13"/>
  <c r="I322" i="14" s="1"/>
  <c r="J388" i="14"/>
  <c r="J404" i="14"/>
  <c r="J420" i="14"/>
  <c r="L164" i="14"/>
  <c r="P319" i="15"/>
  <c r="J136" i="14"/>
  <c r="J401" i="14"/>
  <c r="P320" i="15"/>
  <c r="E335" i="15"/>
  <c r="I350" i="14"/>
  <c r="L365" i="14"/>
  <c r="I402" i="14"/>
  <c r="K335" i="15"/>
  <c r="O418" i="14"/>
  <c r="J350" i="14"/>
  <c r="J366" i="14"/>
  <c r="L386" i="14"/>
  <c r="I405" i="14"/>
  <c r="J424" i="14"/>
  <c r="K324" i="15"/>
  <c r="O350" i="14"/>
  <c r="L367" i="14"/>
  <c r="O386" i="14"/>
  <c r="L406" i="14"/>
  <c r="J425" i="14"/>
  <c r="P336" i="15"/>
  <c r="L203" i="14"/>
  <c r="L351" i="14"/>
  <c r="J368" i="14"/>
  <c r="J387" i="14"/>
  <c r="I409" i="14"/>
  <c r="H409" i="14" s="1"/>
  <c r="E196" i="15"/>
  <c r="P176" i="15"/>
  <c r="J266" i="14"/>
  <c r="J282" i="14"/>
  <c r="J298" i="14"/>
  <c r="J314" i="14"/>
  <c r="J330" i="14"/>
  <c r="J347" i="14"/>
  <c r="L353" i="14"/>
  <c r="L390" i="14"/>
  <c r="J409" i="14"/>
  <c r="E203" i="15"/>
  <c r="P203" i="15"/>
  <c r="J395" i="14"/>
  <c r="L354" i="14"/>
  <c r="J369" i="14"/>
  <c r="O390" i="14"/>
  <c r="L409" i="14"/>
  <c r="F94" i="13"/>
  <c r="I338" i="14" s="1"/>
  <c r="J364" i="14"/>
  <c r="J274" i="14"/>
  <c r="L294" i="14"/>
  <c r="O354" i="14"/>
  <c r="I370" i="14"/>
  <c r="J391" i="14"/>
  <c r="O409" i="14"/>
  <c r="K193" i="15"/>
  <c r="J322" i="14"/>
  <c r="J355" i="14"/>
  <c r="I373" i="14"/>
  <c r="I396" i="14"/>
  <c r="K396" i="14" s="1"/>
  <c r="I414" i="14"/>
  <c r="K195" i="15"/>
  <c r="P59" i="13"/>
  <c r="U62" i="13"/>
  <c r="I358" i="14"/>
  <c r="L374" i="14"/>
  <c r="J396" i="14"/>
  <c r="J414" i="14"/>
  <c r="K196" i="15"/>
  <c r="K66" i="13"/>
  <c r="J319" i="14"/>
  <c r="J383" i="14"/>
  <c r="J399" i="14"/>
  <c r="J415" i="14"/>
  <c r="L358" i="14"/>
  <c r="I377" i="14"/>
  <c r="K377" i="14" s="1"/>
  <c r="O396" i="14"/>
  <c r="O414" i="14"/>
  <c r="O349" i="14"/>
  <c r="J354" i="14"/>
  <c r="J363" i="14"/>
  <c r="L372" i="14"/>
  <c r="O381" i="14"/>
  <c r="J386" i="14"/>
  <c r="L395" i="14"/>
  <c r="L404" i="14"/>
  <c r="O413" i="14"/>
  <c r="J418" i="14"/>
  <c r="J373" i="14"/>
  <c r="J302" i="14"/>
  <c r="L350" i="14"/>
  <c r="I369" i="14"/>
  <c r="L373" i="14"/>
  <c r="I378" i="14"/>
  <c r="L382" i="14"/>
  <c r="L396" i="14"/>
  <c r="I401" i="14"/>
  <c r="L405" i="14"/>
  <c r="I410" i="14"/>
  <c r="L414" i="14"/>
  <c r="J378" i="14"/>
  <c r="O405" i="14"/>
  <c r="J410" i="14"/>
  <c r="O373" i="14"/>
  <c r="L116" i="14"/>
  <c r="L180" i="14"/>
  <c r="L330" i="14"/>
  <c r="L338" i="14"/>
  <c r="J360" i="14"/>
  <c r="I365" i="14"/>
  <c r="L369" i="14"/>
  <c r="I374" i="14"/>
  <c r="L378" i="14"/>
  <c r="J392" i="14"/>
  <c r="I397" i="14"/>
  <c r="L401" i="14"/>
  <c r="I406" i="14"/>
  <c r="L410" i="14"/>
  <c r="K207" i="15"/>
  <c r="K222" i="15"/>
  <c r="K301" i="15"/>
  <c r="U63" i="13"/>
  <c r="P85" i="13"/>
  <c r="U115" i="13"/>
  <c r="J152" i="14"/>
  <c r="L310" i="14"/>
  <c r="J365" i="14"/>
  <c r="O369" i="14"/>
  <c r="J374" i="14"/>
  <c r="O378" i="14"/>
  <c r="J397" i="14"/>
  <c r="O401" i="14"/>
  <c r="J406" i="14"/>
  <c r="O410" i="14"/>
  <c r="K215" i="15"/>
  <c r="E301" i="15"/>
  <c r="E328" i="15"/>
  <c r="U57" i="13"/>
  <c r="U34" i="13"/>
  <c r="P108" i="13"/>
  <c r="J270" i="14"/>
  <c r="J318" i="14"/>
  <c r="L356" i="14"/>
  <c r="J361" i="14"/>
  <c r="O365" i="14"/>
  <c r="J370" i="14"/>
  <c r="O374" i="14"/>
  <c r="J379" i="14"/>
  <c r="L388" i="14"/>
  <c r="J393" i="14"/>
  <c r="O397" i="14"/>
  <c r="J402" i="14"/>
  <c r="O406" i="14"/>
  <c r="J411" i="14"/>
  <c r="L420" i="14"/>
  <c r="K61" i="13"/>
  <c r="I222" i="14" s="1"/>
  <c r="I348" i="14"/>
  <c r="K348" i="14" s="1"/>
  <c r="J352" i="14"/>
  <c r="I357" i="14"/>
  <c r="L361" i="14"/>
  <c r="I366" i="14"/>
  <c r="L370" i="14"/>
  <c r="J384" i="14"/>
  <c r="I389" i="14"/>
  <c r="I398" i="14"/>
  <c r="L402" i="14"/>
  <c r="J416" i="14"/>
  <c r="W64" i="13"/>
  <c r="J104" i="14"/>
  <c r="J168" i="14"/>
  <c r="L210" i="14"/>
  <c r="J348" i="14"/>
  <c r="J357" i="14"/>
  <c r="O370" i="14"/>
  <c r="J375" i="14"/>
  <c r="J389" i="14"/>
  <c r="I394" i="14"/>
  <c r="O402" i="14"/>
  <c r="J407" i="14"/>
  <c r="J421" i="14"/>
  <c r="J426" i="14"/>
  <c r="J405" i="14"/>
  <c r="U105" i="13"/>
  <c r="L278" i="14"/>
  <c r="L348" i="14"/>
  <c r="I353" i="14"/>
  <c r="L357" i="14"/>
  <c r="I362" i="14"/>
  <c r="L366" i="14"/>
  <c r="J380" i="14"/>
  <c r="I385" i="14"/>
  <c r="L389" i="14"/>
  <c r="J394" i="14"/>
  <c r="L398" i="14"/>
  <c r="J412" i="14"/>
  <c r="I417" i="14"/>
  <c r="K308" i="15"/>
  <c r="E344" i="15"/>
  <c r="U58" i="13"/>
  <c r="U61" i="13"/>
  <c r="U86" i="13"/>
  <c r="J306" i="14"/>
  <c r="L326" i="14"/>
  <c r="L267" i="14"/>
  <c r="O348" i="14"/>
  <c r="J353" i="14"/>
  <c r="O357" i="14"/>
  <c r="J362" i="14"/>
  <c r="O366" i="14"/>
  <c r="J371" i="14"/>
  <c r="J385" i="14"/>
  <c r="O389" i="14"/>
  <c r="L394" i="14"/>
  <c r="O398" i="14"/>
  <c r="J403" i="14"/>
  <c r="J417" i="14"/>
  <c r="I422" i="14"/>
  <c r="E181" i="15"/>
  <c r="P344" i="15"/>
  <c r="L343" i="14"/>
  <c r="J290" i="14"/>
  <c r="J286" i="14"/>
  <c r="I349" i="14"/>
  <c r="L362" i="14"/>
  <c r="J376" i="14"/>
  <c r="I381" i="14"/>
  <c r="L385" i="14"/>
  <c r="I390" i="14"/>
  <c r="O394" i="14"/>
  <c r="I399" i="14"/>
  <c r="H399" i="14" s="1"/>
  <c r="J408" i="14"/>
  <c r="I413" i="14"/>
  <c r="L417" i="14"/>
  <c r="J422" i="14"/>
  <c r="E188" i="15"/>
  <c r="J120" i="14"/>
  <c r="J334" i="14"/>
  <c r="J349" i="14"/>
  <c r="O353" i="14"/>
  <c r="J358" i="14"/>
  <c r="O362" i="14"/>
  <c r="J381" i="14"/>
  <c r="O385" i="14"/>
  <c r="J390" i="14"/>
  <c r="J413" i="14"/>
  <c r="O417" i="14"/>
  <c r="L422" i="14"/>
  <c r="E193" i="15"/>
  <c r="J156" i="14"/>
  <c r="O267" i="14"/>
  <c r="L314" i="14"/>
  <c r="L349" i="14"/>
  <c r="I354" i="14"/>
  <c r="L381" i="14"/>
  <c r="I386" i="14"/>
  <c r="L413" i="14"/>
  <c r="I418" i="14"/>
  <c r="K285" i="15"/>
  <c r="E285" i="15"/>
  <c r="K280" i="15"/>
  <c r="E272" i="15"/>
  <c r="E288" i="15"/>
  <c r="K272" i="15"/>
  <c r="K288" i="15"/>
  <c r="E289" i="15"/>
  <c r="E307" i="15"/>
  <c r="E323" i="15"/>
  <c r="E339" i="15"/>
  <c r="K307" i="15"/>
  <c r="K323" i="15"/>
  <c r="K339" i="15"/>
  <c r="E304" i="15"/>
  <c r="E320" i="15"/>
  <c r="E336" i="15"/>
  <c r="P293" i="15"/>
  <c r="E276" i="15"/>
  <c r="E268" i="15"/>
  <c r="K277" i="15"/>
  <c r="K268" i="15"/>
  <c r="P261" i="15"/>
  <c r="E293" i="15"/>
  <c r="E221" i="15"/>
  <c r="E213" i="15"/>
  <c r="P204" i="15"/>
  <c r="P264" i="15"/>
  <c r="K300" i="15"/>
  <c r="E306" i="15"/>
  <c r="E310" i="15"/>
  <c r="E314" i="15"/>
  <c r="E318" i="15"/>
  <c r="E322" i="15"/>
  <c r="E326" i="15"/>
  <c r="E330" i="15"/>
  <c r="E334" i="15"/>
  <c r="E338" i="15"/>
  <c r="E342" i="15"/>
  <c r="E215" i="15"/>
  <c r="P300" i="15"/>
  <c r="K306" i="15"/>
  <c r="K310" i="15"/>
  <c r="K314" i="15"/>
  <c r="K318" i="15"/>
  <c r="K322" i="15"/>
  <c r="K326" i="15"/>
  <c r="K330" i="15"/>
  <c r="K334" i="15"/>
  <c r="K338" i="15"/>
  <c r="K342" i="15"/>
  <c r="K181" i="15"/>
  <c r="P218" i="15"/>
  <c r="E265" i="15"/>
  <c r="E206" i="15"/>
  <c r="K183" i="15"/>
  <c r="K184" i="15"/>
  <c r="P257" i="15"/>
  <c r="P280" i="15"/>
  <c r="E183" i="15"/>
  <c r="K194" i="15"/>
  <c r="K281" i="15"/>
  <c r="K296" i="15"/>
  <c r="P296" i="15"/>
  <c r="E197" i="15"/>
  <c r="K199" i="15"/>
  <c r="K237" i="15"/>
  <c r="P249" i="15"/>
  <c r="E269" i="15"/>
  <c r="P276" i="15"/>
  <c r="K297" i="15"/>
  <c r="E199" i="15"/>
  <c r="P187" i="15"/>
  <c r="K225" i="15"/>
  <c r="P237" i="15"/>
  <c r="K269" i="15"/>
  <c r="K284" i="15"/>
  <c r="E305" i="15"/>
  <c r="E309" i="15"/>
  <c r="E313" i="15"/>
  <c r="E317" i="15"/>
  <c r="E321" i="15"/>
  <c r="E325" i="15"/>
  <c r="E329" i="15"/>
  <c r="E333" i="15"/>
  <c r="E337" i="15"/>
  <c r="E341" i="15"/>
  <c r="E345" i="15"/>
  <c r="K197" i="15"/>
  <c r="E200" i="15"/>
  <c r="K209" i="15"/>
  <c r="E277" i="15"/>
  <c r="P284" i="15"/>
  <c r="K305" i="15"/>
  <c r="K309" i="15"/>
  <c r="K313" i="15"/>
  <c r="K317" i="15"/>
  <c r="K321" i="15"/>
  <c r="K325" i="15"/>
  <c r="K329" i="15"/>
  <c r="K333" i="15"/>
  <c r="K337" i="15"/>
  <c r="K341" i="15"/>
  <c r="K345" i="15"/>
  <c r="K213" i="15"/>
  <c r="P246" i="15"/>
  <c r="E263" i="15"/>
  <c r="E267" i="15"/>
  <c r="E271" i="15"/>
  <c r="E275" i="15"/>
  <c r="E279" i="15"/>
  <c r="E283" i="15"/>
  <c r="E287" i="15"/>
  <c r="E291" i="15"/>
  <c r="E295" i="15"/>
  <c r="E299" i="15"/>
  <c r="K178" i="15"/>
  <c r="K211" i="15"/>
  <c r="K229" i="15"/>
  <c r="K263" i="15"/>
  <c r="K267" i="15"/>
  <c r="K271" i="15"/>
  <c r="K275" i="15"/>
  <c r="K279" i="15"/>
  <c r="K283" i="15"/>
  <c r="K287" i="15"/>
  <c r="K291" i="15"/>
  <c r="K295" i="15"/>
  <c r="K299" i="15"/>
  <c r="E192" i="15"/>
  <c r="K180" i="15"/>
  <c r="K212" i="15"/>
  <c r="P185" i="15"/>
  <c r="P229" i="15"/>
  <c r="P238" i="15"/>
  <c r="K257" i="15"/>
  <c r="E195" i="15"/>
  <c r="P188" i="15"/>
  <c r="P221" i="15"/>
  <c r="P230" i="15"/>
  <c r="K249" i="15"/>
  <c r="P192" i="15"/>
  <c r="P241" i="15"/>
  <c r="P250" i="15"/>
  <c r="P201" i="15"/>
  <c r="P242" i="15"/>
  <c r="E175" i="15"/>
  <c r="E207" i="15"/>
  <c r="P208" i="15"/>
  <c r="P225" i="15"/>
  <c r="P234" i="15"/>
  <c r="K253" i="15"/>
  <c r="P253" i="15"/>
  <c r="E262" i="15"/>
  <c r="E266" i="15"/>
  <c r="E270" i="15"/>
  <c r="E274" i="15"/>
  <c r="E278" i="15"/>
  <c r="E282" i="15"/>
  <c r="E286" i="15"/>
  <c r="E290" i="15"/>
  <c r="E294" i="15"/>
  <c r="E298" i="15"/>
  <c r="E302" i="15"/>
  <c r="E179" i="15"/>
  <c r="E211" i="15"/>
  <c r="K200" i="15"/>
  <c r="P226" i="15"/>
  <c r="K262" i="15"/>
  <c r="K266" i="15"/>
  <c r="K270" i="15"/>
  <c r="K274" i="15"/>
  <c r="K278" i="15"/>
  <c r="K282" i="15"/>
  <c r="K286" i="15"/>
  <c r="K290" i="15"/>
  <c r="K294" i="15"/>
  <c r="K298" i="15"/>
  <c r="K302" i="15"/>
  <c r="E180" i="15"/>
  <c r="E212" i="15"/>
  <c r="P245" i="15"/>
  <c r="P254" i="15"/>
  <c r="E194" i="15"/>
  <c r="K179" i="15"/>
  <c r="P182" i="15"/>
  <c r="P198" i="15"/>
  <c r="P214" i="15"/>
  <c r="E220" i="15"/>
  <c r="E224" i="15"/>
  <c r="E228" i="15"/>
  <c r="E232" i="15"/>
  <c r="E236" i="15"/>
  <c r="E240" i="15"/>
  <c r="E244" i="15"/>
  <c r="E248" i="15"/>
  <c r="E252" i="15"/>
  <c r="E256" i="15"/>
  <c r="E177" i="15"/>
  <c r="K220" i="15"/>
  <c r="K224" i="15"/>
  <c r="K228" i="15"/>
  <c r="K232" i="15"/>
  <c r="K236" i="15"/>
  <c r="K240" i="15"/>
  <c r="K244" i="15"/>
  <c r="K248" i="15"/>
  <c r="K252" i="15"/>
  <c r="K256" i="15"/>
  <c r="E178" i="15"/>
  <c r="E214" i="15"/>
  <c r="P184" i="15"/>
  <c r="P216" i="15"/>
  <c r="K182" i="15"/>
  <c r="K205" i="15"/>
  <c r="K198" i="15"/>
  <c r="E216" i="15"/>
  <c r="K206" i="15"/>
  <c r="P186" i="15"/>
  <c r="P202" i="15"/>
  <c r="K189" i="15"/>
  <c r="K210" i="15"/>
  <c r="P189" i="15"/>
  <c r="P205" i="15"/>
  <c r="E204" i="15"/>
  <c r="K190" i="15"/>
  <c r="P190" i="15"/>
  <c r="E218" i="15"/>
  <c r="E222" i="15"/>
  <c r="E226" i="15"/>
  <c r="E230" i="15"/>
  <c r="E234" i="15"/>
  <c r="E238" i="15"/>
  <c r="E242" i="15"/>
  <c r="E246" i="15"/>
  <c r="E250" i="15"/>
  <c r="E254" i="15"/>
  <c r="E258" i="15"/>
  <c r="K191" i="15"/>
  <c r="P175" i="15"/>
  <c r="P191" i="15"/>
  <c r="P177" i="15"/>
  <c r="P209" i="15"/>
  <c r="P210" i="15"/>
  <c r="E219" i="15"/>
  <c r="E223" i="15"/>
  <c r="E227" i="15"/>
  <c r="E231" i="15"/>
  <c r="E235" i="15"/>
  <c r="E239" i="15"/>
  <c r="E243" i="15"/>
  <c r="E247" i="15"/>
  <c r="E251" i="15"/>
  <c r="E255" i="15"/>
  <c r="E259" i="15"/>
  <c r="K219" i="15"/>
  <c r="K223" i="15"/>
  <c r="K227" i="15"/>
  <c r="K231" i="15"/>
  <c r="K235" i="15"/>
  <c r="K239" i="15"/>
  <c r="K243" i="15"/>
  <c r="K247" i="15"/>
  <c r="K251" i="15"/>
  <c r="K255" i="15"/>
  <c r="K259" i="15"/>
  <c r="H396" i="14"/>
  <c r="K185" i="15"/>
  <c r="K201" i="15"/>
  <c r="K186" i="15"/>
  <c r="K202" i="15"/>
  <c r="K176" i="15"/>
  <c r="K208" i="15"/>
  <c r="P350" i="14"/>
  <c r="P366" i="14"/>
  <c r="P382" i="14"/>
  <c r="P398" i="14"/>
  <c r="P414" i="14"/>
  <c r="J245" i="14"/>
  <c r="P254" i="14"/>
  <c r="P276" i="14"/>
  <c r="P295" i="14"/>
  <c r="P308" i="14"/>
  <c r="P327" i="14"/>
  <c r="I267" i="14"/>
  <c r="L270" i="14"/>
  <c r="L302" i="14"/>
  <c r="L334" i="14"/>
  <c r="I203" i="14"/>
  <c r="J249" i="14"/>
  <c r="J267" i="14"/>
  <c r="J283" i="14"/>
  <c r="J299" i="14"/>
  <c r="L287" i="14"/>
  <c r="L319" i="14"/>
  <c r="P113" i="14"/>
  <c r="P234" i="14"/>
  <c r="P235" i="14" s="1"/>
  <c r="O235" i="14" s="1"/>
  <c r="J203" i="14"/>
  <c r="J253" i="14"/>
  <c r="J278" i="14"/>
  <c r="J294" i="14"/>
  <c r="J310" i="14"/>
  <c r="J326" i="14"/>
  <c r="J342" i="14"/>
  <c r="O203" i="14"/>
  <c r="J257" i="14"/>
  <c r="P271" i="14"/>
  <c r="P303" i="14"/>
  <c r="P335" i="14"/>
  <c r="J205" i="14"/>
  <c r="J144" i="14"/>
  <c r="J209" i="14"/>
  <c r="J343" i="14"/>
  <c r="L275" i="14"/>
  <c r="L291" i="14"/>
  <c r="L307" i="14"/>
  <c r="L323" i="14"/>
  <c r="L339" i="14"/>
  <c r="J176" i="14"/>
  <c r="J185" i="14"/>
  <c r="J217" i="14"/>
  <c r="P279" i="14"/>
  <c r="P292" i="14"/>
  <c r="P311" i="14"/>
  <c r="P324" i="14"/>
  <c r="L342" i="14"/>
  <c r="P353" i="14"/>
  <c r="P369" i="14"/>
  <c r="P385" i="14"/>
  <c r="P401" i="14"/>
  <c r="P417" i="14"/>
  <c r="J189" i="14"/>
  <c r="J275" i="14"/>
  <c r="J291" i="14"/>
  <c r="J307" i="14"/>
  <c r="J323" i="14"/>
  <c r="J339" i="14"/>
  <c r="P356" i="14"/>
  <c r="P372" i="14"/>
  <c r="P388" i="14"/>
  <c r="P404" i="14"/>
  <c r="P420" i="14"/>
  <c r="L176" i="14"/>
  <c r="P190" i="14"/>
  <c r="J190" i="14" s="1"/>
  <c r="J225" i="14"/>
  <c r="P117" i="14"/>
  <c r="L117" i="14" s="1"/>
  <c r="P218" i="14"/>
  <c r="P219" i="14" s="1"/>
  <c r="O219" i="14" s="1"/>
  <c r="J193" i="14"/>
  <c r="J233" i="14"/>
  <c r="L266" i="14"/>
  <c r="L282" i="14"/>
  <c r="L298" i="14"/>
  <c r="P300" i="14"/>
  <c r="P268" i="14"/>
  <c r="P344" i="14"/>
  <c r="P284" i="14"/>
  <c r="J160" i="14"/>
  <c r="L160" i="14"/>
  <c r="P226" i="14"/>
  <c r="P238" i="14"/>
  <c r="L185" i="14"/>
  <c r="L189" i="14"/>
  <c r="L193" i="14"/>
  <c r="L197" i="14"/>
  <c r="L201" i="14"/>
  <c r="L205" i="14"/>
  <c r="L209" i="14"/>
  <c r="L213" i="14"/>
  <c r="L217" i="14"/>
  <c r="L221" i="14"/>
  <c r="L225" i="14"/>
  <c r="L229" i="14"/>
  <c r="L233" i="14"/>
  <c r="L237" i="14"/>
  <c r="L241" i="14"/>
  <c r="L245" i="14"/>
  <c r="L249" i="14"/>
  <c r="L253" i="14"/>
  <c r="L257" i="14"/>
  <c r="L261" i="14"/>
  <c r="J112" i="14"/>
  <c r="L172" i="14"/>
  <c r="P293" i="14"/>
  <c r="P309" i="14"/>
  <c r="P325" i="14"/>
  <c r="L156" i="14"/>
  <c r="P129" i="14"/>
  <c r="P157" i="14"/>
  <c r="J164" i="14"/>
  <c r="I234" i="14"/>
  <c r="P296" i="14"/>
  <c r="P312" i="14"/>
  <c r="P328" i="14"/>
  <c r="J213" i="14"/>
  <c r="J116" i="14"/>
  <c r="J202" i="14"/>
  <c r="J210" i="14"/>
  <c r="J222" i="14"/>
  <c r="J234" i="14"/>
  <c r="J254" i="14"/>
  <c r="P315" i="14"/>
  <c r="P331" i="14"/>
  <c r="L202" i="14"/>
  <c r="L222" i="14"/>
  <c r="L234" i="14"/>
  <c r="L254" i="14"/>
  <c r="O234" i="14"/>
  <c r="I219" i="14"/>
  <c r="I235" i="14"/>
  <c r="P340" i="14"/>
  <c r="J128" i="14"/>
  <c r="J235" i="14"/>
  <c r="P125" i="14"/>
  <c r="L108" i="14"/>
  <c r="L235" i="14"/>
  <c r="J132" i="14"/>
  <c r="L112" i="14"/>
  <c r="P186" i="14"/>
  <c r="L113" i="14"/>
  <c r="P272" i="14"/>
  <c r="P288" i="14"/>
  <c r="P304" i="14"/>
  <c r="P320" i="14"/>
  <c r="P336" i="14"/>
  <c r="L124" i="14"/>
  <c r="P161" i="14"/>
  <c r="P162" i="14" s="1"/>
  <c r="L128" i="14"/>
  <c r="P250" i="14"/>
  <c r="L140" i="14"/>
  <c r="P206" i="14"/>
  <c r="L144" i="14"/>
  <c r="P194" i="14"/>
  <c r="P204" i="14"/>
  <c r="J145" i="14"/>
  <c r="I145" i="14"/>
  <c r="M145" i="14" s="1"/>
  <c r="L145" i="14"/>
  <c r="P146" i="14"/>
  <c r="P147" i="14" s="1"/>
  <c r="J173" i="14"/>
  <c r="L173" i="14"/>
  <c r="L133" i="14"/>
  <c r="P134" i="14"/>
  <c r="J133" i="14"/>
  <c r="P236" i="14"/>
  <c r="O162" i="14"/>
  <c r="J162" i="14"/>
  <c r="I162" i="14"/>
  <c r="L162" i="14"/>
  <c r="P150" i="14"/>
  <c r="L149" i="14"/>
  <c r="J149" i="14"/>
  <c r="P178" i="14"/>
  <c r="J177" i="14"/>
  <c r="L177" i="14"/>
  <c r="P141" i="14"/>
  <c r="P142" i="14" s="1"/>
  <c r="J148" i="14"/>
  <c r="J180" i="14"/>
  <c r="P130" i="14"/>
  <c r="L129" i="14"/>
  <c r="P211" i="14"/>
  <c r="P114" i="14"/>
  <c r="P181" i="14"/>
  <c r="P198" i="14"/>
  <c r="P214" i="14"/>
  <c r="P230" i="14"/>
  <c r="P246" i="14"/>
  <c r="P262" i="14"/>
  <c r="P109" i="14"/>
  <c r="P165" i="14"/>
  <c r="J129" i="14"/>
  <c r="J161" i="14"/>
  <c r="L132" i="14"/>
  <c r="L148" i="14"/>
  <c r="J108" i="14"/>
  <c r="J124" i="14"/>
  <c r="J140" i="14"/>
  <c r="J172" i="14"/>
  <c r="P191" i="14"/>
  <c r="P223" i="14"/>
  <c r="P255" i="14"/>
  <c r="P242" i="14"/>
  <c r="P258" i="14"/>
  <c r="J157" i="14"/>
  <c r="L104" i="14"/>
  <c r="L120" i="14"/>
  <c r="L136" i="14"/>
  <c r="L152" i="14"/>
  <c r="L168" i="14"/>
  <c r="P115" i="14"/>
  <c r="P131" i="14"/>
  <c r="P163" i="14"/>
  <c r="P105" i="14"/>
  <c r="P121" i="14"/>
  <c r="P137" i="14"/>
  <c r="P153" i="14"/>
  <c r="P169" i="14"/>
  <c r="P174" i="14"/>
  <c r="W54" i="13"/>
  <c r="U84" i="13"/>
  <c r="P106" i="13"/>
  <c r="U109" i="13"/>
  <c r="P55" i="13"/>
  <c r="U81" i="13"/>
  <c r="U91" i="13"/>
  <c r="P113" i="13"/>
  <c r="K59" i="13"/>
  <c r="P56" i="13"/>
  <c r="P92" i="13"/>
  <c r="U65" i="13"/>
  <c r="P89" i="13"/>
  <c r="F57" i="13"/>
  <c r="I205" i="14" s="1"/>
  <c r="K108" i="13"/>
  <c r="I380" i="14" s="1"/>
  <c r="U111" i="13"/>
  <c r="P76" i="13"/>
  <c r="K112" i="13"/>
  <c r="F61" i="13"/>
  <c r="U66" i="13"/>
  <c r="K67" i="13"/>
  <c r="K57" i="13"/>
  <c r="P82" i="13"/>
  <c r="P57" i="13"/>
  <c r="F88" i="13"/>
  <c r="S88" i="13" s="1"/>
  <c r="F37" i="13"/>
  <c r="I140" i="14" s="1"/>
  <c r="H140" i="14" s="1"/>
  <c r="F91" i="13"/>
  <c r="I326" i="14" s="1"/>
  <c r="M326" i="14" s="1"/>
  <c r="F115" i="13"/>
  <c r="I407" i="14" s="1"/>
  <c r="U55" i="13"/>
  <c r="W60" i="13"/>
  <c r="F68" i="13"/>
  <c r="R67" i="13"/>
  <c r="K68" i="13"/>
  <c r="F84" i="13"/>
  <c r="F92" i="13"/>
  <c r="I330" i="14" s="1"/>
  <c r="F116" i="13"/>
  <c r="I411" i="14" s="1"/>
  <c r="M411" i="14" s="1"/>
  <c r="U89" i="13"/>
  <c r="U113" i="13"/>
  <c r="P116" i="13"/>
  <c r="F52" i="13"/>
  <c r="N52" i="13" s="1"/>
  <c r="U41" i="13"/>
  <c r="F42" i="13"/>
  <c r="I160" i="14" s="1"/>
  <c r="M160" i="14" s="1"/>
  <c r="F78" i="13"/>
  <c r="I274" i="14" s="1"/>
  <c r="M274" i="14" s="1"/>
  <c r="F86" i="13"/>
  <c r="I306" i="14" s="1"/>
  <c r="M306" i="14" s="1"/>
  <c r="F39" i="13"/>
  <c r="I148" i="14" s="1"/>
  <c r="M148" i="14" s="1"/>
  <c r="F43" i="13"/>
  <c r="I164" i="14" s="1"/>
  <c r="K164" i="14" s="1"/>
  <c r="K62" i="13"/>
  <c r="U36" i="13"/>
  <c r="F100" i="13"/>
  <c r="S100" i="13" s="1"/>
  <c r="U40" i="13"/>
  <c r="F28" i="13"/>
  <c r="S28" i="13" s="1"/>
  <c r="F85" i="13"/>
  <c r="I302" i="14" s="1"/>
  <c r="M302" i="14" s="1"/>
  <c r="U44" i="13"/>
  <c r="K36" i="13"/>
  <c r="K77" i="13"/>
  <c r="F109" i="13"/>
  <c r="I383" i="14" s="1"/>
  <c r="F65" i="13"/>
  <c r="I65" i="13" s="1"/>
  <c r="O237" i="14" s="1"/>
  <c r="F110" i="13"/>
  <c r="I387" i="14" s="1"/>
  <c r="F114" i="13"/>
  <c r="I403" i="14" s="1"/>
  <c r="F118" i="13"/>
  <c r="I419" i="14" s="1"/>
  <c r="F53" i="13"/>
  <c r="I189" i="14" s="1"/>
  <c r="K34" i="13"/>
  <c r="I129" i="14" s="1"/>
  <c r="M129" i="14" s="1"/>
  <c r="K107" i="13"/>
  <c r="I376" i="14" s="1"/>
  <c r="M376" i="14" s="1"/>
  <c r="U28" i="13"/>
  <c r="U32" i="13"/>
  <c r="K63" i="13"/>
  <c r="F76" i="13"/>
  <c r="S76" i="13" s="1"/>
  <c r="K84" i="13"/>
  <c r="I299" i="14" s="1"/>
  <c r="P107" i="13"/>
  <c r="K117" i="13"/>
  <c r="I416" i="14" s="1"/>
  <c r="K109" i="13"/>
  <c r="I384" i="14" s="1"/>
  <c r="K111" i="13"/>
  <c r="I392" i="14" s="1"/>
  <c r="K392" i="14" s="1"/>
  <c r="K115" i="13"/>
  <c r="I408" i="14" s="1"/>
  <c r="K113" i="13"/>
  <c r="I113" i="13" s="1"/>
  <c r="O399" i="14" s="1"/>
  <c r="P109" i="13"/>
  <c r="P111" i="13"/>
  <c r="I393" i="14" s="1"/>
  <c r="K393" i="14" s="1"/>
  <c r="R110" i="13"/>
  <c r="R112" i="13"/>
  <c r="R114" i="13"/>
  <c r="F108" i="13"/>
  <c r="W106" i="13"/>
  <c r="W108" i="13"/>
  <c r="W110" i="13"/>
  <c r="W112" i="13"/>
  <c r="K114" i="13"/>
  <c r="I404" i="14" s="1"/>
  <c r="F112" i="13"/>
  <c r="S112" i="13" s="1"/>
  <c r="U104" i="13"/>
  <c r="P105" i="13"/>
  <c r="K106" i="13"/>
  <c r="I372" i="14" s="1"/>
  <c r="F107" i="13"/>
  <c r="I375" i="14" s="1"/>
  <c r="U101" i="13"/>
  <c r="P102" i="13"/>
  <c r="K103" i="13"/>
  <c r="I360" i="14" s="1"/>
  <c r="M360" i="14" s="1"/>
  <c r="F104" i="13"/>
  <c r="I363" i="14" s="1"/>
  <c r="U117" i="13"/>
  <c r="P118" i="13"/>
  <c r="I421" i="14" s="1"/>
  <c r="K119" i="13"/>
  <c r="I424" i="14" s="1"/>
  <c r="K100" i="13"/>
  <c r="F101" i="13"/>
  <c r="I351" i="14" s="1"/>
  <c r="H351" i="14" s="1"/>
  <c r="U114" i="13"/>
  <c r="P115" i="13"/>
  <c r="K116" i="13"/>
  <c r="I412" i="14" s="1"/>
  <c r="F117" i="13"/>
  <c r="I415" i="14" s="1"/>
  <c r="K110" i="13"/>
  <c r="I388" i="14" s="1"/>
  <c r="F111" i="13"/>
  <c r="I391" i="14" s="1"/>
  <c r="M391" i="14" s="1"/>
  <c r="U118" i="13"/>
  <c r="P119" i="13"/>
  <c r="I425" i="14" s="1"/>
  <c r="U102" i="13"/>
  <c r="P103" i="13"/>
  <c r="K104" i="13"/>
  <c r="I364" i="14" s="1"/>
  <c r="H364" i="14" s="1"/>
  <c r="F105" i="13"/>
  <c r="I367" i="14" s="1"/>
  <c r="P100" i="13"/>
  <c r="K101" i="13"/>
  <c r="I352" i="14" s="1"/>
  <c r="F102" i="13"/>
  <c r="I355" i="14" s="1"/>
  <c r="U103" i="13"/>
  <c r="P104" i="13"/>
  <c r="K105" i="13"/>
  <c r="I368" i="14" s="1"/>
  <c r="F106" i="13"/>
  <c r="I371" i="14" s="1"/>
  <c r="U119" i="13"/>
  <c r="I426" i="14" s="1"/>
  <c r="U100" i="13"/>
  <c r="P101" i="13"/>
  <c r="K102" i="13"/>
  <c r="I356" i="14" s="1"/>
  <c r="F103" i="13"/>
  <c r="I359" i="14" s="1"/>
  <c r="M359" i="14" s="1"/>
  <c r="U116" i="13"/>
  <c r="P117" i="13"/>
  <c r="K118" i="13"/>
  <c r="I420" i="14" s="1"/>
  <c r="F119" i="13"/>
  <c r="I423" i="14" s="1"/>
  <c r="K93" i="13"/>
  <c r="K83" i="13"/>
  <c r="K91" i="13"/>
  <c r="P83" i="13"/>
  <c r="K87" i="13"/>
  <c r="K89" i="13"/>
  <c r="I319" i="14" s="1"/>
  <c r="P87" i="13"/>
  <c r="R84" i="13"/>
  <c r="R88" i="13"/>
  <c r="R90" i="13"/>
  <c r="K85" i="13"/>
  <c r="W82" i="13"/>
  <c r="W88" i="13"/>
  <c r="K90" i="13"/>
  <c r="U80" i="13"/>
  <c r="K82" i="13"/>
  <c r="I291" i="14" s="1"/>
  <c r="F83" i="13"/>
  <c r="I294" i="14" s="1"/>
  <c r="M294" i="14" s="1"/>
  <c r="P81" i="13"/>
  <c r="U77" i="13"/>
  <c r="P78" i="13"/>
  <c r="K79" i="13"/>
  <c r="F80" i="13"/>
  <c r="I282" i="14" s="1"/>
  <c r="U93" i="13"/>
  <c r="P94" i="13"/>
  <c r="K95" i="13"/>
  <c r="I343" i="14" s="1"/>
  <c r="K76" i="13"/>
  <c r="F77" i="13"/>
  <c r="I270" i="14" s="1"/>
  <c r="H270" i="14" s="1"/>
  <c r="U90" i="13"/>
  <c r="P91" i="13"/>
  <c r="K92" i="13"/>
  <c r="F93" i="13"/>
  <c r="I334" i="14" s="1"/>
  <c r="H334" i="14" s="1"/>
  <c r="K86" i="13"/>
  <c r="F87" i="13"/>
  <c r="I310" i="14" s="1"/>
  <c r="M310" i="14" s="1"/>
  <c r="U78" i="13"/>
  <c r="P79" i="13"/>
  <c r="K80" i="13"/>
  <c r="I283" i="14" s="1"/>
  <c r="F81" i="13"/>
  <c r="I286" i="14" s="1"/>
  <c r="U94" i="13"/>
  <c r="P95" i="13"/>
  <c r="U85" i="13"/>
  <c r="P86" i="13"/>
  <c r="U79" i="13"/>
  <c r="P80" i="13"/>
  <c r="K81" i="13"/>
  <c r="I287" i="14" s="1"/>
  <c r="F82" i="13"/>
  <c r="I290" i="14" s="1"/>
  <c r="M290" i="14" s="1"/>
  <c r="U95" i="13"/>
  <c r="U76" i="13"/>
  <c r="P77" i="13"/>
  <c r="K78" i="13"/>
  <c r="I275" i="14" s="1"/>
  <c r="F79" i="13"/>
  <c r="I278" i="14" s="1"/>
  <c r="M278" i="14" s="1"/>
  <c r="U92" i="13"/>
  <c r="P93" i="13"/>
  <c r="K94" i="13"/>
  <c r="I339" i="14" s="1"/>
  <c r="F95" i="13"/>
  <c r="I342" i="14" s="1"/>
  <c r="M342" i="14" s="1"/>
  <c r="F58" i="13"/>
  <c r="F60" i="13"/>
  <c r="I217" i="14" s="1"/>
  <c r="F62" i="13"/>
  <c r="K58" i="13"/>
  <c r="I210" i="14" s="1"/>
  <c r="M210" i="14" s="1"/>
  <c r="P60" i="13"/>
  <c r="F64" i="13"/>
  <c r="X64" i="13" s="1"/>
  <c r="M64" i="13"/>
  <c r="P58" i="13"/>
  <c r="F66" i="13"/>
  <c r="R62" i="13"/>
  <c r="U56" i="13"/>
  <c r="U53" i="13"/>
  <c r="P54" i="13"/>
  <c r="K55" i="13"/>
  <c r="F56" i="13"/>
  <c r="N56" i="13" s="1"/>
  <c r="O202" i="14" s="1"/>
  <c r="U69" i="13"/>
  <c r="P70" i="13"/>
  <c r="K71" i="13"/>
  <c r="F59" i="13"/>
  <c r="I213" i="14" s="1"/>
  <c r="F63" i="13"/>
  <c r="I229" i="14" s="1"/>
  <c r="U70" i="13"/>
  <c r="P71" i="13"/>
  <c r="P52" i="13"/>
  <c r="K53" i="13"/>
  <c r="I190" i="14" s="1"/>
  <c r="F54" i="13"/>
  <c r="I193" i="14" s="1"/>
  <c r="U67" i="13"/>
  <c r="P68" i="13"/>
  <c r="K69" i="13"/>
  <c r="F70" i="13"/>
  <c r="I257" i="14" s="1"/>
  <c r="U71" i="13"/>
  <c r="U52" i="13"/>
  <c r="P53" i="13"/>
  <c r="K54" i="13"/>
  <c r="F55" i="13"/>
  <c r="I197" i="14" s="1"/>
  <c r="U68" i="13"/>
  <c r="P69" i="13"/>
  <c r="K70" i="13"/>
  <c r="F71" i="13"/>
  <c r="I261" i="14" s="1"/>
  <c r="F31" i="13"/>
  <c r="I116" i="14" s="1"/>
  <c r="M116" i="14" s="1"/>
  <c r="K42" i="13"/>
  <c r="K39" i="13"/>
  <c r="I149" i="14" s="1"/>
  <c r="H149" i="14" s="1"/>
  <c r="K43" i="13"/>
  <c r="P47" i="13"/>
  <c r="K30" i="13"/>
  <c r="I113" i="14" s="1"/>
  <c r="M113" i="14" s="1"/>
  <c r="F47" i="13"/>
  <c r="I180" i="14" s="1"/>
  <c r="M180" i="14" s="1"/>
  <c r="F40" i="13"/>
  <c r="N40" i="13" s="1"/>
  <c r="K35" i="13"/>
  <c r="I133" i="14" s="1"/>
  <c r="H133" i="14" s="1"/>
  <c r="P45" i="13"/>
  <c r="U38" i="13"/>
  <c r="K32" i="13"/>
  <c r="F41" i="13"/>
  <c r="I156" i="14" s="1"/>
  <c r="H156" i="14" s="1"/>
  <c r="F46" i="13"/>
  <c r="I176" i="14" s="1"/>
  <c r="K46" i="13"/>
  <c r="I177" i="14" s="1"/>
  <c r="H177" i="14" s="1"/>
  <c r="F36" i="13"/>
  <c r="P34" i="13"/>
  <c r="K41" i="13"/>
  <c r="F44" i="13"/>
  <c r="I168" i="14" s="1"/>
  <c r="R29" i="13"/>
  <c r="R33" i="13"/>
  <c r="R37" i="13"/>
  <c r="R41" i="13"/>
  <c r="U39" i="13"/>
  <c r="W37" i="13"/>
  <c r="W35" i="13"/>
  <c r="F35" i="13"/>
  <c r="I132" i="14" s="1"/>
  <c r="M132" i="14" s="1"/>
  <c r="R38" i="13"/>
  <c r="R42" i="13"/>
  <c r="W30" i="13"/>
  <c r="W46" i="13"/>
  <c r="P39" i="13"/>
  <c r="U33" i="13"/>
  <c r="P36" i="13"/>
  <c r="F38" i="13"/>
  <c r="I38" i="13" s="1"/>
  <c r="O144" i="14" s="1"/>
  <c r="P35" i="13"/>
  <c r="K40" i="13"/>
  <c r="K37" i="13"/>
  <c r="P40" i="13"/>
  <c r="U31" i="13"/>
  <c r="U45" i="13"/>
  <c r="P46" i="13"/>
  <c r="K47" i="13"/>
  <c r="P30" i="13"/>
  <c r="K28" i="13"/>
  <c r="F29" i="13"/>
  <c r="I108" i="14" s="1"/>
  <c r="H108" i="14" s="1"/>
  <c r="U42" i="13"/>
  <c r="P43" i="13"/>
  <c r="K44" i="13"/>
  <c r="F45" i="13"/>
  <c r="I172" i="14" s="1"/>
  <c r="H172" i="14" s="1"/>
  <c r="U29" i="13"/>
  <c r="K31" i="13"/>
  <c r="F32" i="13"/>
  <c r="I120" i="14" s="1"/>
  <c r="F33" i="13"/>
  <c r="I124" i="14" s="1"/>
  <c r="H124" i="14" s="1"/>
  <c r="U43" i="13"/>
  <c r="P44" i="13"/>
  <c r="K45" i="13"/>
  <c r="I173" i="14" s="1"/>
  <c r="P31" i="13"/>
  <c r="P28" i="13"/>
  <c r="K29" i="13"/>
  <c r="F30" i="13"/>
  <c r="I112" i="14" s="1"/>
  <c r="M112" i="14" s="1"/>
  <c r="U47" i="13"/>
  <c r="P32" i="13"/>
  <c r="K33" i="13"/>
  <c r="I125" i="14" s="1"/>
  <c r="M125" i="14" s="1"/>
  <c r="F34" i="13"/>
  <c r="L7" i="15"/>
  <c r="L8" i="15"/>
  <c r="L9" i="15"/>
  <c r="L6" i="15"/>
  <c r="D7" i="15"/>
  <c r="D8" i="15"/>
  <c r="D9" i="15"/>
  <c r="G7" i="14"/>
  <c r="G8" i="14"/>
  <c r="G9" i="14"/>
  <c r="G10" i="14"/>
  <c r="K409" i="14" l="1"/>
  <c r="X67" i="13"/>
  <c r="I61" i="13"/>
  <c r="O221" i="14" s="1"/>
  <c r="M377" i="14"/>
  <c r="M409" i="14"/>
  <c r="M318" i="14"/>
  <c r="H318" i="14"/>
  <c r="K318" i="14"/>
  <c r="H377" i="14"/>
  <c r="X34" i="13"/>
  <c r="I57" i="13"/>
  <c r="O205" i="14" s="1"/>
  <c r="M396" i="14"/>
  <c r="M245" i="14"/>
  <c r="H245" i="14"/>
  <c r="K245" i="14"/>
  <c r="H253" i="14"/>
  <c r="M253" i="14"/>
  <c r="K253" i="14"/>
  <c r="X69" i="13"/>
  <c r="X66" i="13"/>
  <c r="I28" i="13"/>
  <c r="O104" i="14" s="1"/>
  <c r="N61" i="13"/>
  <c r="O222" i="14" s="1"/>
  <c r="S61" i="13"/>
  <c r="X28" i="13"/>
  <c r="M361" i="14"/>
  <c r="H361" i="14"/>
  <c r="N90" i="13"/>
  <c r="O323" i="14" s="1"/>
  <c r="H359" i="14"/>
  <c r="K306" i="14"/>
  <c r="X42" i="13"/>
  <c r="X61" i="13"/>
  <c r="N86" i="13"/>
  <c r="O307" i="14" s="1"/>
  <c r="N68" i="13"/>
  <c r="O250" i="14" s="1"/>
  <c r="X76" i="13"/>
  <c r="M338" i="14"/>
  <c r="K338" i="14"/>
  <c r="H338" i="14"/>
  <c r="M322" i="14"/>
  <c r="K322" i="14"/>
  <c r="H322" i="14"/>
  <c r="H189" i="14"/>
  <c r="M189" i="14"/>
  <c r="K189" i="14"/>
  <c r="S58" i="13"/>
  <c r="X43" i="13"/>
  <c r="X88" i="13"/>
  <c r="N88" i="13"/>
  <c r="I314" i="14"/>
  <c r="M314" i="14" s="1"/>
  <c r="S65" i="13"/>
  <c r="X115" i="13"/>
  <c r="X57" i="13"/>
  <c r="I88" i="13"/>
  <c r="O314" i="14" s="1"/>
  <c r="H411" i="14"/>
  <c r="S57" i="13"/>
  <c r="H393" i="14"/>
  <c r="M286" i="14"/>
  <c r="H286" i="14"/>
  <c r="K286" i="14"/>
  <c r="K412" i="14"/>
  <c r="H412" i="14"/>
  <c r="M412" i="14"/>
  <c r="H176" i="14"/>
  <c r="M176" i="14"/>
  <c r="K176" i="14"/>
  <c r="M229" i="14"/>
  <c r="H229" i="14"/>
  <c r="K229" i="14"/>
  <c r="M424" i="14"/>
  <c r="K424" i="14"/>
  <c r="H424" i="14"/>
  <c r="H383" i="14"/>
  <c r="K383" i="14"/>
  <c r="M383" i="14"/>
  <c r="M423" i="14"/>
  <c r="H423" i="14"/>
  <c r="K423" i="14"/>
  <c r="K367" i="14"/>
  <c r="H367" i="14"/>
  <c r="M367" i="14"/>
  <c r="H408" i="14"/>
  <c r="M408" i="14"/>
  <c r="K408" i="14"/>
  <c r="K380" i="14"/>
  <c r="M380" i="14"/>
  <c r="H380" i="14"/>
  <c r="M197" i="14"/>
  <c r="K197" i="14"/>
  <c r="H197" i="14"/>
  <c r="M213" i="14"/>
  <c r="H213" i="14"/>
  <c r="K213" i="14"/>
  <c r="H205" i="14"/>
  <c r="K205" i="14"/>
  <c r="M205" i="14"/>
  <c r="M363" i="14"/>
  <c r="H363" i="14"/>
  <c r="K363" i="14"/>
  <c r="H415" i="14"/>
  <c r="K415" i="14"/>
  <c r="M415" i="14"/>
  <c r="M217" i="14"/>
  <c r="H217" i="14"/>
  <c r="K217" i="14"/>
  <c r="K425" i="14"/>
  <c r="H425" i="14"/>
  <c r="M425" i="14"/>
  <c r="M407" i="14"/>
  <c r="H407" i="14"/>
  <c r="K407" i="14"/>
  <c r="M375" i="14"/>
  <c r="H375" i="14"/>
  <c r="K375" i="14"/>
  <c r="X52" i="13"/>
  <c r="K290" i="14"/>
  <c r="H306" i="14"/>
  <c r="I144" i="14"/>
  <c r="H144" i="14" s="1"/>
  <c r="M399" i="14"/>
  <c r="I241" i="14"/>
  <c r="M241" i="14" s="1"/>
  <c r="K274" i="14"/>
  <c r="K399" i="14"/>
  <c r="K351" i="14"/>
  <c r="N57" i="13"/>
  <c r="O206" i="14" s="1"/>
  <c r="X84" i="13"/>
  <c r="I298" i="14"/>
  <c r="M298" i="14" s="1"/>
  <c r="H274" i="14"/>
  <c r="K391" i="14"/>
  <c r="M351" i="14"/>
  <c r="I36" i="13"/>
  <c r="O136" i="14" s="1"/>
  <c r="S62" i="13"/>
  <c r="I108" i="13"/>
  <c r="O379" i="14" s="1"/>
  <c r="I379" i="14"/>
  <c r="S68" i="13"/>
  <c r="I161" i="14"/>
  <c r="M161" i="14" s="1"/>
  <c r="H391" i="14"/>
  <c r="I237" i="14"/>
  <c r="N28" i="13"/>
  <c r="S84" i="13"/>
  <c r="N76" i="13"/>
  <c r="H290" i="14"/>
  <c r="K359" i="14"/>
  <c r="M393" i="14"/>
  <c r="H376" i="14"/>
  <c r="I233" i="14"/>
  <c r="I201" i="14"/>
  <c r="H348" i="14"/>
  <c r="M348" i="14"/>
  <c r="I152" i="14"/>
  <c r="M152" i="14" s="1"/>
  <c r="I307" i="14"/>
  <c r="H307" i="14" s="1"/>
  <c r="I347" i="14"/>
  <c r="I185" i="14"/>
  <c r="I323" i="14"/>
  <c r="M323" i="14" s="1"/>
  <c r="N67" i="13"/>
  <c r="O246" i="14" s="1"/>
  <c r="I136" i="14"/>
  <c r="M136" i="14" s="1"/>
  <c r="K376" i="14"/>
  <c r="M364" i="14"/>
  <c r="I266" i="14"/>
  <c r="M266" i="14" s="1"/>
  <c r="I67" i="13"/>
  <c r="O245" i="14" s="1"/>
  <c r="I128" i="14"/>
  <c r="M128" i="14" s="1"/>
  <c r="K360" i="14"/>
  <c r="K364" i="14"/>
  <c r="I225" i="14"/>
  <c r="H225" i="14" s="1"/>
  <c r="I209" i="14"/>
  <c r="M209" i="14" s="1"/>
  <c r="I249" i="14"/>
  <c r="H392" i="14"/>
  <c r="M392" i="14"/>
  <c r="I104" i="14"/>
  <c r="K104" i="14" s="1"/>
  <c r="I221" i="14"/>
  <c r="I115" i="13"/>
  <c r="O407" i="14" s="1"/>
  <c r="I254" i="14"/>
  <c r="M254" i="14" s="1"/>
  <c r="H360" i="14"/>
  <c r="I400" i="14"/>
  <c r="K400" i="14" s="1"/>
  <c r="K411" i="14"/>
  <c r="I395" i="14"/>
  <c r="E9" i="15"/>
  <c r="K9" i="15"/>
  <c r="E8" i="15"/>
  <c r="K8" i="15"/>
  <c r="E7" i="15"/>
  <c r="K7" i="15"/>
  <c r="H342" i="14"/>
  <c r="K132" i="14"/>
  <c r="K112" i="14"/>
  <c r="H132" i="14"/>
  <c r="H112" i="14"/>
  <c r="K342" i="14"/>
  <c r="K294" i="14"/>
  <c r="K124" i="14"/>
  <c r="H148" i="14"/>
  <c r="K129" i="14"/>
  <c r="H116" i="14"/>
  <c r="H326" i="14"/>
  <c r="H294" i="14"/>
  <c r="H129" i="14"/>
  <c r="K326" i="14"/>
  <c r="K334" i="14"/>
  <c r="M334" i="14"/>
  <c r="H278" i="14"/>
  <c r="K278" i="14"/>
  <c r="H302" i="14"/>
  <c r="K140" i="14"/>
  <c r="K310" i="14"/>
  <c r="I218" i="14"/>
  <c r="K218" i="14" s="1"/>
  <c r="P357" i="14"/>
  <c r="M368" i="14"/>
  <c r="K368" i="14"/>
  <c r="H368" i="14"/>
  <c r="M426" i="14"/>
  <c r="K426" i="14"/>
  <c r="H426" i="14"/>
  <c r="O284" i="14"/>
  <c r="J284" i="14"/>
  <c r="I284" i="14"/>
  <c r="L284" i="14"/>
  <c r="P118" i="14"/>
  <c r="P119" i="14" s="1"/>
  <c r="H310" i="14"/>
  <c r="M403" i="14"/>
  <c r="K403" i="14"/>
  <c r="H403" i="14"/>
  <c r="M352" i="14"/>
  <c r="K352" i="14"/>
  <c r="H352" i="14"/>
  <c r="M410" i="14"/>
  <c r="K410" i="14"/>
  <c r="H410" i="14"/>
  <c r="M365" i="14"/>
  <c r="K365" i="14"/>
  <c r="H365" i="14"/>
  <c r="O315" i="14"/>
  <c r="J315" i="14"/>
  <c r="I315" i="14"/>
  <c r="L315" i="14"/>
  <c r="I117" i="14"/>
  <c r="K117" i="14" s="1"/>
  <c r="M384" i="14"/>
  <c r="K384" i="14"/>
  <c r="H384" i="14"/>
  <c r="K160" i="14"/>
  <c r="J113" i="14"/>
  <c r="J218" i="14"/>
  <c r="P402" i="14"/>
  <c r="M394" i="14"/>
  <c r="K394" i="14"/>
  <c r="H394" i="14"/>
  <c r="M378" i="14"/>
  <c r="K378" i="14"/>
  <c r="H378" i="14"/>
  <c r="L331" i="14"/>
  <c r="J331" i="14"/>
  <c r="I331" i="14"/>
  <c r="P354" i="14"/>
  <c r="M164" i="14"/>
  <c r="L336" i="14"/>
  <c r="O336" i="14"/>
  <c r="J336" i="14"/>
  <c r="I336" i="14"/>
  <c r="L219" i="14"/>
  <c r="M362" i="14"/>
  <c r="K362" i="14"/>
  <c r="H362" i="14"/>
  <c r="L157" i="14"/>
  <c r="L320" i="14"/>
  <c r="O320" i="14"/>
  <c r="J320" i="14"/>
  <c r="I320" i="14"/>
  <c r="L344" i="14"/>
  <c r="J344" i="14"/>
  <c r="I344" i="14"/>
  <c r="M387" i="14"/>
  <c r="K387" i="14"/>
  <c r="H387" i="14"/>
  <c r="P418" i="14"/>
  <c r="L268" i="14"/>
  <c r="O268" i="14"/>
  <c r="J268" i="14"/>
  <c r="I268" i="14"/>
  <c r="P386" i="14"/>
  <c r="L327" i="14"/>
  <c r="J327" i="14"/>
  <c r="I327" i="14"/>
  <c r="K327" i="14" s="1"/>
  <c r="P373" i="14"/>
  <c r="L304" i="14"/>
  <c r="O304" i="14"/>
  <c r="J304" i="14"/>
  <c r="I304" i="14"/>
  <c r="L190" i="14"/>
  <c r="M381" i="14"/>
  <c r="K381" i="14"/>
  <c r="H381" i="14"/>
  <c r="L288" i="14"/>
  <c r="O288" i="14"/>
  <c r="J288" i="14"/>
  <c r="I288" i="14"/>
  <c r="K302" i="14"/>
  <c r="L311" i="14"/>
  <c r="J311" i="14"/>
  <c r="I311" i="14"/>
  <c r="H311" i="14" s="1"/>
  <c r="J308" i="14"/>
  <c r="I308" i="14"/>
  <c r="H308" i="14" s="1"/>
  <c r="O308" i="14"/>
  <c r="L308" i="14"/>
  <c r="O300" i="14"/>
  <c r="J300" i="14"/>
  <c r="I300" i="14"/>
  <c r="L300" i="14"/>
  <c r="J324" i="14"/>
  <c r="I324" i="14"/>
  <c r="M324" i="14" s="1"/>
  <c r="O324" i="14"/>
  <c r="L324" i="14"/>
  <c r="M413" i="14"/>
  <c r="K413" i="14"/>
  <c r="H413" i="14"/>
  <c r="H160" i="14"/>
  <c r="M124" i="14"/>
  <c r="L161" i="14"/>
  <c r="P158" i="14"/>
  <c r="L272" i="14"/>
  <c r="O272" i="14"/>
  <c r="J272" i="14"/>
  <c r="I272" i="14"/>
  <c r="P421" i="14"/>
  <c r="J292" i="14"/>
  <c r="I292" i="14"/>
  <c r="H292" i="14" s="1"/>
  <c r="L292" i="14"/>
  <c r="O292" i="14"/>
  <c r="L295" i="14"/>
  <c r="J295" i="14"/>
  <c r="I295" i="14"/>
  <c r="M295" i="14" s="1"/>
  <c r="M416" i="14"/>
  <c r="K416" i="14"/>
  <c r="H416" i="14"/>
  <c r="M371" i="14"/>
  <c r="K371" i="14"/>
  <c r="H371" i="14"/>
  <c r="L279" i="14"/>
  <c r="J279" i="14"/>
  <c r="I279" i="14"/>
  <c r="K279" i="14" s="1"/>
  <c r="J276" i="14"/>
  <c r="I276" i="14"/>
  <c r="K276" i="14" s="1"/>
  <c r="L276" i="14"/>
  <c r="O276" i="14"/>
  <c r="M355" i="14"/>
  <c r="K355" i="14"/>
  <c r="H355" i="14"/>
  <c r="L218" i="14"/>
  <c r="H164" i="14"/>
  <c r="K270" i="14"/>
  <c r="I335" i="14"/>
  <c r="M335" i="14" s="1"/>
  <c r="J335" i="14"/>
  <c r="L335" i="14"/>
  <c r="J219" i="14"/>
  <c r="L325" i="14"/>
  <c r="I325" i="14"/>
  <c r="O325" i="14"/>
  <c r="J325" i="14"/>
  <c r="L312" i="14"/>
  <c r="J312" i="14"/>
  <c r="I312" i="14"/>
  <c r="L309" i="14"/>
  <c r="I309" i="14"/>
  <c r="O309" i="14"/>
  <c r="J309" i="14"/>
  <c r="P370" i="14"/>
  <c r="J340" i="14"/>
  <c r="I340" i="14"/>
  <c r="L340" i="14"/>
  <c r="L296" i="14"/>
  <c r="O296" i="14"/>
  <c r="J296" i="14"/>
  <c r="I296" i="14"/>
  <c r="M270" i="14"/>
  <c r="K180" i="14"/>
  <c r="H180" i="14"/>
  <c r="I303" i="14"/>
  <c r="M303" i="14" s="1"/>
  <c r="J303" i="14"/>
  <c r="L303" i="14"/>
  <c r="M397" i="14"/>
  <c r="K397" i="14"/>
  <c r="H397" i="14"/>
  <c r="M419" i="14"/>
  <c r="K419" i="14"/>
  <c r="H419" i="14"/>
  <c r="L328" i="14"/>
  <c r="O328" i="14"/>
  <c r="J328" i="14"/>
  <c r="I328" i="14"/>
  <c r="P220" i="14"/>
  <c r="J220" i="14" s="1"/>
  <c r="P405" i="14"/>
  <c r="K148" i="14"/>
  <c r="J117" i="14"/>
  <c r="L293" i="14"/>
  <c r="I293" i="14"/>
  <c r="O293" i="14"/>
  <c r="J293" i="14"/>
  <c r="P280" i="14"/>
  <c r="P277" i="14"/>
  <c r="P389" i="14"/>
  <c r="I271" i="14"/>
  <c r="K271" i="14" s="1"/>
  <c r="J271" i="14"/>
  <c r="L271" i="14"/>
  <c r="M349" i="14"/>
  <c r="K349" i="14"/>
  <c r="H349" i="14"/>
  <c r="L198" i="14"/>
  <c r="J198" i="14"/>
  <c r="I198" i="14"/>
  <c r="L194" i="14"/>
  <c r="J194" i="14"/>
  <c r="I194" i="14"/>
  <c r="P195" i="14"/>
  <c r="P251" i="14"/>
  <c r="L250" i="14"/>
  <c r="J250" i="14"/>
  <c r="I250" i="14"/>
  <c r="H250" i="14" s="1"/>
  <c r="M319" i="14"/>
  <c r="K319" i="14"/>
  <c r="H319" i="14"/>
  <c r="P332" i="14"/>
  <c r="H267" i="14"/>
  <c r="K267" i="14"/>
  <c r="M267" i="14"/>
  <c r="H283" i="14"/>
  <c r="K283" i="14"/>
  <c r="M283" i="14"/>
  <c r="L206" i="14"/>
  <c r="J206" i="14"/>
  <c r="I206" i="14"/>
  <c r="H206" i="14" s="1"/>
  <c r="O220" i="14"/>
  <c r="L220" i="14"/>
  <c r="P337" i="14"/>
  <c r="P316" i="14"/>
  <c r="P269" i="14"/>
  <c r="O191" i="14"/>
  <c r="L191" i="14"/>
  <c r="J191" i="14"/>
  <c r="I191" i="14"/>
  <c r="O204" i="14"/>
  <c r="L204" i="14"/>
  <c r="J204" i="14"/>
  <c r="I204" i="14"/>
  <c r="M287" i="14"/>
  <c r="K287" i="14"/>
  <c r="H287" i="14"/>
  <c r="P126" i="14"/>
  <c r="L126" i="14" s="1"/>
  <c r="J125" i="14"/>
  <c r="O236" i="14"/>
  <c r="L236" i="14"/>
  <c r="J236" i="14"/>
  <c r="I236" i="14"/>
  <c r="P187" i="14"/>
  <c r="O186" i="14"/>
  <c r="L186" i="14"/>
  <c r="J186" i="14"/>
  <c r="I186" i="14"/>
  <c r="M186" i="14" s="1"/>
  <c r="M291" i="14"/>
  <c r="K291" i="14"/>
  <c r="H291" i="14"/>
  <c r="P285" i="14"/>
  <c r="M330" i="14"/>
  <c r="K330" i="14"/>
  <c r="H330" i="14"/>
  <c r="L238" i="14"/>
  <c r="J238" i="14"/>
  <c r="I238" i="14"/>
  <c r="M238" i="14" s="1"/>
  <c r="M275" i="14"/>
  <c r="K275" i="14"/>
  <c r="H275" i="14"/>
  <c r="P329" i="14"/>
  <c r="O211" i="14"/>
  <c r="L211" i="14"/>
  <c r="J211" i="14"/>
  <c r="I211" i="14"/>
  <c r="P321" i="14"/>
  <c r="L226" i="14"/>
  <c r="J226" i="14"/>
  <c r="P227" i="14"/>
  <c r="I226" i="14"/>
  <c r="K145" i="14"/>
  <c r="K116" i="14"/>
  <c r="I157" i="14"/>
  <c r="M157" i="14" s="1"/>
  <c r="L125" i="14"/>
  <c r="P305" i="14"/>
  <c r="K156" i="14"/>
  <c r="L258" i="14"/>
  <c r="J258" i="14"/>
  <c r="I258" i="14"/>
  <c r="L262" i="14"/>
  <c r="J262" i="14"/>
  <c r="I262" i="14"/>
  <c r="P289" i="14"/>
  <c r="P341" i="14"/>
  <c r="P313" i="14"/>
  <c r="M343" i="14"/>
  <c r="K343" i="14"/>
  <c r="H343" i="14"/>
  <c r="K113" i="14"/>
  <c r="O255" i="14"/>
  <c r="L255" i="14"/>
  <c r="J255" i="14"/>
  <c r="I255" i="14"/>
  <c r="L242" i="14"/>
  <c r="J242" i="14"/>
  <c r="I242" i="14"/>
  <c r="M140" i="14"/>
  <c r="L230" i="14"/>
  <c r="J230" i="14"/>
  <c r="I230" i="14"/>
  <c r="P273" i="14"/>
  <c r="H145" i="14"/>
  <c r="P239" i="14"/>
  <c r="P240" i="14" s="1"/>
  <c r="P297" i="14"/>
  <c r="P345" i="14"/>
  <c r="H299" i="14"/>
  <c r="K299" i="14"/>
  <c r="M299" i="14"/>
  <c r="L246" i="14"/>
  <c r="J246" i="14"/>
  <c r="I246" i="14"/>
  <c r="O223" i="14"/>
  <c r="L223" i="14"/>
  <c r="J223" i="14"/>
  <c r="I223" i="14"/>
  <c r="L214" i="14"/>
  <c r="J214" i="14"/>
  <c r="I214" i="14"/>
  <c r="H113" i="14"/>
  <c r="P207" i="14"/>
  <c r="P208" i="14" s="1"/>
  <c r="K210" i="14"/>
  <c r="H210" i="14"/>
  <c r="M339" i="14"/>
  <c r="K339" i="14"/>
  <c r="H339" i="14"/>
  <c r="M282" i="14"/>
  <c r="K282" i="14"/>
  <c r="H282" i="14"/>
  <c r="P301" i="14"/>
  <c r="I147" i="14"/>
  <c r="L147" i="14"/>
  <c r="O147" i="14"/>
  <c r="J147" i="14"/>
  <c r="L158" i="14"/>
  <c r="J158" i="14"/>
  <c r="I158" i="14"/>
  <c r="M158" i="14" s="1"/>
  <c r="O158" i="14"/>
  <c r="L121" i="14"/>
  <c r="I121" i="14"/>
  <c r="J121" i="14"/>
  <c r="M156" i="14"/>
  <c r="P166" i="14"/>
  <c r="L165" i="14"/>
  <c r="J165" i="14"/>
  <c r="I165" i="14"/>
  <c r="M149" i="14"/>
  <c r="K149" i="14"/>
  <c r="M203" i="14"/>
  <c r="K203" i="14"/>
  <c r="H203" i="14"/>
  <c r="P231" i="14"/>
  <c r="P135" i="14"/>
  <c r="L134" i="14"/>
  <c r="O134" i="14"/>
  <c r="J134" i="14"/>
  <c r="I134" i="14"/>
  <c r="M134" i="14" s="1"/>
  <c r="J178" i="14"/>
  <c r="I178" i="14"/>
  <c r="K178" i="14" s="1"/>
  <c r="L178" i="14"/>
  <c r="H202" i="14"/>
  <c r="M202" i="14"/>
  <c r="K202" i="14"/>
  <c r="P247" i="14"/>
  <c r="M133" i="14"/>
  <c r="K133" i="14"/>
  <c r="L105" i="14"/>
  <c r="J105" i="14"/>
  <c r="O105" i="14"/>
  <c r="I105" i="14"/>
  <c r="P179" i="14"/>
  <c r="K108" i="14"/>
  <c r="P224" i="14"/>
  <c r="J109" i="14"/>
  <c r="I109" i="14"/>
  <c r="L109" i="14"/>
  <c r="P192" i="14"/>
  <c r="O142" i="14"/>
  <c r="L142" i="14"/>
  <c r="J142" i="14"/>
  <c r="I142" i="14"/>
  <c r="P212" i="14"/>
  <c r="H125" i="14"/>
  <c r="M108" i="14"/>
  <c r="M222" i="14"/>
  <c r="K222" i="14"/>
  <c r="H222" i="14"/>
  <c r="L137" i="14"/>
  <c r="J137" i="14"/>
  <c r="I137" i="14"/>
  <c r="I163" i="14"/>
  <c r="L163" i="14"/>
  <c r="O163" i="14"/>
  <c r="J163" i="14"/>
  <c r="P215" i="14"/>
  <c r="P151" i="14"/>
  <c r="L150" i="14"/>
  <c r="J150" i="14"/>
  <c r="I150" i="14"/>
  <c r="K150" i="14" s="1"/>
  <c r="M177" i="14"/>
  <c r="K177" i="14"/>
  <c r="M190" i="14"/>
  <c r="K190" i="14"/>
  <c r="H190" i="14"/>
  <c r="M219" i="14"/>
  <c r="K219" i="14"/>
  <c r="H219" i="14"/>
  <c r="I115" i="14"/>
  <c r="L115" i="14"/>
  <c r="O115" i="14"/>
  <c r="J115" i="14"/>
  <c r="P259" i="14"/>
  <c r="P159" i="14"/>
  <c r="M193" i="14"/>
  <c r="K193" i="14"/>
  <c r="H193" i="14"/>
  <c r="P199" i="14"/>
  <c r="P243" i="14"/>
  <c r="K125" i="14"/>
  <c r="M257" i="14"/>
  <c r="K257" i="14"/>
  <c r="H257" i="14"/>
  <c r="O146" i="14"/>
  <c r="J146" i="14"/>
  <c r="I146" i="14"/>
  <c r="K146" i="14" s="1"/>
  <c r="L146" i="14"/>
  <c r="P110" i="14"/>
  <c r="P111" i="14" s="1"/>
  <c r="K172" i="14"/>
  <c r="P256" i="14"/>
  <c r="L181" i="14"/>
  <c r="P182" i="14"/>
  <c r="J181" i="14"/>
  <c r="I181" i="14"/>
  <c r="L118" i="14"/>
  <c r="O118" i="14"/>
  <c r="J118" i="14"/>
  <c r="I118" i="14"/>
  <c r="H118" i="14" s="1"/>
  <c r="J141" i="14"/>
  <c r="I141" i="14"/>
  <c r="K141" i="14" s="1"/>
  <c r="L141" i="14"/>
  <c r="O130" i="14"/>
  <c r="J130" i="14"/>
  <c r="I130" i="14"/>
  <c r="M130" i="14" s="1"/>
  <c r="L130" i="14"/>
  <c r="L169" i="14"/>
  <c r="I169" i="14"/>
  <c r="J169" i="14"/>
  <c r="M172" i="14"/>
  <c r="H234" i="14"/>
  <c r="M234" i="14"/>
  <c r="K234" i="14"/>
  <c r="P263" i="14"/>
  <c r="O114" i="14"/>
  <c r="J114" i="14"/>
  <c r="I114" i="14"/>
  <c r="M114" i="14" s="1"/>
  <c r="L114" i="14"/>
  <c r="I131" i="14"/>
  <c r="L131" i="14"/>
  <c r="O131" i="14"/>
  <c r="J131" i="14"/>
  <c r="J126" i="14"/>
  <c r="I126" i="14"/>
  <c r="O174" i="14"/>
  <c r="L174" i="14"/>
  <c r="J174" i="14"/>
  <c r="I174" i="14"/>
  <c r="L153" i="14"/>
  <c r="J153" i="14"/>
  <c r="O153" i="14"/>
  <c r="I153" i="14"/>
  <c r="M261" i="14"/>
  <c r="K261" i="14"/>
  <c r="H261" i="14"/>
  <c r="M235" i="14"/>
  <c r="K235" i="14"/>
  <c r="H235" i="14"/>
  <c r="M173" i="14"/>
  <c r="K173" i="14"/>
  <c r="H173" i="14"/>
  <c r="P106" i="14"/>
  <c r="M168" i="14"/>
  <c r="K168" i="14"/>
  <c r="H168" i="14"/>
  <c r="M120" i="14"/>
  <c r="K120" i="14"/>
  <c r="H120" i="14"/>
  <c r="M162" i="14"/>
  <c r="K162" i="14"/>
  <c r="H162" i="14"/>
  <c r="P127" i="14"/>
  <c r="P154" i="14"/>
  <c r="P170" i="14"/>
  <c r="P175" i="14"/>
  <c r="P138" i="14"/>
  <c r="P143" i="14"/>
  <c r="P122" i="14"/>
  <c r="S67" i="13"/>
  <c r="X65" i="13"/>
  <c r="I84" i="13"/>
  <c r="O298" i="14" s="1"/>
  <c r="I64" i="13"/>
  <c r="O233" i="14" s="1"/>
  <c r="X118" i="13"/>
  <c r="I105" i="13"/>
  <c r="O367" i="14" s="1"/>
  <c r="N103" i="13"/>
  <c r="O360" i="14" s="1"/>
  <c r="X85" i="13"/>
  <c r="I116" i="13"/>
  <c r="O411" i="14" s="1"/>
  <c r="N113" i="13"/>
  <c r="O400" i="14" s="1"/>
  <c r="N91" i="13"/>
  <c r="O327" i="14" s="1"/>
  <c r="I52" i="13"/>
  <c r="O185" i="14" s="1"/>
  <c r="I66" i="13"/>
  <c r="O241" i="14" s="1"/>
  <c r="X91" i="13"/>
  <c r="X37" i="13"/>
  <c r="S52" i="13"/>
  <c r="I68" i="13"/>
  <c r="O249" i="14" s="1"/>
  <c r="X68" i="13"/>
  <c r="I76" i="13"/>
  <c r="O266" i="14" s="1"/>
  <c r="I86" i="13"/>
  <c r="O306" i="14" s="1"/>
  <c r="I46" i="13"/>
  <c r="O176" i="14" s="1"/>
  <c r="X53" i="13"/>
  <c r="X46" i="13"/>
  <c r="I91" i="13"/>
  <c r="O326" i="14" s="1"/>
  <c r="N84" i="13"/>
  <c r="O299" i="14" s="1"/>
  <c r="N54" i="13"/>
  <c r="O194" i="14" s="1"/>
  <c r="I100" i="13"/>
  <c r="O347" i="14" s="1"/>
  <c r="S109" i="13"/>
  <c r="N47" i="13"/>
  <c r="O181" i="14" s="1"/>
  <c r="N65" i="13"/>
  <c r="O238" i="14" s="1"/>
  <c r="X92" i="13"/>
  <c r="S66" i="13"/>
  <c r="X105" i="13"/>
  <c r="S32" i="13"/>
  <c r="N64" i="13"/>
  <c r="X82" i="13"/>
  <c r="S114" i="13"/>
  <c r="X62" i="13"/>
  <c r="S86" i="13"/>
  <c r="S102" i="13"/>
  <c r="X104" i="13"/>
  <c r="I33" i="13"/>
  <c r="O124" i="14" s="1"/>
  <c r="S46" i="13"/>
  <c r="O178" i="14" s="1"/>
  <c r="X31" i="13"/>
  <c r="S108" i="13"/>
  <c r="I112" i="13"/>
  <c r="O395" i="14" s="1"/>
  <c r="I42" i="13"/>
  <c r="O160" i="14" s="1"/>
  <c r="X81" i="13"/>
  <c r="X100" i="13"/>
  <c r="N100" i="13"/>
  <c r="X44" i="13"/>
  <c r="N92" i="13"/>
  <c r="O331" i="14" s="1"/>
  <c r="S90" i="13"/>
  <c r="X40" i="13"/>
  <c r="N66" i="13"/>
  <c r="O242" i="14" s="1"/>
  <c r="S91" i="13"/>
  <c r="N112" i="13"/>
  <c r="N42" i="13"/>
  <c r="O161" i="14" s="1"/>
  <c r="I40" i="13"/>
  <c r="O152" i="14" s="1"/>
  <c r="N39" i="13"/>
  <c r="O149" i="14" s="1"/>
  <c r="I92" i="13"/>
  <c r="O330" i="14" s="1"/>
  <c r="I111" i="13"/>
  <c r="O391" i="14" s="1"/>
  <c r="X117" i="13"/>
  <c r="X83" i="13"/>
  <c r="X108" i="13"/>
  <c r="N108" i="13"/>
  <c r="O380" i="14" s="1"/>
  <c r="X109" i="13"/>
  <c r="I94" i="13"/>
  <c r="O338" i="14" s="1"/>
  <c r="I85" i="13"/>
  <c r="O302" i="14" s="1"/>
  <c r="S85" i="13"/>
  <c r="S42" i="13"/>
  <c r="N85" i="13"/>
  <c r="O303" i="14" s="1"/>
  <c r="X113" i="13"/>
  <c r="S118" i="13"/>
  <c r="O421" i="14" s="1"/>
  <c r="S111" i="13"/>
  <c r="O393" i="14" s="1"/>
  <c r="N104" i="13"/>
  <c r="O364" i="14" s="1"/>
  <c r="S113" i="13"/>
  <c r="X86" i="13"/>
  <c r="X112" i="13"/>
  <c r="N60" i="13"/>
  <c r="O218" i="14" s="1"/>
  <c r="X60" i="13"/>
  <c r="S78" i="13"/>
  <c r="I87" i="13"/>
  <c r="O310" i="14" s="1"/>
  <c r="N43" i="13"/>
  <c r="O165" i="14" s="1"/>
  <c r="S64" i="13"/>
  <c r="X90" i="13"/>
  <c r="S70" i="13"/>
  <c r="I60" i="13"/>
  <c r="O217" i="14" s="1"/>
  <c r="S43" i="13"/>
  <c r="S60" i="13"/>
  <c r="X39" i="13"/>
  <c r="X30" i="13"/>
  <c r="I43" i="13"/>
  <c r="O164" i="14" s="1"/>
  <c r="I90" i="13"/>
  <c r="O322" i="14" s="1"/>
  <c r="I103" i="13"/>
  <c r="O359" i="14" s="1"/>
  <c r="I110" i="13"/>
  <c r="O387" i="14" s="1"/>
  <c r="X107" i="13"/>
  <c r="I114" i="13"/>
  <c r="O403" i="14" s="1"/>
  <c r="N115" i="13"/>
  <c r="O408" i="14" s="1"/>
  <c r="N109" i="13"/>
  <c r="O384" i="14" s="1"/>
  <c r="N114" i="13"/>
  <c r="O404" i="14" s="1"/>
  <c r="X110" i="13"/>
  <c r="X114" i="13"/>
  <c r="I104" i="13"/>
  <c r="O363" i="14" s="1"/>
  <c r="I106" i="13"/>
  <c r="O371" i="14" s="1"/>
  <c r="S115" i="13"/>
  <c r="I109" i="13"/>
  <c r="O383" i="14" s="1"/>
  <c r="I119" i="13"/>
  <c r="O423" i="14" s="1"/>
  <c r="S104" i="13"/>
  <c r="N110" i="13"/>
  <c r="O388" i="14" s="1"/>
  <c r="N102" i="13"/>
  <c r="O356" i="14" s="1"/>
  <c r="S110" i="13"/>
  <c r="S103" i="13"/>
  <c r="N105" i="13"/>
  <c r="O368" i="14" s="1"/>
  <c r="I102" i="13"/>
  <c r="O355" i="14" s="1"/>
  <c r="I107" i="13"/>
  <c r="O375" i="14" s="1"/>
  <c r="X116" i="13"/>
  <c r="X119" i="13"/>
  <c r="O426" i="14" s="1"/>
  <c r="N106" i="13"/>
  <c r="O372" i="14" s="1"/>
  <c r="N101" i="13"/>
  <c r="O352" i="14" s="1"/>
  <c r="I101" i="13"/>
  <c r="O351" i="14" s="1"/>
  <c r="S101" i="13"/>
  <c r="N107" i="13"/>
  <c r="O376" i="14" s="1"/>
  <c r="S105" i="13"/>
  <c r="N118" i="13"/>
  <c r="O420" i="14" s="1"/>
  <c r="N116" i="13"/>
  <c r="O412" i="14" s="1"/>
  <c r="S106" i="13"/>
  <c r="I118" i="13"/>
  <c r="O419" i="14" s="1"/>
  <c r="S116" i="13"/>
  <c r="N117" i="13"/>
  <c r="O416" i="14" s="1"/>
  <c r="I117" i="13"/>
  <c r="O415" i="14" s="1"/>
  <c r="S117" i="13"/>
  <c r="X102" i="13"/>
  <c r="N119" i="13"/>
  <c r="O424" i="14" s="1"/>
  <c r="X103" i="13"/>
  <c r="S107" i="13"/>
  <c r="X111" i="13"/>
  <c r="S119" i="13"/>
  <c r="O425" i="14" s="1"/>
  <c r="X106" i="13"/>
  <c r="X101" i="13"/>
  <c r="N111" i="13"/>
  <c r="O392" i="14" s="1"/>
  <c r="N82" i="13"/>
  <c r="O291" i="14" s="1"/>
  <c r="I80" i="13"/>
  <c r="O282" i="14" s="1"/>
  <c r="X89" i="13"/>
  <c r="S82" i="13"/>
  <c r="I83" i="13"/>
  <c r="O294" i="14" s="1"/>
  <c r="N79" i="13"/>
  <c r="O279" i="14" s="1"/>
  <c r="I89" i="13"/>
  <c r="O318" i="14" s="1"/>
  <c r="N89" i="13"/>
  <c r="O319" i="14" s="1"/>
  <c r="S89" i="13"/>
  <c r="S92" i="13"/>
  <c r="N81" i="13"/>
  <c r="O287" i="14" s="1"/>
  <c r="I95" i="13"/>
  <c r="O342" i="14" s="1"/>
  <c r="I81" i="13"/>
  <c r="O286" i="14" s="1"/>
  <c r="N95" i="13"/>
  <c r="O343" i="14" s="1"/>
  <c r="N94" i="13"/>
  <c r="O339" i="14" s="1"/>
  <c r="X94" i="13"/>
  <c r="S87" i="13"/>
  <c r="O312" i="14" s="1"/>
  <c r="N83" i="13"/>
  <c r="O295" i="14" s="1"/>
  <c r="I82" i="13"/>
  <c r="O290" i="14" s="1"/>
  <c r="N87" i="13"/>
  <c r="O311" i="14" s="1"/>
  <c r="I79" i="13"/>
  <c r="O278" i="14" s="1"/>
  <c r="N80" i="13"/>
  <c r="O283" i="14" s="1"/>
  <c r="N78" i="13"/>
  <c r="O275" i="14" s="1"/>
  <c r="X79" i="13"/>
  <c r="X87" i="13"/>
  <c r="S81" i="13"/>
  <c r="X78" i="13"/>
  <c r="X80" i="13"/>
  <c r="I78" i="13"/>
  <c r="O274" i="14" s="1"/>
  <c r="X95" i="13"/>
  <c r="N93" i="13"/>
  <c r="O335" i="14" s="1"/>
  <c r="I93" i="13"/>
  <c r="O334" i="14" s="1"/>
  <c r="S93" i="13"/>
  <c r="S83" i="13"/>
  <c r="I77" i="13"/>
  <c r="O270" i="14" s="1"/>
  <c r="N77" i="13"/>
  <c r="O271" i="14" s="1"/>
  <c r="S77" i="13"/>
  <c r="S94" i="13"/>
  <c r="O340" i="14" s="1"/>
  <c r="S95" i="13"/>
  <c r="O344" i="14" s="1"/>
  <c r="S80" i="13"/>
  <c r="X77" i="13"/>
  <c r="S79" i="13"/>
  <c r="X93" i="13"/>
  <c r="S53" i="13"/>
  <c r="I62" i="13"/>
  <c r="O225" i="14" s="1"/>
  <c r="S55" i="13"/>
  <c r="S71" i="13"/>
  <c r="N53" i="13"/>
  <c r="O190" i="14" s="1"/>
  <c r="I58" i="13"/>
  <c r="O209" i="14" s="1"/>
  <c r="I53" i="13"/>
  <c r="O189" i="14" s="1"/>
  <c r="X58" i="13"/>
  <c r="I63" i="13"/>
  <c r="O229" i="14" s="1"/>
  <c r="N58" i="13"/>
  <c r="O210" i="14" s="1"/>
  <c r="N62" i="13"/>
  <c r="O226" i="14" s="1"/>
  <c r="S56" i="13"/>
  <c r="I59" i="13"/>
  <c r="O213" i="14" s="1"/>
  <c r="X55" i="13"/>
  <c r="X71" i="13"/>
  <c r="I69" i="13"/>
  <c r="O253" i="14" s="1"/>
  <c r="N59" i="13"/>
  <c r="O214" i="14" s="1"/>
  <c r="X56" i="13"/>
  <c r="S63" i="13"/>
  <c r="I55" i="13"/>
  <c r="O197" i="14" s="1"/>
  <c r="N69" i="13"/>
  <c r="O254" i="14" s="1"/>
  <c r="S59" i="13"/>
  <c r="N70" i="13"/>
  <c r="O258" i="14" s="1"/>
  <c r="N71" i="13"/>
  <c r="O262" i="14" s="1"/>
  <c r="S69" i="13"/>
  <c r="I54" i="13"/>
  <c r="O193" i="14" s="1"/>
  <c r="I70" i="13"/>
  <c r="O257" i="14" s="1"/>
  <c r="X59" i="13"/>
  <c r="I71" i="13"/>
  <c r="O261" i="14" s="1"/>
  <c r="I56" i="13"/>
  <c r="O201" i="14" s="1"/>
  <c r="N55" i="13"/>
  <c r="O198" i="14" s="1"/>
  <c r="X54" i="13"/>
  <c r="S54" i="13"/>
  <c r="X70" i="13"/>
  <c r="N63" i="13"/>
  <c r="O230" i="14" s="1"/>
  <c r="X63" i="13"/>
  <c r="S33" i="13"/>
  <c r="S41" i="13"/>
  <c r="X35" i="13"/>
  <c r="N36" i="13"/>
  <c r="O137" i="14" s="1"/>
  <c r="S38" i="13"/>
  <c r="X38" i="13"/>
  <c r="I32" i="13"/>
  <c r="O120" i="14" s="1"/>
  <c r="N45" i="13"/>
  <c r="O173" i="14" s="1"/>
  <c r="S30" i="13"/>
  <c r="N41" i="13"/>
  <c r="O157" i="14" s="1"/>
  <c r="N38" i="13"/>
  <c r="O145" i="14" s="1"/>
  <c r="X47" i="13"/>
  <c r="N31" i="13"/>
  <c r="O117" i="14" s="1"/>
  <c r="S40" i="13"/>
  <c r="I47" i="13"/>
  <c r="O180" i="14" s="1"/>
  <c r="I31" i="13"/>
  <c r="O116" i="14" s="1"/>
  <c r="I41" i="13"/>
  <c r="O156" i="14" s="1"/>
  <c r="S44" i="13"/>
  <c r="N44" i="13"/>
  <c r="O169" i="14" s="1"/>
  <c r="X32" i="13"/>
  <c r="X33" i="13"/>
  <c r="I39" i="13"/>
  <c r="O148" i="14" s="1"/>
  <c r="I34" i="13"/>
  <c r="O128" i="14" s="1"/>
  <c r="I37" i="13"/>
  <c r="O140" i="14" s="1"/>
  <c r="S35" i="13"/>
  <c r="I45" i="13"/>
  <c r="O172" i="14" s="1"/>
  <c r="S39" i="13"/>
  <c r="O150" i="14" s="1"/>
  <c r="I35" i="13"/>
  <c r="O132" i="14" s="1"/>
  <c r="N46" i="13"/>
  <c r="O177" i="14" s="1"/>
  <c r="I30" i="13"/>
  <c r="O112" i="14" s="1"/>
  <c r="S36" i="13"/>
  <c r="N32" i="13"/>
  <c r="O121" i="14" s="1"/>
  <c r="S47" i="13"/>
  <c r="N29" i="13"/>
  <c r="O109" i="14" s="1"/>
  <c r="X41" i="13"/>
  <c r="I29" i="13"/>
  <c r="O108" i="14" s="1"/>
  <c r="X29" i="13"/>
  <c r="N34" i="13"/>
  <c r="O129" i="14" s="1"/>
  <c r="N30" i="13"/>
  <c r="O113" i="14" s="1"/>
  <c r="S45" i="13"/>
  <c r="X36" i="13"/>
  <c r="S31" i="13"/>
  <c r="N35" i="13"/>
  <c r="O133" i="14" s="1"/>
  <c r="S34" i="13"/>
  <c r="S37" i="13"/>
  <c r="X45" i="13"/>
  <c r="N37" i="13"/>
  <c r="O141" i="14" s="1"/>
  <c r="I44" i="13"/>
  <c r="O168" i="14" s="1"/>
  <c r="N33" i="13"/>
  <c r="O125" i="14" s="1"/>
  <c r="S29" i="13"/>
  <c r="K314" i="14" l="1"/>
  <c r="H128" i="14"/>
  <c r="K128" i="14"/>
  <c r="K225" i="14"/>
  <c r="H152" i="14"/>
  <c r="K152" i="14"/>
  <c r="K307" i="14"/>
  <c r="H241" i="14"/>
  <c r="K241" i="14"/>
  <c r="H266" i="14"/>
  <c r="H298" i="14"/>
  <c r="K266" i="14"/>
  <c r="K298" i="14"/>
  <c r="M104" i="14"/>
  <c r="K136" i="14"/>
  <c r="M400" i="14"/>
  <c r="H104" i="14"/>
  <c r="M225" i="14"/>
  <c r="M307" i="14"/>
  <c r="H209" i="14"/>
  <c r="H314" i="14"/>
  <c r="K209" i="14"/>
  <c r="K144" i="14"/>
  <c r="H400" i="14"/>
  <c r="M221" i="14"/>
  <c r="K221" i="14"/>
  <c r="H221" i="14"/>
  <c r="H237" i="14"/>
  <c r="M237" i="14"/>
  <c r="K237" i="14"/>
  <c r="M185" i="14"/>
  <c r="H185" i="14"/>
  <c r="K185" i="14"/>
  <c r="M249" i="14"/>
  <c r="H249" i="14"/>
  <c r="K249" i="14"/>
  <c r="K379" i="14"/>
  <c r="H379" i="14"/>
  <c r="M379" i="14"/>
  <c r="H161" i="14"/>
  <c r="H254" i="14"/>
  <c r="M201" i="14"/>
  <c r="H201" i="14"/>
  <c r="K201" i="14"/>
  <c r="K254" i="14"/>
  <c r="M233" i="14"/>
  <c r="H233" i="14"/>
  <c r="K233" i="14"/>
  <c r="M347" i="14"/>
  <c r="H347" i="14"/>
  <c r="K347" i="14"/>
  <c r="K161" i="14"/>
  <c r="H395" i="14"/>
  <c r="M395" i="14"/>
  <c r="K395" i="14"/>
  <c r="H323" i="14"/>
  <c r="K323" i="14"/>
  <c r="H136" i="14"/>
  <c r="M144" i="14"/>
  <c r="H186" i="14"/>
  <c r="M218" i="14"/>
  <c r="H276" i="14"/>
  <c r="M292" i="14"/>
  <c r="M178" i="14"/>
  <c r="H327" i="14"/>
  <c r="M117" i="14"/>
  <c r="M327" i="14"/>
  <c r="K311" i="14"/>
  <c r="M311" i="14"/>
  <c r="H295" i="14"/>
  <c r="M308" i="14"/>
  <c r="M276" i="14"/>
  <c r="H238" i="14"/>
  <c r="H146" i="14"/>
  <c r="H218" i="14"/>
  <c r="H134" i="14"/>
  <c r="K250" i="14"/>
  <c r="H324" i="14"/>
  <c r="K295" i="14"/>
  <c r="M250" i="14"/>
  <c r="K308" i="14"/>
  <c r="K324" i="14"/>
  <c r="K114" i="14"/>
  <c r="M271" i="14"/>
  <c r="K292" i="14"/>
  <c r="K238" i="14"/>
  <c r="M279" i="14"/>
  <c r="H303" i="14"/>
  <c r="K206" i="14"/>
  <c r="K303" i="14"/>
  <c r="M206" i="14"/>
  <c r="K186" i="14"/>
  <c r="O301" i="14"/>
  <c r="J301" i="14"/>
  <c r="I301" i="14"/>
  <c r="L301" i="14"/>
  <c r="L277" i="14"/>
  <c r="I277" i="14"/>
  <c r="K277" i="14" s="1"/>
  <c r="O277" i="14"/>
  <c r="J277" i="14"/>
  <c r="L280" i="14"/>
  <c r="O280" i="14"/>
  <c r="J280" i="14"/>
  <c r="I280" i="14"/>
  <c r="K280" i="14" s="1"/>
  <c r="M356" i="14"/>
  <c r="K356" i="14"/>
  <c r="H356" i="14"/>
  <c r="K134" i="14"/>
  <c r="O345" i="14"/>
  <c r="L345" i="14"/>
  <c r="J345" i="14"/>
  <c r="I345" i="14"/>
  <c r="M382" i="14"/>
  <c r="K382" i="14"/>
  <c r="H382" i="14"/>
  <c r="M420" i="14"/>
  <c r="K420" i="14"/>
  <c r="H420" i="14"/>
  <c r="M353" i="14"/>
  <c r="K353" i="14"/>
  <c r="H353" i="14"/>
  <c r="P358" i="14"/>
  <c r="L341" i="14"/>
  <c r="O341" i="14"/>
  <c r="I341" i="14"/>
  <c r="J341" i="14"/>
  <c r="O305" i="14"/>
  <c r="L305" i="14"/>
  <c r="J305" i="14"/>
  <c r="I305" i="14"/>
  <c r="O297" i="14"/>
  <c r="L297" i="14"/>
  <c r="J297" i="14"/>
  <c r="I297" i="14"/>
  <c r="O269" i="14"/>
  <c r="J269" i="14"/>
  <c r="I269" i="14"/>
  <c r="L269" i="14"/>
  <c r="H335" i="14"/>
  <c r="P281" i="14"/>
  <c r="P422" i="14"/>
  <c r="M372" i="14"/>
  <c r="K372" i="14"/>
  <c r="H372" i="14"/>
  <c r="O289" i="14"/>
  <c r="L289" i="14"/>
  <c r="J289" i="14"/>
  <c r="I289" i="14"/>
  <c r="O329" i="14"/>
  <c r="L329" i="14"/>
  <c r="J329" i="14"/>
  <c r="I329" i="14"/>
  <c r="P390" i="14"/>
  <c r="M385" i="14"/>
  <c r="K385" i="14"/>
  <c r="H385" i="14"/>
  <c r="O316" i="14"/>
  <c r="J316" i="14"/>
  <c r="I316" i="14"/>
  <c r="L316" i="14"/>
  <c r="K335" i="14"/>
  <c r="H271" i="14"/>
  <c r="M414" i="14"/>
  <c r="K414" i="14"/>
  <c r="H414" i="14"/>
  <c r="M398" i="14"/>
  <c r="K398" i="14"/>
  <c r="H398" i="14"/>
  <c r="P374" i="14"/>
  <c r="M417" i="14"/>
  <c r="K417" i="14"/>
  <c r="H417" i="14"/>
  <c r="M401" i="14"/>
  <c r="K401" i="14"/>
  <c r="H401" i="14"/>
  <c r="H117" i="14"/>
  <c r="O321" i="14"/>
  <c r="L321" i="14"/>
  <c r="J321" i="14"/>
  <c r="I321" i="14"/>
  <c r="O285" i="14"/>
  <c r="J285" i="14"/>
  <c r="I285" i="14"/>
  <c r="L285" i="14"/>
  <c r="M369" i="14"/>
  <c r="K369" i="14"/>
  <c r="H369" i="14"/>
  <c r="M404" i="14"/>
  <c r="K404" i="14"/>
  <c r="H404" i="14"/>
  <c r="M350" i="14"/>
  <c r="K350" i="14"/>
  <c r="H350" i="14"/>
  <c r="M366" i="14"/>
  <c r="K366" i="14"/>
  <c r="H366" i="14"/>
  <c r="O337" i="14"/>
  <c r="L337" i="14"/>
  <c r="J337" i="14"/>
  <c r="I337" i="14"/>
  <c r="O273" i="14"/>
  <c r="L273" i="14"/>
  <c r="J273" i="14"/>
  <c r="I273" i="14"/>
  <c r="H114" i="14"/>
  <c r="O126" i="14"/>
  <c r="H279" i="14"/>
  <c r="I220" i="14"/>
  <c r="M220" i="14" s="1"/>
  <c r="L332" i="14"/>
  <c r="O332" i="14"/>
  <c r="J332" i="14"/>
  <c r="I332" i="14"/>
  <c r="M388" i="14"/>
  <c r="K388" i="14"/>
  <c r="H388" i="14"/>
  <c r="P406" i="14"/>
  <c r="O313" i="14"/>
  <c r="L313" i="14"/>
  <c r="J313" i="14"/>
  <c r="I313" i="14"/>
  <c r="O208" i="14"/>
  <c r="L208" i="14"/>
  <c r="J208" i="14"/>
  <c r="I208" i="14"/>
  <c r="O240" i="14"/>
  <c r="L240" i="14"/>
  <c r="J240" i="14"/>
  <c r="I240" i="14"/>
  <c r="H315" i="14"/>
  <c r="K315" i="14"/>
  <c r="M315" i="14"/>
  <c r="H331" i="14"/>
  <c r="M331" i="14"/>
  <c r="K331" i="14"/>
  <c r="H130" i="14"/>
  <c r="O224" i="14"/>
  <c r="L224" i="14"/>
  <c r="J224" i="14"/>
  <c r="I224" i="14"/>
  <c r="M272" i="14"/>
  <c r="K272" i="14"/>
  <c r="H272" i="14"/>
  <c r="M288" i="14"/>
  <c r="K288" i="14"/>
  <c r="H288" i="14"/>
  <c r="K325" i="14"/>
  <c r="H325" i="14"/>
  <c r="M325" i="14"/>
  <c r="P317" i="14"/>
  <c r="K130" i="14"/>
  <c r="M226" i="14"/>
  <c r="H226" i="14"/>
  <c r="K226" i="14"/>
  <c r="K328" i="14"/>
  <c r="H328" i="14"/>
  <c r="M328" i="14"/>
  <c r="O187" i="14"/>
  <c r="L187" i="14"/>
  <c r="J187" i="14"/>
  <c r="I187" i="14"/>
  <c r="P188" i="14"/>
  <c r="P333" i="14"/>
  <c r="O212" i="14"/>
  <c r="L212" i="14"/>
  <c r="J212" i="14"/>
  <c r="I212" i="14"/>
  <c r="O227" i="14"/>
  <c r="L227" i="14"/>
  <c r="J227" i="14"/>
  <c r="I227" i="14"/>
  <c r="P228" i="14"/>
  <c r="M284" i="14"/>
  <c r="K284" i="14"/>
  <c r="H284" i="14"/>
  <c r="K309" i="14"/>
  <c r="H309" i="14"/>
  <c r="M309" i="14"/>
  <c r="H178" i="14"/>
  <c r="K344" i="14"/>
  <c r="H344" i="14"/>
  <c r="M344" i="14"/>
  <c r="M336" i="14"/>
  <c r="K336" i="14"/>
  <c r="H336" i="14"/>
  <c r="O251" i="14"/>
  <c r="L251" i="14"/>
  <c r="J251" i="14"/>
  <c r="I251" i="14"/>
  <c r="P252" i="14"/>
  <c r="H157" i="14"/>
  <c r="O263" i="14"/>
  <c r="L263" i="14"/>
  <c r="J263" i="14"/>
  <c r="I263" i="14"/>
  <c r="O199" i="14"/>
  <c r="L199" i="14"/>
  <c r="J199" i="14"/>
  <c r="I199" i="14"/>
  <c r="O195" i="14"/>
  <c r="L195" i="14"/>
  <c r="J195" i="14"/>
  <c r="I195" i="14"/>
  <c r="P196" i="14"/>
  <c r="K157" i="14"/>
  <c r="O256" i="14"/>
  <c r="L256" i="14"/>
  <c r="J256" i="14"/>
  <c r="I256" i="14"/>
  <c r="O231" i="14"/>
  <c r="L231" i="14"/>
  <c r="J231" i="14"/>
  <c r="I231" i="14"/>
  <c r="M320" i="14"/>
  <c r="K320" i="14"/>
  <c r="H320" i="14"/>
  <c r="M194" i="14"/>
  <c r="H194" i="14"/>
  <c r="K194" i="14"/>
  <c r="O243" i="14"/>
  <c r="L243" i="14"/>
  <c r="J243" i="14"/>
  <c r="I243" i="14"/>
  <c r="M268" i="14"/>
  <c r="K268" i="14"/>
  <c r="H268" i="14"/>
  <c r="O192" i="14"/>
  <c r="L192" i="14"/>
  <c r="J192" i="14"/>
  <c r="I192" i="14"/>
  <c r="K296" i="14"/>
  <c r="H296" i="14"/>
  <c r="M296" i="14"/>
  <c r="K312" i="14"/>
  <c r="H312" i="14"/>
  <c r="M312" i="14"/>
  <c r="M304" i="14"/>
  <c r="K304" i="14"/>
  <c r="H304" i="14"/>
  <c r="O247" i="14"/>
  <c r="L247" i="14"/>
  <c r="J247" i="14"/>
  <c r="I247" i="14"/>
  <c r="M300" i="14"/>
  <c r="K300" i="14"/>
  <c r="H300" i="14"/>
  <c r="O259" i="14"/>
  <c r="L259" i="14"/>
  <c r="J259" i="14"/>
  <c r="I259" i="14"/>
  <c r="O239" i="14"/>
  <c r="L239" i="14"/>
  <c r="J239" i="14"/>
  <c r="I239" i="14"/>
  <c r="M239" i="14" s="1"/>
  <c r="M340" i="14"/>
  <c r="K340" i="14"/>
  <c r="H340" i="14"/>
  <c r="K293" i="14"/>
  <c r="H293" i="14"/>
  <c r="M293" i="14"/>
  <c r="O215" i="14"/>
  <c r="L215" i="14"/>
  <c r="J215" i="14"/>
  <c r="I215" i="14"/>
  <c r="O207" i="14"/>
  <c r="L207" i="14"/>
  <c r="J207" i="14"/>
  <c r="I207" i="14"/>
  <c r="M207" i="14" s="1"/>
  <c r="L111" i="14"/>
  <c r="O111" i="14"/>
  <c r="J111" i="14"/>
  <c r="I111" i="14"/>
  <c r="M150" i="14"/>
  <c r="M255" i="14"/>
  <c r="K255" i="14"/>
  <c r="H255" i="14"/>
  <c r="H150" i="14"/>
  <c r="O170" i="14"/>
  <c r="J170" i="14"/>
  <c r="I170" i="14"/>
  <c r="L170" i="14"/>
  <c r="M146" i="14"/>
  <c r="M118" i="14"/>
  <c r="H158" i="14"/>
  <c r="P216" i="14"/>
  <c r="L119" i="14"/>
  <c r="O119" i="14"/>
  <c r="J119" i="14"/>
  <c r="I119" i="14"/>
  <c r="K158" i="14"/>
  <c r="M242" i="14"/>
  <c r="K242" i="14"/>
  <c r="H242" i="14"/>
  <c r="M109" i="14"/>
  <c r="K109" i="14"/>
  <c r="H109" i="14"/>
  <c r="K118" i="14"/>
  <c r="L159" i="14"/>
  <c r="O159" i="14"/>
  <c r="J159" i="14"/>
  <c r="I159" i="14"/>
  <c r="H159" i="14" s="1"/>
  <c r="M246" i="14"/>
  <c r="K246" i="14"/>
  <c r="H246" i="14"/>
  <c r="L135" i="14"/>
  <c r="O135" i="14"/>
  <c r="J135" i="14"/>
  <c r="I135" i="14"/>
  <c r="M141" i="14"/>
  <c r="L175" i="14"/>
  <c r="O175" i="14"/>
  <c r="J175" i="14"/>
  <c r="I175" i="14"/>
  <c r="P244" i="14"/>
  <c r="M258" i="14"/>
  <c r="K258" i="14"/>
  <c r="H258" i="14"/>
  <c r="P167" i="14"/>
  <c r="L166" i="14"/>
  <c r="O166" i="14"/>
  <c r="J166" i="14"/>
  <c r="I166" i="14"/>
  <c r="O138" i="14"/>
  <c r="J138" i="14"/>
  <c r="I138" i="14"/>
  <c r="L138" i="14"/>
  <c r="P248" i="14"/>
  <c r="P232" i="14"/>
  <c r="M165" i="14"/>
  <c r="K165" i="14"/>
  <c r="H165" i="14"/>
  <c r="P260" i="14"/>
  <c r="M191" i="14"/>
  <c r="K191" i="14"/>
  <c r="H191" i="14"/>
  <c r="M223" i="14"/>
  <c r="K223" i="14"/>
  <c r="H223" i="14"/>
  <c r="M230" i="14"/>
  <c r="K230" i="14"/>
  <c r="H230" i="14"/>
  <c r="O154" i="14"/>
  <c r="J154" i="14"/>
  <c r="I154" i="14"/>
  <c r="L154" i="14"/>
  <c r="L127" i="14"/>
  <c r="O127" i="14"/>
  <c r="J127" i="14"/>
  <c r="I127" i="14"/>
  <c r="P264" i="14"/>
  <c r="M211" i="14"/>
  <c r="K211" i="14"/>
  <c r="H211" i="14"/>
  <c r="M262" i="14"/>
  <c r="K262" i="14"/>
  <c r="H262" i="14"/>
  <c r="L110" i="14"/>
  <c r="O110" i="14"/>
  <c r="J110" i="14"/>
  <c r="I110" i="14"/>
  <c r="M110" i="14" s="1"/>
  <c r="P200" i="14"/>
  <c r="I179" i="14"/>
  <c r="M179" i="14" s="1"/>
  <c r="L179" i="14"/>
  <c r="O179" i="14"/>
  <c r="J179" i="14"/>
  <c r="O106" i="14"/>
  <c r="J106" i="14"/>
  <c r="I106" i="14"/>
  <c r="L106" i="14"/>
  <c r="M204" i="14"/>
  <c r="K204" i="14"/>
  <c r="H204" i="14"/>
  <c r="O122" i="14"/>
  <c r="J122" i="14"/>
  <c r="I122" i="14"/>
  <c r="L122" i="14"/>
  <c r="H141" i="14"/>
  <c r="P183" i="14"/>
  <c r="L182" i="14"/>
  <c r="O182" i="14"/>
  <c r="J182" i="14"/>
  <c r="I182" i="14"/>
  <c r="M198" i="14"/>
  <c r="K198" i="14"/>
  <c r="H198" i="14"/>
  <c r="L151" i="14"/>
  <c r="O151" i="14"/>
  <c r="J151" i="14"/>
  <c r="I151" i="14"/>
  <c r="M181" i="14"/>
  <c r="K181" i="14"/>
  <c r="H181" i="14"/>
  <c r="L143" i="14"/>
  <c r="O143" i="14"/>
  <c r="J143" i="14"/>
  <c r="I143" i="14"/>
  <c r="M214" i="14"/>
  <c r="K214" i="14"/>
  <c r="H214" i="14"/>
  <c r="M236" i="14"/>
  <c r="K236" i="14"/>
  <c r="H236" i="14"/>
  <c r="H137" i="14"/>
  <c r="K137" i="14"/>
  <c r="M137" i="14"/>
  <c r="P139" i="14"/>
  <c r="H169" i="14"/>
  <c r="K169" i="14"/>
  <c r="M169" i="14"/>
  <c r="H121" i="14"/>
  <c r="M121" i="14"/>
  <c r="K121" i="14"/>
  <c r="M174" i="14"/>
  <c r="K174" i="14"/>
  <c r="H174" i="14"/>
  <c r="P171" i="14"/>
  <c r="P123" i="14"/>
  <c r="K131" i="14"/>
  <c r="H131" i="14"/>
  <c r="M131" i="14"/>
  <c r="M142" i="14"/>
  <c r="K142" i="14"/>
  <c r="H142" i="14"/>
  <c r="H153" i="14"/>
  <c r="M153" i="14"/>
  <c r="K153" i="14"/>
  <c r="K115" i="14"/>
  <c r="H115" i="14"/>
  <c r="M115" i="14"/>
  <c r="P155" i="14"/>
  <c r="H105" i="14"/>
  <c r="K105" i="14"/>
  <c r="M105" i="14"/>
  <c r="K163" i="14"/>
  <c r="H163" i="14"/>
  <c r="M163" i="14"/>
  <c r="K147" i="14"/>
  <c r="H147" i="14"/>
  <c r="M147" i="14"/>
  <c r="M126" i="14"/>
  <c r="K126" i="14"/>
  <c r="H126" i="14"/>
  <c r="P107" i="14"/>
  <c r="T50" i="7"/>
  <c r="T49" i="7"/>
  <c r="T48" i="7"/>
  <c r="T47" i="7"/>
  <c r="T46" i="7"/>
  <c r="T45" i="7"/>
  <c r="T44" i="7"/>
  <c r="T43" i="7"/>
  <c r="T42" i="7"/>
  <c r="T41" i="7"/>
  <c r="T40" i="7"/>
  <c r="T39" i="7"/>
  <c r="Y35" i="7"/>
  <c r="T35" i="7"/>
  <c r="Y34" i="7"/>
  <c r="T34" i="7"/>
  <c r="Y33" i="7"/>
  <c r="T33" i="7"/>
  <c r="Y32" i="7"/>
  <c r="T32" i="7"/>
  <c r="Y31" i="7"/>
  <c r="T31" i="7"/>
  <c r="Y30" i="7"/>
  <c r="T30" i="7"/>
  <c r="O29" i="7"/>
  <c r="O28" i="7"/>
  <c r="O27" i="7"/>
  <c r="Y26" i="7"/>
  <c r="T26" i="7"/>
  <c r="Y25" i="7"/>
  <c r="T25" i="7"/>
  <c r="Y24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M280" i="14" l="1"/>
  <c r="H280" i="14"/>
  <c r="H207" i="14"/>
  <c r="H220" i="14"/>
  <c r="M277" i="14"/>
  <c r="K220" i="14"/>
  <c r="H277" i="14"/>
  <c r="K207" i="14"/>
  <c r="H402" i="14"/>
  <c r="M402" i="14"/>
  <c r="K402" i="14"/>
  <c r="H389" i="14"/>
  <c r="M389" i="14"/>
  <c r="K389" i="14"/>
  <c r="H418" i="14"/>
  <c r="M418" i="14"/>
  <c r="K418" i="14"/>
  <c r="H421" i="14"/>
  <c r="M421" i="14"/>
  <c r="K421" i="14"/>
  <c r="H386" i="14"/>
  <c r="M386" i="14"/>
  <c r="K386" i="14"/>
  <c r="O317" i="14"/>
  <c r="J317" i="14"/>
  <c r="I317" i="14"/>
  <c r="L317" i="14"/>
  <c r="O281" i="14"/>
  <c r="L281" i="14"/>
  <c r="J281" i="14"/>
  <c r="I281" i="14"/>
  <c r="M281" i="14" s="1"/>
  <c r="M357" i="14"/>
  <c r="K357" i="14"/>
  <c r="H357" i="14"/>
  <c r="O333" i="14"/>
  <c r="J333" i="14"/>
  <c r="I333" i="14"/>
  <c r="L333" i="14"/>
  <c r="H370" i="14"/>
  <c r="M370" i="14"/>
  <c r="K370" i="14"/>
  <c r="H373" i="14"/>
  <c r="M373" i="14"/>
  <c r="K373" i="14"/>
  <c r="H354" i="14"/>
  <c r="M354" i="14"/>
  <c r="K354" i="14"/>
  <c r="H405" i="14"/>
  <c r="M405" i="14"/>
  <c r="K405" i="14"/>
  <c r="M345" i="14"/>
  <c r="K345" i="14"/>
  <c r="H345" i="14"/>
  <c r="H273" i="14"/>
  <c r="M273" i="14"/>
  <c r="K273" i="14"/>
  <c r="M297" i="14"/>
  <c r="K297" i="14"/>
  <c r="H297" i="14"/>
  <c r="H239" i="14"/>
  <c r="O248" i="14"/>
  <c r="L248" i="14"/>
  <c r="J248" i="14"/>
  <c r="I248" i="14"/>
  <c r="O244" i="14"/>
  <c r="L244" i="14"/>
  <c r="J244" i="14"/>
  <c r="I244" i="14"/>
  <c r="O216" i="14"/>
  <c r="L216" i="14"/>
  <c r="J216" i="14"/>
  <c r="I216" i="14"/>
  <c r="H321" i="14"/>
  <c r="M321" i="14"/>
  <c r="K321" i="14"/>
  <c r="K159" i="14"/>
  <c r="K239" i="14"/>
  <c r="M285" i="14"/>
  <c r="K285" i="14"/>
  <c r="H285" i="14"/>
  <c r="M159" i="14"/>
  <c r="O232" i="14"/>
  <c r="L232" i="14"/>
  <c r="J232" i="14"/>
  <c r="I232" i="14"/>
  <c r="O228" i="14"/>
  <c r="L228" i="14"/>
  <c r="J228" i="14"/>
  <c r="I228" i="14"/>
  <c r="M227" i="14"/>
  <c r="K227" i="14"/>
  <c r="H227" i="14"/>
  <c r="H110" i="14"/>
  <c r="M329" i="14"/>
  <c r="K329" i="14"/>
  <c r="H329" i="14"/>
  <c r="M316" i="14"/>
  <c r="K316" i="14"/>
  <c r="H316" i="14"/>
  <c r="K110" i="14"/>
  <c r="O264" i="14"/>
  <c r="L264" i="14"/>
  <c r="J264" i="14"/>
  <c r="I264" i="14"/>
  <c r="M301" i="14"/>
  <c r="K301" i="14"/>
  <c r="H301" i="14"/>
  <c r="M332" i="14"/>
  <c r="K332" i="14"/>
  <c r="H332" i="14"/>
  <c r="H305" i="14"/>
  <c r="M305" i="14"/>
  <c r="K305" i="14"/>
  <c r="O196" i="14"/>
  <c r="L196" i="14"/>
  <c r="J196" i="14"/>
  <c r="I196" i="14"/>
  <c r="O260" i="14"/>
  <c r="L260" i="14"/>
  <c r="J260" i="14"/>
  <c r="I260" i="14"/>
  <c r="M313" i="14"/>
  <c r="K313" i="14"/>
  <c r="H313" i="14"/>
  <c r="H337" i="14"/>
  <c r="M337" i="14"/>
  <c r="K337" i="14"/>
  <c r="M251" i="14"/>
  <c r="K251" i="14"/>
  <c r="H251" i="14"/>
  <c r="M187" i="14"/>
  <c r="H187" i="14"/>
  <c r="K187" i="14"/>
  <c r="K341" i="14"/>
  <c r="H341" i="14"/>
  <c r="M341" i="14"/>
  <c r="M269" i="14"/>
  <c r="K269" i="14"/>
  <c r="H269" i="14"/>
  <c r="M195" i="14"/>
  <c r="K195" i="14"/>
  <c r="H195" i="14"/>
  <c r="O252" i="14"/>
  <c r="L252" i="14"/>
  <c r="J252" i="14"/>
  <c r="I252" i="14"/>
  <c r="O188" i="14"/>
  <c r="L188" i="14"/>
  <c r="J188" i="14"/>
  <c r="I188" i="14"/>
  <c r="O200" i="14"/>
  <c r="L200" i="14"/>
  <c r="J200" i="14"/>
  <c r="I200" i="14"/>
  <c r="H289" i="14"/>
  <c r="M289" i="14"/>
  <c r="K289" i="14"/>
  <c r="M243" i="14"/>
  <c r="K243" i="14"/>
  <c r="H243" i="14"/>
  <c r="K231" i="14"/>
  <c r="H231" i="14"/>
  <c r="M231" i="14"/>
  <c r="O139" i="14"/>
  <c r="J139" i="14"/>
  <c r="I139" i="14"/>
  <c r="L139" i="14"/>
  <c r="M182" i="14"/>
  <c r="K182" i="14"/>
  <c r="H182" i="14"/>
  <c r="H179" i="14"/>
  <c r="K179" i="14"/>
  <c r="K263" i="14"/>
  <c r="H263" i="14"/>
  <c r="M263" i="14"/>
  <c r="M119" i="14"/>
  <c r="K119" i="14"/>
  <c r="H119" i="14"/>
  <c r="O107" i="14"/>
  <c r="J107" i="14"/>
  <c r="I107" i="14"/>
  <c r="L107" i="14"/>
  <c r="L183" i="14"/>
  <c r="O183" i="14"/>
  <c r="J183" i="14"/>
  <c r="I183" i="14"/>
  <c r="H224" i="14"/>
  <c r="M224" i="14"/>
  <c r="K224" i="14"/>
  <c r="O155" i="14"/>
  <c r="J155" i="14"/>
  <c r="I155" i="14"/>
  <c r="L155" i="14"/>
  <c r="O123" i="14"/>
  <c r="J123" i="14"/>
  <c r="I123" i="14"/>
  <c r="L123" i="14"/>
  <c r="H166" i="14"/>
  <c r="M166" i="14"/>
  <c r="K166" i="14"/>
  <c r="M135" i="14"/>
  <c r="H135" i="14"/>
  <c r="K135" i="14"/>
  <c r="H208" i="14"/>
  <c r="K208" i="14"/>
  <c r="M208" i="14"/>
  <c r="M259" i="14"/>
  <c r="K259" i="14"/>
  <c r="H259" i="14"/>
  <c r="H256" i="14"/>
  <c r="K256" i="14"/>
  <c r="M256" i="14"/>
  <c r="K247" i="14"/>
  <c r="H247" i="14"/>
  <c r="M247" i="14"/>
  <c r="H240" i="14"/>
  <c r="M240" i="14"/>
  <c r="K240" i="14"/>
  <c r="H192" i="14"/>
  <c r="M192" i="14"/>
  <c r="K192" i="14"/>
  <c r="H151" i="14"/>
  <c r="M151" i="14"/>
  <c r="K151" i="14"/>
  <c r="L167" i="14"/>
  <c r="O167" i="14"/>
  <c r="J167" i="14"/>
  <c r="I167" i="14"/>
  <c r="K212" i="14"/>
  <c r="H212" i="14"/>
  <c r="M212" i="14"/>
  <c r="O171" i="14"/>
  <c r="J171" i="14"/>
  <c r="I171" i="14"/>
  <c r="L171" i="14"/>
  <c r="K215" i="14"/>
  <c r="H215" i="14"/>
  <c r="M215" i="14"/>
  <c r="K199" i="14"/>
  <c r="H199" i="14"/>
  <c r="M199" i="14"/>
  <c r="H127" i="14"/>
  <c r="M127" i="14"/>
  <c r="K127" i="14"/>
  <c r="H175" i="14"/>
  <c r="M175" i="14"/>
  <c r="K175" i="14"/>
  <c r="M106" i="14"/>
  <c r="K106" i="14"/>
  <c r="H106" i="14"/>
  <c r="K122" i="14"/>
  <c r="M122" i="14"/>
  <c r="H122" i="14"/>
  <c r="M138" i="14"/>
  <c r="K138" i="14"/>
  <c r="H138" i="14"/>
  <c r="K154" i="14"/>
  <c r="M154" i="14"/>
  <c r="H154" i="14"/>
  <c r="M170" i="14"/>
  <c r="K170" i="14"/>
  <c r="H170" i="14"/>
  <c r="H111" i="14"/>
  <c r="M111" i="14"/>
  <c r="K111" i="14"/>
  <c r="H143" i="14"/>
  <c r="M143" i="14"/>
  <c r="K143" i="14"/>
  <c r="M50" i="11"/>
  <c r="P50" i="11" s="1"/>
  <c r="M49" i="11"/>
  <c r="P49" i="11" s="1"/>
  <c r="M48" i="11"/>
  <c r="P48" i="11" s="1"/>
  <c r="M47" i="11"/>
  <c r="P47" i="11" s="1"/>
  <c r="M46" i="11"/>
  <c r="P46" i="11" s="1"/>
  <c r="M45" i="11"/>
  <c r="P45" i="11" s="1"/>
  <c r="M44" i="11"/>
  <c r="P44" i="11" s="1"/>
  <c r="M43" i="11"/>
  <c r="P43" i="11" s="1"/>
  <c r="M42" i="11"/>
  <c r="P42" i="11" s="1"/>
  <c r="M41" i="11"/>
  <c r="P41" i="11" s="1"/>
  <c r="M40" i="11"/>
  <c r="P40" i="11" s="1"/>
  <c r="M39" i="11"/>
  <c r="P39" i="11" s="1"/>
  <c r="M38" i="11"/>
  <c r="M37" i="11"/>
  <c r="M36" i="11"/>
  <c r="M35" i="11"/>
  <c r="M34" i="11"/>
  <c r="M33" i="11"/>
  <c r="M32" i="11"/>
  <c r="M31" i="11"/>
  <c r="M30" i="11"/>
  <c r="M29" i="11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K281" i="14" l="1"/>
  <c r="H281" i="14"/>
  <c r="K390" i="14"/>
  <c r="M390" i="14"/>
  <c r="H390" i="14"/>
  <c r="K358" i="14"/>
  <c r="H358" i="14"/>
  <c r="M358" i="14"/>
  <c r="K422" i="14"/>
  <c r="H422" i="14"/>
  <c r="M422" i="14"/>
  <c r="K374" i="14"/>
  <c r="H374" i="14"/>
  <c r="M374" i="14"/>
  <c r="K406" i="14"/>
  <c r="H406" i="14"/>
  <c r="M406" i="14"/>
  <c r="H188" i="14"/>
  <c r="M188" i="14"/>
  <c r="K188" i="14"/>
  <c r="M333" i="14"/>
  <c r="K333" i="14"/>
  <c r="H333" i="14"/>
  <c r="M252" i="14"/>
  <c r="K252" i="14"/>
  <c r="H252" i="14"/>
  <c r="M317" i="14"/>
  <c r="K317" i="14"/>
  <c r="H317" i="14"/>
  <c r="K196" i="14"/>
  <c r="H196" i="14"/>
  <c r="M196" i="14"/>
  <c r="H228" i="14"/>
  <c r="K228" i="14"/>
  <c r="M228" i="14"/>
  <c r="M232" i="14"/>
  <c r="K232" i="14"/>
  <c r="H232" i="14"/>
  <c r="M200" i="14"/>
  <c r="K200" i="14"/>
  <c r="H200" i="14"/>
  <c r="K244" i="14"/>
  <c r="H244" i="14"/>
  <c r="M244" i="14"/>
  <c r="M216" i="14"/>
  <c r="K216" i="14"/>
  <c r="H216" i="14"/>
  <c r="K167" i="14"/>
  <c r="H167" i="14"/>
  <c r="M167" i="14"/>
  <c r="M248" i="14"/>
  <c r="K248" i="14"/>
  <c r="H248" i="14"/>
  <c r="K260" i="14"/>
  <c r="H260" i="14"/>
  <c r="M260" i="14"/>
  <c r="M183" i="14"/>
  <c r="K183" i="14"/>
  <c r="H183" i="14"/>
  <c r="M264" i="14"/>
  <c r="K264" i="14"/>
  <c r="H264" i="14"/>
  <c r="M171" i="14"/>
  <c r="K171" i="14"/>
  <c r="H171" i="14"/>
  <c r="M123" i="14"/>
  <c r="K123" i="14"/>
  <c r="H123" i="14"/>
  <c r="M155" i="14"/>
  <c r="K155" i="14"/>
  <c r="H155" i="14"/>
  <c r="M107" i="14"/>
  <c r="K107" i="14"/>
  <c r="H107" i="14"/>
  <c r="M139" i="14"/>
  <c r="K139" i="14"/>
  <c r="H139" i="14"/>
  <c r="Z462" i="7"/>
  <c r="AA462" i="7"/>
  <c r="AB462" i="7"/>
  <c r="Z463" i="7"/>
  <c r="AA463" i="7"/>
  <c r="AB463" i="7"/>
  <c r="Z464" i="7"/>
  <c r="AA464" i="7"/>
  <c r="AB464" i="7"/>
  <c r="Z465" i="7"/>
  <c r="AA465" i="7"/>
  <c r="AB465" i="7"/>
  <c r="Z466" i="7"/>
  <c r="AA466" i="7"/>
  <c r="AB466" i="7"/>
  <c r="Z467" i="7"/>
  <c r="AA467" i="7"/>
  <c r="AB467" i="7"/>
  <c r="Z468" i="7"/>
  <c r="AA468" i="7"/>
  <c r="AB468" i="7"/>
  <c r="Z469" i="7"/>
  <c r="AA469" i="7"/>
  <c r="AB469" i="7"/>
  <c r="Z470" i="7"/>
  <c r="AA470" i="7"/>
  <c r="AB470" i="7"/>
  <c r="Z471" i="7"/>
  <c r="AA471" i="7"/>
  <c r="AB471" i="7"/>
  <c r="Z472" i="7"/>
  <c r="AA472" i="7"/>
  <c r="AB472" i="7"/>
  <c r="Z473" i="7"/>
  <c r="AA473" i="7"/>
  <c r="AB473" i="7"/>
  <c r="Z474" i="7"/>
  <c r="AA474" i="7"/>
  <c r="AB474" i="7"/>
  <c r="Z475" i="7"/>
  <c r="AA475" i="7"/>
  <c r="AB475" i="7"/>
  <c r="Z476" i="7"/>
  <c r="AA476" i="7"/>
  <c r="AB476" i="7"/>
  <c r="Z477" i="7"/>
  <c r="AA477" i="7"/>
  <c r="AB477" i="7"/>
  <c r="Z478" i="7"/>
  <c r="AA478" i="7"/>
  <c r="AB478" i="7"/>
  <c r="Z479" i="7"/>
  <c r="AA479" i="7"/>
  <c r="AB479" i="7"/>
  <c r="Z480" i="7"/>
  <c r="AA480" i="7"/>
  <c r="AB480" i="7"/>
  <c r="Z481" i="7"/>
  <c r="AA481" i="7"/>
  <c r="AB481" i="7"/>
  <c r="Z482" i="7"/>
  <c r="AA482" i="7"/>
  <c r="AB482" i="7"/>
  <c r="Z483" i="7"/>
  <c r="AA483" i="7"/>
  <c r="AB483" i="7"/>
  <c r="Z484" i="7"/>
  <c r="AA484" i="7"/>
  <c r="AB484" i="7"/>
  <c r="Z485" i="7"/>
  <c r="AA485" i="7"/>
  <c r="AB485" i="7"/>
  <c r="Z486" i="7"/>
  <c r="AA486" i="7"/>
  <c r="AB486" i="7"/>
  <c r="Z487" i="7"/>
  <c r="AA487" i="7"/>
  <c r="AB487" i="7"/>
  <c r="Z488" i="7"/>
  <c r="AA488" i="7"/>
  <c r="AB488" i="7"/>
  <c r="Z489" i="7"/>
  <c r="AA489" i="7"/>
  <c r="AB489" i="7"/>
  <c r="Z490" i="7"/>
  <c r="AA490" i="7"/>
  <c r="AB490" i="7"/>
  <c r="Z491" i="7"/>
  <c r="AA491" i="7"/>
  <c r="AB491" i="7"/>
  <c r="Z492" i="7"/>
  <c r="AA492" i="7"/>
  <c r="AB492" i="7"/>
  <c r="Z493" i="7"/>
  <c r="AA493" i="7"/>
  <c r="AB493" i="7"/>
  <c r="Z494" i="7"/>
  <c r="AA494" i="7"/>
  <c r="AB494" i="7"/>
  <c r="Z495" i="7"/>
  <c r="AA495" i="7"/>
  <c r="AB495" i="7"/>
  <c r="Z496" i="7"/>
  <c r="AA496" i="7"/>
  <c r="AB496" i="7"/>
  <c r="Z497" i="7"/>
  <c r="AA497" i="7"/>
  <c r="AB497" i="7"/>
  <c r="Z498" i="7"/>
  <c r="AA498" i="7"/>
  <c r="AB498" i="7"/>
  <c r="Z499" i="7"/>
  <c r="AA499" i="7"/>
  <c r="AB499" i="7"/>
  <c r="Z500" i="7"/>
  <c r="AA500" i="7"/>
  <c r="AB500" i="7"/>
  <c r="Z501" i="7"/>
  <c r="AA501" i="7"/>
  <c r="AB501" i="7"/>
  <c r="Z502" i="7"/>
  <c r="AA502" i="7"/>
  <c r="AB502" i="7"/>
  <c r="Z503" i="7"/>
  <c r="AA503" i="7"/>
  <c r="AB503" i="7"/>
  <c r="Z504" i="7"/>
  <c r="AA504" i="7"/>
  <c r="AB504" i="7"/>
  <c r="Z505" i="7"/>
  <c r="AA505" i="7"/>
  <c r="AB505" i="7"/>
  <c r="Z506" i="7"/>
  <c r="AA506" i="7"/>
  <c r="AB506" i="7"/>
  <c r="Z507" i="7"/>
  <c r="AA507" i="7"/>
  <c r="AB507" i="7"/>
  <c r="Z508" i="7"/>
  <c r="AA508" i="7"/>
  <c r="AB508" i="7"/>
  <c r="Z509" i="7"/>
  <c r="AA509" i="7"/>
  <c r="AB509" i="7"/>
  <c r="Z510" i="7"/>
  <c r="AA510" i="7"/>
  <c r="AB510" i="7"/>
  <c r="Z511" i="7"/>
  <c r="AA511" i="7"/>
  <c r="AB511" i="7"/>
  <c r="Z512" i="7"/>
  <c r="AA512" i="7"/>
  <c r="AB512" i="7"/>
  <c r="Z513" i="7"/>
  <c r="AA513" i="7"/>
  <c r="AB513" i="7"/>
  <c r="Z514" i="7"/>
  <c r="AA514" i="7"/>
  <c r="AB514" i="7"/>
  <c r="Z515" i="7"/>
  <c r="AA515" i="7"/>
  <c r="AB515" i="7"/>
  <c r="Z516" i="7"/>
  <c r="AA516" i="7"/>
  <c r="AB516" i="7"/>
  <c r="Z517" i="7"/>
  <c r="AA517" i="7"/>
  <c r="AB517" i="7"/>
  <c r="Z518" i="7"/>
  <c r="AA518" i="7"/>
  <c r="AB518" i="7"/>
  <c r="Z519" i="7"/>
  <c r="AA519" i="7"/>
  <c r="AB519" i="7"/>
  <c r="Z520" i="7"/>
  <c r="AA520" i="7"/>
  <c r="AB520" i="7"/>
  <c r="Z521" i="7"/>
  <c r="AA521" i="7"/>
  <c r="AB521" i="7"/>
  <c r="Z522" i="7"/>
  <c r="AA522" i="7"/>
  <c r="AB522" i="7"/>
  <c r="Z523" i="7"/>
  <c r="AA523" i="7"/>
  <c r="AB523" i="7"/>
  <c r="Z524" i="7"/>
  <c r="AA524" i="7"/>
  <c r="AB524" i="7"/>
  <c r="Z525" i="7"/>
  <c r="AA525" i="7"/>
  <c r="AB525" i="7"/>
  <c r="Z526" i="7"/>
  <c r="AA526" i="7"/>
  <c r="AB526" i="7"/>
  <c r="Z527" i="7"/>
  <c r="AA527" i="7"/>
  <c r="AB527" i="7"/>
  <c r="Z528" i="7"/>
  <c r="AA528" i="7"/>
  <c r="AB528" i="7"/>
  <c r="Z529" i="7"/>
  <c r="AA529" i="7"/>
  <c r="AB529" i="7"/>
  <c r="Z530" i="7"/>
  <c r="AA530" i="7"/>
  <c r="AB530" i="7"/>
  <c r="Z531" i="7"/>
  <c r="AA531" i="7"/>
  <c r="AB531" i="7"/>
  <c r="Z532" i="7"/>
  <c r="AA532" i="7"/>
  <c r="AB532" i="7"/>
  <c r="Z533" i="7"/>
  <c r="AA533" i="7"/>
  <c r="AB533" i="7"/>
  <c r="Z534" i="7"/>
  <c r="AA534" i="7"/>
  <c r="AB534" i="7"/>
  <c r="Z535" i="7"/>
  <c r="AA535" i="7"/>
  <c r="AB535" i="7"/>
  <c r="Z536" i="7"/>
  <c r="AA536" i="7"/>
  <c r="AB536" i="7"/>
  <c r="Z537" i="7"/>
  <c r="AA537" i="7"/>
  <c r="AB537" i="7"/>
  <c r="Z538" i="7"/>
  <c r="AA538" i="7"/>
  <c r="AB538" i="7"/>
  <c r="Z539" i="7"/>
  <c r="AA539" i="7"/>
  <c r="AB539" i="7"/>
  <c r="Z540" i="7"/>
  <c r="AA540" i="7"/>
  <c r="AB540" i="7"/>
  <c r="Z541" i="7"/>
  <c r="AA541" i="7"/>
  <c r="AB541" i="7"/>
  <c r="Z542" i="7"/>
  <c r="AA542" i="7"/>
  <c r="AB542" i="7"/>
  <c r="Z543" i="7"/>
  <c r="AA543" i="7"/>
  <c r="AB543" i="7"/>
  <c r="Z544" i="7"/>
  <c r="AA544" i="7"/>
  <c r="AB544" i="7"/>
  <c r="Z545" i="7"/>
  <c r="AA545" i="7"/>
  <c r="AB545" i="7"/>
  <c r="Z546" i="7"/>
  <c r="AA546" i="7"/>
  <c r="AB546" i="7"/>
  <c r="Z547" i="7"/>
  <c r="AA547" i="7"/>
  <c r="AB547" i="7"/>
  <c r="Z548" i="7"/>
  <c r="AA548" i="7"/>
  <c r="AB548" i="7"/>
  <c r="Z549" i="7"/>
  <c r="AA549" i="7"/>
  <c r="AB549" i="7"/>
  <c r="Z550" i="7"/>
  <c r="AA550" i="7"/>
  <c r="AB550" i="7"/>
  <c r="Z551" i="7"/>
  <c r="AA551" i="7"/>
  <c r="AB551" i="7"/>
  <c r="Z552" i="7"/>
  <c r="AA552" i="7"/>
  <c r="AB552" i="7"/>
  <c r="Z553" i="7"/>
  <c r="AA553" i="7"/>
  <c r="AB553" i="7"/>
  <c r="Z554" i="7"/>
  <c r="AA554" i="7"/>
  <c r="AB554" i="7"/>
  <c r="Z555" i="7"/>
  <c r="AA555" i="7"/>
  <c r="AB555" i="7"/>
  <c r="Z556" i="7"/>
  <c r="AA556" i="7"/>
  <c r="AB556" i="7"/>
  <c r="Z557" i="7"/>
  <c r="AA557" i="7"/>
  <c r="AB557" i="7"/>
  <c r="Z558" i="7"/>
  <c r="AA558" i="7"/>
  <c r="AB558" i="7"/>
  <c r="Z559" i="7"/>
  <c r="AA559" i="7"/>
  <c r="AB559" i="7"/>
  <c r="Z560" i="7"/>
  <c r="AA560" i="7"/>
  <c r="AB560" i="7"/>
  <c r="Z561" i="7"/>
  <c r="AA561" i="7"/>
  <c r="AB561" i="7"/>
  <c r="Z562" i="7"/>
  <c r="AA562" i="7"/>
  <c r="AB562" i="7"/>
  <c r="Z563" i="7"/>
  <c r="AA563" i="7"/>
  <c r="AB563" i="7"/>
  <c r="Z564" i="7"/>
  <c r="AA564" i="7"/>
  <c r="AB564" i="7"/>
  <c r="Z565" i="7"/>
  <c r="AA565" i="7"/>
  <c r="AB565" i="7"/>
  <c r="Z566" i="7"/>
  <c r="AA566" i="7"/>
  <c r="AB566" i="7"/>
  <c r="Z567" i="7"/>
  <c r="AA567" i="7"/>
  <c r="AB567" i="7"/>
  <c r="Z568" i="7"/>
  <c r="AA568" i="7"/>
  <c r="AB568" i="7"/>
  <c r="Z569" i="7"/>
  <c r="AA569" i="7"/>
  <c r="AB569" i="7"/>
  <c r="Z570" i="7"/>
  <c r="AA570" i="7"/>
  <c r="AB570" i="7"/>
  <c r="Z571" i="7"/>
  <c r="AA571" i="7"/>
  <c r="AB571" i="7"/>
  <c r="Z572" i="7"/>
  <c r="AA572" i="7"/>
  <c r="AB572" i="7"/>
  <c r="Z573" i="7"/>
  <c r="AA573" i="7"/>
  <c r="AB573" i="7"/>
  <c r="Z574" i="7"/>
  <c r="AA574" i="7"/>
  <c r="AB574" i="7"/>
  <c r="Z575" i="7"/>
  <c r="AA575" i="7"/>
  <c r="AB575" i="7"/>
  <c r="Z576" i="7"/>
  <c r="AA576" i="7"/>
  <c r="AB576" i="7"/>
  <c r="Z577" i="7"/>
  <c r="AA577" i="7"/>
  <c r="AB577" i="7"/>
  <c r="Z578" i="7"/>
  <c r="AA578" i="7"/>
  <c r="AB578" i="7"/>
  <c r="Z579" i="7"/>
  <c r="AA579" i="7"/>
  <c r="AB579" i="7"/>
  <c r="Z580" i="7"/>
  <c r="AA580" i="7"/>
  <c r="AB580" i="7"/>
  <c r="Z581" i="7"/>
  <c r="AA581" i="7"/>
  <c r="AB581" i="7"/>
  <c r="Z582" i="7"/>
  <c r="AA582" i="7"/>
  <c r="AB582" i="7"/>
  <c r="Z583" i="7"/>
  <c r="AA583" i="7"/>
  <c r="AB583" i="7"/>
  <c r="Z584" i="7"/>
  <c r="AA584" i="7"/>
  <c r="AB584" i="7"/>
  <c r="Z585" i="7"/>
  <c r="AA585" i="7"/>
  <c r="AB585" i="7"/>
  <c r="Z586" i="7"/>
  <c r="AA586" i="7"/>
  <c r="AB586" i="7"/>
  <c r="Z587" i="7"/>
  <c r="AA587" i="7"/>
  <c r="AB587" i="7"/>
  <c r="Z588" i="7"/>
  <c r="AA588" i="7"/>
  <c r="AB588" i="7"/>
  <c r="Z589" i="7"/>
  <c r="AA589" i="7"/>
  <c r="AB589" i="7"/>
  <c r="Z590" i="7"/>
  <c r="AA590" i="7"/>
  <c r="AB590" i="7"/>
  <c r="Z591" i="7"/>
  <c r="AA591" i="7"/>
  <c r="AB591" i="7"/>
  <c r="Z592" i="7"/>
  <c r="AA592" i="7"/>
  <c r="AB592" i="7"/>
  <c r="Z593" i="7"/>
  <c r="AA593" i="7"/>
  <c r="AB593" i="7"/>
  <c r="Z594" i="7"/>
  <c r="AA594" i="7"/>
  <c r="AB594" i="7"/>
  <c r="Z595" i="7"/>
  <c r="AA595" i="7"/>
  <c r="AB595" i="7"/>
  <c r="Z596" i="7"/>
  <c r="AA596" i="7"/>
  <c r="AB596" i="7"/>
  <c r="Z597" i="7"/>
  <c r="AA597" i="7"/>
  <c r="AB597" i="7"/>
  <c r="Z598" i="7"/>
  <c r="AA598" i="7"/>
  <c r="AB598" i="7"/>
  <c r="Z599" i="7"/>
  <c r="AA599" i="7"/>
  <c r="AB599" i="7"/>
  <c r="Z600" i="7"/>
  <c r="AA600" i="7"/>
  <c r="AB600" i="7"/>
  <c r="Z601" i="7"/>
  <c r="AA601" i="7"/>
  <c r="AB601" i="7"/>
  <c r="Z602" i="7"/>
  <c r="AA602" i="7"/>
  <c r="AB602" i="7"/>
  <c r="Z603" i="7"/>
  <c r="AA603" i="7"/>
  <c r="AB603" i="7"/>
  <c r="Z604" i="7"/>
  <c r="AA604" i="7"/>
  <c r="AB604" i="7"/>
  <c r="Z605" i="7"/>
  <c r="AA605" i="7"/>
  <c r="AB605" i="7"/>
  <c r="Z606" i="7"/>
  <c r="AA606" i="7"/>
  <c r="AB606" i="7"/>
  <c r="Z607" i="7"/>
  <c r="AA607" i="7"/>
  <c r="AB607" i="7"/>
  <c r="Z608" i="7"/>
  <c r="AA608" i="7"/>
  <c r="AB608" i="7"/>
  <c r="Z609" i="7"/>
  <c r="AA609" i="7"/>
  <c r="AB609" i="7"/>
  <c r="Z610" i="7"/>
  <c r="AA610" i="7"/>
  <c r="AB610" i="7"/>
  <c r="Z611" i="7"/>
  <c r="AA611" i="7"/>
  <c r="AB611" i="7"/>
  <c r="Z612" i="7"/>
  <c r="AA612" i="7"/>
  <c r="AB612" i="7"/>
  <c r="Z613" i="7"/>
  <c r="AA613" i="7"/>
  <c r="AB613" i="7"/>
  <c r="Z614" i="7"/>
  <c r="AA614" i="7"/>
  <c r="AB614" i="7"/>
  <c r="Z615" i="7"/>
  <c r="AA615" i="7"/>
  <c r="AB615" i="7"/>
  <c r="Z616" i="7"/>
  <c r="AA616" i="7"/>
  <c r="AB616" i="7"/>
  <c r="Z617" i="7"/>
  <c r="AA617" i="7"/>
  <c r="AB617" i="7"/>
  <c r="Z618" i="7"/>
  <c r="AA618" i="7"/>
  <c r="AB618" i="7"/>
  <c r="Z619" i="7"/>
  <c r="AA619" i="7"/>
  <c r="AB619" i="7"/>
  <c r="Z620" i="7"/>
  <c r="AA620" i="7"/>
  <c r="AB620" i="7"/>
  <c r="Z621" i="7"/>
  <c r="AA621" i="7"/>
  <c r="AB621" i="7"/>
  <c r="Z622" i="7"/>
  <c r="AA622" i="7"/>
  <c r="AB622" i="7"/>
  <c r="Z623" i="7"/>
  <c r="AA623" i="7"/>
  <c r="AB623" i="7"/>
  <c r="Z624" i="7"/>
  <c r="AA624" i="7"/>
  <c r="AB624" i="7"/>
  <c r="Z625" i="7"/>
  <c r="AA625" i="7"/>
  <c r="AB625" i="7"/>
  <c r="Z626" i="7"/>
  <c r="AA626" i="7"/>
  <c r="AB626" i="7"/>
  <c r="Z627" i="7"/>
  <c r="AA627" i="7"/>
  <c r="AB627" i="7"/>
  <c r="Z628" i="7"/>
  <c r="AA628" i="7"/>
  <c r="AB628" i="7"/>
  <c r="Z629" i="7"/>
  <c r="AA629" i="7"/>
  <c r="AB629" i="7"/>
  <c r="Z630" i="7"/>
  <c r="AA630" i="7"/>
  <c r="AB630" i="7"/>
  <c r="Z631" i="7"/>
  <c r="AA631" i="7"/>
  <c r="AB631" i="7"/>
  <c r="Z632" i="7"/>
  <c r="AA632" i="7"/>
  <c r="AB632" i="7"/>
  <c r="Z633" i="7"/>
  <c r="AA633" i="7"/>
  <c r="AB633" i="7"/>
  <c r="Z634" i="7"/>
  <c r="AA634" i="7"/>
  <c r="AB634" i="7"/>
  <c r="Z635" i="7"/>
  <c r="AA635" i="7"/>
  <c r="AB635" i="7"/>
  <c r="Z636" i="7"/>
  <c r="AA636" i="7"/>
  <c r="AB636" i="7"/>
  <c r="Z637" i="7"/>
  <c r="AA637" i="7"/>
  <c r="AB637" i="7"/>
  <c r="Z638" i="7"/>
  <c r="AA638" i="7"/>
  <c r="AB638" i="7"/>
  <c r="Z639" i="7"/>
  <c r="AA639" i="7"/>
  <c r="AB639" i="7"/>
  <c r="Z640" i="7"/>
  <c r="AA640" i="7"/>
  <c r="AB640" i="7"/>
  <c r="Z641" i="7"/>
  <c r="AA641" i="7"/>
  <c r="AB641" i="7"/>
  <c r="Z642" i="7"/>
  <c r="AA642" i="7"/>
  <c r="AB642" i="7"/>
  <c r="Z643" i="7"/>
  <c r="AA643" i="7"/>
  <c r="AB643" i="7"/>
  <c r="Z644" i="7"/>
  <c r="AA644" i="7"/>
  <c r="AB644" i="7"/>
  <c r="Z645" i="7"/>
  <c r="AA645" i="7"/>
  <c r="AB645" i="7"/>
  <c r="Z646" i="7"/>
  <c r="AA646" i="7"/>
  <c r="AB646" i="7"/>
  <c r="Z647" i="7"/>
  <c r="AA647" i="7"/>
  <c r="AB647" i="7"/>
  <c r="Z648" i="7"/>
  <c r="AA648" i="7"/>
  <c r="AB648" i="7"/>
  <c r="Z649" i="7"/>
  <c r="AA649" i="7"/>
  <c r="AB649" i="7"/>
  <c r="Z650" i="7"/>
  <c r="AA650" i="7"/>
  <c r="AB650" i="7"/>
  <c r="Z651" i="7"/>
  <c r="AA651" i="7"/>
  <c r="AB651" i="7"/>
  <c r="Z652" i="7"/>
  <c r="AA652" i="7"/>
  <c r="AB652" i="7"/>
  <c r="Z653" i="7"/>
  <c r="AA653" i="7"/>
  <c r="AB653" i="7"/>
  <c r="Z654" i="7"/>
  <c r="AA654" i="7"/>
  <c r="AB654" i="7"/>
  <c r="Z655" i="7"/>
  <c r="AA655" i="7"/>
  <c r="AB655" i="7"/>
  <c r="Z656" i="7"/>
  <c r="AA656" i="7"/>
  <c r="AB656" i="7"/>
  <c r="Z657" i="7"/>
  <c r="AA657" i="7"/>
  <c r="AB657" i="7"/>
  <c r="Z658" i="7"/>
  <c r="AA658" i="7"/>
  <c r="AB658" i="7"/>
  <c r="Z659" i="7"/>
  <c r="AA659" i="7"/>
  <c r="AB659" i="7"/>
  <c r="Z660" i="7"/>
  <c r="AA660" i="7"/>
  <c r="AB660" i="7"/>
  <c r="Z661" i="7"/>
  <c r="AA661" i="7"/>
  <c r="AB661" i="7"/>
  <c r="Z662" i="7"/>
  <c r="AA662" i="7"/>
  <c r="AB662" i="7"/>
  <c r="Z663" i="7"/>
  <c r="AA663" i="7"/>
  <c r="AB663" i="7"/>
  <c r="Z664" i="7"/>
  <c r="AA664" i="7"/>
  <c r="AB664" i="7"/>
  <c r="Z665" i="7"/>
  <c r="AA665" i="7"/>
  <c r="AB665" i="7"/>
  <c r="Z666" i="7"/>
  <c r="AA666" i="7"/>
  <c r="AB666" i="7"/>
  <c r="Z667" i="7"/>
  <c r="AA667" i="7"/>
  <c r="AB667" i="7"/>
  <c r="Z668" i="7"/>
  <c r="AA668" i="7"/>
  <c r="AB668" i="7"/>
  <c r="Z669" i="7"/>
  <c r="AA669" i="7"/>
  <c r="AB669" i="7"/>
  <c r="Z670" i="7"/>
  <c r="AA670" i="7"/>
  <c r="AB670" i="7"/>
  <c r="Z671" i="7"/>
  <c r="AA671" i="7"/>
  <c r="AB671" i="7"/>
  <c r="Z672" i="7"/>
  <c r="AA672" i="7"/>
  <c r="AB672" i="7"/>
  <c r="Z673" i="7"/>
  <c r="AA673" i="7"/>
  <c r="AB673" i="7"/>
  <c r="Z674" i="7"/>
  <c r="AA674" i="7"/>
  <c r="AB674" i="7"/>
  <c r="Z675" i="7"/>
  <c r="AA675" i="7"/>
  <c r="AB675" i="7"/>
  <c r="Z676" i="7"/>
  <c r="AA676" i="7"/>
  <c r="AB676" i="7"/>
  <c r="Z677" i="7"/>
  <c r="AA677" i="7"/>
  <c r="AB677" i="7"/>
  <c r="Z678" i="7"/>
  <c r="AA678" i="7"/>
  <c r="AB678" i="7"/>
  <c r="Z679" i="7"/>
  <c r="AA679" i="7"/>
  <c r="AB679" i="7"/>
  <c r="Z680" i="7"/>
  <c r="AA680" i="7"/>
  <c r="AB680" i="7"/>
  <c r="Z681" i="7"/>
  <c r="AA681" i="7"/>
  <c r="AB681" i="7"/>
  <c r="Z682" i="7"/>
  <c r="AA682" i="7"/>
  <c r="AB682" i="7"/>
  <c r="Z683" i="7"/>
  <c r="AA683" i="7"/>
  <c r="AB683" i="7"/>
  <c r="Z684" i="7"/>
  <c r="AA684" i="7"/>
  <c r="AB684" i="7"/>
  <c r="Z685" i="7"/>
  <c r="AA685" i="7"/>
  <c r="AB685" i="7"/>
  <c r="Z686" i="7"/>
  <c r="AA686" i="7"/>
  <c r="AB686" i="7"/>
  <c r="Z687" i="7"/>
  <c r="AA687" i="7"/>
  <c r="AB687" i="7"/>
  <c r="Z688" i="7"/>
  <c r="AA688" i="7"/>
  <c r="AB688" i="7"/>
  <c r="Z689" i="7"/>
  <c r="AA689" i="7"/>
  <c r="AB689" i="7"/>
  <c r="Z690" i="7"/>
  <c r="AA690" i="7"/>
  <c r="AB690" i="7"/>
  <c r="Z691" i="7"/>
  <c r="AA691" i="7"/>
  <c r="AB691" i="7"/>
  <c r="Z692" i="7"/>
  <c r="AA692" i="7"/>
  <c r="AB692" i="7"/>
  <c r="Z693" i="7"/>
  <c r="AA693" i="7"/>
  <c r="AB693" i="7"/>
  <c r="Z694" i="7"/>
  <c r="AA694" i="7"/>
  <c r="AB694" i="7"/>
  <c r="Z695" i="7"/>
  <c r="AA695" i="7"/>
  <c r="AB695" i="7"/>
  <c r="Z696" i="7"/>
  <c r="AA696" i="7"/>
  <c r="AB696" i="7"/>
  <c r="Z697" i="7"/>
  <c r="AA697" i="7"/>
  <c r="AB697" i="7"/>
  <c r="Z698" i="7"/>
  <c r="AA698" i="7"/>
  <c r="AB698" i="7"/>
  <c r="Z699" i="7"/>
  <c r="AA699" i="7"/>
  <c r="AB699" i="7"/>
  <c r="Z700" i="7"/>
  <c r="AA700" i="7"/>
  <c r="AB700" i="7"/>
  <c r="Z701" i="7"/>
  <c r="AA701" i="7"/>
  <c r="AB701" i="7"/>
  <c r="Z702" i="7"/>
  <c r="AA702" i="7"/>
  <c r="AB702" i="7"/>
  <c r="Z703" i="7"/>
  <c r="AA703" i="7"/>
  <c r="AB703" i="7"/>
  <c r="Z704" i="7"/>
  <c r="AA704" i="7"/>
  <c r="AB704" i="7"/>
  <c r="Z705" i="7"/>
  <c r="AA705" i="7"/>
  <c r="AB705" i="7"/>
  <c r="Z706" i="7"/>
  <c r="AA706" i="7"/>
  <c r="AB706" i="7"/>
  <c r="Z707" i="7"/>
  <c r="AA707" i="7"/>
  <c r="AB707" i="7"/>
  <c r="Z708" i="7"/>
  <c r="AA708" i="7"/>
  <c r="AB708" i="7"/>
  <c r="Z709" i="7"/>
  <c r="AA709" i="7"/>
  <c r="AB709" i="7"/>
  <c r="Z710" i="7"/>
  <c r="AA710" i="7"/>
  <c r="AB710" i="7"/>
  <c r="Z711" i="7"/>
  <c r="AA711" i="7"/>
  <c r="AB711" i="7"/>
  <c r="Z712" i="7"/>
  <c r="AA712" i="7"/>
  <c r="AB712" i="7"/>
  <c r="Z713" i="7"/>
  <c r="AA713" i="7"/>
  <c r="AB713" i="7"/>
  <c r="Z714" i="7"/>
  <c r="AA714" i="7"/>
  <c r="AB714" i="7"/>
  <c r="Z715" i="7"/>
  <c r="AA715" i="7"/>
  <c r="AB715" i="7"/>
  <c r="Z716" i="7"/>
  <c r="AA716" i="7"/>
  <c r="AB716" i="7"/>
  <c r="Z717" i="7"/>
  <c r="AA717" i="7"/>
  <c r="AB717" i="7"/>
  <c r="Z718" i="7"/>
  <c r="AA718" i="7"/>
  <c r="AB718" i="7"/>
  <c r="Z719" i="7"/>
  <c r="AA719" i="7"/>
  <c r="AB719" i="7"/>
  <c r="Z720" i="7"/>
  <c r="AA720" i="7"/>
  <c r="AB720" i="7"/>
  <c r="Z721" i="7"/>
  <c r="AA721" i="7"/>
  <c r="AB721" i="7"/>
  <c r="Z722" i="7"/>
  <c r="AA722" i="7"/>
  <c r="AB722" i="7"/>
  <c r="Z723" i="7"/>
  <c r="AA723" i="7"/>
  <c r="AB723" i="7"/>
  <c r="Z724" i="7"/>
  <c r="AA724" i="7"/>
  <c r="AB724" i="7"/>
  <c r="Z725" i="7"/>
  <c r="AA725" i="7"/>
  <c r="AB725" i="7"/>
  <c r="Z726" i="7"/>
  <c r="AA726" i="7"/>
  <c r="AB726" i="7"/>
  <c r="Z727" i="7"/>
  <c r="AA727" i="7"/>
  <c r="AB727" i="7"/>
  <c r="Z728" i="7"/>
  <c r="AA728" i="7"/>
  <c r="AB728" i="7"/>
  <c r="Z729" i="7"/>
  <c r="AA729" i="7"/>
  <c r="AB729" i="7"/>
  <c r="Z730" i="7"/>
  <c r="AA730" i="7"/>
  <c r="AB730" i="7"/>
  <c r="Z731" i="7"/>
  <c r="AA731" i="7"/>
  <c r="AB731" i="7"/>
  <c r="Z732" i="7"/>
  <c r="AA732" i="7"/>
  <c r="AB732" i="7"/>
  <c r="Z733" i="7"/>
  <c r="AA733" i="7"/>
  <c r="AB733" i="7"/>
  <c r="Z734" i="7"/>
  <c r="AA734" i="7"/>
  <c r="AB734" i="7"/>
  <c r="Z440" i="7"/>
  <c r="AA440" i="7"/>
  <c r="AB440" i="7"/>
  <c r="Z441" i="7"/>
  <c r="AA441" i="7"/>
  <c r="AB441" i="7"/>
  <c r="Z442" i="7"/>
  <c r="AA442" i="7"/>
  <c r="AB442" i="7"/>
  <c r="Z443" i="7"/>
  <c r="AA443" i="7"/>
  <c r="AB443" i="7"/>
  <c r="Z444" i="7"/>
  <c r="AA444" i="7"/>
  <c r="AB444" i="7"/>
  <c r="Z445" i="7"/>
  <c r="AA445" i="7"/>
  <c r="AB445" i="7"/>
  <c r="Z446" i="7"/>
  <c r="AA446" i="7"/>
  <c r="AB446" i="7"/>
  <c r="Z447" i="7"/>
  <c r="AA447" i="7"/>
  <c r="AB447" i="7"/>
  <c r="Z448" i="7"/>
  <c r="AA448" i="7"/>
  <c r="AB448" i="7"/>
  <c r="Z449" i="7"/>
  <c r="AA449" i="7"/>
  <c r="AB449" i="7"/>
  <c r="Z450" i="7"/>
  <c r="AA450" i="7"/>
  <c r="AB450" i="7"/>
  <c r="Z451" i="7"/>
  <c r="AA451" i="7"/>
  <c r="AB451" i="7"/>
  <c r="Z452" i="7"/>
  <c r="AA452" i="7"/>
  <c r="AB452" i="7"/>
  <c r="Z453" i="7"/>
  <c r="AA453" i="7"/>
  <c r="AB453" i="7"/>
  <c r="Z454" i="7"/>
  <c r="AA454" i="7"/>
  <c r="AB454" i="7"/>
  <c r="Z455" i="7"/>
  <c r="AA455" i="7"/>
  <c r="AB455" i="7"/>
  <c r="Z456" i="7"/>
  <c r="AA456" i="7"/>
  <c r="AB456" i="7"/>
  <c r="Z457" i="7"/>
  <c r="AA457" i="7"/>
  <c r="AB457" i="7"/>
  <c r="Z458" i="7"/>
  <c r="AA458" i="7"/>
  <c r="AB458" i="7"/>
  <c r="Z459" i="7"/>
  <c r="AA459" i="7"/>
  <c r="AB459" i="7"/>
  <c r="Z460" i="7"/>
  <c r="AA460" i="7"/>
  <c r="AB460" i="7"/>
  <c r="Z461" i="7"/>
  <c r="AA461" i="7"/>
  <c r="AB461" i="7"/>
  <c r="AB439" i="7"/>
  <c r="AA439" i="7"/>
  <c r="Z439" i="7"/>
  <c r="D388" i="15" l="1"/>
  <c r="D387" i="15"/>
  <c r="D386" i="15"/>
  <c r="D385" i="15"/>
  <c r="D384" i="15"/>
  <c r="D383" i="15"/>
  <c r="D382" i="15"/>
  <c r="D381" i="15"/>
  <c r="D380" i="15"/>
  <c r="D379" i="15"/>
  <c r="D378" i="15"/>
  <c r="D377" i="15"/>
  <c r="D376" i="15"/>
  <c r="D375" i="15"/>
  <c r="D374" i="15"/>
  <c r="D373" i="15"/>
  <c r="D372" i="15"/>
  <c r="D371" i="15"/>
  <c r="D370" i="15"/>
  <c r="D369" i="15"/>
  <c r="D368" i="15"/>
  <c r="D367" i="15"/>
  <c r="D366" i="15"/>
  <c r="D365" i="15"/>
  <c r="D364" i="15"/>
  <c r="D363" i="15"/>
  <c r="D362" i="15"/>
  <c r="D361" i="15"/>
  <c r="D360" i="15"/>
  <c r="D359" i="15"/>
  <c r="D358" i="15"/>
  <c r="D357" i="15"/>
  <c r="D356" i="15"/>
  <c r="D355" i="15"/>
  <c r="D354" i="15"/>
  <c r="D353" i="15"/>
  <c r="D352" i="15"/>
  <c r="D351" i="15"/>
  <c r="D350" i="15"/>
  <c r="D349" i="15"/>
  <c r="D348" i="15"/>
  <c r="D347" i="15"/>
  <c r="D173" i="15"/>
  <c r="P173" i="15" s="1"/>
  <c r="D172" i="15"/>
  <c r="P172" i="15" s="1"/>
  <c r="D171" i="15"/>
  <c r="P171" i="15" s="1"/>
  <c r="D170" i="15"/>
  <c r="P170" i="15" s="1"/>
  <c r="D169" i="15"/>
  <c r="P169" i="15" s="1"/>
  <c r="D168" i="15"/>
  <c r="D167" i="15"/>
  <c r="D166" i="15"/>
  <c r="D165" i="15"/>
  <c r="P165" i="15" s="1"/>
  <c r="D164" i="15"/>
  <c r="P164" i="15" s="1"/>
  <c r="D163" i="15"/>
  <c r="D162" i="15"/>
  <c r="P162" i="15" s="1"/>
  <c r="D161" i="15"/>
  <c r="D160" i="15"/>
  <c r="P160" i="15" s="1"/>
  <c r="D159" i="15"/>
  <c r="P159" i="15" s="1"/>
  <c r="D158" i="15"/>
  <c r="D157" i="15"/>
  <c r="P157" i="15" s="1"/>
  <c r="D156" i="15"/>
  <c r="P156" i="15" s="1"/>
  <c r="D155" i="15"/>
  <c r="P155" i="15" s="1"/>
  <c r="D154" i="15"/>
  <c r="P154" i="15" s="1"/>
  <c r="D153" i="15"/>
  <c r="D152" i="15"/>
  <c r="D151" i="15"/>
  <c r="P151" i="15" s="1"/>
  <c r="D150" i="15"/>
  <c r="P150" i="15" s="1"/>
  <c r="D149" i="15"/>
  <c r="D148" i="15"/>
  <c r="P148" i="15" s="1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S391" i="15"/>
  <c r="S392" i="15"/>
  <c r="S393" i="15"/>
  <c r="S394" i="15"/>
  <c r="S395" i="15"/>
  <c r="S396" i="15"/>
  <c r="S397" i="15"/>
  <c r="S398" i="15"/>
  <c r="S399" i="15"/>
  <c r="S400" i="15"/>
  <c r="S401" i="15"/>
  <c r="S402" i="15"/>
  <c r="S403" i="15"/>
  <c r="S404" i="15"/>
  <c r="S405" i="15"/>
  <c r="S406" i="15"/>
  <c r="S407" i="15"/>
  <c r="S408" i="15"/>
  <c r="S409" i="15"/>
  <c r="S410" i="15"/>
  <c r="S411" i="15"/>
  <c r="S412" i="15"/>
  <c r="S413" i="15"/>
  <c r="S414" i="15"/>
  <c r="S415" i="15"/>
  <c r="S416" i="15"/>
  <c r="S417" i="15"/>
  <c r="S418" i="15"/>
  <c r="S419" i="15"/>
  <c r="S420" i="15"/>
  <c r="S421" i="15"/>
  <c r="S422" i="15"/>
  <c r="S423" i="15"/>
  <c r="S424" i="15"/>
  <c r="S425" i="15"/>
  <c r="S426" i="15"/>
  <c r="S427" i="15"/>
  <c r="S428" i="15"/>
  <c r="S429" i="15"/>
  <c r="S430" i="15"/>
  <c r="S431" i="15"/>
  <c r="S432" i="15"/>
  <c r="S433" i="15"/>
  <c r="S434" i="15"/>
  <c r="S435" i="15"/>
  <c r="S436" i="15"/>
  <c r="S437" i="15"/>
  <c r="S438" i="15"/>
  <c r="S439" i="15"/>
  <c r="S440" i="15"/>
  <c r="S441" i="15"/>
  <c r="S442" i="15"/>
  <c r="S443" i="15"/>
  <c r="S444" i="15"/>
  <c r="S445" i="15"/>
  <c r="S446" i="15"/>
  <c r="S447" i="15"/>
  <c r="S448" i="15"/>
  <c r="S449" i="15"/>
  <c r="S450" i="15"/>
  <c r="S451" i="15"/>
  <c r="S452" i="15"/>
  <c r="S453" i="15"/>
  <c r="S454" i="15"/>
  <c r="S455" i="15"/>
  <c r="S456" i="15"/>
  <c r="S457" i="15"/>
  <c r="S458" i="15"/>
  <c r="S459" i="15"/>
  <c r="S460" i="15"/>
  <c r="S461" i="15"/>
  <c r="S462" i="15"/>
  <c r="S464" i="15"/>
  <c r="S465" i="15"/>
  <c r="S466" i="15"/>
  <c r="S467" i="15"/>
  <c r="S468" i="15"/>
  <c r="S469" i="15"/>
  <c r="S470" i="15"/>
  <c r="S471" i="15"/>
  <c r="S472" i="15"/>
  <c r="S473" i="15"/>
  <c r="S474" i="15"/>
  <c r="S475" i="15"/>
  <c r="S476" i="15"/>
  <c r="S477" i="15"/>
  <c r="S478" i="15"/>
  <c r="S479" i="15"/>
  <c r="S480" i="15"/>
  <c r="S481" i="15"/>
  <c r="S482" i="15"/>
  <c r="S483" i="15"/>
  <c r="S484" i="15"/>
  <c r="S485" i="15"/>
  <c r="S486" i="15"/>
  <c r="S487" i="15"/>
  <c r="S488" i="15"/>
  <c r="S489" i="15"/>
  <c r="S490" i="15"/>
  <c r="S491" i="15"/>
  <c r="S492" i="15"/>
  <c r="S493" i="15"/>
  <c r="S494" i="15"/>
  <c r="S495" i="15"/>
  <c r="S496" i="15"/>
  <c r="S497" i="15"/>
  <c r="S498" i="15"/>
  <c r="S499" i="15"/>
  <c r="S500" i="15"/>
  <c r="S501" i="15"/>
  <c r="S502" i="15"/>
  <c r="S503" i="15"/>
  <c r="S504" i="15"/>
  <c r="S505" i="15"/>
  <c r="S506" i="15"/>
  <c r="S507" i="15"/>
  <c r="S508" i="15"/>
  <c r="S509" i="15"/>
  <c r="S510" i="15"/>
  <c r="S511" i="15"/>
  <c r="S512" i="15"/>
  <c r="S513" i="15"/>
  <c r="S514" i="15"/>
  <c r="S515" i="15"/>
  <c r="S516" i="15"/>
  <c r="S517" i="15"/>
  <c r="S518" i="15"/>
  <c r="S519" i="15"/>
  <c r="S520" i="15"/>
  <c r="S521" i="15"/>
  <c r="S522" i="15"/>
  <c r="S523" i="15"/>
  <c r="S524" i="15"/>
  <c r="S525" i="15"/>
  <c r="S526" i="15"/>
  <c r="S527" i="15"/>
  <c r="S528" i="15"/>
  <c r="S529" i="15"/>
  <c r="S530" i="15"/>
  <c r="S531" i="15"/>
  <c r="S532" i="15"/>
  <c r="S533" i="15"/>
  <c r="S534" i="15"/>
  <c r="S535" i="15"/>
  <c r="S536" i="15"/>
  <c r="S538" i="15"/>
  <c r="S539" i="15"/>
  <c r="S540" i="15"/>
  <c r="S541" i="15"/>
  <c r="S542" i="15"/>
  <c r="S543" i="15"/>
  <c r="S544" i="15"/>
  <c r="S545" i="15"/>
  <c r="S546" i="15"/>
  <c r="S547" i="15"/>
  <c r="S548" i="15"/>
  <c r="S549" i="15"/>
  <c r="S550" i="15"/>
  <c r="S551" i="15"/>
  <c r="S552" i="15"/>
  <c r="S553" i="15"/>
  <c r="S554" i="15"/>
  <c r="S555" i="15"/>
  <c r="S556" i="15"/>
  <c r="S557" i="15"/>
  <c r="S558" i="15"/>
  <c r="S559" i="15"/>
  <c r="S560" i="15"/>
  <c r="S561" i="15"/>
  <c r="S562" i="15"/>
  <c r="S563" i="15"/>
  <c r="S564" i="15"/>
  <c r="S565" i="15"/>
  <c r="S566" i="15"/>
  <c r="S567" i="15"/>
  <c r="S568" i="15"/>
  <c r="S569" i="15"/>
  <c r="S570" i="15"/>
  <c r="S571" i="15"/>
  <c r="S572" i="15"/>
  <c r="S573" i="15"/>
  <c r="S574" i="15"/>
  <c r="S575" i="15"/>
  <c r="S576" i="15"/>
  <c r="S577" i="15"/>
  <c r="S578" i="15"/>
  <c r="S579" i="15"/>
  <c r="S580" i="15"/>
  <c r="S581" i="15"/>
  <c r="S582" i="15"/>
  <c r="S583" i="15"/>
  <c r="S584" i="15"/>
  <c r="S585" i="15"/>
  <c r="S586" i="15"/>
  <c r="S587" i="15"/>
  <c r="S588" i="15"/>
  <c r="S589" i="15"/>
  <c r="S590" i="15"/>
  <c r="S591" i="15"/>
  <c r="S592" i="15"/>
  <c r="S593" i="15"/>
  <c r="S594" i="15"/>
  <c r="S595" i="15"/>
  <c r="S596" i="15"/>
  <c r="S597" i="15"/>
  <c r="S598" i="15"/>
  <c r="S599" i="15"/>
  <c r="S600" i="15"/>
  <c r="S601" i="15"/>
  <c r="S602" i="15"/>
  <c r="S603" i="15"/>
  <c r="S604" i="15"/>
  <c r="S605" i="15"/>
  <c r="S606" i="15"/>
  <c r="S607" i="15"/>
  <c r="S608" i="15"/>
  <c r="S609" i="15"/>
  <c r="S610" i="15"/>
  <c r="S612" i="15"/>
  <c r="S613" i="15"/>
  <c r="S614" i="15"/>
  <c r="S615" i="15"/>
  <c r="S616" i="15"/>
  <c r="S617" i="15"/>
  <c r="S618" i="15"/>
  <c r="S619" i="15"/>
  <c r="S620" i="15"/>
  <c r="S621" i="15"/>
  <c r="S622" i="15"/>
  <c r="S623" i="15"/>
  <c r="S624" i="15"/>
  <c r="S625" i="15"/>
  <c r="S626" i="15"/>
  <c r="S627" i="15"/>
  <c r="S628" i="15"/>
  <c r="S629" i="15"/>
  <c r="S630" i="15"/>
  <c r="S631" i="15"/>
  <c r="S632" i="15"/>
  <c r="S633" i="15"/>
  <c r="S634" i="15"/>
  <c r="S635" i="15"/>
  <c r="S636" i="15"/>
  <c r="S637" i="15"/>
  <c r="S638" i="15"/>
  <c r="S639" i="15"/>
  <c r="S640" i="15"/>
  <c r="S641" i="15"/>
  <c r="S642" i="15"/>
  <c r="S643" i="15"/>
  <c r="S644" i="15"/>
  <c r="S645" i="15"/>
  <c r="S646" i="15"/>
  <c r="S647" i="15"/>
  <c r="S648" i="15"/>
  <c r="S649" i="15"/>
  <c r="S650" i="15"/>
  <c r="S651" i="15"/>
  <c r="S652" i="15"/>
  <c r="S653" i="15"/>
  <c r="S654" i="15"/>
  <c r="S655" i="15"/>
  <c r="S656" i="15"/>
  <c r="S657" i="15"/>
  <c r="S658" i="15"/>
  <c r="S659" i="15"/>
  <c r="S660" i="15"/>
  <c r="S661" i="15"/>
  <c r="S662" i="15"/>
  <c r="S663" i="15"/>
  <c r="S664" i="15"/>
  <c r="S665" i="15"/>
  <c r="S666" i="15"/>
  <c r="S667" i="15"/>
  <c r="S668" i="15"/>
  <c r="S669" i="15"/>
  <c r="S670" i="15"/>
  <c r="S671" i="15"/>
  <c r="S672" i="15"/>
  <c r="S673" i="15"/>
  <c r="S674" i="15"/>
  <c r="S675" i="15"/>
  <c r="S676" i="15"/>
  <c r="S677" i="15"/>
  <c r="S678" i="15"/>
  <c r="S679" i="15"/>
  <c r="S680" i="15"/>
  <c r="S681" i="15"/>
  <c r="S682" i="15"/>
  <c r="S683" i="15"/>
  <c r="S684" i="15"/>
  <c r="S390" i="15"/>
  <c r="R391" i="15"/>
  <c r="R392" i="15"/>
  <c r="R393" i="15"/>
  <c r="R394" i="15"/>
  <c r="R395" i="15"/>
  <c r="R396" i="15"/>
  <c r="R397" i="15"/>
  <c r="R398" i="15"/>
  <c r="R399" i="15"/>
  <c r="R400" i="15"/>
  <c r="R401" i="15"/>
  <c r="R402" i="15"/>
  <c r="R403" i="15"/>
  <c r="R404" i="15"/>
  <c r="R405" i="15"/>
  <c r="R406" i="15"/>
  <c r="R407" i="15"/>
  <c r="R408" i="15"/>
  <c r="R409" i="15"/>
  <c r="R410" i="15"/>
  <c r="R411" i="15"/>
  <c r="R412" i="15"/>
  <c r="R413" i="15"/>
  <c r="R414" i="15"/>
  <c r="R415" i="15"/>
  <c r="R416" i="15"/>
  <c r="R417" i="15"/>
  <c r="R418" i="15"/>
  <c r="R419" i="15"/>
  <c r="R420" i="15"/>
  <c r="R421" i="15"/>
  <c r="R422" i="15"/>
  <c r="R423" i="15"/>
  <c r="R424" i="15"/>
  <c r="R425" i="15"/>
  <c r="R426" i="15"/>
  <c r="R427" i="15"/>
  <c r="R428" i="15"/>
  <c r="R429" i="15"/>
  <c r="R430" i="15"/>
  <c r="R431" i="15"/>
  <c r="R432" i="15"/>
  <c r="R433" i="15"/>
  <c r="R434" i="15"/>
  <c r="R435" i="15"/>
  <c r="R436" i="15"/>
  <c r="R437" i="15"/>
  <c r="R438" i="15"/>
  <c r="R439" i="15"/>
  <c r="R440" i="15"/>
  <c r="R441" i="15"/>
  <c r="R442" i="15"/>
  <c r="R443" i="15"/>
  <c r="R444" i="15"/>
  <c r="R445" i="15"/>
  <c r="R446" i="15"/>
  <c r="R447" i="15"/>
  <c r="R448" i="15"/>
  <c r="R449" i="15"/>
  <c r="R450" i="15"/>
  <c r="R451" i="15"/>
  <c r="R452" i="15"/>
  <c r="R453" i="15"/>
  <c r="R454" i="15"/>
  <c r="R455" i="15"/>
  <c r="R456" i="15"/>
  <c r="R457" i="15"/>
  <c r="R458" i="15"/>
  <c r="R459" i="15"/>
  <c r="R460" i="15"/>
  <c r="R461" i="15"/>
  <c r="R462" i="15"/>
  <c r="R464" i="15"/>
  <c r="R465" i="15"/>
  <c r="R466" i="15"/>
  <c r="R467" i="15"/>
  <c r="R468" i="15"/>
  <c r="R469" i="15"/>
  <c r="R470" i="15"/>
  <c r="R471" i="15"/>
  <c r="R472" i="15"/>
  <c r="R473" i="15"/>
  <c r="R474" i="15"/>
  <c r="R475" i="15"/>
  <c r="R476" i="15"/>
  <c r="R477" i="15"/>
  <c r="R478" i="15"/>
  <c r="R479" i="15"/>
  <c r="R480" i="15"/>
  <c r="R481" i="15"/>
  <c r="R482" i="15"/>
  <c r="R483" i="15"/>
  <c r="R484" i="15"/>
  <c r="R485" i="15"/>
  <c r="R486" i="15"/>
  <c r="R487" i="15"/>
  <c r="R488" i="15"/>
  <c r="R489" i="15"/>
  <c r="R490" i="15"/>
  <c r="R491" i="15"/>
  <c r="R492" i="15"/>
  <c r="R493" i="15"/>
  <c r="R494" i="15"/>
  <c r="R495" i="15"/>
  <c r="R496" i="15"/>
  <c r="R497" i="15"/>
  <c r="R498" i="15"/>
  <c r="R499" i="15"/>
  <c r="R500" i="15"/>
  <c r="R501" i="15"/>
  <c r="R502" i="15"/>
  <c r="R503" i="15"/>
  <c r="R504" i="15"/>
  <c r="R505" i="15"/>
  <c r="R506" i="15"/>
  <c r="R507" i="15"/>
  <c r="R508" i="15"/>
  <c r="R509" i="15"/>
  <c r="R510" i="15"/>
  <c r="R511" i="15"/>
  <c r="R512" i="15"/>
  <c r="R513" i="15"/>
  <c r="R514" i="15"/>
  <c r="R515" i="15"/>
  <c r="R516" i="15"/>
  <c r="R517" i="15"/>
  <c r="R518" i="15"/>
  <c r="R519" i="15"/>
  <c r="R520" i="15"/>
  <c r="R521" i="15"/>
  <c r="R522" i="15"/>
  <c r="R523" i="15"/>
  <c r="R524" i="15"/>
  <c r="R525" i="15"/>
  <c r="R526" i="15"/>
  <c r="R527" i="15"/>
  <c r="R528" i="15"/>
  <c r="R529" i="15"/>
  <c r="R530" i="15"/>
  <c r="R531" i="15"/>
  <c r="R532" i="15"/>
  <c r="R533" i="15"/>
  <c r="R534" i="15"/>
  <c r="R535" i="15"/>
  <c r="R536" i="15"/>
  <c r="R538" i="15"/>
  <c r="R539" i="15"/>
  <c r="R540" i="15"/>
  <c r="R541" i="15"/>
  <c r="R542" i="15"/>
  <c r="R543" i="15"/>
  <c r="R544" i="15"/>
  <c r="R545" i="15"/>
  <c r="R546" i="15"/>
  <c r="R547" i="15"/>
  <c r="R548" i="15"/>
  <c r="R549" i="15"/>
  <c r="R550" i="15"/>
  <c r="R551" i="15"/>
  <c r="R552" i="15"/>
  <c r="R553" i="15"/>
  <c r="R554" i="15"/>
  <c r="R555" i="15"/>
  <c r="R556" i="15"/>
  <c r="R557" i="15"/>
  <c r="R558" i="15"/>
  <c r="R559" i="15"/>
  <c r="R560" i="15"/>
  <c r="R561" i="15"/>
  <c r="R562" i="15"/>
  <c r="R563" i="15"/>
  <c r="R564" i="15"/>
  <c r="R565" i="15"/>
  <c r="R566" i="15"/>
  <c r="R567" i="15"/>
  <c r="R568" i="15"/>
  <c r="R569" i="15"/>
  <c r="R570" i="15"/>
  <c r="R571" i="15"/>
  <c r="R572" i="15"/>
  <c r="R573" i="15"/>
  <c r="R574" i="15"/>
  <c r="R575" i="15"/>
  <c r="R576" i="15"/>
  <c r="R577" i="15"/>
  <c r="R578" i="15"/>
  <c r="R579" i="15"/>
  <c r="R580" i="15"/>
  <c r="R581" i="15"/>
  <c r="R582" i="15"/>
  <c r="R583" i="15"/>
  <c r="R584" i="15"/>
  <c r="R585" i="15"/>
  <c r="R586" i="15"/>
  <c r="R587" i="15"/>
  <c r="R588" i="15"/>
  <c r="R589" i="15"/>
  <c r="R590" i="15"/>
  <c r="R591" i="15"/>
  <c r="R592" i="15"/>
  <c r="R593" i="15"/>
  <c r="R594" i="15"/>
  <c r="R595" i="15"/>
  <c r="R596" i="15"/>
  <c r="R597" i="15"/>
  <c r="R598" i="15"/>
  <c r="R599" i="15"/>
  <c r="R600" i="15"/>
  <c r="R601" i="15"/>
  <c r="R602" i="15"/>
  <c r="R603" i="15"/>
  <c r="R604" i="15"/>
  <c r="R605" i="15"/>
  <c r="R606" i="15"/>
  <c r="R607" i="15"/>
  <c r="R608" i="15"/>
  <c r="R609" i="15"/>
  <c r="R610" i="15"/>
  <c r="R612" i="15"/>
  <c r="R613" i="15"/>
  <c r="R614" i="15"/>
  <c r="R615" i="15"/>
  <c r="R616" i="15"/>
  <c r="R617" i="15"/>
  <c r="R618" i="15"/>
  <c r="R619" i="15"/>
  <c r="R620" i="15"/>
  <c r="R621" i="15"/>
  <c r="R622" i="15"/>
  <c r="R623" i="15"/>
  <c r="R624" i="15"/>
  <c r="R625" i="15"/>
  <c r="R626" i="15"/>
  <c r="R627" i="15"/>
  <c r="R628" i="15"/>
  <c r="R629" i="15"/>
  <c r="R630" i="15"/>
  <c r="R631" i="15"/>
  <c r="R632" i="15"/>
  <c r="R633" i="15"/>
  <c r="R634" i="15"/>
  <c r="R635" i="15"/>
  <c r="R636" i="15"/>
  <c r="R637" i="15"/>
  <c r="R638" i="15"/>
  <c r="R639" i="15"/>
  <c r="R640" i="15"/>
  <c r="R641" i="15"/>
  <c r="R642" i="15"/>
  <c r="R643" i="15"/>
  <c r="R644" i="15"/>
  <c r="R645" i="15"/>
  <c r="R646" i="15"/>
  <c r="R647" i="15"/>
  <c r="R648" i="15"/>
  <c r="R649" i="15"/>
  <c r="R650" i="15"/>
  <c r="R651" i="15"/>
  <c r="R652" i="15"/>
  <c r="R653" i="15"/>
  <c r="R654" i="15"/>
  <c r="R655" i="15"/>
  <c r="R656" i="15"/>
  <c r="R657" i="15"/>
  <c r="R658" i="15"/>
  <c r="R659" i="15"/>
  <c r="R660" i="15"/>
  <c r="R661" i="15"/>
  <c r="R662" i="15"/>
  <c r="R663" i="15"/>
  <c r="R664" i="15"/>
  <c r="R665" i="15"/>
  <c r="R666" i="15"/>
  <c r="R667" i="15"/>
  <c r="R668" i="15"/>
  <c r="R669" i="15"/>
  <c r="R670" i="15"/>
  <c r="R671" i="15"/>
  <c r="R672" i="15"/>
  <c r="R673" i="15"/>
  <c r="R674" i="15"/>
  <c r="R675" i="15"/>
  <c r="R676" i="15"/>
  <c r="R677" i="15"/>
  <c r="R678" i="15"/>
  <c r="R679" i="15"/>
  <c r="R680" i="15"/>
  <c r="R681" i="15"/>
  <c r="R682" i="15"/>
  <c r="R683" i="15"/>
  <c r="R684" i="15"/>
  <c r="R390" i="15"/>
  <c r="Q391" i="15"/>
  <c r="Q392" i="15"/>
  <c r="Q393" i="15"/>
  <c r="Q394" i="15"/>
  <c r="Q395" i="15"/>
  <c r="Q396" i="15"/>
  <c r="Q397" i="15"/>
  <c r="Q398" i="15"/>
  <c r="Q399" i="15"/>
  <c r="Q400" i="15"/>
  <c r="Q401" i="15"/>
  <c r="Q402" i="15"/>
  <c r="Q403" i="15"/>
  <c r="Q404" i="15"/>
  <c r="Q405" i="15"/>
  <c r="Q406" i="15"/>
  <c r="Q407" i="15"/>
  <c r="Q408" i="15"/>
  <c r="Q409" i="15"/>
  <c r="Q410" i="15"/>
  <c r="Q411" i="15"/>
  <c r="Q412" i="15"/>
  <c r="Q413" i="15"/>
  <c r="Q414" i="15"/>
  <c r="Q415" i="15"/>
  <c r="Q416" i="15"/>
  <c r="Q417" i="15"/>
  <c r="Q418" i="15"/>
  <c r="Q419" i="15"/>
  <c r="Q420" i="15"/>
  <c r="Q421" i="15"/>
  <c r="Q422" i="15"/>
  <c r="Q423" i="15"/>
  <c r="Q424" i="15"/>
  <c r="Q425" i="15"/>
  <c r="Q426" i="15"/>
  <c r="Q427" i="15"/>
  <c r="Q428" i="15"/>
  <c r="Q429" i="15"/>
  <c r="Q430" i="15"/>
  <c r="Q431" i="15"/>
  <c r="Q432" i="15"/>
  <c r="Q433" i="15"/>
  <c r="Q434" i="15"/>
  <c r="Q435" i="15"/>
  <c r="Q436" i="15"/>
  <c r="Q437" i="15"/>
  <c r="Q438" i="15"/>
  <c r="Q439" i="15"/>
  <c r="Q440" i="15"/>
  <c r="Q441" i="15"/>
  <c r="Q442" i="15"/>
  <c r="Q443" i="15"/>
  <c r="Q444" i="15"/>
  <c r="Q445" i="15"/>
  <c r="Q446" i="15"/>
  <c r="Q447" i="15"/>
  <c r="Q448" i="15"/>
  <c r="Q449" i="15"/>
  <c r="Q450" i="15"/>
  <c r="Q451" i="15"/>
  <c r="Q452" i="15"/>
  <c r="Q453" i="15"/>
  <c r="Q454" i="15"/>
  <c r="Q455" i="15"/>
  <c r="Q456" i="15"/>
  <c r="Q457" i="15"/>
  <c r="Q458" i="15"/>
  <c r="Q459" i="15"/>
  <c r="Q460" i="15"/>
  <c r="Q461" i="15"/>
  <c r="Q462" i="15"/>
  <c r="Q464" i="15"/>
  <c r="Q465" i="15"/>
  <c r="Q466" i="15"/>
  <c r="Q467" i="15"/>
  <c r="Q468" i="15"/>
  <c r="Q469" i="15"/>
  <c r="Q470" i="15"/>
  <c r="Q471" i="15"/>
  <c r="Q472" i="15"/>
  <c r="Q473" i="15"/>
  <c r="Q474" i="15"/>
  <c r="Q475" i="15"/>
  <c r="Q476" i="15"/>
  <c r="Q477" i="15"/>
  <c r="Q478" i="15"/>
  <c r="Q479" i="15"/>
  <c r="Q480" i="15"/>
  <c r="Q481" i="15"/>
  <c r="Q482" i="15"/>
  <c r="Q483" i="15"/>
  <c r="Q484" i="15"/>
  <c r="Q485" i="15"/>
  <c r="Q486" i="15"/>
  <c r="Q487" i="15"/>
  <c r="Q488" i="15"/>
  <c r="Q489" i="15"/>
  <c r="Q490" i="15"/>
  <c r="Q491" i="15"/>
  <c r="Q492" i="15"/>
  <c r="Q493" i="15"/>
  <c r="Q494" i="15"/>
  <c r="Q495" i="15"/>
  <c r="Q496" i="15"/>
  <c r="Q497" i="15"/>
  <c r="Q498" i="15"/>
  <c r="Q499" i="15"/>
  <c r="Q500" i="15"/>
  <c r="Q501" i="15"/>
  <c r="Q502" i="15"/>
  <c r="Q503" i="15"/>
  <c r="Q504" i="15"/>
  <c r="Q505" i="15"/>
  <c r="Q506" i="15"/>
  <c r="Q507" i="15"/>
  <c r="Q508" i="15"/>
  <c r="Q509" i="15"/>
  <c r="Q510" i="15"/>
  <c r="Q511" i="15"/>
  <c r="Q512" i="15"/>
  <c r="Q513" i="15"/>
  <c r="Q514" i="15"/>
  <c r="Q515" i="15"/>
  <c r="Q516" i="15"/>
  <c r="Q517" i="15"/>
  <c r="Q518" i="15"/>
  <c r="Q519" i="15"/>
  <c r="Q520" i="15"/>
  <c r="Q521" i="15"/>
  <c r="Q522" i="15"/>
  <c r="Q523" i="15"/>
  <c r="Q524" i="15"/>
  <c r="Q525" i="15"/>
  <c r="Q526" i="15"/>
  <c r="Q527" i="15"/>
  <c r="Q528" i="15"/>
  <c r="Q529" i="15"/>
  <c r="Q530" i="15"/>
  <c r="Q531" i="15"/>
  <c r="Q532" i="15"/>
  <c r="Q533" i="15"/>
  <c r="Q534" i="15"/>
  <c r="Q535" i="15"/>
  <c r="Q536" i="15"/>
  <c r="Q538" i="15"/>
  <c r="Q539" i="15"/>
  <c r="Q540" i="15"/>
  <c r="Q541" i="15"/>
  <c r="Q542" i="15"/>
  <c r="Q543" i="15"/>
  <c r="Q544" i="15"/>
  <c r="Q545" i="15"/>
  <c r="Q546" i="15"/>
  <c r="Q547" i="15"/>
  <c r="Q548" i="15"/>
  <c r="Q549" i="15"/>
  <c r="Q550" i="15"/>
  <c r="Q551" i="15"/>
  <c r="Q552" i="15"/>
  <c r="Q553" i="15"/>
  <c r="Q554" i="15"/>
  <c r="Q555" i="15"/>
  <c r="Q556" i="15"/>
  <c r="Q557" i="15"/>
  <c r="Q558" i="15"/>
  <c r="Q559" i="15"/>
  <c r="Q560" i="15"/>
  <c r="Q561" i="15"/>
  <c r="Q562" i="15"/>
  <c r="Q563" i="15"/>
  <c r="Q564" i="15"/>
  <c r="Q565" i="15"/>
  <c r="Q566" i="15"/>
  <c r="Q567" i="15"/>
  <c r="Q568" i="15"/>
  <c r="Q569" i="15"/>
  <c r="Q570" i="15"/>
  <c r="Q571" i="15"/>
  <c r="Q572" i="15"/>
  <c r="Q573" i="15"/>
  <c r="Q574" i="15"/>
  <c r="Q575" i="15"/>
  <c r="Q576" i="15"/>
  <c r="Q577" i="15"/>
  <c r="Q578" i="15"/>
  <c r="Q579" i="15"/>
  <c r="Q580" i="15"/>
  <c r="Q581" i="15"/>
  <c r="Q582" i="15"/>
  <c r="Q583" i="15"/>
  <c r="Q584" i="15"/>
  <c r="Q585" i="15"/>
  <c r="Q586" i="15"/>
  <c r="Q587" i="15"/>
  <c r="Q588" i="15"/>
  <c r="Q589" i="15"/>
  <c r="Q590" i="15"/>
  <c r="Q591" i="15"/>
  <c r="Q592" i="15"/>
  <c r="Q593" i="15"/>
  <c r="Q594" i="15"/>
  <c r="Q595" i="15"/>
  <c r="Q596" i="15"/>
  <c r="Q597" i="15"/>
  <c r="Q598" i="15"/>
  <c r="Q599" i="15"/>
  <c r="Q600" i="15"/>
  <c r="Q601" i="15"/>
  <c r="Q602" i="15"/>
  <c r="Q603" i="15"/>
  <c r="Q604" i="15"/>
  <c r="Q605" i="15"/>
  <c r="Q606" i="15"/>
  <c r="Q607" i="15"/>
  <c r="Q608" i="15"/>
  <c r="Q609" i="15"/>
  <c r="Q610" i="15"/>
  <c r="Q612" i="15"/>
  <c r="Q613" i="15"/>
  <c r="Q614" i="15"/>
  <c r="Q615" i="15"/>
  <c r="Q616" i="15"/>
  <c r="Q617" i="15"/>
  <c r="Q618" i="15"/>
  <c r="Q619" i="15"/>
  <c r="Q620" i="15"/>
  <c r="Q621" i="15"/>
  <c r="Q622" i="15"/>
  <c r="Q623" i="15"/>
  <c r="Q624" i="15"/>
  <c r="Q625" i="15"/>
  <c r="Q626" i="15"/>
  <c r="Q627" i="15"/>
  <c r="Q628" i="15"/>
  <c r="Q629" i="15"/>
  <c r="Q630" i="15"/>
  <c r="Q631" i="15"/>
  <c r="Q632" i="15"/>
  <c r="Q633" i="15"/>
  <c r="Q634" i="15"/>
  <c r="Q635" i="15"/>
  <c r="Q636" i="15"/>
  <c r="Q637" i="15"/>
  <c r="Q638" i="15"/>
  <c r="Q639" i="15"/>
  <c r="Q640" i="15"/>
  <c r="Q641" i="15"/>
  <c r="Q642" i="15"/>
  <c r="Q643" i="15"/>
  <c r="Q644" i="15"/>
  <c r="Q645" i="15"/>
  <c r="Q646" i="15"/>
  <c r="Q647" i="15"/>
  <c r="Q648" i="15"/>
  <c r="Q649" i="15"/>
  <c r="Q650" i="15"/>
  <c r="Q651" i="15"/>
  <c r="Q652" i="15"/>
  <c r="Q653" i="15"/>
  <c r="Q654" i="15"/>
  <c r="Q655" i="15"/>
  <c r="Q656" i="15"/>
  <c r="Q657" i="15"/>
  <c r="Q658" i="15"/>
  <c r="Q659" i="15"/>
  <c r="Q660" i="15"/>
  <c r="Q661" i="15"/>
  <c r="Q662" i="15"/>
  <c r="Q663" i="15"/>
  <c r="Q664" i="15"/>
  <c r="Q665" i="15"/>
  <c r="Q666" i="15"/>
  <c r="Q667" i="15"/>
  <c r="Q668" i="15"/>
  <c r="Q669" i="15"/>
  <c r="Q670" i="15"/>
  <c r="Q671" i="15"/>
  <c r="Q672" i="15"/>
  <c r="Q673" i="15"/>
  <c r="Q674" i="15"/>
  <c r="Q675" i="15"/>
  <c r="Q676" i="15"/>
  <c r="Q677" i="15"/>
  <c r="Q678" i="15"/>
  <c r="Q679" i="15"/>
  <c r="Q680" i="15"/>
  <c r="Q681" i="15"/>
  <c r="Q682" i="15"/>
  <c r="Q683" i="15"/>
  <c r="Q684" i="15"/>
  <c r="Q390" i="15"/>
  <c r="D1171" i="14"/>
  <c r="D1170" i="14"/>
  <c r="D1169" i="14"/>
  <c r="D1168" i="14"/>
  <c r="D1167" i="14"/>
  <c r="D1166" i="14"/>
  <c r="D1165" i="14"/>
  <c r="D1164" i="14"/>
  <c r="D1163" i="14"/>
  <c r="D1162" i="14"/>
  <c r="D1161" i="14"/>
  <c r="D1160" i="14"/>
  <c r="D1159" i="14"/>
  <c r="D1158" i="14"/>
  <c r="D1157" i="14"/>
  <c r="D1156" i="14"/>
  <c r="D1155" i="14"/>
  <c r="D1154" i="14"/>
  <c r="D1153" i="14"/>
  <c r="D1152" i="14"/>
  <c r="D1151" i="14"/>
  <c r="D1150" i="14"/>
  <c r="D1149" i="14"/>
  <c r="D1148" i="14"/>
  <c r="D1147" i="14"/>
  <c r="D1146" i="14"/>
  <c r="D1145" i="14"/>
  <c r="D1144" i="14"/>
  <c r="D1143" i="14"/>
  <c r="D1142" i="14"/>
  <c r="D1141" i="14"/>
  <c r="D1140" i="14"/>
  <c r="D1139" i="14"/>
  <c r="D1138" i="14"/>
  <c r="D1137" i="14"/>
  <c r="D1136" i="14"/>
  <c r="D1135" i="14"/>
  <c r="D1134" i="14"/>
  <c r="D1133" i="14"/>
  <c r="D1132" i="14"/>
  <c r="D1131" i="14"/>
  <c r="D1130" i="14"/>
  <c r="D1129" i="14"/>
  <c r="D1128" i="14"/>
  <c r="D1127" i="14"/>
  <c r="D1126" i="14"/>
  <c r="D1125" i="14"/>
  <c r="D1124" i="14"/>
  <c r="D1123" i="14"/>
  <c r="D1122" i="14"/>
  <c r="D1121" i="14"/>
  <c r="D1120" i="14"/>
  <c r="D1119" i="14"/>
  <c r="D1118" i="14"/>
  <c r="D1117" i="14"/>
  <c r="D1116" i="14"/>
  <c r="D1115" i="14"/>
  <c r="D1114" i="14"/>
  <c r="D1113" i="14"/>
  <c r="D1112" i="14"/>
  <c r="D1111" i="14"/>
  <c r="D1110" i="14"/>
  <c r="D1109" i="14"/>
  <c r="D1108" i="14"/>
  <c r="D1107" i="14"/>
  <c r="D1106" i="14"/>
  <c r="D1105" i="14"/>
  <c r="D1104" i="14"/>
  <c r="D1103" i="14"/>
  <c r="D1102" i="14"/>
  <c r="D1101" i="14"/>
  <c r="D1100" i="14"/>
  <c r="D1099" i="14"/>
  <c r="D1098" i="14"/>
  <c r="D1097" i="14"/>
  <c r="D1096" i="14"/>
  <c r="D1095" i="14"/>
  <c r="D1094" i="14"/>
  <c r="D1093" i="14"/>
  <c r="D1092" i="14"/>
  <c r="D1091" i="14"/>
  <c r="D1090" i="14"/>
  <c r="D1089" i="14"/>
  <c r="D1088" i="14"/>
  <c r="D1087" i="14"/>
  <c r="D1086" i="14"/>
  <c r="D1085" i="14"/>
  <c r="D1084" i="14"/>
  <c r="D1083" i="14"/>
  <c r="D1082" i="14"/>
  <c r="D1081" i="14"/>
  <c r="D1080" i="14"/>
  <c r="D1079" i="14"/>
  <c r="D1078" i="14"/>
  <c r="D1077" i="14"/>
  <c r="D1076" i="14"/>
  <c r="D1075" i="14"/>
  <c r="D1074" i="14"/>
  <c r="D1073" i="14"/>
  <c r="D1072" i="14"/>
  <c r="D1071" i="14"/>
  <c r="D1070" i="14"/>
  <c r="D1069" i="14"/>
  <c r="D1068" i="14"/>
  <c r="D1067" i="14"/>
  <c r="D1066" i="14"/>
  <c r="D1065" i="14"/>
  <c r="D1064" i="14"/>
  <c r="D1063" i="14"/>
  <c r="B1171" i="14"/>
  <c r="B1170" i="14"/>
  <c r="B1169" i="14"/>
  <c r="B1168" i="14"/>
  <c r="B1167" i="14"/>
  <c r="B1166" i="14"/>
  <c r="B1165" i="14"/>
  <c r="B1164" i="14"/>
  <c r="B1163" i="14"/>
  <c r="B1162" i="14"/>
  <c r="B1161" i="14"/>
  <c r="B1160" i="14"/>
  <c r="B1159" i="14"/>
  <c r="B1158" i="14"/>
  <c r="B1157" i="14"/>
  <c r="B1156" i="14"/>
  <c r="B1155" i="14"/>
  <c r="B1154" i="14"/>
  <c r="B1153" i="14"/>
  <c r="B1152" i="14"/>
  <c r="B1151" i="14"/>
  <c r="B1150" i="14"/>
  <c r="B1149" i="14"/>
  <c r="B1148" i="14"/>
  <c r="B1147" i="14"/>
  <c r="B1146" i="14"/>
  <c r="B1145" i="14"/>
  <c r="B1144" i="14"/>
  <c r="B1143" i="14"/>
  <c r="B1142" i="14"/>
  <c r="B1141" i="14"/>
  <c r="B1140" i="14"/>
  <c r="B1139" i="14"/>
  <c r="B1138" i="14"/>
  <c r="B1137" i="14"/>
  <c r="B1136" i="14"/>
  <c r="B1135" i="14"/>
  <c r="B1134" i="14"/>
  <c r="B1133" i="14"/>
  <c r="B1132" i="14"/>
  <c r="B1131" i="14"/>
  <c r="B1130" i="14"/>
  <c r="B1129" i="14"/>
  <c r="B1128" i="14"/>
  <c r="B1127" i="14"/>
  <c r="B1126" i="14"/>
  <c r="B1125" i="14"/>
  <c r="B1124" i="14"/>
  <c r="B1123" i="14"/>
  <c r="B1122" i="14"/>
  <c r="B1121" i="14"/>
  <c r="B1120" i="14"/>
  <c r="B1119" i="14"/>
  <c r="B1118" i="14"/>
  <c r="B1117" i="14"/>
  <c r="B1116" i="14"/>
  <c r="B1115" i="14"/>
  <c r="B1114" i="14"/>
  <c r="B1113" i="14"/>
  <c r="B1112" i="14"/>
  <c r="B1111" i="14"/>
  <c r="B1110" i="14"/>
  <c r="B1109" i="14"/>
  <c r="B1108" i="14"/>
  <c r="B1107" i="14"/>
  <c r="B1106" i="14"/>
  <c r="B1105" i="14"/>
  <c r="B1104" i="14"/>
  <c r="B1103" i="14"/>
  <c r="B1102" i="14"/>
  <c r="B1101" i="14"/>
  <c r="B1100" i="14"/>
  <c r="B1099" i="14"/>
  <c r="B1098" i="14"/>
  <c r="B1097" i="14"/>
  <c r="B1096" i="14"/>
  <c r="B1095" i="14"/>
  <c r="B1094" i="14"/>
  <c r="B1093" i="14"/>
  <c r="B1092" i="14"/>
  <c r="B1091" i="14"/>
  <c r="B1090" i="14"/>
  <c r="B1089" i="14"/>
  <c r="B1088" i="14"/>
  <c r="B1087" i="14"/>
  <c r="B1086" i="14"/>
  <c r="B1085" i="14"/>
  <c r="B1084" i="14"/>
  <c r="B1083" i="14"/>
  <c r="B1082" i="14"/>
  <c r="B1081" i="14"/>
  <c r="B1080" i="14"/>
  <c r="B1079" i="14"/>
  <c r="B1078" i="14"/>
  <c r="B1077" i="14"/>
  <c r="B1076" i="14"/>
  <c r="B1075" i="14"/>
  <c r="B1074" i="14"/>
  <c r="B1073" i="14"/>
  <c r="B1072" i="14"/>
  <c r="B1071" i="14"/>
  <c r="B1070" i="14"/>
  <c r="B1069" i="14"/>
  <c r="B1068" i="14"/>
  <c r="B1067" i="14"/>
  <c r="B1066" i="14"/>
  <c r="B1065" i="14"/>
  <c r="B1064" i="14"/>
  <c r="B1063" i="14"/>
  <c r="G1174" i="14"/>
  <c r="G1173" i="14"/>
  <c r="G1172" i="14"/>
  <c r="Q1171" i="14"/>
  <c r="G1171" i="14"/>
  <c r="F1171" i="14"/>
  <c r="G1170" i="14"/>
  <c r="F1170" i="14"/>
  <c r="G1169" i="14"/>
  <c r="F1169" i="14"/>
  <c r="G1168" i="14"/>
  <c r="F1168" i="14"/>
  <c r="Q1167" i="14"/>
  <c r="Q1168" i="14" s="1"/>
  <c r="G1167" i="14"/>
  <c r="F1167" i="14"/>
  <c r="G1166" i="14"/>
  <c r="F1166" i="14"/>
  <c r="G1165" i="14"/>
  <c r="F1165" i="14"/>
  <c r="G1164" i="14"/>
  <c r="F1164" i="14"/>
  <c r="Q1163" i="14"/>
  <c r="Q1164" i="14" s="1"/>
  <c r="G1163" i="14"/>
  <c r="F1163" i="14"/>
  <c r="G1162" i="14"/>
  <c r="F1162" i="14"/>
  <c r="G1161" i="14"/>
  <c r="F1161" i="14"/>
  <c r="G1160" i="14"/>
  <c r="F1160" i="14"/>
  <c r="Q1159" i="14"/>
  <c r="Q1160" i="14" s="1"/>
  <c r="G1159" i="14"/>
  <c r="F1159" i="14"/>
  <c r="G1158" i="14"/>
  <c r="F1158" i="14"/>
  <c r="G1157" i="14"/>
  <c r="F1157" i="14"/>
  <c r="G1156" i="14"/>
  <c r="F1156" i="14"/>
  <c r="Q1155" i="14"/>
  <c r="Q1156" i="14" s="1"/>
  <c r="G1155" i="14"/>
  <c r="F1155" i="14"/>
  <c r="G1154" i="14"/>
  <c r="F1154" i="14"/>
  <c r="G1153" i="14"/>
  <c r="F1153" i="14"/>
  <c r="G1152" i="14"/>
  <c r="F1152" i="14"/>
  <c r="Q1151" i="14"/>
  <c r="Q1152" i="14" s="1"/>
  <c r="G1151" i="14"/>
  <c r="F1151" i="14"/>
  <c r="G1150" i="14"/>
  <c r="F1150" i="14"/>
  <c r="G1149" i="14"/>
  <c r="F1149" i="14"/>
  <c r="G1148" i="14"/>
  <c r="F1148" i="14"/>
  <c r="Q1147" i="14"/>
  <c r="Q1148" i="14" s="1"/>
  <c r="G1147" i="14"/>
  <c r="F1147" i="14"/>
  <c r="G1146" i="14"/>
  <c r="F1146" i="14"/>
  <c r="G1145" i="14"/>
  <c r="F1145" i="14"/>
  <c r="G1144" i="14"/>
  <c r="F1144" i="14"/>
  <c r="Q1143" i="14"/>
  <c r="Q1144" i="14" s="1"/>
  <c r="G1143" i="14"/>
  <c r="F1143" i="14"/>
  <c r="G1142" i="14"/>
  <c r="F1142" i="14"/>
  <c r="G1141" i="14"/>
  <c r="F1141" i="14"/>
  <c r="G1140" i="14"/>
  <c r="F1140" i="14"/>
  <c r="Q1139" i="14"/>
  <c r="Q1140" i="14" s="1"/>
  <c r="G1139" i="14"/>
  <c r="F1139" i="14"/>
  <c r="G1138" i="14"/>
  <c r="F1138" i="14"/>
  <c r="G1137" i="14"/>
  <c r="F1137" i="14"/>
  <c r="G1136" i="14"/>
  <c r="F1136" i="14"/>
  <c r="Q1135" i="14"/>
  <c r="Q1136" i="14" s="1"/>
  <c r="G1135" i="14"/>
  <c r="F1135" i="14"/>
  <c r="G1134" i="14"/>
  <c r="F1134" i="14"/>
  <c r="G1133" i="14"/>
  <c r="F1133" i="14"/>
  <c r="G1132" i="14"/>
  <c r="F1132" i="14"/>
  <c r="Q1131" i="14"/>
  <c r="Q1132" i="14" s="1"/>
  <c r="G1131" i="14"/>
  <c r="F1131" i="14"/>
  <c r="G1130" i="14"/>
  <c r="F1130" i="14"/>
  <c r="G1129" i="14"/>
  <c r="F1129" i="14"/>
  <c r="G1128" i="14"/>
  <c r="F1128" i="14"/>
  <c r="Q1127" i="14"/>
  <c r="Q1128" i="14" s="1"/>
  <c r="G1127" i="14"/>
  <c r="F1127" i="14"/>
  <c r="G1126" i="14"/>
  <c r="F1126" i="14"/>
  <c r="G1125" i="14"/>
  <c r="F1125" i="14"/>
  <c r="G1124" i="14"/>
  <c r="F1124" i="14"/>
  <c r="Q1123" i="14"/>
  <c r="Q1124" i="14" s="1"/>
  <c r="G1123" i="14"/>
  <c r="F1123" i="14"/>
  <c r="G1122" i="14"/>
  <c r="F1122" i="14"/>
  <c r="G1121" i="14"/>
  <c r="F1121" i="14"/>
  <c r="G1120" i="14"/>
  <c r="F1120" i="14"/>
  <c r="Q1119" i="14"/>
  <c r="J1119" i="14" s="1"/>
  <c r="G1119" i="14"/>
  <c r="F1119" i="14"/>
  <c r="G1118" i="14"/>
  <c r="F1118" i="14"/>
  <c r="G1117" i="14"/>
  <c r="F1117" i="14"/>
  <c r="G1116" i="14"/>
  <c r="F1116" i="14"/>
  <c r="Q1115" i="14"/>
  <c r="Q1116" i="14" s="1"/>
  <c r="G1115" i="14"/>
  <c r="F1115" i="14"/>
  <c r="G1114" i="14"/>
  <c r="F1114" i="14"/>
  <c r="G1113" i="14"/>
  <c r="F1113" i="14"/>
  <c r="G1112" i="14"/>
  <c r="F1112" i="14"/>
  <c r="Q1111" i="14"/>
  <c r="Q1112" i="14" s="1"/>
  <c r="G1111" i="14"/>
  <c r="F1111" i="14"/>
  <c r="G1110" i="14"/>
  <c r="F1110" i="14"/>
  <c r="G1109" i="14"/>
  <c r="F1109" i="14"/>
  <c r="G1108" i="14"/>
  <c r="F1108" i="14"/>
  <c r="Q1107" i="14"/>
  <c r="Q1108" i="14" s="1"/>
  <c r="G1107" i="14"/>
  <c r="F1107" i="14"/>
  <c r="G1106" i="14"/>
  <c r="F1106" i="14"/>
  <c r="G1105" i="14"/>
  <c r="F1105" i="14"/>
  <c r="G1104" i="14"/>
  <c r="F1104" i="14"/>
  <c r="Q1103" i="14"/>
  <c r="Q1104" i="14" s="1"/>
  <c r="G1103" i="14"/>
  <c r="F1103" i="14"/>
  <c r="G1102" i="14"/>
  <c r="F1102" i="14"/>
  <c r="G1101" i="14"/>
  <c r="F1101" i="14"/>
  <c r="G1100" i="14"/>
  <c r="F1100" i="14"/>
  <c r="Q1099" i="14"/>
  <c r="Q1100" i="14" s="1"/>
  <c r="G1099" i="14"/>
  <c r="F1099" i="14"/>
  <c r="G1098" i="14"/>
  <c r="F1098" i="14"/>
  <c r="G1097" i="14"/>
  <c r="F1097" i="14"/>
  <c r="G1096" i="14"/>
  <c r="F1096" i="14"/>
  <c r="Q1095" i="14"/>
  <c r="Q1096" i="14" s="1"/>
  <c r="G1095" i="14"/>
  <c r="F1095" i="14"/>
  <c r="G1094" i="14"/>
  <c r="F1094" i="14"/>
  <c r="G1093" i="14"/>
  <c r="F1093" i="14"/>
  <c r="G1092" i="14"/>
  <c r="F1092" i="14"/>
  <c r="Q1091" i="14"/>
  <c r="Q1092" i="14" s="1"/>
  <c r="G1091" i="14"/>
  <c r="F1091" i="14"/>
  <c r="G1090" i="14"/>
  <c r="F1090" i="14"/>
  <c r="G1089" i="14"/>
  <c r="F1089" i="14"/>
  <c r="G1088" i="14"/>
  <c r="F1088" i="14"/>
  <c r="Q1087" i="14"/>
  <c r="Q1088" i="14" s="1"/>
  <c r="G1087" i="14"/>
  <c r="F1087" i="14"/>
  <c r="G1086" i="14"/>
  <c r="F1086" i="14"/>
  <c r="G1085" i="14"/>
  <c r="F1085" i="14"/>
  <c r="G1084" i="14"/>
  <c r="F1084" i="14"/>
  <c r="Q1083" i="14"/>
  <c r="Q1084" i="14" s="1"/>
  <c r="G1083" i="14"/>
  <c r="F1083" i="14"/>
  <c r="G1082" i="14"/>
  <c r="F1082" i="14"/>
  <c r="G1081" i="14"/>
  <c r="F1081" i="14"/>
  <c r="G1080" i="14"/>
  <c r="F1080" i="14"/>
  <c r="Q1079" i="14"/>
  <c r="J1079" i="14" s="1"/>
  <c r="O1079" i="14"/>
  <c r="G1079" i="14"/>
  <c r="F1079" i="14"/>
  <c r="G1078" i="14"/>
  <c r="F1078" i="14"/>
  <c r="G1077" i="14"/>
  <c r="F1077" i="14"/>
  <c r="G1076" i="14"/>
  <c r="F1076" i="14"/>
  <c r="Q1075" i="14"/>
  <c r="O1075" i="14" s="1"/>
  <c r="G1075" i="14"/>
  <c r="F1075" i="14"/>
  <c r="G1074" i="14"/>
  <c r="F1074" i="14"/>
  <c r="G1073" i="14"/>
  <c r="F1073" i="14"/>
  <c r="Q1072" i="14"/>
  <c r="G1072" i="14"/>
  <c r="F1072" i="14"/>
  <c r="Q1071" i="14"/>
  <c r="G1071" i="14"/>
  <c r="F1071" i="14"/>
  <c r="G1070" i="14"/>
  <c r="F1070" i="14"/>
  <c r="G1069" i="14"/>
  <c r="F1069" i="14"/>
  <c r="G1068" i="14"/>
  <c r="F1068" i="14"/>
  <c r="Q1067" i="14"/>
  <c r="Q1068" i="14" s="1"/>
  <c r="G1067" i="14"/>
  <c r="F1067" i="14"/>
  <c r="G1066" i="14"/>
  <c r="F1066" i="14"/>
  <c r="G1065" i="14"/>
  <c r="F1065" i="14"/>
  <c r="G1064" i="14"/>
  <c r="F1064" i="14"/>
  <c r="Q1063" i="14"/>
  <c r="Q1064" i="14" s="1"/>
  <c r="G1063" i="14"/>
  <c r="F1063" i="14"/>
  <c r="B1058" i="14"/>
  <c r="B1057" i="14"/>
  <c r="B1056" i="14"/>
  <c r="B1055" i="14"/>
  <c r="B1054" i="14"/>
  <c r="B1053" i="14"/>
  <c r="B1052" i="14"/>
  <c r="B1051" i="14"/>
  <c r="B1050" i="14"/>
  <c r="B1049" i="14"/>
  <c r="B1048" i="14"/>
  <c r="B1047" i="14"/>
  <c r="B1046" i="14"/>
  <c r="B1045" i="14"/>
  <c r="B1044" i="14"/>
  <c r="B1043" i="14"/>
  <c r="B1042" i="14"/>
  <c r="B1041" i="14"/>
  <c r="B1040" i="14"/>
  <c r="B1039" i="14"/>
  <c r="B1038" i="14"/>
  <c r="B1037" i="14"/>
  <c r="B1036" i="14"/>
  <c r="B1035" i="14"/>
  <c r="B1034" i="14"/>
  <c r="B1033" i="14"/>
  <c r="B1032" i="14"/>
  <c r="B1031" i="14"/>
  <c r="B1030" i="14"/>
  <c r="B1029" i="14"/>
  <c r="B1028" i="14"/>
  <c r="B1027" i="14"/>
  <c r="B1026" i="14"/>
  <c r="B1025" i="14"/>
  <c r="B1024" i="14"/>
  <c r="B1023" i="14"/>
  <c r="B1022" i="14"/>
  <c r="B1021" i="14"/>
  <c r="B1020" i="14"/>
  <c r="B1019" i="14"/>
  <c r="B1018" i="14"/>
  <c r="B1017" i="14"/>
  <c r="B1016" i="14"/>
  <c r="B1015" i="14"/>
  <c r="B1014" i="14"/>
  <c r="B1013" i="14"/>
  <c r="B1012" i="14"/>
  <c r="B1011" i="14"/>
  <c r="B1010" i="14"/>
  <c r="B1009" i="14"/>
  <c r="B1008" i="14"/>
  <c r="B1007" i="14"/>
  <c r="B1006" i="14"/>
  <c r="B1005" i="14"/>
  <c r="B1004" i="14"/>
  <c r="B1003" i="14"/>
  <c r="B1002" i="14"/>
  <c r="B1001" i="14"/>
  <c r="B1000" i="14"/>
  <c r="B999" i="14"/>
  <c r="B998" i="14"/>
  <c r="B997" i="14"/>
  <c r="B996" i="14"/>
  <c r="B995" i="14"/>
  <c r="B994" i="14"/>
  <c r="B993" i="14"/>
  <c r="B992" i="14"/>
  <c r="B991" i="14"/>
  <c r="B990" i="14"/>
  <c r="B989" i="14"/>
  <c r="B988" i="14"/>
  <c r="B987" i="14"/>
  <c r="B986" i="14"/>
  <c r="B985" i="14"/>
  <c r="B984" i="14"/>
  <c r="B983" i="14"/>
  <c r="B982" i="14"/>
  <c r="B981" i="14"/>
  <c r="B980" i="14"/>
  <c r="B979" i="14"/>
  <c r="B978" i="14"/>
  <c r="B977" i="14"/>
  <c r="B976" i="14"/>
  <c r="B975" i="14"/>
  <c r="B974" i="14"/>
  <c r="B973" i="14"/>
  <c r="B972" i="14"/>
  <c r="B971" i="14"/>
  <c r="B970" i="14"/>
  <c r="B969" i="14"/>
  <c r="B968" i="14"/>
  <c r="B967" i="14"/>
  <c r="B966" i="14"/>
  <c r="B965" i="14"/>
  <c r="B964" i="14"/>
  <c r="B963" i="14"/>
  <c r="B962" i="14"/>
  <c r="B961" i="14"/>
  <c r="B960" i="14"/>
  <c r="B959" i="14"/>
  <c r="B958" i="14"/>
  <c r="B957" i="14"/>
  <c r="B956" i="14"/>
  <c r="B955" i="14"/>
  <c r="B954" i="14"/>
  <c r="B953" i="14"/>
  <c r="B952" i="14"/>
  <c r="B951" i="14"/>
  <c r="B950" i="14"/>
  <c r="D1058" i="14"/>
  <c r="D1057" i="14"/>
  <c r="D1056" i="14"/>
  <c r="D1055" i="14"/>
  <c r="D1054" i="14"/>
  <c r="D1053" i="14"/>
  <c r="D1052" i="14"/>
  <c r="D1051" i="14"/>
  <c r="D1050" i="14"/>
  <c r="D1049" i="14"/>
  <c r="D1048" i="14"/>
  <c r="D1047" i="14"/>
  <c r="D1046" i="14"/>
  <c r="D1045" i="14"/>
  <c r="D1044" i="14"/>
  <c r="D1043" i="14"/>
  <c r="D1042" i="14"/>
  <c r="D1041" i="14"/>
  <c r="D1040" i="14"/>
  <c r="D1039" i="14"/>
  <c r="D1038" i="14"/>
  <c r="D1037" i="14"/>
  <c r="D1036" i="14"/>
  <c r="D1035" i="14"/>
  <c r="D1034" i="14"/>
  <c r="D1033" i="14"/>
  <c r="D1032" i="14"/>
  <c r="D1031" i="14"/>
  <c r="D1030" i="14"/>
  <c r="D1029" i="14"/>
  <c r="D1028" i="14"/>
  <c r="D1027" i="14"/>
  <c r="D1026" i="14"/>
  <c r="D1025" i="14"/>
  <c r="D1024" i="14"/>
  <c r="D1023" i="14"/>
  <c r="D1022" i="14"/>
  <c r="D1021" i="14"/>
  <c r="D1020" i="14"/>
  <c r="D1019" i="14"/>
  <c r="D1018" i="14"/>
  <c r="D1017" i="14"/>
  <c r="D1016" i="14"/>
  <c r="D1015" i="14"/>
  <c r="D1014" i="14"/>
  <c r="D1013" i="14"/>
  <c r="D1012" i="14"/>
  <c r="D1011" i="14"/>
  <c r="D1010" i="14"/>
  <c r="D1009" i="14"/>
  <c r="D1008" i="14"/>
  <c r="D1007" i="14"/>
  <c r="D1006" i="14"/>
  <c r="D1005" i="14"/>
  <c r="D1004" i="14"/>
  <c r="D1003" i="14"/>
  <c r="D1002" i="14"/>
  <c r="D1001" i="14"/>
  <c r="D1000" i="14"/>
  <c r="D999" i="14"/>
  <c r="D998" i="14"/>
  <c r="D997" i="14"/>
  <c r="D996" i="14"/>
  <c r="D995" i="14"/>
  <c r="D994" i="14"/>
  <c r="D993" i="14"/>
  <c r="D992" i="14"/>
  <c r="D991" i="14"/>
  <c r="D990" i="14"/>
  <c r="D989" i="14"/>
  <c r="D988" i="14"/>
  <c r="D987" i="14"/>
  <c r="D986" i="14"/>
  <c r="D985" i="14"/>
  <c r="D984" i="14"/>
  <c r="D983" i="14"/>
  <c r="D982" i="14"/>
  <c r="D981" i="14"/>
  <c r="D980" i="14"/>
  <c r="D979" i="14"/>
  <c r="D978" i="14"/>
  <c r="D977" i="14"/>
  <c r="D976" i="14"/>
  <c r="D975" i="14"/>
  <c r="D974" i="14"/>
  <c r="D973" i="14"/>
  <c r="D972" i="14"/>
  <c r="D971" i="14"/>
  <c r="D970" i="14"/>
  <c r="D969" i="14"/>
  <c r="D968" i="14"/>
  <c r="D967" i="14"/>
  <c r="D966" i="14"/>
  <c r="D965" i="14"/>
  <c r="D964" i="14"/>
  <c r="D963" i="14"/>
  <c r="D962" i="14"/>
  <c r="D961" i="14"/>
  <c r="D960" i="14"/>
  <c r="D959" i="14"/>
  <c r="D958" i="14"/>
  <c r="D957" i="14"/>
  <c r="D956" i="14"/>
  <c r="D955" i="14"/>
  <c r="D954" i="14"/>
  <c r="D953" i="14"/>
  <c r="D952" i="14"/>
  <c r="D951" i="14"/>
  <c r="D950" i="14"/>
  <c r="G1061" i="14"/>
  <c r="G1060" i="14"/>
  <c r="G1059" i="14"/>
  <c r="Q1058" i="14"/>
  <c r="G1058" i="14"/>
  <c r="F1058" i="14"/>
  <c r="G1057" i="14"/>
  <c r="F1057" i="14"/>
  <c r="G1056" i="14"/>
  <c r="F1056" i="14"/>
  <c r="G1055" i="14"/>
  <c r="F1055" i="14"/>
  <c r="Q1054" i="14"/>
  <c r="Q1055" i="14" s="1"/>
  <c r="G1054" i="14"/>
  <c r="F1054" i="14"/>
  <c r="G1053" i="14"/>
  <c r="F1053" i="14"/>
  <c r="G1052" i="14"/>
  <c r="F1052" i="14"/>
  <c r="G1051" i="14"/>
  <c r="F1051" i="14"/>
  <c r="Q1050" i="14"/>
  <c r="Q1051" i="14" s="1"/>
  <c r="G1050" i="14"/>
  <c r="F1050" i="14"/>
  <c r="G1049" i="14"/>
  <c r="F1049" i="14"/>
  <c r="G1048" i="14"/>
  <c r="F1048" i="14"/>
  <c r="G1047" i="14"/>
  <c r="F1047" i="14"/>
  <c r="Q1046" i="14"/>
  <c r="Q1047" i="14" s="1"/>
  <c r="G1046" i="14"/>
  <c r="F1046" i="14"/>
  <c r="G1045" i="14"/>
  <c r="F1045" i="14"/>
  <c r="G1044" i="14"/>
  <c r="F1044" i="14"/>
  <c r="G1043" i="14"/>
  <c r="F1043" i="14"/>
  <c r="Q1042" i="14"/>
  <c r="Q1043" i="14" s="1"/>
  <c r="G1042" i="14"/>
  <c r="F1042" i="14"/>
  <c r="G1041" i="14"/>
  <c r="F1041" i="14"/>
  <c r="G1040" i="14"/>
  <c r="F1040" i="14"/>
  <c r="G1039" i="14"/>
  <c r="F1039" i="14"/>
  <c r="Q1038" i="14"/>
  <c r="Q1039" i="14" s="1"/>
  <c r="G1038" i="14"/>
  <c r="F1038" i="14"/>
  <c r="G1037" i="14"/>
  <c r="F1037" i="14"/>
  <c r="G1036" i="14"/>
  <c r="F1036" i="14"/>
  <c r="G1035" i="14"/>
  <c r="F1035" i="14"/>
  <c r="Q1034" i="14"/>
  <c r="Q1035" i="14" s="1"/>
  <c r="G1034" i="14"/>
  <c r="F1034" i="14"/>
  <c r="G1033" i="14"/>
  <c r="F1033" i="14"/>
  <c r="G1032" i="14"/>
  <c r="F1032" i="14"/>
  <c r="Q1031" i="14"/>
  <c r="G1031" i="14"/>
  <c r="F1031" i="14"/>
  <c r="Q1030" i="14"/>
  <c r="G1030" i="14"/>
  <c r="F1030" i="14"/>
  <c r="G1029" i="14"/>
  <c r="F1029" i="14"/>
  <c r="G1028" i="14"/>
  <c r="F1028" i="14"/>
  <c r="G1027" i="14"/>
  <c r="F1027" i="14"/>
  <c r="Q1026" i="14"/>
  <c r="Q1027" i="14" s="1"/>
  <c r="G1026" i="14"/>
  <c r="F1026" i="14"/>
  <c r="G1025" i="14"/>
  <c r="F1025" i="14"/>
  <c r="G1024" i="14"/>
  <c r="F1024" i="14"/>
  <c r="G1023" i="14"/>
  <c r="F1023" i="14"/>
  <c r="Q1022" i="14"/>
  <c r="Q1023" i="14" s="1"/>
  <c r="G1022" i="14"/>
  <c r="F1022" i="14"/>
  <c r="G1021" i="14"/>
  <c r="F1021" i="14"/>
  <c r="G1020" i="14"/>
  <c r="F1020" i="14"/>
  <c r="G1019" i="14"/>
  <c r="F1019" i="14"/>
  <c r="Q1018" i="14"/>
  <c r="Q1019" i="14" s="1"/>
  <c r="G1018" i="14"/>
  <c r="F1018" i="14"/>
  <c r="G1017" i="14"/>
  <c r="F1017" i="14"/>
  <c r="G1016" i="14"/>
  <c r="F1016" i="14"/>
  <c r="G1015" i="14"/>
  <c r="F1015" i="14"/>
  <c r="Q1014" i="14"/>
  <c r="Q1015" i="14" s="1"/>
  <c r="G1014" i="14"/>
  <c r="F1014" i="14"/>
  <c r="G1013" i="14"/>
  <c r="F1013" i="14"/>
  <c r="G1012" i="14"/>
  <c r="F1012" i="14"/>
  <c r="G1011" i="14"/>
  <c r="F1011" i="14"/>
  <c r="Q1010" i="14"/>
  <c r="Q1011" i="14" s="1"/>
  <c r="G1010" i="14"/>
  <c r="F1010" i="14"/>
  <c r="G1009" i="14"/>
  <c r="F1009" i="14"/>
  <c r="G1008" i="14"/>
  <c r="F1008" i="14"/>
  <c r="G1007" i="14"/>
  <c r="F1007" i="14"/>
  <c r="Q1006" i="14"/>
  <c r="L1006" i="14" s="1"/>
  <c r="G1006" i="14"/>
  <c r="F1006" i="14"/>
  <c r="G1005" i="14"/>
  <c r="F1005" i="14"/>
  <c r="G1004" i="14"/>
  <c r="F1004" i="14"/>
  <c r="G1003" i="14"/>
  <c r="F1003" i="14"/>
  <c r="Q1002" i="14"/>
  <c r="L1002" i="14" s="1"/>
  <c r="G1002" i="14"/>
  <c r="F1002" i="14"/>
  <c r="G1001" i="14"/>
  <c r="F1001" i="14"/>
  <c r="G1000" i="14"/>
  <c r="F1000" i="14"/>
  <c r="G999" i="14"/>
  <c r="F999" i="14"/>
  <c r="Q998" i="14"/>
  <c r="Q999" i="14" s="1"/>
  <c r="G998" i="14"/>
  <c r="F998" i="14"/>
  <c r="G997" i="14"/>
  <c r="F997" i="14"/>
  <c r="G996" i="14"/>
  <c r="F996" i="14"/>
  <c r="G995" i="14"/>
  <c r="F995" i="14"/>
  <c r="Q994" i="14"/>
  <c r="Q995" i="14" s="1"/>
  <c r="G994" i="14"/>
  <c r="F994" i="14"/>
  <c r="G993" i="14"/>
  <c r="F993" i="14"/>
  <c r="G992" i="14"/>
  <c r="F992" i="14"/>
  <c r="G991" i="14"/>
  <c r="F991" i="14"/>
  <c r="Q990" i="14"/>
  <c r="Q991" i="14" s="1"/>
  <c r="G990" i="14"/>
  <c r="F990" i="14"/>
  <c r="G989" i="14"/>
  <c r="F989" i="14"/>
  <c r="G988" i="14"/>
  <c r="F988" i="14"/>
  <c r="G987" i="14"/>
  <c r="F987" i="14"/>
  <c r="Q986" i="14"/>
  <c r="Q987" i="14" s="1"/>
  <c r="G986" i="14"/>
  <c r="F986" i="14"/>
  <c r="G985" i="14"/>
  <c r="F985" i="14"/>
  <c r="G984" i="14"/>
  <c r="F984" i="14"/>
  <c r="G983" i="14"/>
  <c r="F983" i="14"/>
  <c r="Q982" i="14"/>
  <c r="Q983" i="14" s="1"/>
  <c r="G982" i="14"/>
  <c r="F982" i="14"/>
  <c r="G981" i="14"/>
  <c r="F981" i="14"/>
  <c r="G980" i="14"/>
  <c r="F980" i="14"/>
  <c r="G979" i="14"/>
  <c r="F979" i="14"/>
  <c r="Q978" i="14"/>
  <c r="Q979" i="14" s="1"/>
  <c r="G978" i="14"/>
  <c r="F978" i="14"/>
  <c r="G977" i="14"/>
  <c r="F977" i="14"/>
  <c r="G976" i="14"/>
  <c r="F976" i="14"/>
  <c r="G975" i="14"/>
  <c r="F975" i="14"/>
  <c r="Q974" i="14"/>
  <c r="Q975" i="14" s="1"/>
  <c r="G974" i="14"/>
  <c r="F974" i="14"/>
  <c r="G973" i="14"/>
  <c r="F973" i="14"/>
  <c r="G972" i="14"/>
  <c r="F972" i="14"/>
  <c r="G971" i="14"/>
  <c r="F971" i="14"/>
  <c r="Q970" i="14"/>
  <c r="Q971" i="14" s="1"/>
  <c r="G970" i="14"/>
  <c r="F970" i="14"/>
  <c r="G969" i="14"/>
  <c r="F969" i="14"/>
  <c r="G968" i="14"/>
  <c r="F968" i="14"/>
  <c r="G967" i="14"/>
  <c r="F967" i="14"/>
  <c r="Q966" i="14"/>
  <c r="L966" i="14" s="1"/>
  <c r="G966" i="14"/>
  <c r="F966" i="14"/>
  <c r="G965" i="14"/>
  <c r="F965" i="14"/>
  <c r="G964" i="14"/>
  <c r="F964" i="14"/>
  <c r="G963" i="14"/>
  <c r="F963" i="14"/>
  <c r="Q962" i="14"/>
  <c r="J962" i="14" s="1"/>
  <c r="G962" i="14"/>
  <c r="F962" i="14"/>
  <c r="G961" i="14"/>
  <c r="F961" i="14"/>
  <c r="G960" i="14"/>
  <c r="F960" i="14"/>
  <c r="G959" i="14"/>
  <c r="F959" i="14"/>
  <c r="Q958" i="14"/>
  <c r="Q959" i="14" s="1"/>
  <c r="G958" i="14"/>
  <c r="F958" i="14"/>
  <c r="G957" i="14"/>
  <c r="F957" i="14"/>
  <c r="G956" i="14"/>
  <c r="F956" i="14"/>
  <c r="G955" i="14"/>
  <c r="F955" i="14"/>
  <c r="Q954" i="14"/>
  <c r="Q955" i="14" s="1"/>
  <c r="G954" i="14"/>
  <c r="F954" i="14"/>
  <c r="G953" i="14"/>
  <c r="F953" i="14"/>
  <c r="G952" i="14"/>
  <c r="F952" i="14"/>
  <c r="G951" i="14"/>
  <c r="F951" i="14"/>
  <c r="Q950" i="14"/>
  <c r="Q951" i="14" s="1"/>
  <c r="G950" i="14"/>
  <c r="F950" i="14"/>
  <c r="B945" i="14"/>
  <c r="B944" i="14"/>
  <c r="B943" i="14"/>
  <c r="B942" i="14"/>
  <c r="B941" i="14"/>
  <c r="B940" i="14"/>
  <c r="B939" i="14"/>
  <c r="B938" i="14"/>
  <c r="B937" i="14"/>
  <c r="B936" i="14"/>
  <c r="B935" i="14"/>
  <c r="B934" i="14"/>
  <c r="B933" i="14"/>
  <c r="B932" i="14"/>
  <c r="B931" i="14"/>
  <c r="B930" i="14"/>
  <c r="B929" i="14"/>
  <c r="B928" i="14"/>
  <c r="B927" i="14"/>
  <c r="B926" i="14"/>
  <c r="B925" i="14"/>
  <c r="B924" i="14"/>
  <c r="B923" i="14"/>
  <c r="B922" i="14"/>
  <c r="B921" i="14"/>
  <c r="B920" i="14"/>
  <c r="B919" i="14"/>
  <c r="B918" i="14"/>
  <c r="B917" i="14"/>
  <c r="B916" i="14"/>
  <c r="B915" i="14"/>
  <c r="B914" i="14"/>
  <c r="B913" i="14"/>
  <c r="B912" i="14"/>
  <c r="B911" i="14"/>
  <c r="B910" i="14"/>
  <c r="B909" i="14"/>
  <c r="B908" i="14"/>
  <c r="B907" i="14"/>
  <c r="B906" i="14"/>
  <c r="B905" i="14"/>
  <c r="B904" i="14"/>
  <c r="B903" i="14"/>
  <c r="B902" i="14"/>
  <c r="B901" i="14"/>
  <c r="B900" i="14"/>
  <c r="B899" i="14"/>
  <c r="B898" i="14"/>
  <c r="B897" i="14"/>
  <c r="B896" i="14"/>
  <c r="B895" i="14"/>
  <c r="B894" i="14"/>
  <c r="B893" i="14"/>
  <c r="B892" i="14"/>
  <c r="B891" i="14"/>
  <c r="B890" i="14"/>
  <c r="B889" i="14"/>
  <c r="B888" i="14"/>
  <c r="B887" i="14"/>
  <c r="B886" i="14"/>
  <c r="B885" i="14"/>
  <c r="B884" i="14"/>
  <c r="B883" i="14"/>
  <c r="B882" i="14"/>
  <c r="B881" i="14"/>
  <c r="B880" i="14"/>
  <c r="B879" i="14"/>
  <c r="B878" i="14"/>
  <c r="B877" i="14"/>
  <c r="B876" i="14"/>
  <c r="B875" i="14"/>
  <c r="B874" i="14"/>
  <c r="B873" i="14"/>
  <c r="B872" i="14"/>
  <c r="B871" i="14"/>
  <c r="B870" i="14"/>
  <c r="B869" i="14"/>
  <c r="B868" i="14"/>
  <c r="B867" i="14"/>
  <c r="B866" i="14"/>
  <c r="B865" i="14"/>
  <c r="B864" i="14"/>
  <c r="B863" i="14"/>
  <c r="B862" i="14"/>
  <c r="B861" i="14"/>
  <c r="B860" i="14"/>
  <c r="B859" i="14"/>
  <c r="B858" i="14"/>
  <c r="B857" i="14"/>
  <c r="B856" i="14"/>
  <c r="B855" i="14"/>
  <c r="B854" i="14"/>
  <c r="B853" i="14"/>
  <c r="B852" i="14"/>
  <c r="B851" i="14"/>
  <c r="B850" i="14"/>
  <c r="B849" i="14"/>
  <c r="B848" i="14"/>
  <c r="B847" i="14"/>
  <c r="B846" i="14"/>
  <c r="B845" i="14"/>
  <c r="B844" i="14"/>
  <c r="B843" i="14"/>
  <c r="B842" i="14"/>
  <c r="B841" i="14"/>
  <c r="B840" i="14"/>
  <c r="B839" i="14"/>
  <c r="B838" i="14"/>
  <c r="B837" i="14"/>
  <c r="B724" i="14"/>
  <c r="D945" i="14"/>
  <c r="D944" i="14"/>
  <c r="D943" i="14"/>
  <c r="D942" i="14"/>
  <c r="D941" i="14"/>
  <c r="D940" i="14"/>
  <c r="D939" i="14"/>
  <c r="D938" i="14"/>
  <c r="D937" i="14"/>
  <c r="D936" i="14"/>
  <c r="D935" i="14"/>
  <c r="D934" i="14"/>
  <c r="D933" i="14"/>
  <c r="D932" i="14"/>
  <c r="D931" i="14"/>
  <c r="D930" i="14"/>
  <c r="D929" i="14"/>
  <c r="D928" i="14"/>
  <c r="D927" i="14"/>
  <c r="D926" i="14"/>
  <c r="D925" i="14"/>
  <c r="D924" i="14"/>
  <c r="D923" i="14"/>
  <c r="D922" i="14"/>
  <c r="D921" i="14"/>
  <c r="D920" i="14"/>
  <c r="D919" i="14"/>
  <c r="D918" i="14"/>
  <c r="D917" i="14"/>
  <c r="D916" i="14"/>
  <c r="D915" i="14"/>
  <c r="D914" i="14"/>
  <c r="D913" i="14"/>
  <c r="D912" i="14"/>
  <c r="D911" i="14"/>
  <c r="D910" i="14"/>
  <c r="D909" i="14"/>
  <c r="D908" i="14"/>
  <c r="D907" i="14"/>
  <c r="D906" i="14"/>
  <c r="D905" i="14"/>
  <c r="D904" i="14"/>
  <c r="D903" i="14"/>
  <c r="D902" i="14"/>
  <c r="D901" i="14"/>
  <c r="D900" i="14"/>
  <c r="D899" i="14"/>
  <c r="D898" i="14"/>
  <c r="D897" i="14"/>
  <c r="D896" i="14"/>
  <c r="D895" i="14"/>
  <c r="D894" i="14"/>
  <c r="D893" i="14"/>
  <c r="D892" i="14"/>
  <c r="D891" i="14"/>
  <c r="D890" i="14"/>
  <c r="D889" i="14"/>
  <c r="D888" i="14"/>
  <c r="D887" i="14"/>
  <c r="D886" i="14"/>
  <c r="D885" i="14"/>
  <c r="D884" i="14"/>
  <c r="D883" i="14"/>
  <c r="D882" i="14"/>
  <c r="D881" i="14"/>
  <c r="D880" i="14"/>
  <c r="D879" i="14"/>
  <c r="D878" i="14"/>
  <c r="D877" i="14"/>
  <c r="D876" i="14"/>
  <c r="D875" i="14"/>
  <c r="D874" i="14"/>
  <c r="D873" i="14"/>
  <c r="D872" i="14"/>
  <c r="D871" i="14"/>
  <c r="D870" i="14"/>
  <c r="D869" i="14"/>
  <c r="D868" i="14"/>
  <c r="D867" i="14"/>
  <c r="D866" i="14"/>
  <c r="D865" i="14"/>
  <c r="D864" i="14"/>
  <c r="D863" i="14"/>
  <c r="D862" i="14"/>
  <c r="D861" i="14"/>
  <c r="D860" i="14"/>
  <c r="D859" i="14"/>
  <c r="D858" i="14"/>
  <c r="D857" i="14"/>
  <c r="D856" i="14"/>
  <c r="D855" i="14"/>
  <c r="D854" i="14"/>
  <c r="D853" i="14"/>
  <c r="D852" i="14"/>
  <c r="D851" i="14"/>
  <c r="D850" i="14"/>
  <c r="D849" i="14"/>
  <c r="D848" i="14"/>
  <c r="D847" i="14"/>
  <c r="D846" i="14"/>
  <c r="D845" i="14"/>
  <c r="D844" i="14"/>
  <c r="D843" i="14"/>
  <c r="D842" i="14"/>
  <c r="D841" i="14"/>
  <c r="D840" i="14"/>
  <c r="D839" i="14"/>
  <c r="D838" i="14"/>
  <c r="D837" i="14"/>
  <c r="G948" i="14"/>
  <c r="G947" i="14"/>
  <c r="G946" i="14"/>
  <c r="Q945" i="14"/>
  <c r="G945" i="14"/>
  <c r="F945" i="14"/>
  <c r="G944" i="14"/>
  <c r="F944" i="14"/>
  <c r="G943" i="14"/>
  <c r="F943" i="14"/>
  <c r="G942" i="14"/>
  <c r="F942" i="14"/>
  <c r="Q941" i="14"/>
  <c r="Q942" i="14" s="1"/>
  <c r="G941" i="14"/>
  <c r="F941" i="14"/>
  <c r="G940" i="14"/>
  <c r="F940" i="14"/>
  <c r="G939" i="14"/>
  <c r="F939" i="14"/>
  <c r="G938" i="14"/>
  <c r="F938" i="14"/>
  <c r="Q937" i="14"/>
  <c r="Q938" i="14" s="1"/>
  <c r="G937" i="14"/>
  <c r="F937" i="14"/>
  <c r="G936" i="14"/>
  <c r="F936" i="14"/>
  <c r="G935" i="14"/>
  <c r="F935" i="14"/>
  <c r="G934" i="14"/>
  <c r="F934" i="14"/>
  <c r="Q933" i="14"/>
  <c r="Q934" i="14" s="1"/>
  <c r="G933" i="14"/>
  <c r="F933" i="14"/>
  <c r="G932" i="14"/>
  <c r="F932" i="14"/>
  <c r="G931" i="14"/>
  <c r="F931" i="14"/>
  <c r="G930" i="14"/>
  <c r="F930" i="14"/>
  <c r="Q929" i="14"/>
  <c r="Q930" i="14" s="1"/>
  <c r="G929" i="14"/>
  <c r="F929" i="14"/>
  <c r="G928" i="14"/>
  <c r="F928" i="14"/>
  <c r="G927" i="14"/>
  <c r="F927" i="14"/>
  <c r="G926" i="14"/>
  <c r="F926" i="14"/>
  <c r="Q925" i="14"/>
  <c r="Q926" i="14" s="1"/>
  <c r="G925" i="14"/>
  <c r="F925" i="14"/>
  <c r="G924" i="14"/>
  <c r="F924" i="14"/>
  <c r="G923" i="14"/>
  <c r="F923" i="14"/>
  <c r="G922" i="14"/>
  <c r="F922" i="14"/>
  <c r="Q921" i="14"/>
  <c r="Q922" i="14" s="1"/>
  <c r="G921" i="14"/>
  <c r="F921" i="14"/>
  <c r="G920" i="14"/>
  <c r="F920" i="14"/>
  <c r="G919" i="14"/>
  <c r="F919" i="14"/>
  <c r="G918" i="14"/>
  <c r="F918" i="14"/>
  <c r="Q917" i="14"/>
  <c r="Q918" i="14" s="1"/>
  <c r="G917" i="14"/>
  <c r="F917" i="14"/>
  <c r="G916" i="14"/>
  <c r="F916" i="14"/>
  <c r="G915" i="14"/>
  <c r="F915" i="14"/>
  <c r="G914" i="14"/>
  <c r="F914" i="14"/>
  <c r="Q913" i="14"/>
  <c r="Q914" i="14" s="1"/>
  <c r="G913" i="14"/>
  <c r="F913" i="14"/>
  <c r="G912" i="14"/>
  <c r="F912" i="14"/>
  <c r="G911" i="14"/>
  <c r="F911" i="14"/>
  <c r="G910" i="14"/>
  <c r="F910" i="14"/>
  <c r="Q909" i="14"/>
  <c r="Q910" i="14" s="1"/>
  <c r="G909" i="14"/>
  <c r="F909" i="14"/>
  <c r="G908" i="14"/>
  <c r="F908" i="14"/>
  <c r="G907" i="14"/>
  <c r="F907" i="14"/>
  <c r="G906" i="14"/>
  <c r="F906" i="14"/>
  <c r="Q905" i="14"/>
  <c r="Q906" i="14" s="1"/>
  <c r="G905" i="14"/>
  <c r="F905" i="14"/>
  <c r="G904" i="14"/>
  <c r="F904" i="14"/>
  <c r="G903" i="14"/>
  <c r="F903" i="14"/>
  <c r="G902" i="14"/>
  <c r="F902" i="14"/>
  <c r="Q901" i="14"/>
  <c r="Q902" i="14" s="1"/>
  <c r="G901" i="14"/>
  <c r="F901" i="14"/>
  <c r="G900" i="14"/>
  <c r="F900" i="14"/>
  <c r="G899" i="14"/>
  <c r="F899" i="14"/>
  <c r="G898" i="14"/>
  <c r="F898" i="14"/>
  <c r="Q897" i="14"/>
  <c r="Q898" i="14" s="1"/>
  <c r="G897" i="14"/>
  <c r="F897" i="14"/>
  <c r="G896" i="14"/>
  <c r="F896" i="14"/>
  <c r="G895" i="14"/>
  <c r="F895" i="14"/>
  <c r="G894" i="14"/>
  <c r="F894" i="14"/>
  <c r="Q893" i="14"/>
  <c r="Q894" i="14" s="1"/>
  <c r="G893" i="14"/>
  <c r="F893" i="14"/>
  <c r="G892" i="14"/>
  <c r="F892" i="14"/>
  <c r="G891" i="14"/>
  <c r="F891" i="14"/>
  <c r="G890" i="14"/>
  <c r="F890" i="14"/>
  <c r="Q889" i="14"/>
  <c r="G889" i="14"/>
  <c r="F889" i="14"/>
  <c r="G888" i="14"/>
  <c r="F888" i="14"/>
  <c r="G887" i="14"/>
  <c r="F887" i="14"/>
  <c r="G886" i="14"/>
  <c r="F886" i="14"/>
  <c r="Q885" i="14"/>
  <c r="Q886" i="14" s="1"/>
  <c r="G885" i="14"/>
  <c r="F885" i="14"/>
  <c r="G884" i="14"/>
  <c r="F884" i="14"/>
  <c r="G883" i="14"/>
  <c r="F883" i="14"/>
  <c r="G882" i="14"/>
  <c r="F882" i="14"/>
  <c r="Q881" i="14"/>
  <c r="Q882" i="14" s="1"/>
  <c r="G881" i="14"/>
  <c r="F881" i="14"/>
  <c r="G880" i="14"/>
  <c r="F880" i="14"/>
  <c r="G879" i="14"/>
  <c r="F879" i="14"/>
  <c r="G878" i="14"/>
  <c r="F878" i="14"/>
  <c r="Q877" i="14"/>
  <c r="Q878" i="14" s="1"/>
  <c r="G877" i="14"/>
  <c r="F877" i="14"/>
  <c r="G876" i="14"/>
  <c r="F876" i="14"/>
  <c r="G875" i="14"/>
  <c r="F875" i="14"/>
  <c r="G874" i="14"/>
  <c r="F874" i="14"/>
  <c r="Q873" i="14"/>
  <c r="Q874" i="14" s="1"/>
  <c r="G873" i="14"/>
  <c r="F873" i="14"/>
  <c r="G872" i="14"/>
  <c r="F872" i="14"/>
  <c r="G871" i="14"/>
  <c r="F871" i="14"/>
  <c r="G870" i="14"/>
  <c r="F870" i="14"/>
  <c r="Q869" i="14"/>
  <c r="Q870" i="14" s="1"/>
  <c r="G869" i="14"/>
  <c r="F869" i="14"/>
  <c r="G868" i="14"/>
  <c r="F868" i="14"/>
  <c r="G867" i="14"/>
  <c r="F867" i="14"/>
  <c r="G866" i="14"/>
  <c r="F866" i="14"/>
  <c r="Q865" i="14"/>
  <c r="Q866" i="14" s="1"/>
  <c r="G865" i="14"/>
  <c r="F865" i="14"/>
  <c r="G864" i="14"/>
  <c r="F864" i="14"/>
  <c r="G863" i="14"/>
  <c r="F863" i="14"/>
  <c r="G862" i="14"/>
  <c r="F862" i="14"/>
  <c r="Q861" i="14"/>
  <c r="Q862" i="14" s="1"/>
  <c r="G861" i="14"/>
  <c r="F861" i="14"/>
  <c r="G860" i="14"/>
  <c r="F860" i="14"/>
  <c r="G859" i="14"/>
  <c r="F859" i="14"/>
  <c r="G858" i="14"/>
  <c r="F858" i="14"/>
  <c r="Q857" i="14"/>
  <c r="Q858" i="14" s="1"/>
  <c r="G857" i="14"/>
  <c r="F857" i="14"/>
  <c r="G856" i="14"/>
  <c r="F856" i="14"/>
  <c r="G855" i="14"/>
  <c r="F855" i="14"/>
  <c r="G854" i="14"/>
  <c r="F854" i="14"/>
  <c r="Q853" i="14"/>
  <c r="G853" i="14"/>
  <c r="F853" i="14"/>
  <c r="G852" i="14"/>
  <c r="F852" i="14"/>
  <c r="G851" i="14"/>
  <c r="F851" i="14"/>
  <c r="G850" i="14"/>
  <c r="F850" i="14"/>
  <c r="Q849" i="14"/>
  <c r="G849" i="14"/>
  <c r="F849" i="14"/>
  <c r="G848" i="14"/>
  <c r="F848" i="14"/>
  <c r="G847" i="14"/>
  <c r="F847" i="14"/>
  <c r="G846" i="14"/>
  <c r="F846" i="14"/>
  <c r="Q845" i="14"/>
  <c r="Q846" i="14" s="1"/>
  <c r="G845" i="14"/>
  <c r="F845" i="14"/>
  <c r="G844" i="14"/>
  <c r="F844" i="14"/>
  <c r="G843" i="14"/>
  <c r="F843" i="14"/>
  <c r="Q842" i="14"/>
  <c r="G842" i="14"/>
  <c r="F842" i="14"/>
  <c r="Q841" i="14"/>
  <c r="G841" i="14"/>
  <c r="F841" i="14"/>
  <c r="G840" i="14"/>
  <c r="F840" i="14"/>
  <c r="G839" i="14"/>
  <c r="F839" i="14"/>
  <c r="G838" i="14"/>
  <c r="F838" i="14"/>
  <c r="Q837" i="14"/>
  <c r="Q838" i="14" s="1"/>
  <c r="G837" i="14"/>
  <c r="F837" i="14"/>
  <c r="G833" i="14"/>
  <c r="G834" i="14"/>
  <c r="G835" i="14"/>
  <c r="F821" i="14"/>
  <c r="G821" i="14"/>
  <c r="F822" i="14"/>
  <c r="G822" i="14"/>
  <c r="F823" i="14"/>
  <c r="G823" i="14"/>
  <c r="F824" i="14"/>
  <c r="G824" i="14"/>
  <c r="F825" i="14"/>
  <c r="G825" i="14"/>
  <c r="F826" i="14"/>
  <c r="G826" i="14"/>
  <c r="F827" i="14"/>
  <c r="G827" i="14"/>
  <c r="F828" i="14"/>
  <c r="G828" i="14"/>
  <c r="F829" i="14"/>
  <c r="G829" i="14"/>
  <c r="F830" i="14"/>
  <c r="G830" i="14"/>
  <c r="F831" i="14"/>
  <c r="G831" i="14"/>
  <c r="F832" i="14"/>
  <c r="G832" i="14"/>
  <c r="D824" i="14"/>
  <c r="D825" i="14"/>
  <c r="D826" i="14"/>
  <c r="D827" i="14"/>
  <c r="D828" i="14"/>
  <c r="D829" i="14"/>
  <c r="D830" i="14"/>
  <c r="D831" i="14"/>
  <c r="D832" i="14"/>
  <c r="D821" i="14"/>
  <c r="D822" i="14"/>
  <c r="D823" i="14"/>
  <c r="B821" i="14"/>
  <c r="B822" i="14"/>
  <c r="B823" i="14"/>
  <c r="B824" i="14"/>
  <c r="B825" i="14"/>
  <c r="B826" i="14"/>
  <c r="B827" i="14"/>
  <c r="B828" i="14"/>
  <c r="B829" i="14"/>
  <c r="B830" i="14"/>
  <c r="B831" i="14"/>
  <c r="B832" i="14"/>
  <c r="B820" i="14"/>
  <c r="B819" i="14"/>
  <c r="B818" i="14"/>
  <c r="B817" i="14"/>
  <c r="B816" i="14"/>
  <c r="B815" i="14"/>
  <c r="B814" i="14"/>
  <c r="B813" i="14"/>
  <c r="B812" i="14"/>
  <c r="B811" i="14"/>
  <c r="B810" i="14"/>
  <c r="B809" i="14"/>
  <c r="B808" i="14"/>
  <c r="B807" i="14"/>
  <c r="B806" i="14"/>
  <c r="B805" i="14"/>
  <c r="B804" i="14"/>
  <c r="B803" i="14"/>
  <c r="B802" i="14"/>
  <c r="B801" i="14"/>
  <c r="B800" i="14"/>
  <c r="B799" i="14"/>
  <c r="B798" i="14"/>
  <c r="B797" i="14"/>
  <c r="B796" i="14"/>
  <c r="B795" i="14"/>
  <c r="B794" i="14"/>
  <c r="B793" i="14"/>
  <c r="B792" i="14"/>
  <c r="B791" i="14"/>
  <c r="B790" i="14"/>
  <c r="B789" i="14"/>
  <c r="B788" i="14"/>
  <c r="B787" i="14"/>
  <c r="B786" i="14"/>
  <c r="B785" i="14"/>
  <c r="B784" i="14"/>
  <c r="B783" i="14"/>
  <c r="B782" i="14"/>
  <c r="B781" i="14"/>
  <c r="B780" i="14"/>
  <c r="B779" i="14"/>
  <c r="B778" i="14"/>
  <c r="B777" i="14"/>
  <c r="B776" i="14"/>
  <c r="B775" i="14"/>
  <c r="B774" i="14"/>
  <c r="B773" i="14"/>
  <c r="B772" i="14"/>
  <c r="B771" i="14"/>
  <c r="B770" i="14"/>
  <c r="B769" i="14"/>
  <c r="B768" i="14"/>
  <c r="B767" i="14"/>
  <c r="B766" i="14"/>
  <c r="B765" i="14"/>
  <c r="B764" i="14"/>
  <c r="B763" i="14"/>
  <c r="B762" i="14"/>
  <c r="B761" i="14"/>
  <c r="B760" i="14"/>
  <c r="B759" i="14"/>
  <c r="B758" i="14"/>
  <c r="B757" i="14"/>
  <c r="B756" i="14"/>
  <c r="B755" i="14"/>
  <c r="B754" i="14"/>
  <c r="B753" i="14"/>
  <c r="B752" i="14"/>
  <c r="B751" i="14"/>
  <c r="B750" i="14"/>
  <c r="B749" i="14"/>
  <c r="B748" i="14"/>
  <c r="B747" i="14"/>
  <c r="B746" i="14"/>
  <c r="B745" i="14"/>
  <c r="B744" i="14"/>
  <c r="B743" i="14"/>
  <c r="B742" i="14"/>
  <c r="B741" i="14"/>
  <c r="B740" i="14"/>
  <c r="B739" i="14"/>
  <c r="B738" i="14"/>
  <c r="B737" i="14"/>
  <c r="B736" i="14"/>
  <c r="B735" i="14"/>
  <c r="B734" i="14"/>
  <c r="B733" i="14"/>
  <c r="B732" i="14"/>
  <c r="B731" i="14"/>
  <c r="B730" i="14"/>
  <c r="B729" i="14"/>
  <c r="B728" i="14"/>
  <c r="B727" i="14"/>
  <c r="B726" i="14"/>
  <c r="B725" i="14"/>
  <c r="D820" i="14"/>
  <c r="D819" i="14"/>
  <c r="D818" i="14"/>
  <c r="D817" i="14"/>
  <c r="D816" i="14"/>
  <c r="D815" i="14"/>
  <c r="D814" i="14"/>
  <c r="D813" i="14"/>
  <c r="D812" i="14"/>
  <c r="D811" i="14"/>
  <c r="D810" i="14"/>
  <c r="D809" i="14"/>
  <c r="D808" i="14"/>
  <c r="D807" i="14"/>
  <c r="D806" i="14"/>
  <c r="D805" i="14"/>
  <c r="D804" i="14"/>
  <c r="D803" i="14"/>
  <c r="D802" i="14"/>
  <c r="D801" i="14"/>
  <c r="D800" i="14"/>
  <c r="D799" i="14"/>
  <c r="D798" i="14"/>
  <c r="D797" i="14"/>
  <c r="D796" i="14"/>
  <c r="D795" i="14"/>
  <c r="D794" i="14"/>
  <c r="D793" i="14"/>
  <c r="D792" i="14"/>
  <c r="D791" i="14"/>
  <c r="D790" i="14"/>
  <c r="D789" i="14"/>
  <c r="D788" i="14"/>
  <c r="D787" i="14"/>
  <c r="D786" i="14"/>
  <c r="D785" i="14"/>
  <c r="D784" i="14"/>
  <c r="D783" i="14"/>
  <c r="D782" i="14"/>
  <c r="D781" i="14"/>
  <c r="D780" i="14"/>
  <c r="D779" i="14"/>
  <c r="D778" i="14"/>
  <c r="D777" i="14"/>
  <c r="D776" i="14"/>
  <c r="D775" i="14"/>
  <c r="D774" i="14"/>
  <c r="D773" i="14"/>
  <c r="D772" i="14"/>
  <c r="D771" i="14"/>
  <c r="D770" i="14"/>
  <c r="D769" i="14"/>
  <c r="D768" i="14"/>
  <c r="D767" i="14"/>
  <c r="D766" i="14"/>
  <c r="D765" i="14"/>
  <c r="D764" i="14"/>
  <c r="D763" i="14"/>
  <c r="D762" i="14"/>
  <c r="D761" i="14"/>
  <c r="D760" i="14"/>
  <c r="D759" i="14"/>
  <c r="D758" i="14"/>
  <c r="D757" i="14"/>
  <c r="D756" i="14"/>
  <c r="D755" i="14"/>
  <c r="D754" i="14"/>
  <c r="D753" i="14"/>
  <c r="D752" i="14"/>
  <c r="D751" i="14"/>
  <c r="D750" i="14"/>
  <c r="D749" i="14"/>
  <c r="D748" i="14"/>
  <c r="D747" i="14"/>
  <c r="D746" i="14"/>
  <c r="D745" i="14"/>
  <c r="D744" i="14"/>
  <c r="D743" i="14"/>
  <c r="D742" i="14"/>
  <c r="D741" i="14"/>
  <c r="D740" i="14"/>
  <c r="D739" i="14"/>
  <c r="D738" i="14"/>
  <c r="D737" i="14"/>
  <c r="D736" i="14"/>
  <c r="D735" i="14"/>
  <c r="D734" i="14"/>
  <c r="D733" i="14"/>
  <c r="D732" i="14"/>
  <c r="D731" i="14"/>
  <c r="D730" i="14"/>
  <c r="D729" i="14"/>
  <c r="D728" i="14"/>
  <c r="D727" i="14"/>
  <c r="D726" i="14"/>
  <c r="D725" i="14"/>
  <c r="D724" i="14"/>
  <c r="Q820" i="14"/>
  <c r="Q821" i="14" s="1"/>
  <c r="Q822" i="14" s="1"/>
  <c r="Q823" i="14" s="1"/>
  <c r="G820" i="14"/>
  <c r="F820" i="14"/>
  <c r="G819" i="14"/>
  <c r="F819" i="14"/>
  <c r="G818" i="14"/>
  <c r="F818" i="14"/>
  <c r="G817" i="14"/>
  <c r="F817" i="14"/>
  <c r="Q816" i="14"/>
  <c r="G816" i="14"/>
  <c r="F816" i="14"/>
  <c r="G815" i="14"/>
  <c r="F815" i="14"/>
  <c r="G814" i="14"/>
  <c r="F814" i="14"/>
  <c r="G813" i="14"/>
  <c r="F813" i="14"/>
  <c r="Q812" i="14"/>
  <c r="Q813" i="14" s="1"/>
  <c r="G812" i="14"/>
  <c r="F812" i="14"/>
  <c r="G811" i="14"/>
  <c r="F811" i="14"/>
  <c r="G810" i="14"/>
  <c r="F810" i="14"/>
  <c r="G809" i="14"/>
  <c r="F809" i="14"/>
  <c r="Q808" i="14"/>
  <c r="G808" i="14"/>
  <c r="F808" i="14"/>
  <c r="G807" i="14"/>
  <c r="F807" i="14"/>
  <c r="G806" i="14"/>
  <c r="F806" i="14"/>
  <c r="G805" i="14"/>
  <c r="F805" i="14"/>
  <c r="Q804" i="14"/>
  <c r="Q805" i="14" s="1"/>
  <c r="Q806" i="14" s="1"/>
  <c r="Q807" i="14" s="1"/>
  <c r="G804" i="14"/>
  <c r="F804" i="14"/>
  <c r="G803" i="14"/>
  <c r="F803" i="14"/>
  <c r="G802" i="14"/>
  <c r="F802" i="14"/>
  <c r="G801" i="14"/>
  <c r="F801" i="14"/>
  <c r="Q800" i="14"/>
  <c r="G800" i="14"/>
  <c r="F800" i="14"/>
  <c r="G799" i="14"/>
  <c r="F799" i="14"/>
  <c r="G798" i="14"/>
  <c r="F798" i="14"/>
  <c r="G797" i="14"/>
  <c r="F797" i="14"/>
  <c r="Q796" i="14"/>
  <c r="Q797" i="14" s="1"/>
  <c r="G796" i="14"/>
  <c r="F796" i="14"/>
  <c r="G795" i="14"/>
  <c r="F795" i="14"/>
  <c r="G794" i="14"/>
  <c r="F794" i="14"/>
  <c r="G793" i="14"/>
  <c r="F793" i="14"/>
  <c r="Q792" i="14"/>
  <c r="G792" i="14"/>
  <c r="F792" i="14"/>
  <c r="G791" i="14"/>
  <c r="F791" i="14"/>
  <c r="G790" i="14"/>
  <c r="F790" i="14"/>
  <c r="G789" i="14"/>
  <c r="F789" i="14"/>
  <c r="Q788" i="14"/>
  <c r="Q789" i="14" s="1"/>
  <c r="Q790" i="14" s="1"/>
  <c r="Q791" i="14" s="1"/>
  <c r="G788" i="14"/>
  <c r="F788" i="14"/>
  <c r="G787" i="14"/>
  <c r="F787" i="14"/>
  <c r="G786" i="14"/>
  <c r="F786" i="14"/>
  <c r="G785" i="14"/>
  <c r="F785" i="14"/>
  <c r="Q784" i="14"/>
  <c r="G784" i="14"/>
  <c r="F784" i="14"/>
  <c r="G783" i="14"/>
  <c r="F783" i="14"/>
  <c r="G782" i="14"/>
  <c r="F782" i="14"/>
  <c r="G781" i="14"/>
  <c r="F781" i="14"/>
  <c r="Q780" i="14"/>
  <c r="O780" i="14" s="1"/>
  <c r="G780" i="14"/>
  <c r="F780" i="14"/>
  <c r="G779" i="14"/>
  <c r="F779" i="14"/>
  <c r="G778" i="14"/>
  <c r="F778" i="14"/>
  <c r="G777" i="14"/>
  <c r="F777" i="14"/>
  <c r="Q776" i="14"/>
  <c r="O776" i="14" s="1"/>
  <c r="G776" i="14"/>
  <c r="F776" i="14"/>
  <c r="G775" i="14"/>
  <c r="F775" i="14"/>
  <c r="G774" i="14"/>
  <c r="F774" i="14"/>
  <c r="G773" i="14"/>
  <c r="F773" i="14"/>
  <c r="Q772" i="14"/>
  <c r="Q773" i="14" s="1"/>
  <c r="Q774" i="14" s="1"/>
  <c r="Q775" i="14" s="1"/>
  <c r="G772" i="14"/>
  <c r="F772" i="14"/>
  <c r="G771" i="14"/>
  <c r="F771" i="14"/>
  <c r="G770" i="14"/>
  <c r="F770" i="14"/>
  <c r="G769" i="14"/>
  <c r="F769" i="14"/>
  <c r="Q768" i="14"/>
  <c r="G768" i="14"/>
  <c r="F768" i="14"/>
  <c r="G767" i="14"/>
  <c r="F767" i="14"/>
  <c r="G766" i="14"/>
  <c r="F766" i="14"/>
  <c r="G765" i="14"/>
  <c r="F765" i="14"/>
  <c r="Q764" i="14"/>
  <c r="Q765" i="14" s="1"/>
  <c r="G764" i="14"/>
  <c r="F764" i="14"/>
  <c r="G763" i="14"/>
  <c r="F763" i="14"/>
  <c r="G762" i="14"/>
  <c r="F762" i="14"/>
  <c r="G761" i="14"/>
  <c r="F761" i="14"/>
  <c r="Q760" i="14"/>
  <c r="Q761" i="14" s="1"/>
  <c r="Q762" i="14" s="1"/>
  <c r="G760" i="14"/>
  <c r="F760" i="14"/>
  <c r="G759" i="14"/>
  <c r="F759" i="14"/>
  <c r="G758" i="14"/>
  <c r="F758" i="14"/>
  <c r="G757" i="14"/>
  <c r="F757" i="14"/>
  <c r="Q756" i="14"/>
  <c r="Q757" i="14" s="1"/>
  <c r="Q758" i="14" s="1"/>
  <c r="Q759" i="14" s="1"/>
  <c r="G756" i="14"/>
  <c r="F756" i="14"/>
  <c r="G755" i="14"/>
  <c r="F755" i="14"/>
  <c r="G754" i="14"/>
  <c r="F754" i="14"/>
  <c r="G753" i="14"/>
  <c r="F753" i="14"/>
  <c r="Q752" i="14"/>
  <c r="G752" i="14"/>
  <c r="F752" i="14"/>
  <c r="G751" i="14"/>
  <c r="F751" i="14"/>
  <c r="G750" i="14"/>
  <c r="F750" i="14"/>
  <c r="G749" i="14"/>
  <c r="F749" i="14"/>
  <c r="Q748" i="14"/>
  <c r="Q749" i="14" s="1"/>
  <c r="G748" i="14"/>
  <c r="F748" i="14"/>
  <c r="G747" i="14"/>
  <c r="F747" i="14"/>
  <c r="G746" i="14"/>
  <c r="F746" i="14"/>
  <c r="G745" i="14"/>
  <c r="F745" i="14"/>
  <c r="Q744" i="14"/>
  <c r="Q745" i="14" s="1"/>
  <c r="Q746" i="14" s="1"/>
  <c r="G744" i="14"/>
  <c r="F744" i="14"/>
  <c r="G743" i="14"/>
  <c r="F743" i="14"/>
  <c r="G742" i="14"/>
  <c r="F742" i="14"/>
  <c r="G741" i="14"/>
  <c r="F741" i="14"/>
  <c r="Q740" i="14"/>
  <c r="O740" i="14" s="1"/>
  <c r="G740" i="14"/>
  <c r="F740" i="14"/>
  <c r="G739" i="14"/>
  <c r="F739" i="14"/>
  <c r="G738" i="14"/>
  <c r="F738" i="14"/>
  <c r="G737" i="14"/>
  <c r="F737" i="14"/>
  <c r="Q736" i="14"/>
  <c r="L736" i="14" s="1"/>
  <c r="G736" i="14"/>
  <c r="F736" i="14"/>
  <c r="G735" i="14"/>
  <c r="F735" i="14"/>
  <c r="G734" i="14"/>
  <c r="F734" i="14"/>
  <c r="G733" i="14"/>
  <c r="F733" i="14"/>
  <c r="Q732" i="14"/>
  <c r="Q733" i="14" s="1"/>
  <c r="G732" i="14"/>
  <c r="F732" i="14"/>
  <c r="G731" i="14"/>
  <c r="F731" i="14"/>
  <c r="G730" i="14"/>
  <c r="F730" i="14"/>
  <c r="G729" i="14"/>
  <c r="F729" i="14"/>
  <c r="Q728" i="14"/>
  <c r="Q729" i="14" s="1"/>
  <c r="Q730" i="14" s="1"/>
  <c r="G728" i="14"/>
  <c r="F728" i="14"/>
  <c r="G727" i="14"/>
  <c r="F727" i="14"/>
  <c r="G726" i="14"/>
  <c r="F726" i="14"/>
  <c r="G725" i="14"/>
  <c r="F725" i="14"/>
  <c r="Q724" i="14"/>
  <c r="Q725" i="14" s="1"/>
  <c r="Q726" i="14" s="1"/>
  <c r="Q727" i="14" s="1"/>
  <c r="G724" i="14"/>
  <c r="F724" i="14"/>
  <c r="D532" i="2"/>
  <c r="E532" i="2" s="1"/>
  <c r="D533" i="2"/>
  <c r="E533" i="2" s="1"/>
  <c r="D534" i="2"/>
  <c r="E534" i="2" s="1"/>
  <c r="D535" i="2"/>
  <c r="E535" i="2" s="1"/>
  <c r="D531" i="2"/>
  <c r="E531" i="2" s="1"/>
  <c r="C513" i="2"/>
  <c r="D513" i="2" s="1"/>
  <c r="D504" i="2"/>
  <c r="F524" i="2" s="1"/>
  <c r="D505" i="2"/>
  <c r="F523" i="2" s="1"/>
  <c r="D506" i="2"/>
  <c r="G517" i="2" s="1"/>
  <c r="D507" i="2"/>
  <c r="G521" i="2" s="1"/>
  <c r="D509" i="2"/>
  <c r="G518" i="2" s="1"/>
  <c r="D510" i="2"/>
  <c r="G520" i="2" s="1"/>
  <c r="D511" i="2"/>
  <c r="G522" i="2" s="1"/>
  <c r="D512" i="2"/>
  <c r="F525" i="2" s="1"/>
  <c r="D503" i="2"/>
  <c r="G519" i="2" s="1"/>
  <c r="C508" i="2"/>
  <c r="D508" i="2" s="1"/>
  <c r="F526" i="2" s="1"/>
  <c r="C518" i="2"/>
  <c r="C519" i="2"/>
  <c r="C520" i="2"/>
  <c r="C521" i="2"/>
  <c r="C522" i="2"/>
  <c r="C523" i="2"/>
  <c r="C524" i="2"/>
  <c r="C525" i="2"/>
  <c r="C526" i="2"/>
  <c r="C527" i="2"/>
  <c r="C517" i="2"/>
  <c r="C571" i="2"/>
  <c r="H570" i="2" s="1"/>
  <c r="C578" i="2" s="1"/>
  <c r="C572" i="2"/>
  <c r="N578" i="2" s="1"/>
  <c r="A111" i="21"/>
  <c r="A110" i="21"/>
  <c r="A109" i="21"/>
  <c r="A108" i="21"/>
  <c r="A107" i="21"/>
  <c r="A106" i="21"/>
  <c r="A105" i="21"/>
  <c r="A104" i="21"/>
  <c r="A103" i="21"/>
  <c r="A102" i="21"/>
  <c r="A101" i="21"/>
  <c r="A100" i="21"/>
  <c r="A99" i="21"/>
  <c r="A98" i="21"/>
  <c r="A97" i="21"/>
  <c r="A96" i="21"/>
  <c r="A95" i="21"/>
  <c r="A94" i="21"/>
  <c r="A93" i="21"/>
  <c r="A92" i="21"/>
  <c r="A91" i="21"/>
  <c r="A90" i="21"/>
  <c r="A89" i="21"/>
  <c r="A88" i="21"/>
  <c r="A83" i="21"/>
  <c r="A82" i="21"/>
  <c r="A81" i="21"/>
  <c r="A80" i="21"/>
  <c r="A79" i="21"/>
  <c r="A78" i="21"/>
  <c r="A77" i="21"/>
  <c r="A76" i="21"/>
  <c r="A75" i="21"/>
  <c r="A74" i="21"/>
  <c r="A73" i="21"/>
  <c r="A72" i="21"/>
  <c r="A71" i="21"/>
  <c r="A70" i="21"/>
  <c r="A69" i="21"/>
  <c r="A68" i="21"/>
  <c r="A67" i="21"/>
  <c r="A66" i="21"/>
  <c r="A65" i="21"/>
  <c r="A64" i="21"/>
  <c r="A63" i="21"/>
  <c r="A62" i="21"/>
  <c r="A61" i="21"/>
  <c r="A60" i="21"/>
  <c r="A55" i="21"/>
  <c r="A54" i="21"/>
  <c r="A53" i="21"/>
  <c r="A52" i="2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H14" i="3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4" i="21"/>
  <c r="A403" i="2"/>
  <c r="A404" i="2"/>
  <c r="A405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C12" i="5"/>
  <c r="D17" i="5"/>
  <c r="H17" i="5" s="1"/>
  <c r="F39" i="7" s="1"/>
  <c r="C17" i="5"/>
  <c r="D16" i="5"/>
  <c r="C16" i="5"/>
  <c r="H16" i="5" s="1"/>
  <c r="F42" i="7" s="1"/>
  <c r="D15" i="5"/>
  <c r="H15" i="5" s="1"/>
  <c r="F48" i="7" s="1"/>
  <c r="C15" i="5"/>
  <c r="D14" i="5"/>
  <c r="H14" i="5" s="1"/>
  <c r="F45" i="7" s="1"/>
  <c r="C14" i="5"/>
  <c r="D13" i="5"/>
  <c r="C13" i="5"/>
  <c r="D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B222" i="2"/>
  <c r="B218" i="2"/>
  <c r="B214" i="2"/>
  <c r="B210" i="2"/>
  <c r="B206" i="2"/>
  <c r="B328" i="2"/>
  <c r="B329" i="2" s="1"/>
  <c r="B330" i="2" s="1"/>
  <c r="B331" i="2" s="1"/>
  <c r="B333" i="2" s="1"/>
  <c r="B334" i="2" s="1"/>
  <c r="B335" i="2" s="1"/>
  <c r="B336" i="2" s="1"/>
  <c r="B338" i="2" s="1"/>
  <c r="B339" i="2" s="1"/>
  <c r="B340" i="2" s="1"/>
  <c r="B341" i="2" s="1"/>
  <c r="B343" i="2" s="1"/>
  <c r="B344" i="2" s="1"/>
  <c r="B345" i="2" s="1"/>
  <c r="B346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H17" i="10" l="1"/>
  <c r="H19" i="10"/>
  <c r="H18" i="10"/>
  <c r="L15" i="5"/>
  <c r="L8" i="5"/>
  <c r="J12" i="10"/>
  <c r="J11" i="10"/>
  <c r="J10" i="10"/>
  <c r="H8" i="10"/>
  <c r="H7" i="10"/>
  <c r="H9" i="10"/>
  <c r="H22" i="10"/>
  <c r="H21" i="10"/>
  <c r="H20" i="10"/>
  <c r="K373" i="15"/>
  <c r="E373" i="15"/>
  <c r="E137" i="15"/>
  <c r="K137" i="15"/>
  <c r="E153" i="15"/>
  <c r="K153" i="15"/>
  <c r="E169" i="15"/>
  <c r="K169" i="15"/>
  <c r="K358" i="15"/>
  <c r="E358" i="15"/>
  <c r="K374" i="15"/>
  <c r="E374" i="15"/>
  <c r="E138" i="15"/>
  <c r="K138" i="15"/>
  <c r="E154" i="15"/>
  <c r="K154" i="15"/>
  <c r="E170" i="15"/>
  <c r="K170" i="15"/>
  <c r="K359" i="15"/>
  <c r="E359" i="15"/>
  <c r="K375" i="15"/>
  <c r="E375" i="15"/>
  <c r="E168" i="15"/>
  <c r="K168" i="15"/>
  <c r="E139" i="15"/>
  <c r="K139" i="15"/>
  <c r="E155" i="15"/>
  <c r="K155" i="15"/>
  <c r="K171" i="15"/>
  <c r="E171" i="15"/>
  <c r="K360" i="15"/>
  <c r="E360" i="15"/>
  <c r="K376" i="15"/>
  <c r="E376" i="15"/>
  <c r="E140" i="15"/>
  <c r="K140" i="15"/>
  <c r="E156" i="15"/>
  <c r="K156" i="15"/>
  <c r="E172" i="15"/>
  <c r="K172" i="15"/>
  <c r="K361" i="15"/>
  <c r="E361" i="15"/>
  <c r="K377" i="15"/>
  <c r="E377" i="15"/>
  <c r="K357" i="15"/>
  <c r="E357" i="15"/>
  <c r="E141" i="15"/>
  <c r="K141" i="15"/>
  <c r="E157" i="15"/>
  <c r="K157" i="15"/>
  <c r="E173" i="15"/>
  <c r="K173" i="15"/>
  <c r="K362" i="15"/>
  <c r="E362" i="15"/>
  <c r="K378" i="15"/>
  <c r="E378" i="15"/>
  <c r="E152" i="15"/>
  <c r="K152" i="15"/>
  <c r="K142" i="15"/>
  <c r="E142" i="15"/>
  <c r="K158" i="15"/>
  <c r="E158" i="15"/>
  <c r="K347" i="15"/>
  <c r="E347" i="15"/>
  <c r="K363" i="15"/>
  <c r="E363" i="15"/>
  <c r="K379" i="15"/>
  <c r="E379" i="15"/>
  <c r="K143" i="15"/>
  <c r="E143" i="15"/>
  <c r="K159" i="15"/>
  <c r="E159" i="15"/>
  <c r="E348" i="15"/>
  <c r="K348" i="15"/>
  <c r="E364" i="15"/>
  <c r="K364" i="15"/>
  <c r="E380" i="15"/>
  <c r="K380" i="15"/>
  <c r="K144" i="15"/>
  <c r="E144" i="15"/>
  <c r="E160" i="15"/>
  <c r="K160" i="15"/>
  <c r="E349" i="15"/>
  <c r="K349" i="15"/>
  <c r="E365" i="15"/>
  <c r="K365" i="15"/>
  <c r="E381" i="15"/>
  <c r="K381" i="15"/>
  <c r="E136" i="15"/>
  <c r="K136" i="15"/>
  <c r="E145" i="15"/>
  <c r="K145" i="15"/>
  <c r="E161" i="15"/>
  <c r="K161" i="15"/>
  <c r="E350" i="15"/>
  <c r="K350" i="15"/>
  <c r="E366" i="15"/>
  <c r="K366" i="15"/>
  <c r="E382" i="15"/>
  <c r="K382" i="15"/>
  <c r="E146" i="15"/>
  <c r="K146" i="15"/>
  <c r="E162" i="15"/>
  <c r="K162" i="15"/>
  <c r="E351" i="15"/>
  <c r="K351" i="15"/>
  <c r="E367" i="15"/>
  <c r="K367" i="15"/>
  <c r="E383" i="15"/>
  <c r="K383" i="15"/>
  <c r="E147" i="15"/>
  <c r="K147" i="15"/>
  <c r="E163" i="15"/>
  <c r="K163" i="15"/>
  <c r="E352" i="15"/>
  <c r="K352" i="15"/>
  <c r="E368" i="15"/>
  <c r="K368" i="15"/>
  <c r="E384" i="15"/>
  <c r="K384" i="15"/>
  <c r="E132" i="15"/>
  <c r="K132" i="15"/>
  <c r="E148" i="15"/>
  <c r="K148" i="15"/>
  <c r="E164" i="15"/>
  <c r="K164" i="15"/>
  <c r="E353" i="15"/>
  <c r="K353" i="15"/>
  <c r="E369" i="15"/>
  <c r="K369" i="15"/>
  <c r="E385" i="15"/>
  <c r="K385" i="15"/>
  <c r="E133" i="15"/>
  <c r="K133" i="15"/>
  <c r="E149" i="15"/>
  <c r="K149" i="15"/>
  <c r="E165" i="15"/>
  <c r="K165" i="15"/>
  <c r="E354" i="15"/>
  <c r="K354" i="15"/>
  <c r="E370" i="15"/>
  <c r="K370" i="15"/>
  <c r="E386" i="15"/>
  <c r="K386" i="15"/>
  <c r="E134" i="15"/>
  <c r="K134" i="15"/>
  <c r="E150" i="15"/>
  <c r="K150" i="15"/>
  <c r="E166" i="15"/>
  <c r="K166" i="15"/>
  <c r="E355" i="15"/>
  <c r="K355" i="15"/>
  <c r="E371" i="15"/>
  <c r="K371" i="15"/>
  <c r="E387" i="15"/>
  <c r="K387" i="15"/>
  <c r="K135" i="15"/>
  <c r="E135" i="15"/>
  <c r="K151" i="15"/>
  <c r="E151" i="15"/>
  <c r="K167" i="15"/>
  <c r="E167" i="15"/>
  <c r="E356" i="15"/>
  <c r="K356" i="15"/>
  <c r="E372" i="15"/>
  <c r="K372" i="15"/>
  <c r="E388" i="15"/>
  <c r="K388" i="15"/>
  <c r="O893" i="14"/>
  <c r="I1006" i="14"/>
  <c r="Q1076" i="14"/>
  <c r="O1076" i="14" s="1"/>
  <c r="O889" i="14"/>
  <c r="Q890" i="14"/>
  <c r="O1006" i="14"/>
  <c r="Q781" i="14"/>
  <c r="O781" i="14" s="1"/>
  <c r="L776" i="14"/>
  <c r="J776" i="14"/>
  <c r="I780" i="14"/>
  <c r="K780" i="14" s="1"/>
  <c r="O1002" i="14"/>
  <c r="B215" i="2"/>
  <c r="B219" i="2"/>
  <c r="B223" i="2"/>
  <c r="B207" i="2"/>
  <c r="O894" i="14"/>
  <c r="O1116" i="14"/>
  <c r="J1116" i="14"/>
  <c r="I1116" i="14"/>
  <c r="L1116" i="14"/>
  <c r="I736" i="14"/>
  <c r="Q963" i="14"/>
  <c r="L962" i="14"/>
  <c r="J736" i="14"/>
  <c r="L780" i="14"/>
  <c r="O853" i="14"/>
  <c r="Q1007" i="14"/>
  <c r="Q1008" i="14" s="1"/>
  <c r="O736" i="14"/>
  <c r="H893" i="14"/>
  <c r="J1006" i="14"/>
  <c r="Q1120" i="14"/>
  <c r="L1075" i="14"/>
  <c r="L1115" i="14"/>
  <c r="O1115" i="14"/>
  <c r="J780" i="14"/>
  <c r="O849" i="14"/>
  <c r="L1076" i="14"/>
  <c r="Q854" i="14"/>
  <c r="Q855" i="14" s="1"/>
  <c r="Q1003" i="14"/>
  <c r="Q1004" i="14" s="1"/>
  <c r="M889" i="14"/>
  <c r="I1002" i="14"/>
  <c r="I1075" i="14"/>
  <c r="I1115" i="14"/>
  <c r="O966" i="14"/>
  <c r="J1002" i="14"/>
  <c r="J1075" i="14"/>
  <c r="J1115" i="14"/>
  <c r="I776" i="14"/>
  <c r="I1076" i="14"/>
  <c r="L740" i="14"/>
  <c r="J1076" i="14"/>
  <c r="Q850" i="14"/>
  <c r="Q851" i="14" s="1"/>
  <c r="K853" i="14"/>
  <c r="I966" i="14"/>
  <c r="Q967" i="14"/>
  <c r="Q968" i="14" s="1"/>
  <c r="J966" i="14"/>
  <c r="L1079" i="14"/>
  <c r="L1119" i="14"/>
  <c r="Q741" i="14"/>
  <c r="I740" i="14"/>
  <c r="K740" i="14" s="1"/>
  <c r="O962" i="14"/>
  <c r="J740" i="14"/>
  <c r="Q1080" i="14"/>
  <c r="K849" i="14"/>
  <c r="I962" i="14"/>
  <c r="I1079" i="14"/>
  <c r="I1119" i="14"/>
  <c r="O1119" i="14"/>
  <c r="O45" i="7"/>
  <c r="O42" i="7"/>
  <c r="O48" i="7"/>
  <c r="O39" i="7"/>
  <c r="Q1065" i="14"/>
  <c r="Q1069" i="14"/>
  <c r="Q1073" i="14"/>
  <c r="Q1077" i="14"/>
  <c r="Q1085" i="14"/>
  <c r="Q1089" i="14"/>
  <c r="Q1093" i="14"/>
  <c r="Q1097" i="14"/>
  <c r="Q1101" i="14"/>
  <c r="Q1105" i="14"/>
  <c r="Q1109" i="14"/>
  <c r="Q1113" i="14"/>
  <c r="Q1117" i="14"/>
  <c r="Q1121" i="14"/>
  <c r="Q1125" i="14"/>
  <c r="Q1129" i="14"/>
  <c r="Q1133" i="14"/>
  <c r="Q1137" i="14"/>
  <c r="Q1141" i="14"/>
  <c r="Q1145" i="14"/>
  <c r="Q1149" i="14"/>
  <c r="Q1153" i="14"/>
  <c r="Q1157" i="14"/>
  <c r="Q1161" i="14"/>
  <c r="Q1165" i="14"/>
  <c r="Q1169" i="14"/>
  <c r="Q1172" i="14"/>
  <c r="Q952" i="14"/>
  <c r="Q956" i="14"/>
  <c r="Q960" i="14"/>
  <c r="Q964" i="14"/>
  <c r="Q972" i="14"/>
  <c r="Q976" i="14"/>
  <c r="Q980" i="14"/>
  <c r="Q984" i="14"/>
  <c r="Q988" i="14"/>
  <c r="Q992" i="14"/>
  <c r="Q996" i="14"/>
  <c r="Q1000" i="14"/>
  <c r="Q1012" i="14"/>
  <c r="Q1016" i="14"/>
  <c r="Q1020" i="14"/>
  <c r="Q1024" i="14"/>
  <c r="Q1028" i="14"/>
  <c r="Q1032" i="14"/>
  <c r="Q1036" i="14"/>
  <c r="Q1040" i="14"/>
  <c r="Q1044" i="14"/>
  <c r="Q1048" i="14"/>
  <c r="Q1052" i="14"/>
  <c r="Q1056" i="14"/>
  <c r="Q1059" i="14"/>
  <c r="Q839" i="14"/>
  <c r="Q843" i="14"/>
  <c r="Q847" i="14"/>
  <c r="Q859" i="14"/>
  <c r="Q863" i="14"/>
  <c r="Q867" i="14"/>
  <c r="Q871" i="14"/>
  <c r="Q875" i="14"/>
  <c r="Q879" i="14"/>
  <c r="Q883" i="14"/>
  <c r="Q887" i="14"/>
  <c r="Q895" i="14"/>
  <c r="Q899" i="14"/>
  <c r="Q903" i="14"/>
  <c r="Q907" i="14"/>
  <c r="Q911" i="14"/>
  <c r="Q915" i="14"/>
  <c r="Q919" i="14"/>
  <c r="Q923" i="14"/>
  <c r="Q927" i="14"/>
  <c r="Q931" i="14"/>
  <c r="Q935" i="14"/>
  <c r="Q939" i="14"/>
  <c r="Q943" i="14"/>
  <c r="Q946" i="14"/>
  <c r="Q824" i="14"/>
  <c r="Q825" i="14" s="1"/>
  <c r="Q826" i="14" s="1"/>
  <c r="Q827" i="14" s="1"/>
  <c r="Q828" i="14" s="1"/>
  <c r="Q829" i="14" s="1"/>
  <c r="Q830" i="14" s="1"/>
  <c r="Q831" i="14" s="1"/>
  <c r="Q832" i="14" s="1"/>
  <c r="Q833" i="14" s="1"/>
  <c r="Q834" i="14" s="1"/>
  <c r="Q835" i="14" s="1"/>
  <c r="Q777" i="14"/>
  <c r="Q793" i="14"/>
  <c r="Q809" i="14"/>
  <c r="Q747" i="14"/>
  <c r="Q763" i="14"/>
  <c r="Q734" i="14"/>
  <c r="Q750" i="14"/>
  <c r="Q766" i="14"/>
  <c r="Q798" i="14"/>
  <c r="Q814" i="14"/>
  <c r="Q753" i="14"/>
  <c r="Q801" i="14"/>
  <c r="Q817" i="14"/>
  <c r="Q731" i="14"/>
  <c r="Q737" i="14"/>
  <c r="Q769" i="14"/>
  <c r="Q785" i="14"/>
  <c r="G525" i="2"/>
  <c r="H525" i="2" s="1"/>
  <c r="F522" i="2"/>
  <c r="H522" i="2" s="1"/>
  <c r="F521" i="2"/>
  <c r="I521" i="2" s="1"/>
  <c r="F527" i="2"/>
  <c r="G527" i="2"/>
  <c r="F520" i="2"/>
  <c r="I520" i="2" s="1"/>
  <c r="F519" i="2"/>
  <c r="I519" i="2" s="1"/>
  <c r="F518" i="2"/>
  <c r="I518" i="2" s="1"/>
  <c r="G526" i="2"/>
  <c r="H526" i="2" s="1"/>
  <c r="G524" i="2"/>
  <c r="H524" i="2" s="1"/>
  <c r="G523" i="2"/>
  <c r="I523" i="2" s="1"/>
  <c r="F517" i="2"/>
  <c r="I517" i="2" s="1"/>
  <c r="D581" i="2"/>
  <c r="D586" i="2"/>
  <c r="N579" i="2"/>
  <c r="D577" i="2"/>
  <c r="D572" i="2" s="1"/>
  <c r="D585" i="2"/>
  <c r="D584" i="2"/>
  <c r="D583" i="2"/>
  <c r="D582" i="2"/>
  <c r="D580" i="2"/>
  <c r="D579" i="2"/>
  <c r="D578" i="2"/>
  <c r="G577" i="2"/>
  <c r="N577" i="2"/>
  <c r="N581" i="2"/>
  <c r="N580" i="2"/>
  <c r="C577" i="2"/>
  <c r="C586" i="2"/>
  <c r="C583" i="2"/>
  <c r="C581" i="2"/>
  <c r="C585" i="2"/>
  <c r="C582" i="2"/>
  <c r="C579" i="2"/>
  <c r="H571" i="2"/>
  <c r="M578" i="2" s="1"/>
  <c r="C584" i="2"/>
  <c r="C580" i="2"/>
  <c r="F5" i="21"/>
  <c r="Q37" i="21"/>
  <c r="N93" i="21"/>
  <c r="J1092" i="14" s="1"/>
  <c r="Q64" i="21"/>
  <c r="D549" i="15" s="1"/>
  <c r="P549" i="15" s="1"/>
  <c r="N33" i="21"/>
  <c r="J842" i="14" s="1"/>
  <c r="F35" i="21"/>
  <c r="S35" i="21"/>
  <c r="X35" i="21"/>
  <c r="L37" i="21"/>
  <c r="N38" i="21"/>
  <c r="J870" i="14" s="1"/>
  <c r="S88" i="21"/>
  <c r="F16" i="21"/>
  <c r="N61" i="21"/>
  <c r="F6" i="21"/>
  <c r="F17" i="21"/>
  <c r="V55" i="21"/>
  <c r="X111" i="21"/>
  <c r="G39" i="21"/>
  <c r="F74" i="21"/>
  <c r="S42" i="21"/>
  <c r="J887" i="14" s="1"/>
  <c r="X60" i="21"/>
  <c r="N32" i="21"/>
  <c r="J838" i="14" s="1"/>
  <c r="L62" i="21"/>
  <c r="S32" i="21"/>
  <c r="F21" i="21"/>
  <c r="N53" i="21"/>
  <c r="J938" i="14" s="1"/>
  <c r="F34" i="21"/>
  <c r="G90" i="21"/>
  <c r="J665" i="7" s="1"/>
  <c r="V82" i="21"/>
  <c r="E606" i="15" s="1"/>
  <c r="I34" i="21"/>
  <c r="J845" i="14" s="1"/>
  <c r="V91" i="21"/>
  <c r="S36" i="21"/>
  <c r="J863" i="14" s="1"/>
  <c r="V45" i="21"/>
  <c r="I66" i="21"/>
  <c r="F73" i="21"/>
  <c r="G81" i="21"/>
  <c r="X82" i="21"/>
  <c r="I95" i="21"/>
  <c r="J1099" i="14" s="1"/>
  <c r="F97" i="21"/>
  <c r="V98" i="21"/>
  <c r="I100" i="21"/>
  <c r="J1127" i="14" s="1"/>
  <c r="X101" i="21"/>
  <c r="Q103" i="21"/>
  <c r="J705" i="7" s="1"/>
  <c r="G105" i="21"/>
  <c r="J708" i="7" s="1"/>
  <c r="V106" i="21"/>
  <c r="J714" i="7" s="1"/>
  <c r="N108" i="21"/>
  <c r="J1160" i="14" s="1"/>
  <c r="I110" i="21"/>
  <c r="J1167" i="14" s="1"/>
  <c r="F15" i="21"/>
  <c r="Q32" i="21"/>
  <c r="G34" i="21"/>
  <c r="V35" i="21"/>
  <c r="L860" i="14" s="1"/>
  <c r="N37" i="21"/>
  <c r="J866" i="14" s="1"/>
  <c r="I39" i="21"/>
  <c r="J873" i="14" s="1"/>
  <c r="F41" i="21"/>
  <c r="V42" i="21"/>
  <c r="L888" i="14" s="1"/>
  <c r="I44" i="21"/>
  <c r="J901" i="14" s="1"/>
  <c r="X45" i="21"/>
  <c r="J908" i="14" s="1"/>
  <c r="N47" i="21"/>
  <c r="J914" i="14" s="1"/>
  <c r="F49" i="21"/>
  <c r="V50" i="21"/>
  <c r="N52" i="21"/>
  <c r="J934" i="14" s="1"/>
  <c r="I54" i="21"/>
  <c r="J941" i="14" s="1"/>
  <c r="F60" i="21"/>
  <c r="Q61" i="21"/>
  <c r="F63" i="21"/>
  <c r="S64" i="21"/>
  <c r="L66" i="21"/>
  <c r="D554" i="15" s="1"/>
  <c r="P554" i="15" s="1"/>
  <c r="G68" i="21"/>
  <c r="X69" i="21"/>
  <c r="S71" i="21"/>
  <c r="G73" i="21"/>
  <c r="V74" i="21"/>
  <c r="L76" i="21"/>
  <c r="D584" i="15" s="1"/>
  <c r="P584" i="15" s="1"/>
  <c r="X77" i="21"/>
  <c r="Q79" i="21"/>
  <c r="D594" i="15" s="1"/>
  <c r="P594" i="15" s="1"/>
  <c r="I81" i="21"/>
  <c r="F83" i="21"/>
  <c r="I90" i="21"/>
  <c r="J1071" i="14" s="1"/>
  <c r="X91" i="21"/>
  <c r="Q93" i="21"/>
  <c r="J675" i="7" s="1"/>
  <c r="L95" i="21"/>
  <c r="J681" i="7" s="1"/>
  <c r="G97" i="21"/>
  <c r="J686" i="7" s="1"/>
  <c r="X98" i="21"/>
  <c r="L100" i="21"/>
  <c r="J695" i="7" s="1"/>
  <c r="F102" i="21"/>
  <c r="S103" i="21"/>
  <c r="I105" i="21"/>
  <c r="J1147" i="14" s="1"/>
  <c r="X106" i="21"/>
  <c r="Q108" i="21"/>
  <c r="J720" i="7" s="1"/>
  <c r="L110" i="21"/>
  <c r="J727" i="7" s="1"/>
  <c r="Q52" i="21"/>
  <c r="G60" i="21"/>
  <c r="D538" i="15" s="1"/>
  <c r="P538" i="15" s="1"/>
  <c r="G63" i="21"/>
  <c r="E545" i="15" s="1"/>
  <c r="I68" i="21"/>
  <c r="I73" i="21"/>
  <c r="X74" i="21"/>
  <c r="N76" i="21"/>
  <c r="S79" i="21"/>
  <c r="L81" i="21"/>
  <c r="E600" i="15" s="1"/>
  <c r="G83" i="21"/>
  <c r="D607" i="15" s="1"/>
  <c r="P607" i="15" s="1"/>
  <c r="V88" i="21"/>
  <c r="L90" i="21"/>
  <c r="J666" i="7" s="1"/>
  <c r="S93" i="21"/>
  <c r="N95" i="21"/>
  <c r="J1100" i="14" s="1"/>
  <c r="I97" i="21"/>
  <c r="J1107" i="14" s="1"/>
  <c r="N100" i="21"/>
  <c r="J1128" i="14" s="1"/>
  <c r="G102" i="21"/>
  <c r="J700" i="7" s="1"/>
  <c r="V103" i="21"/>
  <c r="L105" i="21"/>
  <c r="J709" i="7" s="1"/>
  <c r="F107" i="21"/>
  <c r="S108" i="21"/>
  <c r="J1161" i="14" s="1"/>
  <c r="N110" i="21"/>
  <c r="J1168" i="14" s="1"/>
  <c r="F68" i="21"/>
  <c r="V71" i="21"/>
  <c r="V79" i="21"/>
  <c r="I83" i="21"/>
  <c r="X88" i="21"/>
  <c r="N90" i="21"/>
  <c r="J1072" i="14" s="1"/>
  <c r="F92" i="21"/>
  <c r="V93" i="21"/>
  <c r="Q95" i="21"/>
  <c r="J682" i="7" s="1"/>
  <c r="L97" i="21"/>
  <c r="J687" i="7" s="1"/>
  <c r="X103" i="21"/>
  <c r="Q110" i="21"/>
  <c r="J728" i="7" s="1"/>
  <c r="X40" i="21"/>
  <c r="L52" i="21"/>
  <c r="S74" i="21"/>
  <c r="Q47" i="21"/>
  <c r="F70" i="21"/>
  <c r="L34" i="21"/>
  <c r="F46" i="21"/>
  <c r="N54" i="21"/>
  <c r="J942" i="14" s="1"/>
  <c r="L68" i="21"/>
  <c r="N81" i="21"/>
  <c r="V108" i="21"/>
  <c r="J721" i="7" s="1"/>
  <c r="F4" i="21"/>
  <c r="F12" i="21"/>
  <c r="X32" i="21"/>
  <c r="N34" i="21"/>
  <c r="F36" i="21"/>
  <c r="V37" i="21"/>
  <c r="Q39" i="21"/>
  <c r="L41" i="21"/>
  <c r="F43" i="21"/>
  <c r="Q44" i="21"/>
  <c r="G46" i="21"/>
  <c r="V47" i="21"/>
  <c r="L916" i="14" s="1"/>
  <c r="L49" i="21"/>
  <c r="G51" i="21"/>
  <c r="L929" i="14" s="1"/>
  <c r="V52" i="21"/>
  <c r="L936" i="14" s="1"/>
  <c r="Q54" i="21"/>
  <c r="L60" i="21"/>
  <c r="D539" i="15" s="1"/>
  <c r="P539" i="15" s="1"/>
  <c r="V61" i="21"/>
  <c r="L63" i="21"/>
  <c r="K546" i="15" s="1"/>
  <c r="S66" i="21"/>
  <c r="N68" i="21"/>
  <c r="I70" i="21"/>
  <c r="X71" i="21"/>
  <c r="N73" i="21"/>
  <c r="F75" i="21"/>
  <c r="S76" i="21"/>
  <c r="G78" i="21"/>
  <c r="X79" i="21"/>
  <c r="Q81" i="21"/>
  <c r="L83" i="21"/>
  <c r="F89" i="21"/>
  <c r="Q90" i="21"/>
  <c r="J667" i="7" s="1"/>
  <c r="G92" i="21"/>
  <c r="J670" i="7" s="1"/>
  <c r="X93" i="21"/>
  <c r="W93" i="21" s="1"/>
  <c r="S95" i="21"/>
  <c r="N97" i="21"/>
  <c r="J1108" i="14" s="1"/>
  <c r="G99" i="21"/>
  <c r="J692" i="7" s="1"/>
  <c r="S100" i="21"/>
  <c r="L102" i="21"/>
  <c r="J701" i="7" s="1"/>
  <c r="Q105" i="21"/>
  <c r="J710" i="7" s="1"/>
  <c r="I107" i="21"/>
  <c r="J1155" i="14" s="1"/>
  <c r="X108" i="21"/>
  <c r="S110" i="21"/>
  <c r="G44" i="21"/>
  <c r="Q71" i="21"/>
  <c r="X42" i="21"/>
  <c r="N66" i="21"/>
  <c r="N44" i="21"/>
  <c r="J902" i="14" s="1"/>
  <c r="I60" i="21"/>
  <c r="L73" i="21"/>
  <c r="K575" i="15" s="1"/>
  <c r="G107" i="21"/>
  <c r="J715" i="7" s="1"/>
  <c r="F27" i="21"/>
  <c r="F11" i="21"/>
  <c r="Q34" i="21"/>
  <c r="G36" i="21"/>
  <c r="X37" i="21"/>
  <c r="S39" i="21"/>
  <c r="J875" i="14" s="1"/>
  <c r="N41" i="21"/>
  <c r="J882" i="14" s="1"/>
  <c r="G43" i="21"/>
  <c r="S44" i="21"/>
  <c r="J903" i="14" s="1"/>
  <c r="I46" i="21"/>
  <c r="J909" i="14" s="1"/>
  <c r="X47" i="21"/>
  <c r="N49" i="21"/>
  <c r="J922" i="14" s="1"/>
  <c r="I51" i="21"/>
  <c r="J929" i="14" s="1"/>
  <c r="X52" i="21"/>
  <c r="J936" i="14" s="1"/>
  <c r="S54" i="21"/>
  <c r="J943" i="14" s="1"/>
  <c r="N60" i="21"/>
  <c r="X61" i="21"/>
  <c r="N63" i="21"/>
  <c r="F65" i="21"/>
  <c r="V66" i="21"/>
  <c r="D556" i="15" s="1"/>
  <c r="P556" i="15" s="1"/>
  <c r="Q68" i="21"/>
  <c r="L70" i="21"/>
  <c r="Q73" i="21"/>
  <c r="G75" i="21"/>
  <c r="I78" i="21"/>
  <c r="S81" i="21"/>
  <c r="N83" i="21"/>
  <c r="G89" i="21"/>
  <c r="J663" i="7" s="1"/>
  <c r="S90" i="21"/>
  <c r="I92" i="21"/>
  <c r="J1087" i="14" s="1"/>
  <c r="F94" i="21"/>
  <c r="V95" i="21"/>
  <c r="J683" i="7" s="1"/>
  <c r="Q97" i="21"/>
  <c r="J688" i="7" s="1"/>
  <c r="I99" i="21"/>
  <c r="J1123" i="14" s="1"/>
  <c r="V100" i="21"/>
  <c r="N102" i="21"/>
  <c r="J1136" i="14" s="1"/>
  <c r="F104" i="21"/>
  <c r="S105" i="21"/>
  <c r="J1149" i="14" s="1"/>
  <c r="L107" i="21"/>
  <c r="J716" i="7" s="1"/>
  <c r="F109" i="21"/>
  <c r="V110" i="21"/>
  <c r="J729" i="7" s="1"/>
  <c r="G54" i="21"/>
  <c r="I76" i="21"/>
  <c r="F14" i="21"/>
  <c r="L39" i="21"/>
  <c r="L874" i="14" s="1"/>
  <c r="L54" i="21"/>
  <c r="S52" i="21"/>
  <c r="J935" i="14" s="1"/>
  <c r="X64" i="21"/>
  <c r="Q76" i="21"/>
  <c r="I102" i="21"/>
  <c r="J1135" i="14" s="1"/>
  <c r="F26" i="21"/>
  <c r="F10" i="21"/>
  <c r="F33" i="21"/>
  <c r="S34" i="21"/>
  <c r="J847" i="14" s="1"/>
  <c r="I36" i="21"/>
  <c r="J861" i="14" s="1"/>
  <c r="F38" i="21"/>
  <c r="V39" i="21"/>
  <c r="Q41" i="21"/>
  <c r="I43" i="21"/>
  <c r="J897" i="14" s="1"/>
  <c r="V44" i="21"/>
  <c r="L46" i="21"/>
  <c r="L910" i="14" s="1"/>
  <c r="Q49" i="21"/>
  <c r="L51" i="21"/>
  <c r="F53" i="21"/>
  <c r="V54" i="21"/>
  <c r="Q60" i="21"/>
  <c r="Q63" i="21"/>
  <c r="G65" i="21"/>
  <c r="K550" i="15" s="1"/>
  <c r="X66" i="21"/>
  <c r="S68" i="21"/>
  <c r="N70" i="21"/>
  <c r="F72" i="21"/>
  <c r="S73" i="21"/>
  <c r="I75" i="21"/>
  <c r="V76" i="21"/>
  <c r="L78" i="21"/>
  <c r="K589" i="15" s="1"/>
  <c r="F80" i="21"/>
  <c r="V81" i="21"/>
  <c r="D602" i="15" s="1"/>
  <c r="P602" i="15" s="1"/>
  <c r="Q83" i="21"/>
  <c r="E609" i="15" s="1"/>
  <c r="I89" i="21"/>
  <c r="J1067" i="14" s="1"/>
  <c r="V90" i="21"/>
  <c r="L92" i="21"/>
  <c r="J671" i="7" s="1"/>
  <c r="G94" i="21"/>
  <c r="J676" i="7" s="1"/>
  <c r="X95" i="21"/>
  <c r="S97" i="21"/>
  <c r="L99" i="21"/>
  <c r="J693" i="7" s="1"/>
  <c r="X100" i="21"/>
  <c r="Q102" i="21"/>
  <c r="J702" i="7" s="1"/>
  <c r="G104" i="21"/>
  <c r="J706" i="7" s="1"/>
  <c r="V105" i="21"/>
  <c r="N107" i="21"/>
  <c r="J1156" i="14" s="1"/>
  <c r="G109" i="21"/>
  <c r="J722" i="7" s="1"/>
  <c r="X110" i="21"/>
  <c r="L47" i="21"/>
  <c r="V69" i="21"/>
  <c r="G41" i="21"/>
  <c r="G49" i="21"/>
  <c r="S61" i="21"/>
  <c r="V32" i="21"/>
  <c r="L840" i="14" s="1"/>
  <c r="I41" i="21"/>
  <c r="J881" i="14" s="1"/>
  <c r="S47" i="21"/>
  <c r="J915" i="14" s="1"/>
  <c r="I63" i="21"/>
  <c r="N105" i="21"/>
  <c r="J1148" i="14" s="1"/>
  <c r="F25" i="21"/>
  <c r="F9" i="21"/>
  <c r="G33" i="21"/>
  <c r="V34" i="21"/>
  <c r="L36" i="21"/>
  <c r="L862" i="14" s="1"/>
  <c r="G38" i="21"/>
  <c r="L869" i="14" s="1"/>
  <c r="X39" i="21"/>
  <c r="J876" i="14" s="1"/>
  <c r="S41" i="21"/>
  <c r="J883" i="14" s="1"/>
  <c r="L43" i="21"/>
  <c r="X44" i="21"/>
  <c r="N46" i="21"/>
  <c r="J910" i="14" s="1"/>
  <c r="F48" i="21"/>
  <c r="S49" i="21"/>
  <c r="J923" i="14" s="1"/>
  <c r="N51" i="21"/>
  <c r="J930" i="14" s="1"/>
  <c r="G53" i="21"/>
  <c r="X54" i="21"/>
  <c r="J944" i="14" s="1"/>
  <c r="S60" i="21"/>
  <c r="F62" i="21"/>
  <c r="S63" i="21"/>
  <c r="I65" i="21"/>
  <c r="F67" i="21"/>
  <c r="V68" i="21"/>
  <c r="Q70" i="21"/>
  <c r="D568" i="15" s="1"/>
  <c r="P568" i="15" s="1"/>
  <c r="G72" i="21"/>
  <c r="K571" i="15" s="1"/>
  <c r="V73" i="21"/>
  <c r="L75" i="21"/>
  <c r="E581" i="15" s="1"/>
  <c r="X76" i="21"/>
  <c r="N78" i="21"/>
  <c r="G80" i="21"/>
  <c r="K595" i="15" s="1"/>
  <c r="X81" i="21"/>
  <c r="S83" i="21"/>
  <c r="L89" i="21"/>
  <c r="J664" i="7" s="1"/>
  <c r="X90" i="21"/>
  <c r="N92" i="21"/>
  <c r="J1088" i="14" s="1"/>
  <c r="I94" i="21"/>
  <c r="J1095" i="14" s="1"/>
  <c r="F96" i="21"/>
  <c r="V97" i="21"/>
  <c r="N99" i="21"/>
  <c r="J1124" i="14" s="1"/>
  <c r="S102" i="21"/>
  <c r="I104" i="21"/>
  <c r="J1143" i="14" s="1"/>
  <c r="X105" i="21"/>
  <c r="Q107" i="21"/>
  <c r="J717" i="7" s="1"/>
  <c r="I109" i="21"/>
  <c r="J1163" i="14" s="1"/>
  <c r="F111" i="21"/>
  <c r="X55" i="21"/>
  <c r="N79" i="21"/>
  <c r="L44" i="21"/>
  <c r="V64" i="21"/>
  <c r="F13" i="21"/>
  <c r="S37" i="21"/>
  <c r="J867" i="14" s="1"/>
  <c r="F51" i="21"/>
  <c r="G70" i="21"/>
  <c r="F99" i="21"/>
  <c r="F24" i="21"/>
  <c r="F8" i="21"/>
  <c r="I33" i="21"/>
  <c r="J841" i="14" s="1"/>
  <c r="X34" i="21"/>
  <c r="N36" i="21"/>
  <c r="J862" i="14" s="1"/>
  <c r="I38" i="21"/>
  <c r="J869" i="14" s="1"/>
  <c r="F40" i="21"/>
  <c r="V41" i="21"/>
  <c r="N43" i="21"/>
  <c r="Q46" i="21"/>
  <c r="G48" i="21"/>
  <c r="V49" i="21"/>
  <c r="L924" i="14" s="1"/>
  <c r="Q51" i="21"/>
  <c r="I53" i="21"/>
  <c r="J937" i="14" s="1"/>
  <c r="F55" i="21"/>
  <c r="G62" i="21"/>
  <c r="V63" i="21"/>
  <c r="L65" i="21"/>
  <c r="D551" i="15" s="1"/>
  <c r="P551" i="15" s="1"/>
  <c r="G67" i="21"/>
  <c r="D557" i="15" s="1"/>
  <c r="P557" i="15" s="1"/>
  <c r="X68" i="21"/>
  <c r="S70" i="21"/>
  <c r="I72" i="21"/>
  <c r="X73" i="21"/>
  <c r="N75" i="21"/>
  <c r="Q78" i="21"/>
  <c r="K590" i="15" s="1"/>
  <c r="I80" i="21"/>
  <c r="F82" i="21"/>
  <c r="V83" i="21"/>
  <c r="K610" i="15" s="1"/>
  <c r="N89" i="21"/>
  <c r="J1068" i="14" s="1"/>
  <c r="Q92" i="21"/>
  <c r="J672" i="7" s="1"/>
  <c r="L94" i="21"/>
  <c r="J677" i="7" s="1"/>
  <c r="G96" i="21"/>
  <c r="J684" i="7" s="1"/>
  <c r="X97" i="21"/>
  <c r="Q99" i="21"/>
  <c r="U99" i="21" s="1"/>
  <c r="F101" i="21"/>
  <c r="V102" i="21"/>
  <c r="L104" i="21"/>
  <c r="J707" i="7" s="1"/>
  <c r="S107" i="21"/>
  <c r="L109" i="21"/>
  <c r="J723" i="7" s="1"/>
  <c r="G111" i="21"/>
  <c r="J730" i="7" s="1"/>
  <c r="S50" i="21"/>
  <c r="J927" i="14" s="1"/>
  <c r="V77" i="21"/>
  <c r="X50" i="21"/>
  <c r="J928" i="14" s="1"/>
  <c r="N39" i="21"/>
  <c r="J874" i="14" s="1"/>
  <c r="I49" i="21"/>
  <c r="J921" i="14" s="1"/>
  <c r="Q66" i="21"/>
  <c r="F78" i="21"/>
  <c r="Q100" i="21"/>
  <c r="J696" i="7" s="1"/>
  <c r="F23" i="21"/>
  <c r="F7" i="21"/>
  <c r="L33" i="21"/>
  <c r="Q36" i="21"/>
  <c r="L38" i="21"/>
  <c r="G40" i="21"/>
  <c r="X41" i="21"/>
  <c r="Q43" i="21"/>
  <c r="F45" i="21"/>
  <c r="S46" i="21"/>
  <c r="J911" i="14" s="1"/>
  <c r="I48" i="21"/>
  <c r="J917" i="14" s="1"/>
  <c r="X49" i="21"/>
  <c r="S51" i="21"/>
  <c r="J931" i="14" s="1"/>
  <c r="L53" i="21"/>
  <c r="L938" i="14" s="1"/>
  <c r="G55" i="21"/>
  <c r="L945" i="14" s="1"/>
  <c r="V60" i="21"/>
  <c r="I62" i="21"/>
  <c r="X63" i="21"/>
  <c r="W63" i="21" s="1"/>
  <c r="N65" i="21"/>
  <c r="I67" i="21"/>
  <c r="F69" i="21"/>
  <c r="V70" i="21"/>
  <c r="L72" i="21"/>
  <c r="Q75" i="21"/>
  <c r="F77" i="21"/>
  <c r="S78" i="21"/>
  <c r="L80" i="21"/>
  <c r="E596" i="15" s="1"/>
  <c r="G82" i="21"/>
  <c r="D603" i="15" s="1"/>
  <c r="P603" i="15" s="1"/>
  <c r="X83" i="21"/>
  <c r="Q89" i="21"/>
  <c r="F91" i="21"/>
  <c r="S92" i="21"/>
  <c r="N94" i="21"/>
  <c r="J1096" i="14" s="1"/>
  <c r="I96" i="21"/>
  <c r="J1103" i="14" s="1"/>
  <c r="F98" i="21"/>
  <c r="S99" i="21"/>
  <c r="G101" i="21"/>
  <c r="J697" i="7" s="1"/>
  <c r="X102" i="21"/>
  <c r="N104" i="21"/>
  <c r="J1144" i="14" s="1"/>
  <c r="F106" i="21"/>
  <c r="W106" i="21" s="1"/>
  <c r="V107" i="21"/>
  <c r="N109" i="21"/>
  <c r="J1164" i="14" s="1"/>
  <c r="I111" i="21"/>
  <c r="N80" i="21"/>
  <c r="I82" i="21"/>
  <c r="F88" i="21"/>
  <c r="S89" i="21"/>
  <c r="G91" i="21"/>
  <c r="J668" i="7" s="1"/>
  <c r="V92" i="21"/>
  <c r="Q94" i="21"/>
  <c r="J678" i="7" s="1"/>
  <c r="L96" i="21"/>
  <c r="J685" i="7" s="1"/>
  <c r="G98" i="21"/>
  <c r="J689" i="7" s="1"/>
  <c r="I101" i="21"/>
  <c r="J1131" i="14" s="1"/>
  <c r="Q104" i="21"/>
  <c r="G106" i="21"/>
  <c r="J711" i="7" s="1"/>
  <c r="X107" i="21"/>
  <c r="Q109" i="21"/>
  <c r="J724" i="7" s="1"/>
  <c r="L111" i="21"/>
  <c r="J731" i="7" s="1"/>
  <c r="L48" i="21"/>
  <c r="N72" i="21"/>
  <c r="G42" i="21"/>
  <c r="G50" i="21"/>
  <c r="F64" i="21"/>
  <c r="F71" i="21"/>
  <c r="I77" i="21"/>
  <c r="Q80" i="21"/>
  <c r="K597" i="15" s="1"/>
  <c r="I91" i="21"/>
  <c r="J1083" i="14" s="1"/>
  <c r="X92" i="21"/>
  <c r="S94" i="21"/>
  <c r="J1097" i="14" s="1"/>
  <c r="N96" i="21"/>
  <c r="J1104" i="14" s="1"/>
  <c r="V99" i="21"/>
  <c r="F103" i="21"/>
  <c r="I106" i="21"/>
  <c r="J1151" i="14" s="1"/>
  <c r="S109" i="21"/>
  <c r="N111" i="21"/>
  <c r="F22" i="21"/>
  <c r="F42" i="21"/>
  <c r="F50" i="21"/>
  <c r="I55" i="21"/>
  <c r="L67" i="21"/>
  <c r="E558" i="15" s="1"/>
  <c r="X70" i="21"/>
  <c r="G77" i="21"/>
  <c r="E585" i="15" s="1"/>
  <c r="V36" i="21"/>
  <c r="N48" i="21"/>
  <c r="J918" i="14" s="1"/>
  <c r="L55" i="21"/>
  <c r="N67" i="21"/>
  <c r="Q72" i="21"/>
  <c r="D573" i="15" s="1"/>
  <c r="P573" i="15" s="1"/>
  <c r="X78" i="21"/>
  <c r="G88" i="21"/>
  <c r="J661" i="7" s="1"/>
  <c r="L101" i="21"/>
  <c r="J698" i="7" s="1"/>
  <c r="F20" i="21"/>
  <c r="F32" i="21"/>
  <c r="S33" i="21"/>
  <c r="I35" i="21"/>
  <c r="J857" i="14" s="1"/>
  <c r="X36" i="21"/>
  <c r="S38" i="21"/>
  <c r="J871" i="14" s="1"/>
  <c r="N40" i="21"/>
  <c r="J878" i="14" s="1"/>
  <c r="I42" i="21"/>
  <c r="J885" i="14" s="1"/>
  <c r="V43" i="21"/>
  <c r="L45" i="21"/>
  <c r="Q48" i="21"/>
  <c r="L919" i="14" s="1"/>
  <c r="I50" i="21"/>
  <c r="J925" i="14" s="1"/>
  <c r="S53" i="21"/>
  <c r="J939" i="14" s="1"/>
  <c r="N55" i="21"/>
  <c r="J946" i="14" s="1"/>
  <c r="F61" i="21"/>
  <c r="Q62" i="21"/>
  <c r="G64" i="21"/>
  <c r="K547" i="15" s="1"/>
  <c r="V65" i="21"/>
  <c r="Q67" i="21"/>
  <c r="L69" i="21"/>
  <c r="G71" i="21"/>
  <c r="D569" i="15" s="1"/>
  <c r="P569" i="15" s="1"/>
  <c r="S72" i="21"/>
  <c r="I74" i="21"/>
  <c r="X75" i="21"/>
  <c r="L77" i="21"/>
  <c r="E586" i="15" s="1"/>
  <c r="F79" i="21"/>
  <c r="S80" i="21"/>
  <c r="N82" i="21"/>
  <c r="I88" i="21"/>
  <c r="J1063" i="14" s="1"/>
  <c r="V89" i="21"/>
  <c r="L91" i="21"/>
  <c r="J669" i="7" s="1"/>
  <c r="F93" i="21"/>
  <c r="V94" i="21"/>
  <c r="J679" i="7" s="1"/>
  <c r="Q96" i="21"/>
  <c r="L98" i="21"/>
  <c r="J690" i="7" s="1"/>
  <c r="X99" i="21"/>
  <c r="N101" i="21"/>
  <c r="J1132" i="14" s="1"/>
  <c r="G103" i="21"/>
  <c r="J703" i="7" s="1"/>
  <c r="L106" i="21"/>
  <c r="J712" i="7" s="1"/>
  <c r="F108" i="21"/>
  <c r="V109" i="21"/>
  <c r="J725" i="7" s="1"/>
  <c r="Q111" i="21"/>
  <c r="J732" i="7" s="1"/>
  <c r="S43" i="21"/>
  <c r="S75" i="21"/>
  <c r="F19" i="21"/>
  <c r="G32" i="21"/>
  <c r="L35" i="21"/>
  <c r="F37" i="21"/>
  <c r="V38" i="21"/>
  <c r="Q40" i="21"/>
  <c r="L42" i="21"/>
  <c r="X43" i="21"/>
  <c r="N45" i="21"/>
  <c r="J906" i="14" s="1"/>
  <c r="F47" i="21"/>
  <c r="S48" i="21"/>
  <c r="L50" i="21"/>
  <c r="F52" i="21"/>
  <c r="V53" i="21"/>
  <c r="Q55" i="21"/>
  <c r="G61" i="21"/>
  <c r="K540" i="15" s="1"/>
  <c r="S62" i="21"/>
  <c r="I64" i="21"/>
  <c r="X65" i="21"/>
  <c r="S67" i="21"/>
  <c r="N69" i="21"/>
  <c r="I71" i="21"/>
  <c r="V72" i="21"/>
  <c r="L74" i="21"/>
  <c r="E578" i="15" s="1"/>
  <c r="N77" i="21"/>
  <c r="G79" i="21"/>
  <c r="V80" i="21"/>
  <c r="K598" i="15" s="1"/>
  <c r="Q82" i="21"/>
  <c r="E605" i="15" s="1"/>
  <c r="L88" i="21"/>
  <c r="J662" i="7" s="1"/>
  <c r="X89" i="21"/>
  <c r="N91" i="21"/>
  <c r="J1084" i="14" s="1"/>
  <c r="G93" i="21"/>
  <c r="J673" i="7" s="1"/>
  <c r="X94" i="21"/>
  <c r="S96" i="21"/>
  <c r="N98" i="21"/>
  <c r="J1112" i="14" s="1"/>
  <c r="Q101" i="21"/>
  <c r="J699" i="7" s="1"/>
  <c r="I103" i="21"/>
  <c r="J1139" i="14" s="1"/>
  <c r="V104" i="21"/>
  <c r="N106" i="21"/>
  <c r="J1152" i="14" s="1"/>
  <c r="G108" i="21"/>
  <c r="J718" i="7" s="1"/>
  <c r="X109" i="21"/>
  <c r="S111" i="21"/>
  <c r="I40" i="21"/>
  <c r="J877" i="14" s="1"/>
  <c r="V46" i="21"/>
  <c r="L912" i="14" s="1"/>
  <c r="V51" i="21"/>
  <c r="Q65" i="21"/>
  <c r="E552" i="15" s="1"/>
  <c r="G69" i="21"/>
  <c r="D563" i="15" s="1"/>
  <c r="P563" i="15" s="1"/>
  <c r="V78" i="21"/>
  <c r="K591" i="15" s="1"/>
  <c r="G35" i="21"/>
  <c r="L40" i="21"/>
  <c r="I45" i="21"/>
  <c r="X51" i="21"/>
  <c r="N62" i="21"/>
  <c r="I69" i="21"/>
  <c r="V75" i="21"/>
  <c r="L82" i="21"/>
  <c r="S104" i="21"/>
  <c r="F18" i="21"/>
  <c r="I32" i="21"/>
  <c r="J837" i="14" s="1"/>
  <c r="V33" i="21"/>
  <c r="N35" i="21"/>
  <c r="J858" i="14" s="1"/>
  <c r="G37" i="21"/>
  <c r="X38" i="21"/>
  <c r="J872" i="14" s="1"/>
  <c r="S40" i="21"/>
  <c r="N42" i="21"/>
  <c r="J886" i="14" s="1"/>
  <c r="Q45" i="21"/>
  <c r="G47" i="21"/>
  <c r="V48" i="21"/>
  <c r="L920" i="14" s="1"/>
  <c r="N50" i="21"/>
  <c r="J926" i="14" s="1"/>
  <c r="G52" i="21"/>
  <c r="X53" i="21"/>
  <c r="J940" i="14" s="1"/>
  <c r="S55" i="21"/>
  <c r="J947" i="14" s="1"/>
  <c r="I61" i="21"/>
  <c r="V62" i="21"/>
  <c r="L64" i="21"/>
  <c r="D548" i="15" s="1"/>
  <c r="P548" i="15" s="1"/>
  <c r="F66" i="21"/>
  <c r="V67" i="21"/>
  <c r="E560" i="15" s="1"/>
  <c r="Q69" i="21"/>
  <c r="K565" i="15" s="1"/>
  <c r="L71" i="21"/>
  <c r="K570" i="15" s="1"/>
  <c r="X72" i="21"/>
  <c r="N74" i="21"/>
  <c r="F76" i="21"/>
  <c r="Q77" i="21"/>
  <c r="E587" i="15" s="1"/>
  <c r="I79" i="21"/>
  <c r="X80" i="21"/>
  <c r="S82" i="21"/>
  <c r="N88" i="21"/>
  <c r="J1064" i="14" s="1"/>
  <c r="Q91" i="21"/>
  <c r="L1085" i="14" s="1"/>
  <c r="I93" i="21"/>
  <c r="J1091" i="14" s="1"/>
  <c r="F95" i="21"/>
  <c r="M95" i="21" s="1"/>
  <c r="I1100" i="14" s="1"/>
  <c r="V96" i="21"/>
  <c r="Q98" i="21"/>
  <c r="J691" i="7" s="1"/>
  <c r="F100" i="21"/>
  <c r="H100" i="21" s="1"/>
  <c r="I1127" i="14" s="1"/>
  <c r="S101" i="21"/>
  <c r="L103" i="21"/>
  <c r="J704" i="7" s="1"/>
  <c r="X104" i="21"/>
  <c r="Q106" i="21"/>
  <c r="J713" i="7" s="1"/>
  <c r="I108" i="21"/>
  <c r="J1159" i="14" s="1"/>
  <c r="F110" i="21"/>
  <c r="V111" i="21"/>
  <c r="J733" i="7" s="1"/>
  <c r="G45" i="21"/>
  <c r="Q33" i="21"/>
  <c r="L843" i="14" s="1"/>
  <c r="Q38" i="21"/>
  <c r="X46" i="21"/>
  <c r="Q53" i="21"/>
  <c r="L939" i="14" s="1"/>
  <c r="S65" i="21"/>
  <c r="G74" i="21"/>
  <c r="E577" i="15" s="1"/>
  <c r="I98" i="21"/>
  <c r="J1111" i="14" s="1"/>
  <c r="L32" i="21"/>
  <c r="X33" i="21"/>
  <c r="Q35" i="21"/>
  <c r="L859" i="14" s="1"/>
  <c r="I37" i="21"/>
  <c r="J865" i="14" s="1"/>
  <c r="F39" i="21"/>
  <c r="V40" i="21"/>
  <c r="Q42" i="21"/>
  <c r="F44" i="21"/>
  <c r="S45" i="21"/>
  <c r="J907" i="14" s="1"/>
  <c r="I47" i="21"/>
  <c r="J913" i="14" s="1"/>
  <c r="X48" i="21"/>
  <c r="Q50" i="21"/>
  <c r="L927" i="14" s="1"/>
  <c r="I52" i="21"/>
  <c r="J933" i="14" s="1"/>
  <c r="F54" i="21"/>
  <c r="L61" i="21"/>
  <c r="K541" i="15" s="1"/>
  <c r="X62" i="21"/>
  <c r="N64" i="21"/>
  <c r="G66" i="21"/>
  <c r="D553" i="15" s="1"/>
  <c r="P553" i="15" s="1"/>
  <c r="X67" i="21"/>
  <c r="S69" i="21"/>
  <c r="N71" i="21"/>
  <c r="Q74" i="21"/>
  <c r="K579" i="15" s="1"/>
  <c r="G76" i="21"/>
  <c r="E583" i="15" s="1"/>
  <c r="S77" i="21"/>
  <c r="L79" i="21"/>
  <c r="F81" i="21"/>
  <c r="Q88" i="21"/>
  <c r="F90" i="21"/>
  <c r="S91" i="21"/>
  <c r="L93" i="21"/>
  <c r="J674" i="7" s="1"/>
  <c r="G95" i="21"/>
  <c r="J680" i="7" s="1"/>
  <c r="X96" i="21"/>
  <c r="S98" i="21"/>
  <c r="G100" i="21"/>
  <c r="J694" i="7" s="1"/>
  <c r="V101" i="21"/>
  <c r="N103" i="21"/>
  <c r="J1140" i="14" s="1"/>
  <c r="F105" i="21"/>
  <c r="S106" i="21"/>
  <c r="L108" i="21"/>
  <c r="J719" i="7" s="1"/>
  <c r="G110" i="21"/>
  <c r="J726" i="7" s="1"/>
  <c r="Z98" i="21"/>
  <c r="Z69" i="21"/>
  <c r="G4" i="21"/>
  <c r="D390" i="15" s="1"/>
  <c r="P390" i="15" s="1"/>
  <c r="X19" i="21"/>
  <c r="X9" i="21"/>
  <c r="I10" i="21"/>
  <c r="X5" i="21"/>
  <c r="I20" i="21"/>
  <c r="I6" i="21"/>
  <c r="X7" i="21"/>
  <c r="G8" i="21"/>
  <c r="E399" i="15" s="1"/>
  <c r="G6" i="21"/>
  <c r="E394" i="15" s="1"/>
  <c r="I8" i="21"/>
  <c r="V27" i="21"/>
  <c r="D462" i="15" s="1"/>
  <c r="P462" i="15" s="1"/>
  <c r="G10" i="21"/>
  <c r="X11" i="21"/>
  <c r="G12" i="21"/>
  <c r="I12" i="21"/>
  <c r="X13" i="21"/>
  <c r="G5" i="21"/>
  <c r="K392" i="15" s="1"/>
  <c r="X21" i="21"/>
  <c r="G14" i="21"/>
  <c r="E418" i="15" s="1"/>
  <c r="I22" i="21"/>
  <c r="I4" i="21"/>
  <c r="L6" i="21"/>
  <c r="D395" i="15" s="1"/>
  <c r="P395" i="15" s="1"/>
  <c r="L8" i="21"/>
  <c r="E400" i="15" s="1"/>
  <c r="L10" i="21"/>
  <c r="K406" i="15" s="1"/>
  <c r="L12" i="21"/>
  <c r="E414" i="15" s="1"/>
  <c r="L14" i="21"/>
  <c r="D419" i="15" s="1"/>
  <c r="P419" i="15" s="1"/>
  <c r="L16" i="21"/>
  <c r="K424" i="15" s="1"/>
  <c r="L18" i="21"/>
  <c r="E430" i="15" s="1"/>
  <c r="L20" i="21"/>
  <c r="L22" i="21"/>
  <c r="L24" i="21"/>
  <c r="L26" i="21"/>
  <c r="L829" i="14" s="1"/>
  <c r="L4" i="21"/>
  <c r="K391" i="15" s="1"/>
  <c r="N6" i="21"/>
  <c r="N8" i="21"/>
  <c r="N10" i="21"/>
  <c r="N12" i="21"/>
  <c r="N14" i="21"/>
  <c r="N16" i="21"/>
  <c r="N18" i="21"/>
  <c r="N20" i="21"/>
  <c r="N22" i="21"/>
  <c r="N24" i="21"/>
  <c r="N26" i="21"/>
  <c r="J829" i="14" s="1"/>
  <c r="X27" i="21"/>
  <c r="G20" i="21"/>
  <c r="I14" i="21"/>
  <c r="N4" i="21"/>
  <c r="Q6" i="21"/>
  <c r="D396" i="15" s="1"/>
  <c r="P396" i="15" s="1"/>
  <c r="Q8" i="21"/>
  <c r="K401" i="15" s="1"/>
  <c r="Q10" i="21"/>
  <c r="K407" i="15" s="1"/>
  <c r="Q12" i="21"/>
  <c r="Q14" i="21"/>
  <c r="E420" i="15" s="1"/>
  <c r="Q16" i="21"/>
  <c r="K425" i="15" s="1"/>
  <c r="Q18" i="21"/>
  <c r="K431" i="15" s="1"/>
  <c r="Q20" i="21"/>
  <c r="Q22" i="21"/>
  <c r="K442" i="15" s="1"/>
  <c r="Q24" i="21"/>
  <c r="E449" i="15" s="1"/>
  <c r="Q26" i="21"/>
  <c r="L830" i="14" s="1"/>
  <c r="X25" i="21"/>
  <c r="J827" i="14" s="1"/>
  <c r="G26" i="21"/>
  <c r="S16" i="21"/>
  <c r="X17" i="21"/>
  <c r="I16" i="21"/>
  <c r="S18" i="21"/>
  <c r="S4" i="21"/>
  <c r="V6" i="21"/>
  <c r="V8" i="21"/>
  <c r="V10" i="21"/>
  <c r="K408" i="15" s="1"/>
  <c r="V12" i="21"/>
  <c r="V14" i="21"/>
  <c r="V16" i="21"/>
  <c r="V18" i="21"/>
  <c r="V20" i="21"/>
  <c r="V22" i="21"/>
  <c r="D443" i="15" s="1"/>
  <c r="P443" i="15" s="1"/>
  <c r="V24" i="21"/>
  <c r="K450" i="15" s="1"/>
  <c r="V26" i="21"/>
  <c r="S20" i="21"/>
  <c r="V4" i="21"/>
  <c r="X6" i="21"/>
  <c r="X8" i="21"/>
  <c r="X10" i="21"/>
  <c r="X12" i="21"/>
  <c r="X14" i="21"/>
  <c r="X16" i="21"/>
  <c r="X18" i="21"/>
  <c r="X20" i="21"/>
  <c r="X22" i="21"/>
  <c r="X24" i="21"/>
  <c r="X26" i="21"/>
  <c r="J831" i="14" s="1"/>
  <c r="X23" i="21"/>
  <c r="I24" i="21"/>
  <c r="S8" i="21"/>
  <c r="S14" i="21"/>
  <c r="S24" i="21"/>
  <c r="X4" i="21"/>
  <c r="G7" i="21"/>
  <c r="K397" i="15" s="1"/>
  <c r="G9" i="21"/>
  <c r="E402" i="15" s="1"/>
  <c r="G11" i="21"/>
  <c r="E409" i="15" s="1"/>
  <c r="G13" i="21"/>
  <c r="D415" i="15" s="1"/>
  <c r="P415" i="15" s="1"/>
  <c r="G15" i="21"/>
  <c r="E421" i="15" s="1"/>
  <c r="G17" i="21"/>
  <c r="D426" i="15" s="1"/>
  <c r="P426" i="15" s="1"/>
  <c r="G19" i="21"/>
  <c r="K432" i="15" s="1"/>
  <c r="G21" i="21"/>
  <c r="K437" i="15" s="1"/>
  <c r="G23" i="21"/>
  <c r="D444" i="15" s="1"/>
  <c r="P444" i="15" s="1"/>
  <c r="G25" i="21"/>
  <c r="L824" i="14" s="1"/>
  <c r="G27" i="21"/>
  <c r="L832" i="14" s="1"/>
  <c r="G24" i="21"/>
  <c r="K447" i="15" s="1"/>
  <c r="I26" i="21"/>
  <c r="J828" i="14" s="1"/>
  <c r="S6" i="21"/>
  <c r="S12" i="21"/>
  <c r="S26" i="21"/>
  <c r="I5" i="21"/>
  <c r="I7" i="21"/>
  <c r="I9" i="21"/>
  <c r="I11" i="21"/>
  <c r="I13" i="21"/>
  <c r="I15" i="21"/>
  <c r="I17" i="21"/>
  <c r="I19" i="21"/>
  <c r="I21" i="21"/>
  <c r="I23" i="21"/>
  <c r="I25" i="21"/>
  <c r="J824" i="14" s="1"/>
  <c r="I27" i="21"/>
  <c r="I18" i="21"/>
  <c r="Q4" i="21"/>
  <c r="S10" i="21"/>
  <c r="S22" i="21"/>
  <c r="L5" i="21"/>
  <c r="D393" i="15" s="1"/>
  <c r="P393" i="15" s="1"/>
  <c r="L7" i="21"/>
  <c r="L9" i="21"/>
  <c r="K403" i="15" s="1"/>
  <c r="L11" i="21"/>
  <c r="D410" i="15" s="1"/>
  <c r="P410" i="15" s="1"/>
  <c r="L13" i="21"/>
  <c r="D416" i="15" s="1"/>
  <c r="P416" i="15" s="1"/>
  <c r="L15" i="21"/>
  <c r="K422" i="15" s="1"/>
  <c r="L17" i="21"/>
  <c r="K427" i="15" s="1"/>
  <c r="L19" i="21"/>
  <c r="E433" i="15" s="1"/>
  <c r="L21" i="21"/>
  <c r="K438" i="15" s="1"/>
  <c r="L23" i="21"/>
  <c r="E445" i="15" s="1"/>
  <c r="L25" i="21"/>
  <c r="K452" i="15" s="1"/>
  <c r="L27" i="21"/>
  <c r="L833" i="14" s="1"/>
  <c r="G22" i="21"/>
  <c r="N25" i="21"/>
  <c r="J825" i="14" s="1"/>
  <c r="X15" i="21"/>
  <c r="G18" i="21"/>
  <c r="K429" i="15" s="1"/>
  <c r="N9" i="21"/>
  <c r="N15" i="21"/>
  <c r="N19" i="21"/>
  <c r="N27" i="21"/>
  <c r="J833" i="14" s="1"/>
  <c r="Q5" i="21"/>
  <c r="Q7" i="21"/>
  <c r="Q9" i="21"/>
  <c r="Q11" i="21"/>
  <c r="D411" i="15" s="1"/>
  <c r="P411" i="15" s="1"/>
  <c r="Q13" i="21"/>
  <c r="Q15" i="21"/>
  <c r="Q17" i="21"/>
  <c r="K428" i="15" s="1"/>
  <c r="Q19" i="21"/>
  <c r="K434" i="15" s="1"/>
  <c r="Q21" i="21"/>
  <c r="Q23" i="21"/>
  <c r="Q25" i="21"/>
  <c r="Q27" i="21"/>
  <c r="L834" i="14" s="1"/>
  <c r="G16" i="21"/>
  <c r="E423" i="15" s="1"/>
  <c r="N5" i="21"/>
  <c r="N13" i="21"/>
  <c r="N21" i="21"/>
  <c r="S5" i="21"/>
  <c r="S7" i="21"/>
  <c r="S9" i="21"/>
  <c r="S11" i="21"/>
  <c r="S13" i="21"/>
  <c r="S15" i="21"/>
  <c r="S17" i="21"/>
  <c r="S19" i="21"/>
  <c r="S21" i="21"/>
  <c r="S23" i="21"/>
  <c r="S25" i="21"/>
  <c r="J826" i="14" s="1"/>
  <c r="S27" i="21"/>
  <c r="J834" i="14" s="1"/>
  <c r="N7" i="21"/>
  <c r="N11" i="21"/>
  <c r="N17" i="21"/>
  <c r="N23" i="21"/>
  <c r="V5" i="21"/>
  <c r="V7" i="21"/>
  <c r="V9" i="21"/>
  <c r="V11" i="21"/>
  <c r="D412" i="15" s="1"/>
  <c r="P412" i="15" s="1"/>
  <c r="V13" i="21"/>
  <c r="V15" i="21"/>
  <c r="V17" i="21"/>
  <c r="V19" i="21"/>
  <c r="V21" i="21"/>
  <c r="V23" i="21"/>
  <c r="V25" i="21"/>
  <c r="L14" i="5"/>
  <c r="B211" i="2"/>
  <c r="B347" i="2"/>
  <c r="L348" i="15"/>
  <c r="L349" i="15"/>
  <c r="L350" i="15"/>
  <c r="L351" i="15"/>
  <c r="L352" i="15"/>
  <c r="L353" i="15"/>
  <c r="L354" i="15"/>
  <c r="L355" i="15"/>
  <c r="L356" i="15"/>
  <c r="L357" i="15"/>
  <c r="L358" i="15"/>
  <c r="L359" i="15"/>
  <c r="L360" i="15"/>
  <c r="L361" i="15"/>
  <c r="L362" i="15"/>
  <c r="L363" i="15"/>
  <c r="L364" i="15"/>
  <c r="L365" i="15"/>
  <c r="L366" i="15"/>
  <c r="L367" i="15"/>
  <c r="L368" i="15"/>
  <c r="L369" i="15"/>
  <c r="L370" i="15"/>
  <c r="L371" i="15"/>
  <c r="L372" i="15"/>
  <c r="L373" i="15"/>
  <c r="L374" i="15"/>
  <c r="L375" i="15"/>
  <c r="L376" i="15"/>
  <c r="L377" i="15"/>
  <c r="L378" i="15"/>
  <c r="L379" i="15"/>
  <c r="L380" i="15"/>
  <c r="L381" i="15"/>
  <c r="L382" i="15"/>
  <c r="L383" i="15"/>
  <c r="L384" i="15"/>
  <c r="L385" i="15"/>
  <c r="L386" i="15"/>
  <c r="L387" i="15"/>
  <c r="L388" i="15"/>
  <c r="L347" i="15"/>
  <c r="D721" i="14"/>
  <c r="D720" i="14"/>
  <c r="D719" i="14"/>
  <c r="D718" i="14"/>
  <c r="D717" i="14"/>
  <c r="D716" i="14"/>
  <c r="D715" i="14"/>
  <c r="D714" i="14"/>
  <c r="D713" i="14"/>
  <c r="D712" i="14"/>
  <c r="D711" i="14"/>
  <c r="D710" i="14"/>
  <c r="D709" i="14"/>
  <c r="D708" i="14"/>
  <c r="D707" i="14"/>
  <c r="D706" i="14"/>
  <c r="D705" i="14"/>
  <c r="D704" i="14"/>
  <c r="D703" i="14"/>
  <c r="D702" i="14"/>
  <c r="D701" i="14"/>
  <c r="D700" i="14"/>
  <c r="D699" i="14"/>
  <c r="D698" i="14"/>
  <c r="D697" i="14"/>
  <c r="D696" i="14"/>
  <c r="D695" i="14"/>
  <c r="D694" i="14"/>
  <c r="D693" i="14"/>
  <c r="D692" i="14"/>
  <c r="D691" i="14"/>
  <c r="D690" i="14"/>
  <c r="D689" i="14"/>
  <c r="D688" i="14"/>
  <c r="D687" i="14"/>
  <c r="D686" i="14"/>
  <c r="D685" i="14"/>
  <c r="D684" i="14"/>
  <c r="D683" i="14"/>
  <c r="D682" i="14"/>
  <c r="D681" i="14"/>
  <c r="D680" i="14"/>
  <c r="D679" i="14"/>
  <c r="D678" i="14"/>
  <c r="D677" i="14"/>
  <c r="D676" i="14"/>
  <c r="D675" i="14"/>
  <c r="D674" i="14"/>
  <c r="D673" i="14"/>
  <c r="D672" i="14"/>
  <c r="D671" i="14"/>
  <c r="D670" i="14"/>
  <c r="D669" i="14"/>
  <c r="D668" i="14"/>
  <c r="D667" i="14"/>
  <c r="D666" i="14"/>
  <c r="D665" i="14"/>
  <c r="D664" i="14"/>
  <c r="D663" i="14"/>
  <c r="D662" i="14"/>
  <c r="D661" i="14"/>
  <c r="D660" i="14"/>
  <c r="D659" i="14"/>
  <c r="D658" i="14"/>
  <c r="D657" i="14"/>
  <c r="D656" i="14"/>
  <c r="D655" i="14"/>
  <c r="D654" i="14"/>
  <c r="D653" i="14"/>
  <c r="D652" i="14"/>
  <c r="D651" i="14"/>
  <c r="D650" i="14"/>
  <c r="D649" i="14"/>
  <c r="D648" i="14"/>
  <c r="D647" i="14"/>
  <c r="D646" i="14"/>
  <c r="D645" i="14"/>
  <c r="D644" i="14"/>
  <c r="D643" i="14"/>
  <c r="D642" i="14"/>
  <c r="G721" i="14"/>
  <c r="F721" i="14"/>
  <c r="G720" i="14"/>
  <c r="F720" i="14"/>
  <c r="G719" i="14"/>
  <c r="F719" i="14"/>
  <c r="P718" i="14"/>
  <c r="P719" i="14" s="1"/>
  <c r="P720" i="14" s="1"/>
  <c r="P721" i="14" s="1"/>
  <c r="G718" i="14"/>
  <c r="F718" i="14"/>
  <c r="G717" i="14"/>
  <c r="F717" i="14"/>
  <c r="G716" i="14"/>
  <c r="F716" i="14"/>
  <c r="G715" i="14"/>
  <c r="F715" i="14"/>
  <c r="P714" i="14"/>
  <c r="G714" i="14"/>
  <c r="F714" i="14"/>
  <c r="G713" i="14"/>
  <c r="F713" i="14"/>
  <c r="G712" i="14"/>
  <c r="F712" i="14"/>
  <c r="G711" i="14"/>
  <c r="F711" i="14"/>
  <c r="P710" i="14"/>
  <c r="G710" i="14"/>
  <c r="F710" i="14"/>
  <c r="G709" i="14"/>
  <c r="F709" i="14"/>
  <c r="G708" i="14"/>
  <c r="F708" i="14"/>
  <c r="G707" i="14"/>
  <c r="F707" i="14"/>
  <c r="P706" i="14"/>
  <c r="G706" i="14"/>
  <c r="F706" i="14"/>
  <c r="G705" i="14"/>
  <c r="F705" i="14"/>
  <c r="G704" i="14"/>
  <c r="F704" i="14"/>
  <c r="G703" i="14"/>
  <c r="F703" i="14"/>
  <c r="P702" i="14"/>
  <c r="P703" i="14" s="1"/>
  <c r="P704" i="14" s="1"/>
  <c r="P705" i="14" s="1"/>
  <c r="G702" i="14"/>
  <c r="F702" i="14"/>
  <c r="G701" i="14"/>
  <c r="F701" i="14"/>
  <c r="G700" i="14"/>
  <c r="F700" i="14"/>
  <c r="G699" i="14"/>
  <c r="F699" i="14"/>
  <c r="P698" i="14"/>
  <c r="G698" i="14"/>
  <c r="F698" i="14"/>
  <c r="G697" i="14"/>
  <c r="F697" i="14"/>
  <c r="G696" i="14"/>
  <c r="F696" i="14"/>
  <c r="G695" i="14"/>
  <c r="F695" i="14"/>
  <c r="P694" i="14"/>
  <c r="G694" i="14"/>
  <c r="F694" i="14"/>
  <c r="G693" i="14"/>
  <c r="F693" i="14"/>
  <c r="G692" i="14"/>
  <c r="F692" i="14"/>
  <c r="G691" i="14"/>
  <c r="F691" i="14"/>
  <c r="P690" i="14"/>
  <c r="G690" i="14"/>
  <c r="F690" i="14"/>
  <c r="G689" i="14"/>
  <c r="F689" i="14"/>
  <c r="G688" i="14"/>
  <c r="F688" i="14"/>
  <c r="G687" i="14"/>
  <c r="F687" i="14"/>
  <c r="P686" i="14"/>
  <c r="P687" i="14" s="1"/>
  <c r="P688" i="14" s="1"/>
  <c r="P689" i="14" s="1"/>
  <c r="G686" i="14"/>
  <c r="F686" i="14"/>
  <c r="G685" i="14"/>
  <c r="F685" i="14"/>
  <c r="G684" i="14"/>
  <c r="F684" i="14"/>
  <c r="G683" i="14"/>
  <c r="F683" i="14"/>
  <c r="P682" i="14"/>
  <c r="G682" i="14"/>
  <c r="F682" i="14"/>
  <c r="G681" i="14"/>
  <c r="F681" i="14"/>
  <c r="G680" i="14"/>
  <c r="F680" i="14"/>
  <c r="G679" i="14"/>
  <c r="F679" i="14"/>
  <c r="P678" i="14"/>
  <c r="G678" i="14"/>
  <c r="F678" i="14"/>
  <c r="G677" i="14"/>
  <c r="F677" i="14"/>
  <c r="G676" i="14"/>
  <c r="F676" i="14"/>
  <c r="G675" i="14"/>
  <c r="F675" i="14"/>
  <c r="P674" i="14"/>
  <c r="G674" i="14"/>
  <c r="F674" i="14"/>
  <c r="G673" i="14"/>
  <c r="F673" i="14"/>
  <c r="G672" i="14"/>
  <c r="F672" i="14"/>
  <c r="G671" i="14"/>
  <c r="F671" i="14"/>
  <c r="P670" i="14"/>
  <c r="P671" i="14" s="1"/>
  <c r="P672" i="14" s="1"/>
  <c r="P673" i="14" s="1"/>
  <c r="G670" i="14"/>
  <c r="F670" i="14"/>
  <c r="G669" i="14"/>
  <c r="F669" i="14"/>
  <c r="G668" i="14"/>
  <c r="F668" i="14"/>
  <c r="G667" i="14"/>
  <c r="F667" i="14"/>
  <c r="P666" i="14"/>
  <c r="G666" i="14"/>
  <c r="F666" i="14"/>
  <c r="G665" i="14"/>
  <c r="F665" i="14"/>
  <c r="G664" i="14"/>
  <c r="F664" i="14"/>
  <c r="G663" i="14"/>
  <c r="F663" i="14"/>
  <c r="P662" i="14"/>
  <c r="G662" i="14"/>
  <c r="F662" i="14"/>
  <c r="G661" i="14"/>
  <c r="F661" i="14"/>
  <c r="G660" i="14"/>
  <c r="F660" i="14"/>
  <c r="G659" i="14"/>
  <c r="F659" i="14"/>
  <c r="P658" i="14"/>
  <c r="G658" i="14"/>
  <c r="F658" i="14"/>
  <c r="G657" i="14"/>
  <c r="F657" i="14"/>
  <c r="G656" i="14"/>
  <c r="F656" i="14"/>
  <c r="G655" i="14"/>
  <c r="F655" i="14"/>
  <c r="P654" i="14"/>
  <c r="P655" i="14" s="1"/>
  <c r="P656" i="14" s="1"/>
  <c r="P657" i="14" s="1"/>
  <c r="G654" i="14"/>
  <c r="F654" i="14"/>
  <c r="G653" i="14"/>
  <c r="F653" i="14"/>
  <c r="G652" i="14"/>
  <c r="F652" i="14"/>
  <c r="G651" i="14"/>
  <c r="F651" i="14"/>
  <c r="P650" i="14"/>
  <c r="G650" i="14"/>
  <c r="F650" i="14"/>
  <c r="G649" i="14"/>
  <c r="F649" i="14"/>
  <c r="G648" i="14"/>
  <c r="F648" i="14"/>
  <c r="G647" i="14"/>
  <c r="F647" i="14"/>
  <c r="P646" i="14"/>
  <c r="G646" i="14"/>
  <c r="F646" i="14"/>
  <c r="G645" i="14"/>
  <c r="F645" i="14"/>
  <c r="G644" i="14"/>
  <c r="F644" i="14"/>
  <c r="G643" i="14"/>
  <c r="F643" i="14"/>
  <c r="P642" i="14"/>
  <c r="G642" i="14"/>
  <c r="F642" i="14"/>
  <c r="V4" i="19"/>
  <c r="V5" i="19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22" i="19"/>
  <c r="V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3" i="19"/>
  <c r="L15" i="19"/>
  <c r="L16" i="19"/>
  <c r="L17" i="19"/>
  <c r="L18" i="19"/>
  <c r="L19" i="19"/>
  <c r="L20" i="19"/>
  <c r="L21" i="19"/>
  <c r="L22" i="19"/>
  <c r="L4" i="19"/>
  <c r="L5" i="19"/>
  <c r="L6" i="19"/>
  <c r="L7" i="19"/>
  <c r="L8" i="19"/>
  <c r="L9" i="19"/>
  <c r="L10" i="19"/>
  <c r="L11" i="19"/>
  <c r="L12" i="19"/>
  <c r="L13" i="19"/>
  <c r="L14" i="19"/>
  <c r="L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3" i="19"/>
  <c r="T22" i="19"/>
  <c r="O22" i="19"/>
  <c r="J22" i="19"/>
  <c r="E22" i="19"/>
  <c r="T21" i="19"/>
  <c r="O21" i="19"/>
  <c r="J21" i="19"/>
  <c r="E21" i="19"/>
  <c r="T20" i="19"/>
  <c r="O20" i="19"/>
  <c r="J20" i="19"/>
  <c r="E20" i="19"/>
  <c r="T19" i="19"/>
  <c r="O19" i="19"/>
  <c r="P19" i="19" s="1"/>
  <c r="J19" i="19"/>
  <c r="E19" i="19"/>
  <c r="T18" i="19"/>
  <c r="O18" i="19"/>
  <c r="J18" i="19"/>
  <c r="E18" i="19"/>
  <c r="T17" i="19"/>
  <c r="O17" i="19"/>
  <c r="J17" i="19"/>
  <c r="E17" i="19"/>
  <c r="T16" i="19"/>
  <c r="O16" i="19"/>
  <c r="J16" i="19"/>
  <c r="E16" i="19"/>
  <c r="T15" i="19"/>
  <c r="O15" i="19"/>
  <c r="J15" i="19"/>
  <c r="E15" i="19"/>
  <c r="T14" i="19"/>
  <c r="O14" i="19"/>
  <c r="J14" i="19"/>
  <c r="E14" i="19"/>
  <c r="T13" i="19"/>
  <c r="O13" i="19"/>
  <c r="J13" i="19"/>
  <c r="E13" i="19"/>
  <c r="T12" i="19"/>
  <c r="W12" i="19" s="1"/>
  <c r="O12" i="19"/>
  <c r="R12" i="19" s="1"/>
  <c r="J12" i="19"/>
  <c r="E12" i="19"/>
  <c r="T11" i="19"/>
  <c r="O11" i="19"/>
  <c r="P11" i="19" s="1"/>
  <c r="J11" i="19"/>
  <c r="E11" i="19"/>
  <c r="T10" i="19"/>
  <c r="O10" i="19"/>
  <c r="J10" i="19"/>
  <c r="E10" i="19"/>
  <c r="T9" i="19"/>
  <c r="O9" i="19"/>
  <c r="J9" i="19"/>
  <c r="E9" i="19"/>
  <c r="T8" i="19"/>
  <c r="O8" i="19"/>
  <c r="J8" i="19"/>
  <c r="E8" i="19"/>
  <c r="T7" i="19"/>
  <c r="O7" i="19"/>
  <c r="R7" i="19" s="1"/>
  <c r="J7" i="19"/>
  <c r="E7" i="19"/>
  <c r="T6" i="19"/>
  <c r="O6" i="19"/>
  <c r="J6" i="19"/>
  <c r="E6" i="19"/>
  <c r="T5" i="19"/>
  <c r="O5" i="19"/>
  <c r="J5" i="19"/>
  <c r="E5" i="19"/>
  <c r="T4" i="19"/>
  <c r="O4" i="19"/>
  <c r="J4" i="19"/>
  <c r="E4" i="19"/>
  <c r="T3" i="19"/>
  <c r="O3" i="19"/>
  <c r="J3" i="19"/>
  <c r="M3" i="19" s="1"/>
  <c r="E3" i="19"/>
  <c r="D15" i="14"/>
  <c r="F15" i="14"/>
  <c r="G15" i="14"/>
  <c r="P15" i="14"/>
  <c r="D16" i="14"/>
  <c r="F16" i="14"/>
  <c r="G16" i="14"/>
  <c r="D17" i="14"/>
  <c r="F17" i="14"/>
  <c r="G17" i="14"/>
  <c r="D18" i="14"/>
  <c r="F18" i="14"/>
  <c r="G18" i="14"/>
  <c r="M14" i="5" l="1"/>
  <c r="G17" i="10"/>
  <c r="M15" i="5"/>
  <c r="G20" i="10"/>
  <c r="L1144" i="14"/>
  <c r="L1071" i="14"/>
  <c r="L1108" i="14"/>
  <c r="K631" i="15"/>
  <c r="E663" i="15"/>
  <c r="L1087" i="14"/>
  <c r="L1155" i="14"/>
  <c r="L1097" i="14"/>
  <c r="L1147" i="14"/>
  <c r="E673" i="15"/>
  <c r="L1104" i="14"/>
  <c r="E679" i="15"/>
  <c r="D641" i="15"/>
  <c r="P641" i="15" s="1"/>
  <c r="L1128" i="14"/>
  <c r="L1140" i="14"/>
  <c r="L1088" i="14"/>
  <c r="L1064" i="14"/>
  <c r="D657" i="15"/>
  <c r="P657" i="15" s="1"/>
  <c r="L1131" i="14"/>
  <c r="L1135" i="14"/>
  <c r="L1137" i="14"/>
  <c r="L1107" i="14"/>
  <c r="L1111" i="14"/>
  <c r="L1133" i="14"/>
  <c r="L1132" i="14"/>
  <c r="E615" i="15"/>
  <c r="L1156" i="14"/>
  <c r="L1100" i="14"/>
  <c r="L1123" i="14"/>
  <c r="L1167" i="14"/>
  <c r="L1160" i="14"/>
  <c r="L1084" i="14"/>
  <c r="L1063" i="14"/>
  <c r="L1165" i="14"/>
  <c r="L1124" i="14"/>
  <c r="L1171" i="14"/>
  <c r="L1149" i="14"/>
  <c r="L1168" i="14"/>
  <c r="L1151" i="14"/>
  <c r="L1164" i="14"/>
  <c r="L1136" i="14"/>
  <c r="L1127" i="14"/>
  <c r="L1091" i="14"/>
  <c r="L1095" i="14"/>
  <c r="L1148" i="14"/>
  <c r="D665" i="15"/>
  <c r="P665" i="15" s="1"/>
  <c r="W45" i="21"/>
  <c r="I908" i="14" s="1"/>
  <c r="W52" i="21"/>
  <c r="I936" i="14" s="1"/>
  <c r="H44" i="21"/>
  <c r="I901" i="14" s="1"/>
  <c r="D480" i="15"/>
  <c r="P480" i="15" s="1"/>
  <c r="L870" i="14"/>
  <c r="D517" i="15"/>
  <c r="P517" i="15" s="1"/>
  <c r="L928" i="14"/>
  <c r="W33" i="21"/>
  <c r="I844" i="14" s="1"/>
  <c r="J844" i="14"/>
  <c r="D476" i="15"/>
  <c r="P476" i="15" s="1"/>
  <c r="L865" i="14"/>
  <c r="K528" i="15"/>
  <c r="L940" i="14"/>
  <c r="D501" i="15"/>
  <c r="P501" i="15" s="1"/>
  <c r="L906" i="14"/>
  <c r="D475" i="15"/>
  <c r="P475" i="15" s="1"/>
  <c r="L863" i="14"/>
  <c r="W34" i="21"/>
  <c r="I848" i="14" s="1"/>
  <c r="J848" i="14"/>
  <c r="W44" i="21"/>
  <c r="I904" i="14" s="1"/>
  <c r="J904" i="14"/>
  <c r="K511" i="15"/>
  <c r="L921" i="14"/>
  <c r="E532" i="15"/>
  <c r="L944" i="14"/>
  <c r="M34" i="21"/>
  <c r="I846" i="14" s="1"/>
  <c r="J846" i="14"/>
  <c r="K523" i="15"/>
  <c r="L935" i="14"/>
  <c r="K489" i="15"/>
  <c r="L881" i="14"/>
  <c r="W32" i="21"/>
  <c r="I840" i="14" s="1"/>
  <c r="J840" i="14"/>
  <c r="E519" i="15"/>
  <c r="L930" i="14"/>
  <c r="K477" i="15"/>
  <c r="L866" i="14"/>
  <c r="Z33" i="21"/>
  <c r="L844" i="14"/>
  <c r="E515" i="15"/>
  <c r="L926" i="14"/>
  <c r="R48" i="21"/>
  <c r="I919" i="14" s="1"/>
  <c r="J919" i="14"/>
  <c r="K507" i="15"/>
  <c r="L914" i="14"/>
  <c r="D513" i="15"/>
  <c r="P513" i="15" s="1"/>
  <c r="L923" i="14"/>
  <c r="D530" i="15"/>
  <c r="P530" i="15" s="1"/>
  <c r="L942" i="14"/>
  <c r="R32" i="21"/>
  <c r="I839" i="14" s="1"/>
  <c r="J839" i="14"/>
  <c r="W35" i="21"/>
  <c r="I860" i="14" s="1"/>
  <c r="J860" i="14"/>
  <c r="Y43" i="21"/>
  <c r="L900" i="14"/>
  <c r="D531" i="15"/>
  <c r="P531" i="15" s="1"/>
  <c r="L943" i="14"/>
  <c r="R35" i="21"/>
  <c r="I859" i="14" s="1"/>
  <c r="J859" i="14"/>
  <c r="W36" i="21"/>
  <c r="I864" i="14" s="1"/>
  <c r="J864" i="14"/>
  <c r="H55" i="21"/>
  <c r="I945" i="14" s="1"/>
  <c r="J945" i="14"/>
  <c r="Y44" i="21"/>
  <c r="L904" i="14"/>
  <c r="E465" i="15"/>
  <c r="L838" i="14"/>
  <c r="W46" i="21"/>
  <c r="I912" i="14" s="1"/>
  <c r="J912" i="14"/>
  <c r="W43" i="21"/>
  <c r="I900" i="14" s="1"/>
  <c r="J900" i="14"/>
  <c r="D514" i="15"/>
  <c r="P514" i="15" s="1"/>
  <c r="L925" i="14"/>
  <c r="Y34" i="21"/>
  <c r="L848" i="14"/>
  <c r="W47" i="21"/>
  <c r="I916" i="14" s="1"/>
  <c r="J916" i="14"/>
  <c r="W42" i="21"/>
  <c r="I888" i="14" s="1"/>
  <c r="J888" i="14"/>
  <c r="R43" i="21"/>
  <c r="I899" i="14" s="1"/>
  <c r="J899" i="14"/>
  <c r="E481" i="15"/>
  <c r="L871" i="14"/>
  <c r="K493" i="15"/>
  <c r="L886" i="14"/>
  <c r="R33" i="21"/>
  <c r="I843" i="14" s="1"/>
  <c r="J843" i="14"/>
  <c r="D492" i="15"/>
  <c r="P492" i="15" s="1"/>
  <c r="L885" i="14"/>
  <c r="K520" i="15"/>
  <c r="L931" i="14"/>
  <c r="K466" i="15"/>
  <c r="L841" i="14"/>
  <c r="D491" i="15"/>
  <c r="P491" i="15" s="1"/>
  <c r="L883" i="14"/>
  <c r="D529" i="15"/>
  <c r="P529" i="15" s="1"/>
  <c r="L941" i="14"/>
  <c r="K512" i="15"/>
  <c r="L922" i="14"/>
  <c r="Y51" i="21"/>
  <c r="L932" i="14"/>
  <c r="D521" i="15"/>
  <c r="P521" i="15" s="1"/>
  <c r="L933" i="14"/>
  <c r="T40" i="21"/>
  <c r="L879" i="14"/>
  <c r="W49" i="21"/>
  <c r="I924" i="14" s="1"/>
  <c r="J924" i="14"/>
  <c r="K486" i="15"/>
  <c r="L876" i="14"/>
  <c r="E497" i="15"/>
  <c r="L901" i="14"/>
  <c r="W48" i="21"/>
  <c r="I920" i="14" s="1"/>
  <c r="J920" i="14"/>
  <c r="K500" i="15"/>
  <c r="L905" i="14"/>
  <c r="K482" i="15"/>
  <c r="L872" i="14"/>
  <c r="D510" i="15"/>
  <c r="P510" i="15" s="1"/>
  <c r="L918" i="14"/>
  <c r="K509" i="15"/>
  <c r="L917" i="14"/>
  <c r="K495" i="15"/>
  <c r="L897" i="14"/>
  <c r="K503" i="15"/>
  <c r="L909" i="14"/>
  <c r="D469" i="15"/>
  <c r="P469" i="15" s="1"/>
  <c r="L846" i="14"/>
  <c r="K468" i="15"/>
  <c r="L845" i="14"/>
  <c r="D483" i="15"/>
  <c r="P483" i="15" s="1"/>
  <c r="L873" i="14"/>
  <c r="E478" i="15"/>
  <c r="L867" i="14"/>
  <c r="D496" i="15"/>
  <c r="P496" i="15" s="1"/>
  <c r="L898" i="14"/>
  <c r="W51" i="21"/>
  <c r="I932" i="14" s="1"/>
  <c r="J932" i="14"/>
  <c r="K505" i="15"/>
  <c r="L911" i="14"/>
  <c r="E499" i="15"/>
  <c r="L903" i="14"/>
  <c r="U32" i="21"/>
  <c r="L839" i="14"/>
  <c r="Y45" i="21"/>
  <c r="L908" i="14"/>
  <c r="D534" i="15"/>
  <c r="P534" i="15" s="1"/>
  <c r="L946" i="14"/>
  <c r="D467" i="15"/>
  <c r="P467" i="15" s="1"/>
  <c r="L842" i="14"/>
  <c r="E494" i="15"/>
  <c r="L887" i="14"/>
  <c r="E506" i="15"/>
  <c r="L913" i="14"/>
  <c r="H45" i="21"/>
  <c r="I905" i="14" s="1"/>
  <c r="J905" i="14"/>
  <c r="D472" i="15"/>
  <c r="P472" i="15" s="1"/>
  <c r="L858" i="14"/>
  <c r="M43" i="21"/>
  <c r="I898" i="14" s="1"/>
  <c r="J898" i="14"/>
  <c r="E498" i="15"/>
  <c r="L902" i="14"/>
  <c r="D525" i="15"/>
  <c r="P525" i="15" s="1"/>
  <c r="L937" i="14"/>
  <c r="K508" i="15"/>
  <c r="L915" i="14"/>
  <c r="K536" i="15"/>
  <c r="L948" i="14"/>
  <c r="Y40" i="21"/>
  <c r="L880" i="14"/>
  <c r="E502" i="15"/>
  <c r="L907" i="14"/>
  <c r="K488" i="15"/>
  <c r="L878" i="14"/>
  <c r="D464" i="15"/>
  <c r="P464" i="15" s="1"/>
  <c r="L837" i="14"/>
  <c r="T43" i="21"/>
  <c r="L899" i="14"/>
  <c r="Y41" i="21"/>
  <c r="L884" i="14"/>
  <c r="W37" i="21"/>
  <c r="I868" i="14" s="1"/>
  <c r="J868" i="14"/>
  <c r="E490" i="15"/>
  <c r="L882" i="14"/>
  <c r="D471" i="15"/>
  <c r="P471" i="15" s="1"/>
  <c r="L857" i="14"/>
  <c r="W41" i="21"/>
  <c r="I884" i="14" s="1"/>
  <c r="J884" i="14"/>
  <c r="W55" i="21"/>
  <c r="I948" i="14" s="1"/>
  <c r="J948" i="14"/>
  <c r="D473" i="15"/>
  <c r="P473" i="15" s="1"/>
  <c r="L861" i="14"/>
  <c r="D485" i="15"/>
  <c r="P485" i="15" s="1"/>
  <c r="L875" i="14"/>
  <c r="E522" i="15"/>
  <c r="L934" i="14"/>
  <c r="K535" i="15"/>
  <c r="L947" i="14"/>
  <c r="Y36" i="21"/>
  <c r="L864" i="14"/>
  <c r="R40" i="21"/>
  <c r="I879" i="14" s="1"/>
  <c r="J879" i="14"/>
  <c r="K487" i="15"/>
  <c r="L877" i="14"/>
  <c r="K470" i="15"/>
  <c r="L847" i="14"/>
  <c r="Y37" i="21"/>
  <c r="L868" i="14"/>
  <c r="W40" i="21"/>
  <c r="I880" i="14" s="1"/>
  <c r="J880" i="14"/>
  <c r="K893" i="14"/>
  <c r="M108" i="21"/>
  <c r="I1160" i="14" s="1"/>
  <c r="H1160" i="14" s="1"/>
  <c r="H54" i="21"/>
  <c r="I941" i="14" s="1"/>
  <c r="M893" i="14"/>
  <c r="H60" i="21"/>
  <c r="J1172" i="14"/>
  <c r="L1172" i="14"/>
  <c r="J1109" i="14"/>
  <c r="J1129" i="14"/>
  <c r="L1109" i="14"/>
  <c r="L1113" i="14"/>
  <c r="Q782" i="14"/>
  <c r="J1165" i="14"/>
  <c r="L1153" i="14"/>
  <c r="J1101" i="14"/>
  <c r="Q891" i="14"/>
  <c r="L1101" i="14"/>
  <c r="L1161" i="14"/>
  <c r="J1093" i="14"/>
  <c r="O890" i="14"/>
  <c r="J1133" i="14"/>
  <c r="K889" i="14"/>
  <c r="J781" i="14"/>
  <c r="I781" i="14"/>
  <c r="M781" i="14" s="1"/>
  <c r="L781" i="14"/>
  <c r="J1157" i="14"/>
  <c r="L1157" i="14"/>
  <c r="L1141" i="14"/>
  <c r="M780" i="14"/>
  <c r="J1137" i="14"/>
  <c r="J1073" i="14"/>
  <c r="L1069" i="14"/>
  <c r="L1093" i="14"/>
  <c r="H780" i="14"/>
  <c r="I527" i="2"/>
  <c r="H889" i="14"/>
  <c r="B208" i="2"/>
  <c r="B224" i="2"/>
  <c r="B212" i="2"/>
  <c r="M853" i="14"/>
  <c r="H853" i="14"/>
  <c r="B220" i="2"/>
  <c r="B216" i="2"/>
  <c r="D560" i="15"/>
  <c r="P560" i="15" s="1"/>
  <c r="D661" i="15"/>
  <c r="P661" i="15" s="1"/>
  <c r="D653" i="15"/>
  <c r="P653" i="15" s="1"/>
  <c r="D522" i="15"/>
  <c r="P522" i="15" s="1"/>
  <c r="M849" i="14"/>
  <c r="H849" i="14"/>
  <c r="D407" i="15"/>
  <c r="P407" i="15" s="1"/>
  <c r="D447" i="15"/>
  <c r="P447" i="15" s="1"/>
  <c r="K399" i="15"/>
  <c r="D403" i="15"/>
  <c r="P403" i="15" s="1"/>
  <c r="O782" i="14"/>
  <c r="J782" i="14"/>
  <c r="I782" i="14"/>
  <c r="L782" i="14"/>
  <c r="O1003" i="14"/>
  <c r="L1003" i="14"/>
  <c r="J1003" i="14"/>
  <c r="I1003" i="14"/>
  <c r="H1003" i="14" s="1"/>
  <c r="I15" i="14"/>
  <c r="O15" i="14"/>
  <c r="L968" i="14"/>
  <c r="J968" i="14"/>
  <c r="I968" i="14"/>
  <c r="M854" i="14"/>
  <c r="O854" i="14"/>
  <c r="L964" i="14"/>
  <c r="J964" i="14"/>
  <c r="I964" i="14"/>
  <c r="O1080" i="14"/>
  <c r="L1080" i="14"/>
  <c r="J1080" i="14"/>
  <c r="I1080" i="14"/>
  <c r="M1080" i="14" s="1"/>
  <c r="L1121" i="14"/>
  <c r="J1121" i="14"/>
  <c r="I1121" i="14"/>
  <c r="J1117" i="14"/>
  <c r="I1117" i="14"/>
  <c r="L1117" i="14"/>
  <c r="M776" i="14"/>
  <c r="K776" i="14"/>
  <c r="I741" i="14"/>
  <c r="Q742" i="14"/>
  <c r="L741" i="14"/>
  <c r="O741" i="14"/>
  <c r="J741" i="14"/>
  <c r="O963" i="14"/>
  <c r="L963" i="14"/>
  <c r="J963" i="14"/>
  <c r="I963" i="14"/>
  <c r="M963" i="14" s="1"/>
  <c r="L1008" i="14"/>
  <c r="J1008" i="14"/>
  <c r="I1008" i="14"/>
  <c r="K736" i="14"/>
  <c r="M736" i="14"/>
  <c r="L777" i="14"/>
  <c r="O777" i="14"/>
  <c r="J777" i="14"/>
  <c r="I777" i="14"/>
  <c r="L1004" i="14"/>
  <c r="J1004" i="14"/>
  <c r="I1004" i="14"/>
  <c r="L737" i="14"/>
  <c r="O737" i="14"/>
  <c r="J737" i="14"/>
  <c r="I737" i="14"/>
  <c r="H776" i="14"/>
  <c r="O1120" i="14"/>
  <c r="L1120" i="14"/>
  <c r="J1120" i="14"/>
  <c r="I1120" i="14"/>
  <c r="M1120" i="14" s="1"/>
  <c r="H740" i="14"/>
  <c r="J1141" i="14"/>
  <c r="O967" i="14"/>
  <c r="L967" i="14"/>
  <c r="J967" i="14"/>
  <c r="I967" i="14"/>
  <c r="M967" i="14" s="1"/>
  <c r="Q1081" i="14"/>
  <c r="J1077" i="14"/>
  <c r="I1077" i="14"/>
  <c r="L1077" i="14"/>
  <c r="J1169" i="14"/>
  <c r="M740" i="14"/>
  <c r="H736" i="14"/>
  <c r="O850" i="14"/>
  <c r="M850" i="14"/>
  <c r="O1007" i="14"/>
  <c r="L1007" i="14"/>
  <c r="J1007" i="14"/>
  <c r="I1007" i="14"/>
  <c r="K1007" i="14" s="1"/>
  <c r="D511" i="15"/>
  <c r="P511" i="15" s="1"/>
  <c r="D683" i="15"/>
  <c r="P683" i="15" s="1"/>
  <c r="E650" i="15"/>
  <c r="D606" i="15"/>
  <c r="P606" i="15" s="1"/>
  <c r="D649" i="15"/>
  <c r="P649" i="15" s="1"/>
  <c r="D610" i="15"/>
  <c r="P610" i="15" s="1"/>
  <c r="D431" i="15"/>
  <c r="P431" i="15" s="1"/>
  <c r="K394" i="15"/>
  <c r="K415" i="15"/>
  <c r="K632" i="15"/>
  <c r="K616" i="15"/>
  <c r="E500" i="15"/>
  <c r="D586" i="15"/>
  <c r="P586" i="15" s="1"/>
  <c r="D645" i="15"/>
  <c r="P645" i="15" s="1"/>
  <c r="E595" i="15"/>
  <c r="D552" i="15"/>
  <c r="P552" i="15" s="1"/>
  <c r="K410" i="15"/>
  <c r="K467" i="15"/>
  <c r="K648" i="15"/>
  <c r="E616" i="15"/>
  <c r="D495" i="15"/>
  <c r="P495" i="15" s="1"/>
  <c r="E575" i="15"/>
  <c r="D629" i="15"/>
  <c r="P629" i="15" s="1"/>
  <c r="D590" i="15"/>
  <c r="P590" i="15" s="1"/>
  <c r="E541" i="15"/>
  <c r="D497" i="15"/>
  <c r="P497" i="15" s="1"/>
  <c r="D540" i="15"/>
  <c r="P540" i="15" s="1"/>
  <c r="K426" i="15"/>
  <c r="K642" i="15"/>
  <c r="K499" i="15"/>
  <c r="K553" i="15"/>
  <c r="D430" i="15"/>
  <c r="P430" i="15" s="1"/>
  <c r="D570" i="15"/>
  <c r="P570" i="15" s="1"/>
  <c r="D477" i="15"/>
  <c r="P477" i="15" s="1"/>
  <c r="D535" i="15"/>
  <c r="P535" i="15" s="1"/>
  <c r="E486" i="15"/>
  <c r="D523" i="15"/>
  <c r="P523" i="15" s="1"/>
  <c r="K653" i="15"/>
  <c r="K658" i="15"/>
  <c r="K585" i="15"/>
  <c r="H521" i="2"/>
  <c r="D678" i="15"/>
  <c r="P678" i="15" s="1"/>
  <c r="D505" i="15"/>
  <c r="P505" i="15" s="1"/>
  <c r="E520" i="15"/>
  <c r="E466" i="15"/>
  <c r="D519" i="15"/>
  <c r="P519" i="15" s="1"/>
  <c r="D481" i="15"/>
  <c r="P481" i="15" s="1"/>
  <c r="K390" i="15"/>
  <c r="K674" i="15"/>
  <c r="K419" i="15"/>
  <c r="E667" i="15"/>
  <c r="D456" i="15"/>
  <c r="P456" i="15" s="1"/>
  <c r="D515" i="15"/>
  <c r="P515" i="15" s="1"/>
  <c r="D460" i="15"/>
  <c r="P460" i="15" s="1"/>
  <c r="D422" i="15"/>
  <c r="P422" i="15" s="1"/>
  <c r="D465" i="15"/>
  <c r="P465" i="15" s="1"/>
  <c r="E415" i="15"/>
  <c r="K395" i="15"/>
  <c r="K416" i="15"/>
  <c r="K451" i="15"/>
  <c r="D662" i="15"/>
  <c r="P662" i="15" s="1"/>
  <c r="D499" i="15"/>
  <c r="P499" i="15" s="1"/>
  <c r="E411" i="15"/>
  <c r="E653" i="15"/>
  <c r="K605" i="15"/>
  <c r="K646" i="15"/>
  <c r="D646" i="15"/>
  <c r="P646" i="15" s="1"/>
  <c r="D624" i="15"/>
  <c r="P624" i="15" s="1"/>
  <c r="D402" i="15"/>
  <c r="P402" i="15" s="1"/>
  <c r="D644" i="15"/>
  <c r="P644" i="15" s="1"/>
  <c r="D406" i="15"/>
  <c r="P406" i="15" s="1"/>
  <c r="D648" i="15"/>
  <c r="P648" i="15" s="1"/>
  <c r="D394" i="15"/>
  <c r="P394" i="15" s="1"/>
  <c r="K622" i="15"/>
  <c r="K627" i="15"/>
  <c r="K662" i="15"/>
  <c r="D597" i="15"/>
  <c r="P597" i="15" s="1"/>
  <c r="E613" i="15"/>
  <c r="E391" i="15"/>
  <c r="E633" i="15"/>
  <c r="E637" i="15"/>
  <c r="D626" i="15"/>
  <c r="P626" i="15" s="1"/>
  <c r="K525" i="15"/>
  <c r="K643" i="15"/>
  <c r="K678" i="15"/>
  <c r="D682" i="15"/>
  <c r="P682" i="15" s="1"/>
  <c r="D612" i="15"/>
  <c r="P612" i="15" s="1"/>
  <c r="E621" i="15"/>
  <c r="K620" i="15"/>
  <c r="K521" i="15"/>
  <c r="K675" i="15"/>
  <c r="K584" i="15"/>
  <c r="E538" i="15"/>
  <c r="D591" i="15"/>
  <c r="P591" i="15" s="1"/>
  <c r="D666" i="15"/>
  <c r="P666" i="15" s="1"/>
  <c r="E503" i="15"/>
  <c r="E523" i="15"/>
  <c r="K538" i="15"/>
  <c r="K461" i="15"/>
  <c r="E539" i="15"/>
  <c r="K649" i="15"/>
  <c r="D532" i="15"/>
  <c r="P532" i="15" s="1"/>
  <c r="D494" i="15"/>
  <c r="P494" i="15" s="1"/>
  <c r="D498" i="15"/>
  <c r="P498" i="15" s="1"/>
  <c r="D459" i="15"/>
  <c r="P459" i="15" s="1"/>
  <c r="E507" i="15"/>
  <c r="K539" i="15"/>
  <c r="K554" i="15"/>
  <c r="K478" i="15"/>
  <c r="E571" i="15"/>
  <c r="K420" i="15"/>
  <c r="D468" i="15"/>
  <c r="P468" i="15" s="1"/>
  <c r="E483" i="15"/>
  <c r="D536" i="15"/>
  <c r="P536" i="15" s="1"/>
  <c r="D482" i="15"/>
  <c r="P482" i="15" s="1"/>
  <c r="E491" i="15"/>
  <c r="D528" i="15"/>
  <c r="P528" i="15" s="1"/>
  <c r="K586" i="15"/>
  <c r="K494" i="15"/>
  <c r="K498" i="15"/>
  <c r="K485" i="15"/>
  <c r="D478" i="15"/>
  <c r="P478" i="15" s="1"/>
  <c r="E428" i="15"/>
  <c r="D681" i="15"/>
  <c r="P681" i="15" s="1"/>
  <c r="D427" i="15"/>
  <c r="P427" i="15" s="1"/>
  <c r="E517" i="15"/>
  <c r="D457" i="15"/>
  <c r="P457" i="15" s="1"/>
  <c r="K530" i="15"/>
  <c r="K679" i="15"/>
  <c r="E630" i="15"/>
  <c r="E408" i="15"/>
  <c r="D461" i="15"/>
  <c r="P461" i="15" s="1"/>
  <c r="D423" i="15"/>
  <c r="P423" i="15" s="1"/>
  <c r="E670" i="15"/>
  <c r="D627" i="15"/>
  <c r="P627" i="15" s="1"/>
  <c r="E674" i="15"/>
  <c r="E452" i="15"/>
  <c r="D490" i="15"/>
  <c r="P490" i="15" s="1"/>
  <c r="K563" i="15"/>
  <c r="K421" i="15"/>
  <c r="K446" i="15"/>
  <c r="D446" i="15"/>
  <c r="P446" i="15" s="1"/>
  <c r="E446" i="15"/>
  <c r="Y21" i="21"/>
  <c r="J750" i="14"/>
  <c r="R91" i="21"/>
  <c r="I1085" i="14" s="1"/>
  <c r="J1085" i="14"/>
  <c r="R21" i="21"/>
  <c r="E516" i="15"/>
  <c r="D516" i="15"/>
  <c r="P516" i="15" s="1"/>
  <c r="K516" i="15"/>
  <c r="L826" i="14"/>
  <c r="D453" i="15"/>
  <c r="P453" i="15" s="1"/>
  <c r="K453" i="15"/>
  <c r="E453" i="15"/>
  <c r="L813" i="14"/>
  <c r="D441" i="15"/>
  <c r="P441" i="15" s="1"/>
  <c r="E441" i="15"/>
  <c r="K441" i="15"/>
  <c r="D436" i="15"/>
  <c r="P436" i="15" s="1"/>
  <c r="L805" i="14"/>
  <c r="E436" i="15"/>
  <c r="K436" i="15"/>
  <c r="J772" i="14"/>
  <c r="K527" i="15"/>
  <c r="D527" i="15"/>
  <c r="P527" i="15" s="1"/>
  <c r="E527" i="15"/>
  <c r="L831" i="14"/>
  <c r="D458" i="15"/>
  <c r="P458" i="15" s="1"/>
  <c r="E458" i="15"/>
  <c r="K458" i="15"/>
  <c r="L821" i="14"/>
  <c r="K448" i="15"/>
  <c r="D448" i="15"/>
  <c r="P448" i="15" s="1"/>
  <c r="E448" i="15"/>
  <c r="T4" i="21"/>
  <c r="L726" i="14"/>
  <c r="L827" i="14"/>
  <c r="D454" i="15"/>
  <c r="P454" i="15" s="1"/>
  <c r="K454" i="15"/>
  <c r="E454" i="15"/>
  <c r="L764" i="14"/>
  <c r="K413" i="15"/>
  <c r="D413" i="15"/>
  <c r="P413" i="15" s="1"/>
  <c r="E413" i="15"/>
  <c r="H12" i="21"/>
  <c r="J764" i="14"/>
  <c r="R6" i="21"/>
  <c r="J734" i="14"/>
  <c r="J796" i="14"/>
  <c r="Y4" i="21"/>
  <c r="L727" i="14"/>
  <c r="L828" i="14"/>
  <c r="D455" i="15"/>
  <c r="P455" i="15" s="1"/>
  <c r="K455" i="15"/>
  <c r="E455" i="15"/>
  <c r="W15" i="21"/>
  <c r="Y23" i="21"/>
  <c r="R20" i="21"/>
  <c r="J806" i="14"/>
  <c r="L812" i="14"/>
  <c r="E440" i="15"/>
  <c r="K440" i="15"/>
  <c r="D440" i="15"/>
  <c r="P440" i="15" s="1"/>
  <c r="D589" i="15"/>
  <c r="P589" i="15" s="1"/>
  <c r="R12" i="21"/>
  <c r="J766" i="14"/>
  <c r="R10" i="21"/>
  <c r="J758" i="14"/>
  <c r="J774" i="14"/>
  <c r="E439" i="15"/>
  <c r="K439" i="15"/>
  <c r="J763" i="14"/>
  <c r="D439" i="15"/>
  <c r="P439" i="15" s="1"/>
  <c r="J822" i="14"/>
  <c r="K625" i="15"/>
  <c r="L1092" i="14"/>
  <c r="E625" i="15"/>
  <c r="D625" i="15"/>
  <c r="P625" i="15" s="1"/>
  <c r="J980" i="14"/>
  <c r="K592" i="15"/>
  <c r="L1042" i="14"/>
  <c r="E592" i="15"/>
  <c r="D592" i="15"/>
  <c r="P592" i="15" s="1"/>
  <c r="L1139" i="14"/>
  <c r="D654" i="15"/>
  <c r="P654" i="15" s="1"/>
  <c r="K654" i="15"/>
  <c r="E654" i="15"/>
  <c r="J1016" i="14"/>
  <c r="L987" i="14"/>
  <c r="D558" i="15"/>
  <c r="P558" i="15" s="1"/>
  <c r="K558" i="15"/>
  <c r="L1083" i="14"/>
  <c r="D619" i="15"/>
  <c r="P619" i="15" s="1"/>
  <c r="E619" i="15"/>
  <c r="K619" i="15"/>
  <c r="R92" i="21"/>
  <c r="I1089" i="14" s="1"/>
  <c r="J1089" i="14"/>
  <c r="Y60" i="21"/>
  <c r="D647" i="15"/>
  <c r="P647" i="15" s="1"/>
  <c r="L1129" i="14"/>
  <c r="K647" i="15"/>
  <c r="E647" i="15"/>
  <c r="L1103" i="14"/>
  <c r="D635" i="15"/>
  <c r="P635" i="15" s="1"/>
  <c r="K635" i="15"/>
  <c r="E635" i="15"/>
  <c r="L958" i="14"/>
  <c r="D542" i="15"/>
  <c r="P542" i="15" s="1"/>
  <c r="E542" i="15"/>
  <c r="K542" i="15"/>
  <c r="Y68" i="21"/>
  <c r="K479" i="15"/>
  <c r="E479" i="15"/>
  <c r="D479" i="15"/>
  <c r="P479" i="15" s="1"/>
  <c r="K504" i="15"/>
  <c r="D504" i="15"/>
  <c r="P504" i="15" s="1"/>
  <c r="E504" i="15"/>
  <c r="D484" i="15"/>
  <c r="P484" i="15" s="1"/>
  <c r="K484" i="15"/>
  <c r="E484" i="15"/>
  <c r="L1073" i="14"/>
  <c r="D618" i="15"/>
  <c r="P618" i="15" s="1"/>
  <c r="E618" i="15"/>
  <c r="K618" i="15"/>
  <c r="E531" i="15"/>
  <c r="K531" i="15"/>
  <c r="K672" i="15"/>
  <c r="D672" i="15"/>
  <c r="P672" i="15" s="1"/>
  <c r="E672" i="15"/>
  <c r="L1018" i="14"/>
  <c r="E574" i="15"/>
  <c r="D574" i="15"/>
  <c r="P574" i="15" s="1"/>
  <c r="K574" i="15"/>
  <c r="L959" i="14"/>
  <c r="D543" i="15"/>
  <c r="P543" i="15" s="1"/>
  <c r="K543" i="15"/>
  <c r="E543" i="15"/>
  <c r="J790" i="14"/>
  <c r="J954" i="14"/>
  <c r="R104" i="21"/>
  <c r="I1145" i="14" s="1"/>
  <c r="J1145" i="14"/>
  <c r="J1035" i="14"/>
  <c r="L1010" i="14"/>
  <c r="E569" i="15"/>
  <c r="K569" i="15"/>
  <c r="R89" i="21"/>
  <c r="I1069" i="14" s="1"/>
  <c r="J1069" i="14"/>
  <c r="D533" i="15"/>
  <c r="P533" i="15" s="1"/>
  <c r="K533" i="15"/>
  <c r="E533" i="15"/>
  <c r="L1096" i="14"/>
  <c r="E628" i="15"/>
  <c r="D628" i="15"/>
  <c r="P628" i="15" s="1"/>
  <c r="K628" i="15"/>
  <c r="Y97" i="21"/>
  <c r="E474" i="15"/>
  <c r="K474" i="15"/>
  <c r="D474" i="15"/>
  <c r="P474" i="15" s="1"/>
  <c r="L1163" i="14"/>
  <c r="K673" i="15"/>
  <c r="D673" i="15"/>
  <c r="P673" i="15" s="1"/>
  <c r="L1039" i="14"/>
  <c r="E589" i="15"/>
  <c r="L1067" i="14"/>
  <c r="K614" i="15"/>
  <c r="D614" i="15"/>
  <c r="P614" i="15" s="1"/>
  <c r="E614" i="15"/>
  <c r="J983" i="14"/>
  <c r="K524" i="15"/>
  <c r="D524" i="15"/>
  <c r="P524" i="15" s="1"/>
  <c r="E524" i="15"/>
  <c r="J1051" i="14"/>
  <c r="L1072" i="14"/>
  <c r="D617" i="15"/>
  <c r="P617" i="15" s="1"/>
  <c r="E617" i="15"/>
  <c r="K617" i="15"/>
  <c r="R71" i="21"/>
  <c r="J1012" i="14"/>
  <c r="W17" i="21"/>
  <c r="L804" i="14"/>
  <c r="D435" i="15"/>
  <c r="P435" i="15" s="1"/>
  <c r="E435" i="15"/>
  <c r="K435" i="15"/>
  <c r="W27" i="21"/>
  <c r="I835" i="14" s="1"/>
  <c r="J835" i="14"/>
  <c r="L1055" i="14"/>
  <c r="K604" i="15"/>
  <c r="D604" i="15"/>
  <c r="P604" i="15" s="1"/>
  <c r="E604" i="15"/>
  <c r="L1159" i="14"/>
  <c r="E669" i="15"/>
  <c r="D669" i="15"/>
  <c r="P669" i="15" s="1"/>
  <c r="K669" i="15"/>
  <c r="L1023" i="14"/>
  <c r="K578" i="15"/>
  <c r="D578" i="15"/>
  <c r="P578" i="15" s="1"/>
  <c r="W99" i="21"/>
  <c r="L995" i="14"/>
  <c r="D564" i="15"/>
  <c r="P564" i="15" s="1"/>
  <c r="K564" i="15"/>
  <c r="E564" i="15"/>
  <c r="E514" i="15"/>
  <c r="K514" i="15"/>
  <c r="D526" i="15"/>
  <c r="P526" i="15" s="1"/>
  <c r="E526" i="15"/>
  <c r="K526" i="15"/>
  <c r="L984" i="14"/>
  <c r="K555" i="15"/>
  <c r="D555" i="15"/>
  <c r="P555" i="15" s="1"/>
  <c r="E555" i="15"/>
  <c r="L1089" i="14"/>
  <c r="D623" i="15"/>
  <c r="P623" i="15" s="1"/>
  <c r="E623" i="15"/>
  <c r="K623" i="15"/>
  <c r="D566" i="15"/>
  <c r="P566" i="15" s="1"/>
  <c r="L998" i="14"/>
  <c r="E566" i="15"/>
  <c r="K566" i="15"/>
  <c r="J978" i="14"/>
  <c r="Y76" i="21"/>
  <c r="J1030" i="14"/>
  <c r="J1059" i="14"/>
  <c r="L1059" i="14"/>
  <c r="K608" i="15"/>
  <c r="E608" i="15"/>
  <c r="D608" i="15"/>
  <c r="P608" i="15" s="1"/>
  <c r="E518" i="15"/>
  <c r="K518" i="15"/>
  <c r="D518" i="15"/>
  <c r="P518" i="15" s="1"/>
  <c r="L991" i="14"/>
  <c r="K562" i="15"/>
  <c r="D562" i="15"/>
  <c r="P562" i="15" s="1"/>
  <c r="E562" i="15"/>
  <c r="W88" i="21"/>
  <c r="Y88" i="21"/>
  <c r="W69" i="21"/>
  <c r="K600" i="15"/>
  <c r="Y19" i="21"/>
  <c r="H27" i="21"/>
  <c r="I832" i="14" s="1"/>
  <c r="J832" i="14"/>
  <c r="L820" i="14"/>
  <c r="J820" i="14"/>
  <c r="L823" i="14"/>
  <c r="K430" i="15"/>
  <c r="L797" i="14"/>
  <c r="L756" i="14"/>
  <c r="T88" i="21"/>
  <c r="L1065" i="14"/>
  <c r="Y72" i="21"/>
  <c r="K641" i="15"/>
  <c r="L1112" i="14"/>
  <c r="L988" i="14"/>
  <c r="J1054" i="14"/>
  <c r="W83" i="21"/>
  <c r="R63" i="21"/>
  <c r="J972" i="14"/>
  <c r="J1026" i="14"/>
  <c r="J1052" i="14"/>
  <c r="T71" i="21"/>
  <c r="L1012" i="14"/>
  <c r="L1052" i="14"/>
  <c r="H83" i="21"/>
  <c r="J1058" i="14"/>
  <c r="L1058" i="14"/>
  <c r="L990" i="14"/>
  <c r="L1050" i="14"/>
  <c r="L976" i="14"/>
  <c r="E651" i="15"/>
  <c r="E521" i="15"/>
  <c r="E392" i="15"/>
  <c r="E559" i="15"/>
  <c r="E429" i="15"/>
  <c r="E467" i="15"/>
  <c r="E634" i="15"/>
  <c r="E671" i="15"/>
  <c r="E412" i="15"/>
  <c r="E579" i="15"/>
  <c r="E487" i="15"/>
  <c r="E395" i="15"/>
  <c r="E432" i="15"/>
  <c r="E599" i="15"/>
  <c r="E470" i="15"/>
  <c r="D632" i="15"/>
  <c r="P632" i="15" s="1"/>
  <c r="D502" i="15"/>
  <c r="P502" i="15" s="1"/>
  <c r="E658" i="15"/>
  <c r="E528" i="15"/>
  <c r="D609" i="15"/>
  <c r="P609" i="15" s="1"/>
  <c r="K522" i="15"/>
  <c r="D506" i="15"/>
  <c r="P506" i="15" s="1"/>
  <c r="K638" i="15"/>
  <c r="K510" i="15"/>
  <c r="E462" i="15"/>
  <c r="K400" i="15"/>
  <c r="K659" i="15"/>
  <c r="K483" i="15"/>
  <c r="K633" i="15"/>
  <c r="K469" i="15"/>
  <c r="K405" i="15"/>
  <c r="K664" i="15"/>
  <c r="K601" i="15"/>
  <c r="I950" i="14"/>
  <c r="M950" i="14" s="1"/>
  <c r="W79" i="21"/>
  <c r="E603" i="15"/>
  <c r="Y15" i="21"/>
  <c r="R15" i="21"/>
  <c r="T15" i="21"/>
  <c r="L817" i="14"/>
  <c r="J816" i="14"/>
  <c r="Y20" i="21"/>
  <c r="L807" i="14"/>
  <c r="L822" i="14"/>
  <c r="J813" i="14"/>
  <c r="L773" i="14"/>
  <c r="J748" i="14"/>
  <c r="L1043" i="14"/>
  <c r="J959" i="14"/>
  <c r="J995" i="14"/>
  <c r="L974" i="14"/>
  <c r="H111" i="21"/>
  <c r="I1171" i="14" s="1"/>
  <c r="M1171" i="14" s="1"/>
  <c r="J1171" i="14"/>
  <c r="L1047" i="14"/>
  <c r="W90" i="21"/>
  <c r="R60" i="21"/>
  <c r="J952" i="14"/>
  <c r="L1026" i="14"/>
  <c r="L1038" i="14"/>
  <c r="Y71" i="21"/>
  <c r="J1044" i="14"/>
  <c r="J976" i="14"/>
  <c r="J982" i="14"/>
  <c r="E597" i="15"/>
  <c r="E468" i="15"/>
  <c r="E505" i="15"/>
  <c r="E580" i="15"/>
  <c r="E450" i="15"/>
  <c r="E488" i="15"/>
  <c r="E655" i="15"/>
  <c r="E525" i="15"/>
  <c r="E396" i="15"/>
  <c r="E563" i="15"/>
  <c r="E471" i="15"/>
  <c r="E638" i="15"/>
  <c r="E508" i="15"/>
  <c r="E675" i="15"/>
  <c r="E546" i="15"/>
  <c r="E416" i="15"/>
  <c r="D616" i="15"/>
  <c r="P616" i="15" s="1"/>
  <c r="D486" i="15"/>
  <c r="P486" i="15" s="1"/>
  <c r="E642" i="15"/>
  <c r="E512" i="15"/>
  <c r="K684" i="15"/>
  <c r="E598" i="15"/>
  <c r="D512" i="15"/>
  <c r="P512" i="15" s="1"/>
  <c r="K602" i="15"/>
  <c r="K475" i="15"/>
  <c r="K411" i="15"/>
  <c r="K670" i="15"/>
  <c r="K606" i="15"/>
  <c r="E495" i="15"/>
  <c r="K464" i="15"/>
  <c r="E620" i="15"/>
  <c r="K515" i="15"/>
  <c r="K665" i="15"/>
  <c r="K501" i="15"/>
  <c r="K634" i="15"/>
  <c r="J1047" i="14"/>
  <c r="H21" i="21"/>
  <c r="J808" i="14"/>
  <c r="Y18" i="21"/>
  <c r="L814" i="14"/>
  <c r="J805" i="14"/>
  <c r="K414" i="15"/>
  <c r="L765" i="14"/>
  <c r="L732" i="14"/>
  <c r="J1036" i="14"/>
  <c r="J1042" i="14"/>
  <c r="J988" i="14"/>
  <c r="K544" i="15"/>
  <c r="L960" i="14"/>
  <c r="J1040" i="14"/>
  <c r="Y77" i="21"/>
  <c r="J1046" i="14"/>
  <c r="Y64" i="21"/>
  <c r="D615" i="15"/>
  <c r="P615" i="15" s="1"/>
  <c r="L1068" i="14"/>
  <c r="W100" i="21"/>
  <c r="M70" i="21"/>
  <c r="J999" i="14"/>
  <c r="K576" i="15"/>
  <c r="L1020" i="14"/>
  <c r="R76" i="21"/>
  <c r="J1032" i="14"/>
  <c r="J1031" i="14"/>
  <c r="W111" i="21"/>
  <c r="D630" i="15"/>
  <c r="P630" i="15" s="1"/>
  <c r="D500" i="15"/>
  <c r="P500" i="15" s="1"/>
  <c r="D667" i="15"/>
  <c r="P667" i="15" s="1"/>
  <c r="D408" i="15"/>
  <c r="P408" i="15" s="1"/>
  <c r="D575" i="15"/>
  <c r="P575" i="15" s="1"/>
  <c r="D445" i="15"/>
  <c r="P445" i="15" s="1"/>
  <c r="D613" i="15"/>
  <c r="P613" i="15" s="1"/>
  <c r="D650" i="15"/>
  <c r="P650" i="15" s="1"/>
  <c r="D520" i="15"/>
  <c r="P520" i="15" s="1"/>
  <c r="D391" i="15"/>
  <c r="P391" i="15" s="1"/>
  <c r="D428" i="15"/>
  <c r="P428" i="15" s="1"/>
  <c r="D595" i="15"/>
  <c r="P595" i="15" s="1"/>
  <c r="D466" i="15"/>
  <c r="P466" i="15" s="1"/>
  <c r="D633" i="15"/>
  <c r="P633" i="15" s="1"/>
  <c r="D503" i="15"/>
  <c r="P503" i="15" s="1"/>
  <c r="D670" i="15"/>
  <c r="P670" i="15" s="1"/>
  <c r="D541" i="15"/>
  <c r="P541" i="15" s="1"/>
  <c r="E475" i="15"/>
  <c r="D637" i="15"/>
  <c r="P637" i="15" s="1"/>
  <c r="D507" i="15"/>
  <c r="P507" i="15" s="1"/>
  <c r="D593" i="15"/>
  <c r="P593" i="15" s="1"/>
  <c r="K506" i="15"/>
  <c r="K491" i="15"/>
  <c r="K559" i="15"/>
  <c r="E511" i="15"/>
  <c r="K480" i="15"/>
  <c r="E636" i="15"/>
  <c r="K681" i="15"/>
  <c r="K517" i="15"/>
  <c r="K650" i="15"/>
  <c r="J994" i="14"/>
  <c r="Y65" i="21"/>
  <c r="L983" i="14"/>
  <c r="K603" i="15"/>
  <c r="J762" i="14"/>
  <c r="L762" i="14"/>
  <c r="L801" i="14"/>
  <c r="J800" i="14"/>
  <c r="L808" i="14"/>
  <c r="Y16" i="21"/>
  <c r="L791" i="14"/>
  <c r="T20" i="21"/>
  <c r="L806" i="14"/>
  <c r="J797" i="14"/>
  <c r="L757" i="14"/>
  <c r="L748" i="14"/>
  <c r="L1030" i="14"/>
  <c r="L1036" i="14"/>
  <c r="W65" i="21"/>
  <c r="M61" i="21"/>
  <c r="Y107" i="21"/>
  <c r="L1040" i="14"/>
  <c r="J970" i="14"/>
  <c r="R68" i="21"/>
  <c r="J992" i="14"/>
  <c r="L999" i="14"/>
  <c r="W74" i="21"/>
  <c r="L956" i="14"/>
  <c r="J821" i="14"/>
  <c r="E451" i="15"/>
  <c r="E489" i="15"/>
  <c r="E656" i="15"/>
  <c r="E397" i="15"/>
  <c r="E434" i="15"/>
  <c r="E601" i="15"/>
  <c r="E472" i="15"/>
  <c r="E639" i="15"/>
  <c r="E509" i="15"/>
  <c r="E676" i="15"/>
  <c r="E547" i="15"/>
  <c r="E417" i="15"/>
  <c r="E584" i="15"/>
  <c r="E622" i="15"/>
  <c r="E492" i="15"/>
  <c r="E659" i="15"/>
  <c r="E529" i="15"/>
  <c r="E567" i="15"/>
  <c r="E437" i="15"/>
  <c r="D599" i="15"/>
  <c r="P599" i="15" s="1"/>
  <c r="D470" i="15"/>
  <c r="P470" i="15" s="1"/>
  <c r="E626" i="15"/>
  <c r="E496" i="15"/>
  <c r="D674" i="15"/>
  <c r="P674" i="15" s="1"/>
  <c r="K587" i="15"/>
  <c r="E501" i="15"/>
  <c r="D571" i="15"/>
  <c r="P571" i="15" s="1"/>
  <c r="K443" i="15"/>
  <c r="K639" i="15"/>
  <c r="K496" i="15"/>
  <c r="K465" i="15"/>
  <c r="E393" i="15"/>
  <c r="E652" i="15"/>
  <c r="K612" i="15"/>
  <c r="K548" i="15"/>
  <c r="K666" i="15"/>
  <c r="W23" i="21"/>
  <c r="J1010" i="14"/>
  <c r="L1051" i="14"/>
  <c r="Y13" i="21"/>
  <c r="L809" i="14"/>
  <c r="Y9" i="21"/>
  <c r="D404" i="15"/>
  <c r="P404" i="15" s="1"/>
  <c r="L793" i="14"/>
  <c r="J792" i="14"/>
  <c r="L800" i="14"/>
  <c r="W20" i="21"/>
  <c r="J807" i="14"/>
  <c r="Y14" i="21"/>
  <c r="L775" i="14"/>
  <c r="L798" i="14"/>
  <c r="J789" i="14"/>
  <c r="L749" i="14"/>
  <c r="W7" i="21"/>
  <c r="J747" i="14"/>
  <c r="R106" i="21"/>
  <c r="I1153" i="14" s="1"/>
  <c r="J1153" i="14"/>
  <c r="L1024" i="14"/>
  <c r="R96" i="21"/>
  <c r="I1105" i="14" s="1"/>
  <c r="J1105" i="14"/>
  <c r="J974" i="14"/>
  <c r="Y89" i="21"/>
  <c r="W107" i="21"/>
  <c r="D582" i="15"/>
  <c r="P582" i="15" s="1"/>
  <c r="L1028" i="14"/>
  <c r="J1027" i="14"/>
  <c r="J1043" i="14"/>
  <c r="T68" i="21"/>
  <c r="L992" i="14"/>
  <c r="J1019" i="14"/>
  <c r="J1024" i="14"/>
  <c r="J1018" i="14"/>
  <c r="W91" i="21"/>
  <c r="Y91" i="21"/>
  <c r="D576" i="15"/>
  <c r="P576" i="15" s="1"/>
  <c r="D651" i="15"/>
  <c r="P651" i="15" s="1"/>
  <c r="D392" i="15"/>
  <c r="P392" i="15" s="1"/>
  <c r="D559" i="15"/>
  <c r="P559" i="15" s="1"/>
  <c r="D429" i="15"/>
  <c r="P429" i="15" s="1"/>
  <c r="D596" i="15"/>
  <c r="P596" i="15" s="1"/>
  <c r="D634" i="15"/>
  <c r="P634" i="15" s="1"/>
  <c r="D671" i="15"/>
  <c r="P671" i="15" s="1"/>
  <c r="D579" i="15"/>
  <c r="P579" i="15" s="1"/>
  <c r="D449" i="15"/>
  <c r="P449" i="15" s="1"/>
  <c r="D487" i="15"/>
  <c r="P487" i="15" s="1"/>
  <c r="D432" i="15"/>
  <c r="P432" i="15" s="1"/>
  <c r="E588" i="15"/>
  <c r="D621" i="15"/>
  <c r="P621" i="15" s="1"/>
  <c r="K668" i="15"/>
  <c r="E582" i="15"/>
  <c r="K409" i="15"/>
  <c r="K651" i="15"/>
  <c r="D587" i="15"/>
  <c r="P587" i="15" s="1"/>
  <c r="K459" i="15"/>
  <c r="K396" i="15"/>
  <c r="K655" i="15"/>
  <c r="E544" i="15"/>
  <c r="K481" i="15"/>
  <c r="E668" i="15"/>
  <c r="K423" i="15"/>
  <c r="K682" i="15"/>
  <c r="W60" i="21"/>
  <c r="K680" i="15"/>
  <c r="L816" i="14"/>
  <c r="L763" i="14"/>
  <c r="Y7" i="21"/>
  <c r="L747" i="14"/>
  <c r="R7" i="21"/>
  <c r="J746" i="14"/>
  <c r="T7" i="21"/>
  <c r="L746" i="14"/>
  <c r="L785" i="14"/>
  <c r="J784" i="14"/>
  <c r="L792" i="14"/>
  <c r="W18" i="21"/>
  <c r="Y12" i="21"/>
  <c r="L790" i="14"/>
  <c r="J773" i="14"/>
  <c r="L733" i="14"/>
  <c r="H6" i="21"/>
  <c r="J732" i="14"/>
  <c r="J1011" i="14"/>
  <c r="J1023" i="14"/>
  <c r="W94" i="21"/>
  <c r="J960" i="14"/>
  <c r="L1016" i="14"/>
  <c r="L1015" i="14"/>
  <c r="W73" i="21"/>
  <c r="L1046" i="14"/>
  <c r="D550" i="15"/>
  <c r="P550" i="15" s="1"/>
  <c r="L978" i="14"/>
  <c r="W71" i="21"/>
  <c r="J990" i="14"/>
  <c r="E565" i="15"/>
  <c r="E602" i="15"/>
  <c r="E473" i="15"/>
  <c r="E640" i="15"/>
  <c r="E510" i="15"/>
  <c r="E677" i="15"/>
  <c r="E548" i="15"/>
  <c r="E493" i="15"/>
  <c r="E660" i="15"/>
  <c r="E530" i="15"/>
  <c r="E401" i="15"/>
  <c r="E568" i="15"/>
  <c r="E438" i="15"/>
  <c r="E476" i="15"/>
  <c r="E643" i="15"/>
  <c r="E513" i="15"/>
  <c r="E680" i="15"/>
  <c r="E551" i="15"/>
  <c r="D583" i="15"/>
  <c r="P583" i="15" s="1"/>
  <c r="E480" i="15"/>
  <c r="D577" i="15"/>
  <c r="P577" i="15" s="1"/>
  <c r="K490" i="15"/>
  <c r="E404" i="15"/>
  <c r="K667" i="15"/>
  <c r="K476" i="15"/>
  <c r="K412" i="15"/>
  <c r="K671" i="15"/>
  <c r="K607" i="15"/>
  <c r="K497" i="15"/>
  <c r="E425" i="15"/>
  <c r="E684" i="15"/>
  <c r="K644" i="15"/>
  <c r="K580" i="15"/>
  <c r="K532" i="15"/>
  <c r="K471" i="15"/>
  <c r="K502" i="15"/>
  <c r="Y17" i="21"/>
  <c r="R73" i="21"/>
  <c r="J1020" i="14"/>
  <c r="W72" i="21"/>
  <c r="L954" i="14"/>
  <c r="J987" i="14"/>
  <c r="Y70" i="21"/>
  <c r="J998" i="14"/>
  <c r="L970" i="14"/>
  <c r="J955" i="14"/>
  <c r="D580" i="15"/>
  <c r="P580" i="15" s="1"/>
  <c r="D450" i="15"/>
  <c r="P450" i="15" s="1"/>
  <c r="D488" i="15"/>
  <c r="P488" i="15" s="1"/>
  <c r="D655" i="15"/>
  <c r="P655" i="15" s="1"/>
  <c r="D433" i="15"/>
  <c r="P433" i="15" s="1"/>
  <c r="D600" i="15"/>
  <c r="P600" i="15" s="1"/>
  <c r="D638" i="15"/>
  <c r="P638" i="15" s="1"/>
  <c r="D508" i="15"/>
  <c r="P508" i="15" s="1"/>
  <c r="D675" i="15"/>
  <c r="P675" i="15" s="1"/>
  <c r="D546" i="15"/>
  <c r="P546" i="15" s="1"/>
  <c r="E572" i="15"/>
  <c r="E442" i="15"/>
  <c r="D658" i="15"/>
  <c r="P658" i="15" s="1"/>
  <c r="E485" i="15"/>
  <c r="D399" i="15"/>
  <c r="P399" i="15" s="1"/>
  <c r="K683" i="15"/>
  <c r="D620" i="15"/>
  <c r="P620" i="15" s="1"/>
  <c r="K556" i="15"/>
  <c r="K492" i="15"/>
  <c r="K624" i="15"/>
  <c r="E576" i="15"/>
  <c r="K545" i="15"/>
  <c r="K513" i="15"/>
  <c r="K660" i="15"/>
  <c r="K596" i="15"/>
  <c r="K549" i="15"/>
  <c r="K582" i="15"/>
  <c r="L789" i="14"/>
  <c r="L1054" i="14"/>
  <c r="D424" i="15"/>
  <c r="P424" i="15" s="1"/>
  <c r="J768" i="14"/>
  <c r="M12" i="21"/>
  <c r="J765" i="14"/>
  <c r="H4" i="21"/>
  <c r="J724" i="14"/>
  <c r="W102" i="21"/>
  <c r="J817" i="14"/>
  <c r="M21" i="21"/>
  <c r="J809" i="14"/>
  <c r="L761" i="14"/>
  <c r="J760" i="14"/>
  <c r="L768" i="14"/>
  <c r="W14" i="21"/>
  <c r="J775" i="14"/>
  <c r="Y8" i="21"/>
  <c r="T12" i="21"/>
  <c r="L766" i="14"/>
  <c r="M10" i="21"/>
  <c r="J757" i="14"/>
  <c r="J812" i="14"/>
  <c r="W5" i="21"/>
  <c r="J731" i="14"/>
  <c r="Y101" i="21"/>
  <c r="L1011" i="14"/>
  <c r="L994" i="14"/>
  <c r="J1048" i="14"/>
  <c r="J1000" i="14"/>
  <c r="W76" i="21"/>
  <c r="R61" i="21"/>
  <c r="J956" i="14"/>
  <c r="T60" i="21"/>
  <c r="L952" i="14"/>
  <c r="J971" i="14"/>
  <c r="J991" i="14"/>
  <c r="D679" i="15"/>
  <c r="P679" i="15" s="1"/>
  <c r="L1169" i="14"/>
  <c r="L950" i="14"/>
  <c r="J1050" i="14"/>
  <c r="E678" i="15"/>
  <c r="E549" i="15"/>
  <c r="E419" i="15"/>
  <c r="E456" i="15"/>
  <c r="E624" i="15"/>
  <c r="E661" i="15"/>
  <c r="E477" i="15"/>
  <c r="E644" i="15"/>
  <c r="E681" i="15"/>
  <c r="E422" i="15"/>
  <c r="E459" i="15"/>
  <c r="E627" i="15"/>
  <c r="E664" i="15"/>
  <c r="E534" i="15"/>
  <c r="E405" i="15"/>
  <c r="D567" i="15"/>
  <c r="P567" i="15" s="1"/>
  <c r="D437" i="15"/>
  <c r="P437" i="15" s="1"/>
  <c r="E593" i="15"/>
  <c r="E464" i="15"/>
  <c r="K652" i="15"/>
  <c r="K393" i="15"/>
  <c r="D636" i="15"/>
  <c r="P636" i="15" s="1"/>
  <c r="K572" i="15"/>
  <c r="K444" i="15"/>
  <c r="K640" i="15"/>
  <c r="K561" i="15"/>
  <c r="K529" i="15"/>
  <c r="E457" i="15"/>
  <c r="K417" i="15"/>
  <c r="K676" i="15"/>
  <c r="K613" i="15"/>
  <c r="K534" i="15"/>
  <c r="K472" i="15"/>
  <c r="R17" i="21"/>
  <c r="J1056" i="14"/>
  <c r="T96" i="21"/>
  <c r="L1105" i="14"/>
  <c r="W98" i="21"/>
  <c r="L784" i="14"/>
  <c r="J804" i="14"/>
  <c r="W104" i="21"/>
  <c r="J1055" i="14"/>
  <c r="Y100" i="21"/>
  <c r="J793" i="14"/>
  <c r="J769" i="14"/>
  <c r="J801" i="14"/>
  <c r="L753" i="14"/>
  <c r="J752" i="14"/>
  <c r="L760" i="14"/>
  <c r="W12" i="21"/>
  <c r="Y6" i="21"/>
  <c r="L758" i="14"/>
  <c r="J749" i="14"/>
  <c r="L772" i="14"/>
  <c r="J756" i="14"/>
  <c r="L982" i="14"/>
  <c r="L996" i="14"/>
  <c r="L980" i="14"/>
  <c r="W89" i="21"/>
  <c r="W92" i="21"/>
  <c r="R99" i="21"/>
  <c r="I1125" i="14" s="1"/>
  <c r="J1125" i="14"/>
  <c r="J986" i="14"/>
  <c r="Y102" i="21"/>
  <c r="W68" i="21"/>
  <c r="L1027" i="14"/>
  <c r="T76" i="21"/>
  <c r="L1032" i="14"/>
  <c r="W61" i="21"/>
  <c r="J984" i="14"/>
  <c r="W103" i="21"/>
  <c r="L1044" i="14"/>
  <c r="R88" i="21"/>
  <c r="I1065" i="14" s="1"/>
  <c r="J1065" i="14"/>
  <c r="J823" i="14"/>
  <c r="D544" i="15"/>
  <c r="P544" i="15" s="1"/>
  <c r="D414" i="15"/>
  <c r="P414" i="15" s="1"/>
  <c r="D581" i="15"/>
  <c r="P581" i="15" s="1"/>
  <c r="D451" i="15"/>
  <c r="P451" i="15" s="1"/>
  <c r="D489" i="15"/>
  <c r="P489" i="15" s="1"/>
  <c r="D656" i="15"/>
  <c r="P656" i="15" s="1"/>
  <c r="D397" i="15"/>
  <c r="P397" i="15" s="1"/>
  <c r="D434" i="15"/>
  <c r="P434" i="15" s="1"/>
  <c r="D601" i="15"/>
  <c r="P601" i="15" s="1"/>
  <c r="D639" i="15"/>
  <c r="P639" i="15" s="1"/>
  <c r="D509" i="15"/>
  <c r="P509" i="15" s="1"/>
  <c r="D676" i="15"/>
  <c r="P676" i="15" s="1"/>
  <c r="D547" i="15"/>
  <c r="P547" i="15" s="1"/>
  <c r="D417" i="15"/>
  <c r="P417" i="15" s="1"/>
  <c r="D622" i="15"/>
  <c r="P622" i="15" s="1"/>
  <c r="D659" i="15"/>
  <c r="P659" i="15" s="1"/>
  <c r="D400" i="15"/>
  <c r="P400" i="15" s="1"/>
  <c r="E556" i="15"/>
  <c r="E426" i="15"/>
  <c r="D588" i="15"/>
  <c r="P588" i="15" s="1"/>
  <c r="D561" i="15"/>
  <c r="P561" i="15" s="1"/>
  <c r="K456" i="15"/>
  <c r="D652" i="15"/>
  <c r="P652" i="15" s="1"/>
  <c r="K588" i="15"/>
  <c r="K460" i="15"/>
  <c r="K656" i="15"/>
  <c r="K577" i="15"/>
  <c r="K433" i="15"/>
  <c r="K629" i="15"/>
  <c r="K581" i="15"/>
  <c r="K519" i="15"/>
  <c r="K615" i="15"/>
  <c r="K551" i="15"/>
  <c r="J1015" i="14"/>
  <c r="R5" i="21"/>
  <c r="J730" i="14"/>
  <c r="D420" i="15"/>
  <c r="P420" i="15" s="1"/>
  <c r="L774" i="14"/>
  <c r="J761" i="14"/>
  <c r="J729" i="14"/>
  <c r="J785" i="14"/>
  <c r="K398" i="15"/>
  <c r="L745" i="14"/>
  <c r="H7" i="21"/>
  <c r="J744" i="14"/>
  <c r="L752" i="14"/>
  <c r="J759" i="14"/>
  <c r="R4" i="21"/>
  <c r="J726" i="14"/>
  <c r="L750" i="14"/>
  <c r="M6" i="21"/>
  <c r="J733" i="14"/>
  <c r="W21" i="21"/>
  <c r="W9" i="21"/>
  <c r="R98" i="21"/>
  <c r="I1113" i="14" s="1"/>
  <c r="J1113" i="14"/>
  <c r="J975" i="14"/>
  <c r="K560" i="15"/>
  <c r="L1035" i="14"/>
  <c r="J979" i="14"/>
  <c r="L986" i="14"/>
  <c r="W105" i="21"/>
  <c r="Y73" i="21"/>
  <c r="W64" i="21"/>
  <c r="J951" i="14"/>
  <c r="L971" i="14"/>
  <c r="W77" i="21"/>
  <c r="W101" i="21"/>
  <c r="E662" i="15"/>
  <c r="E403" i="15"/>
  <c r="E570" i="15"/>
  <c r="E607" i="15"/>
  <c r="E645" i="15"/>
  <c r="E682" i="15"/>
  <c r="E553" i="15"/>
  <c r="E590" i="15"/>
  <c r="E460" i="15"/>
  <c r="E665" i="15"/>
  <c r="E535" i="15"/>
  <c r="E406" i="15"/>
  <c r="E573" i="15"/>
  <c r="E443" i="15"/>
  <c r="E610" i="15"/>
  <c r="E648" i="15"/>
  <c r="D680" i="15"/>
  <c r="P680" i="15" s="1"/>
  <c r="D421" i="15"/>
  <c r="P421" i="15" s="1"/>
  <c r="E447" i="15"/>
  <c r="D642" i="15"/>
  <c r="P642" i="15" s="1"/>
  <c r="E469" i="15"/>
  <c r="K473" i="15"/>
  <c r="D409" i="15"/>
  <c r="P409" i="15" s="1"/>
  <c r="D668" i="15"/>
  <c r="P668" i="15" s="1"/>
  <c r="K593" i="15"/>
  <c r="K449" i="15"/>
  <c r="K645" i="15"/>
  <c r="K567" i="15"/>
  <c r="D452" i="15"/>
  <c r="P452" i="15" s="1"/>
  <c r="L825" i="14"/>
  <c r="J1038" i="14"/>
  <c r="L769" i="14"/>
  <c r="W16" i="21"/>
  <c r="J791" i="14"/>
  <c r="J996" i="14"/>
  <c r="J1028" i="14"/>
  <c r="T104" i="21"/>
  <c r="L1145" i="14"/>
  <c r="J1014" i="14"/>
  <c r="T63" i="21"/>
  <c r="L972" i="14"/>
  <c r="M7" i="21"/>
  <c r="J745" i="14"/>
  <c r="L788" i="14"/>
  <c r="J753" i="14"/>
  <c r="L729" i="14"/>
  <c r="J728" i="14"/>
  <c r="L744" i="14"/>
  <c r="W8" i="21"/>
  <c r="J798" i="14"/>
  <c r="L734" i="14"/>
  <c r="L725" i="14"/>
  <c r="L728" i="14"/>
  <c r="W19" i="21"/>
  <c r="W96" i="21"/>
  <c r="W62" i="21"/>
  <c r="L1056" i="14"/>
  <c r="W75" i="21"/>
  <c r="L1034" i="14"/>
  <c r="L1048" i="14"/>
  <c r="T99" i="21"/>
  <c r="L1125" i="14"/>
  <c r="L979" i="14"/>
  <c r="L1014" i="14"/>
  <c r="Y69" i="21"/>
  <c r="L1019" i="14"/>
  <c r="Y61" i="21"/>
  <c r="L1031" i="14"/>
  <c r="D398" i="15"/>
  <c r="P398" i="15" s="1"/>
  <c r="D565" i="15"/>
  <c r="P565" i="15" s="1"/>
  <c r="D640" i="15"/>
  <c r="P640" i="15" s="1"/>
  <c r="D677" i="15"/>
  <c r="P677" i="15" s="1"/>
  <c r="D418" i="15"/>
  <c r="P418" i="15" s="1"/>
  <c r="D585" i="15"/>
  <c r="P585" i="15" s="1"/>
  <c r="D493" i="15"/>
  <c r="P493" i="15" s="1"/>
  <c r="D660" i="15"/>
  <c r="P660" i="15" s="1"/>
  <c r="D401" i="15"/>
  <c r="P401" i="15" s="1"/>
  <c r="D438" i="15"/>
  <c r="P438" i="15" s="1"/>
  <c r="D605" i="15"/>
  <c r="P605" i="15" s="1"/>
  <c r="D643" i="15"/>
  <c r="P643" i="15" s="1"/>
  <c r="E540" i="15"/>
  <c r="E410" i="15"/>
  <c r="D572" i="15"/>
  <c r="P572" i="15" s="1"/>
  <c r="D442" i="15"/>
  <c r="P442" i="15" s="1"/>
  <c r="K636" i="15"/>
  <c r="E550" i="15"/>
  <c r="D425" i="15"/>
  <c r="P425" i="15" s="1"/>
  <c r="D684" i="15"/>
  <c r="P684" i="15" s="1"/>
  <c r="K621" i="15"/>
  <c r="K557" i="15"/>
  <c r="E641" i="15"/>
  <c r="K609" i="15"/>
  <c r="K402" i="15"/>
  <c r="K661" i="15"/>
  <c r="K552" i="15"/>
  <c r="K583" i="15"/>
  <c r="K462" i="15"/>
  <c r="L835" i="14"/>
  <c r="Z104" i="21"/>
  <c r="K657" i="15"/>
  <c r="L1143" i="14"/>
  <c r="Y5" i="21"/>
  <c r="L731" i="14"/>
  <c r="T5" i="21"/>
  <c r="L730" i="14"/>
  <c r="L759" i="14"/>
  <c r="J1039" i="14"/>
  <c r="L796" i="14"/>
  <c r="J814" i="14"/>
  <c r="R26" i="21"/>
  <c r="I830" i="14" s="1"/>
  <c r="J830" i="14"/>
  <c r="W4" i="21"/>
  <c r="J727" i="14"/>
  <c r="W6" i="21"/>
  <c r="J788" i="14"/>
  <c r="M4" i="21"/>
  <c r="J725" i="14"/>
  <c r="W13" i="21"/>
  <c r="L724" i="14"/>
  <c r="L1099" i="14"/>
  <c r="D631" i="15"/>
  <c r="P631" i="15" s="1"/>
  <c r="L955" i="14"/>
  <c r="L1022" i="14"/>
  <c r="Y96" i="21"/>
  <c r="L975" i="14"/>
  <c r="D598" i="15"/>
  <c r="P598" i="15" s="1"/>
  <c r="D663" i="15"/>
  <c r="P663" i="15" s="1"/>
  <c r="L1152" i="14"/>
  <c r="J1022" i="14"/>
  <c r="W70" i="21"/>
  <c r="J1034" i="14"/>
  <c r="J958" i="14"/>
  <c r="W97" i="21"/>
  <c r="L1000" i="14"/>
  <c r="J950" i="14"/>
  <c r="L951" i="14"/>
  <c r="Y93" i="21"/>
  <c r="Y74" i="21"/>
  <c r="Y98" i="21"/>
  <c r="E646" i="15"/>
  <c r="E683" i="15"/>
  <c r="E554" i="15"/>
  <c r="E424" i="15"/>
  <c r="E591" i="15"/>
  <c r="E461" i="15"/>
  <c r="E629" i="15"/>
  <c r="E666" i="15"/>
  <c r="E536" i="15"/>
  <c r="E407" i="15"/>
  <c r="E444" i="15"/>
  <c r="E612" i="15"/>
  <c r="E482" i="15"/>
  <c r="E649" i="15"/>
  <c r="E390" i="15"/>
  <c r="E557" i="15"/>
  <c r="E427" i="15"/>
  <c r="E594" i="15"/>
  <c r="E632" i="15"/>
  <c r="D664" i="15"/>
  <c r="P664" i="15" s="1"/>
  <c r="D405" i="15"/>
  <c r="P405" i="15" s="1"/>
  <c r="E561" i="15"/>
  <c r="E431" i="15"/>
  <c r="E631" i="15"/>
  <c r="D545" i="15"/>
  <c r="P545" i="15" s="1"/>
  <c r="K457" i="15"/>
  <c r="K637" i="15"/>
  <c r="K573" i="15"/>
  <c r="K445" i="15"/>
  <c r="E398" i="15"/>
  <c r="E657" i="15"/>
  <c r="K626" i="15"/>
  <c r="K594" i="15"/>
  <c r="K418" i="15"/>
  <c r="K677" i="15"/>
  <c r="K630" i="15"/>
  <c r="K568" i="15"/>
  <c r="K404" i="15"/>
  <c r="K663" i="15"/>
  <c r="K599" i="15"/>
  <c r="H1127" i="14"/>
  <c r="M1127" i="14"/>
  <c r="K1127" i="14"/>
  <c r="Q1173" i="14"/>
  <c r="J1173" i="14" s="1"/>
  <c r="Q1154" i="14"/>
  <c r="L1154" i="14" s="1"/>
  <c r="Q1090" i="14"/>
  <c r="L1090" i="14" s="1"/>
  <c r="M1116" i="14"/>
  <c r="K1116" i="14"/>
  <c r="H1116" i="14"/>
  <c r="H1119" i="14"/>
  <c r="K1119" i="14"/>
  <c r="M1119" i="14"/>
  <c r="Q1150" i="14"/>
  <c r="J1150" i="14" s="1"/>
  <c r="Q1086" i="14"/>
  <c r="J1086" i="14" s="1"/>
  <c r="Q1158" i="14"/>
  <c r="J1158" i="14" s="1"/>
  <c r="Q1094" i="14"/>
  <c r="I1094" i="14" s="1"/>
  <c r="H1115" i="14"/>
  <c r="K1115" i="14"/>
  <c r="M1115" i="14"/>
  <c r="Q1146" i="14"/>
  <c r="L1146" i="14" s="1"/>
  <c r="O1081" i="14"/>
  <c r="Q1082" i="14"/>
  <c r="Q1142" i="14"/>
  <c r="J1142" i="14" s="1"/>
  <c r="O1077" i="14"/>
  <c r="Q1078" i="14"/>
  <c r="M1100" i="14"/>
  <c r="K1100" i="14"/>
  <c r="H1100" i="14"/>
  <c r="Q1138" i="14"/>
  <c r="J1138" i="14" s="1"/>
  <c r="Q1074" i="14"/>
  <c r="L1074" i="14" s="1"/>
  <c r="Q1134" i="14"/>
  <c r="L1134" i="14" s="1"/>
  <c r="Q1070" i="14"/>
  <c r="L1070" i="14" s="1"/>
  <c r="Q1130" i="14"/>
  <c r="J1130" i="14" s="1"/>
  <c r="Q1066" i="14"/>
  <c r="J1066" i="14" s="1"/>
  <c r="Q1126" i="14"/>
  <c r="J1126" i="14" s="1"/>
  <c r="O1121" i="14"/>
  <c r="Q1122" i="14"/>
  <c r="O1117" i="14"/>
  <c r="Q1118" i="14"/>
  <c r="M1076" i="14"/>
  <c r="K1076" i="14"/>
  <c r="H1076" i="14"/>
  <c r="Q1114" i="14"/>
  <c r="J1114" i="14" s="1"/>
  <c r="H1079" i="14"/>
  <c r="K1079" i="14"/>
  <c r="M1079" i="14"/>
  <c r="Q1110" i="14"/>
  <c r="J1110" i="14" s="1"/>
  <c r="H1075" i="14"/>
  <c r="M1075" i="14"/>
  <c r="K1075" i="14"/>
  <c r="Q1170" i="14"/>
  <c r="L1170" i="14" s="1"/>
  <c r="Q1106" i="14"/>
  <c r="J1106" i="14" s="1"/>
  <c r="Q1166" i="14"/>
  <c r="L1166" i="14" s="1"/>
  <c r="Q1102" i="14"/>
  <c r="L1102" i="14" s="1"/>
  <c r="Q1162" i="14"/>
  <c r="J1162" i="14" s="1"/>
  <c r="Q1098" i="14"/>
  <c r="L1098" i="14" s="1"/>
  <c r="Q1053" i="14"/>
  <c r="J1053" i="14" s="1"/>
  <c r="Q989" i="14"/>
  <c r="J989" i="14" s="1"/>
  <c r="Q1049" i="14"/>
  <c r="L1049" i="14" s="1"/>
  <c r="Q985" i="14"/>
  <c r="J985" i="14" s="1"/>
  <c r="Q1045" i="14"/>
  <c r="L1045" i="14" s="1"/>
  <c r="Q981" i="14"/>
  <c r="L981" i="14" s="1"/>
  <c r="Q1060" i="14"/>
  <c r="J1060" i="14" s="1"/>
  <c r="Q1041" i="14"/>
  <c r="L1041" i="14" s="1"/>
  <c r="Q977" i="14"/>
  <c r="J977" i="14" s="1"/>
  <c r="H1002" i="14"/>
  <c r="M1002" i="14"/>
  <c r="K1002" i="14"/>
  <c r="Q1033" i="14"/>
  <c r="J1033" i="14" s="1"/>
  <c r="O968" i="14"/>
  <c r="Q969" i="14"/>
  <c r="H1006" i="14"/>
  <c r="K1006" i="14"/>
  <c r="M1006" i="14"/>
  <c r="Q1029" i="14"/>
  <c r="L1029" i="14" s="1"/>
  <c r="O964" i="14"/>
  <c r="Q965" i="14"/>
  <c r="Q1025" i="14"/>
  <c r="J1025" i="14" s="1"/>
  <c r="Q961" i="14"/>
  <c r="J961" i="14" s="1"/>
  <c r="Q1021" i="14"/>
  <c r="L1021" i="14" s="1"/>
  <c r="Q957" i="14"/>
  <c r="L957" i="14" s="1"/>
  <c r="Q973" i="14"/>
  <c r="I973" i="14" s="1"/>
  <c r="Q1017" i="14"/>
  <c r="L1017" i="14" s="1"/>
  <c r="Q953" i="14"/>
  <c r="L953" i="14" s="1"/>
  <c r="Q1037" i="14"/>
  <c r="L1037" i="14" s="1"/>
  <c r="Q1013" i="14"/>
  <c r="J1013" i="14" s="1"/>
  <c r="O1004" i="14"/>
  <c r="Q1005" i="14"/>
  <c r="Q1001" i="14"/>
  <c r="L1001" i="14" s="1"/>
  <c r="K966" i="14"/>
  <c r="H966" i="14"/>
  <c r="M966" i="14"/>
  <c r="Q997" i="14"/>
  <c r="L997" i="14" s="1"/>
  <c r="O1008" i="14"/>
  <c r="Q1009" i="14"/>
  <c r="K962" i="14"/>
  <c r="H962" i="14"/>
  <c r="M962" i="14"/>
  <c r="Q1057" i="14"/>
  <c r="J1057" i="14" s="1"/>
  <c r="Q993" i="14"/>
  <c r="L993" i="14" s="1"/>
  <c r="Q920" i="14"/>
  <c r="O855" i="14"/>
  <c r="Q856" i="14"/>
  <c r="Q916" i="14"/>
  <c r="O851" i="14"/>
  <c r="Q852" i="14"/>
  <c r="Q908" i="14"/>
  <c r="Q844" i="14"/>
  <c r="Q904" i="14"/>
  <c r="Q840" i="14"/>
  <c r="Q848" i="14"/>
  <c r="Q900" i="14"/>
  <c r="Q924" i="14"/>
  <c r="O895" i="14"/>
  <c r="Q896" i="14"/>
  <c r="Q912" i="14"/>
  <c r="O891" i="14"/>
  <c r="Q892" i="14"/>
  <c r="Q888" i="14"/>
  <c r="Q860" i="14"/>
  <c r="Q947" i="14"/>
  <c r="Q884" i="14"/>
  <c r="Q944" i="14"/>
  <c r="Q940" i="14"/>
  <c r="Q876" i="14"/>
  <c r="Q936" i="14"/>
  <c r="Q872" i="14"/>
  <c r="M894" i="14"/>
  <c r="K894" i="14"/>
  <c r="H894" i="14"/>
  <c r="Q880" i="14"/>
  <c r="Q932" i="14"/>
  <c r="Q868" i="14"/>
  <c r="M890" i="14"/>
  <c r="K890" i="14"/>
  <c r="H890" i="14"/>
  <c r="Q928" i="14"/>
  <c r="Q864" i="14"/>
  <c r="Q770" i="14"/>
  <c r="L770" i="14" s="1"/>
  <c r="Q818" i="14"/>
  <c r="L818" i="14" s="1"/>
  <c r="Q738" i="14"/>
  <c r="Q802" i="14"/>
  <c r="J802" i="14" s="1"/>
  <c r="Q767" i="14"/>
  <c r="L767" i="14" s="1"/>
  <c r="Q751" i="14"/>
  <c r="J751" i="14" s="1"/>
  <c r="Q810" i="14"/>
  <c r="J810" i="14" s="1"/>
  <c r="Q754" i="14"/>
  <c r="L754" i="14" s="1"/>
  <c r="Q735" i="14"/>
  <c r="J735" i="14" s="1"/>
  <c r="Q794" i="14"/>
  <c r="J794" i="14" s="1"/>
  <c r="Q815" i="14"/>
  <c r="J815" i="14" s="1"/>
  <c r="Q786" i="14"/>
  <c r="J786" i="14" s="1"/>
  <c r="Q778" i="14"/>
  <c r="Q799" i="14"/>
  <c r="J799" i="14" s="1"/>
  <c r="Q783" i="14"/>
  <c r="I525" i="2"/>
  <c r="R8" i="21"/>
  <c r="H23" i="21"/>
  <c r="H8" i="21"/>
  <c r="M23" i="21"/>
  <c r="M8" i="21"/>
  <c r="R23" i="21"/>
  <c r="H519" i="2"/>
  <c r="H527" i="2"/>
  <c r="H517" i="2"/>
  <c r="I522" i="2"/>
  <c r="H520" i="2"/>
  <c r="H523" i="2"/>
  <c r="H16" i="21"/>
  <c r="R16" i="21"/>
  <c r="H518" i="2"/>
  <c r="I524" i="2"/>
  <c r="M16" i="21"/>
  <c r="I526" i="2"/>
  <c r="W25" i="21"/>
  <c r="I827" i="14" s="1"/>
  <c r="H10" i="21"/>
  <c r="W10" i="21"/>
  <c r="R41" i="21"/>
  <c r="I883" i="14" s="1"/>
  <c r="H51" i="21"/>
  <c r="I929" i="14" s="1"/>
  <c r="M88" i="21"/>
  <c r="I1064" i="14" s="1"/>
  <c r="M1064" i="14" s="1"/>
  <c r="Z88" i="21"/>
  <c r="M33" i="21"/>
  <c r="I842" i="14" s="1"/>
  <c r="Y104" i="21"/>
  <c r="H39" i="21"/>
  <c r="I873" i="14" s="1"/>
  <c r="M74" i="21"/>
  <c r="R62" i="21"/>
  <c r="M22" i="21"/>
  <c r="H74" i="21"/>
  <c r="M96" i="21"/>
  <c r="I1104" i="14" s="1"/>
  <c r="K1104" i="14" s="1"/>
  <c r="H102" i="21"/>
  <c r="I1135" i="14" s="1"/>
  <c r="M1135" i="14" s="1"/>
  <c r="H88" i="21"/>
  <c r="I1063" i="14" s="1"/>
  <c r="H1063" i="14" s="1"/>
  <c r="H97" i="21"/>
  <c r="I1107" i="14" s="1"/>
  <c r="H1107" i="14" s="1"/>
  <c r="H92" i="21"/>
  <c r="I1087" i="14" s="1"/>
  <c r="M1087" i="14" s="1"/>
  <c r="M579" i="2"/>
  <c r="R18" i="21"/>
  <c r="R24" i="21"/>
  <c r="M92" i="21"/>
  <c r="I1088" i="14" s="1"/>
  <c r="M1088" i="14" s="1"/>
  <c r="M580" i="2"/>
  <c r="M581" i="2"/>
  <c r="M577" i="2"/>
  <c r="H18" i="21"/>
  <c r="W95" i="21"/>
  <c r="R93" i="21"/>
  <c r="I1093" i="14" s="1"/>
  <c r="H24" i="21"/>
  <c r="M24" i="21"/>
  <c r="R74" i="21"/>
  <c r="M71" i="21"/>
  <c r="W24" i="21"/>
  <c r="R80" i="21"/>
  <c r="R101" i="21"/>
  <c r="I1133" i="14" s="1"/>
  <c r="M5" i="21"/>
  <c r="H5" i="21"/>
  <c r="W109" i="21"/>
  <c r="I1166" i="14" s="1"/>
  <c r="I570" i="2"/>
  <c r="H95" i="21"/>
  <c r="I1099" i="14" s="1"/>
  <c r="H1099" i="14" s="1"/>
  <c r="W50" i="21"/>
  <c r="I928" i="14" s="1"/>
  <c r="H25" i="21"/>
  <c r="I824" i="14" s="1"/>
  <c r="M90" i="21"/>
  <c r="I1072" i="14" s="1"/>
  <c r="M1072" i="14" s="1"/>
  <c r="H35" i="21"/>
  <c r="I857" i="14" s="1"/>
  <c r="H82" i="21"/>
  <c r="M89" i="21"/>
  <c r="I1068" i="14" s="1"/>
  <c r="M1068" i="14" s="1"/>
  <c r="R13" i="21"/>
  <c r="M20" i="21"/>
  <c r="M32" i="21"/>
  <c r="I838" i="14" s="1"/>
  <c r="M72" i="21"/>
  <c r="R67" i="21"/>
  <c r="R110" i="21"/>
  <c r="I1169" i="14" s="1"/>
  <c r="H13" i="21"/>
  <c r="M55" i="21"/>
  <c r="I946" i="14" s="1"/>
  <c r="W78" i="21"/>
  <c r="H41" i="21"/>
  <c r="I881" i="14" s="1"/>
  <c r="M13" i="21"/>
  <c r="M82" i="21"/>
  <c r="W38" i="21"/>
  <c r="I872" i="14" s="1"/>
  <c r="M91" i="21"/>
  <c r="I1084" i="14" s="1"/>
  <c r="M1084" i="14" s="1"/>
  <c r="M14" i="21"/>
  <c r="M35" i="21"/>
  <c r="I858" i="14" s="1"/>
  <c r="R25" i="21"/>
  <c r="I826" i="14" s="1"/>
  <c r="H14" i="21"/>
  <c r="M25" i="21"/>
  <c r="I825" i="14" s="1"/>
  <c r="R14" i="21"/>
  <c r="R72" i="21"/>
  <c r="H43" i="21"/>
  <c r="H108" i="21"/>
  <c r="I1159" i="14" s="1"/>
  <c r="M1159" i="14" s="1"/>
  <c r="H19" i="21"/>
  <c r="R75" i="21"/>
  <c r="H15" i="21"/>
  <c r="M15" i="21"/>
  <c r="R45" i="21"/>
  <c r="I907" i="14" s="1"/>
  <c r="M97" i="21"/>
  <c r="I1108" i="14" s="1"/>
  <c r="H1108" i="14" s="1"/>
  <c r="R34" i="21"/>
  <c r="I847" i="14" s="1"/>
  <c r="M18" i="21"/>
  <c r="M64" i="21"/>
  <c r="M98" i="21"/>
  <c r="I1112" i="14" s="1"/>
  <c r="H1112" i="14" s="1"/>
  <c r="H53" i="21"/>
  <c r="I937" i="14" s="1"/>
  <c r="M47" i="21"/>
  <c r="I914" i="14" s="1"/>
  <c r="M53" i="21"/>
  <c r="I938" i="14" s="1"/>
  <c r="M38" i="21"/>
  <c r="I870" i="14" s="1"/>
  <c r="H47" i="21"/>
  <c r="I913" i="14" s="1"/>
  <c r="R78" i="21"/>
  <c r="H80" i="21"/>
  <c r="H34" i="21"/>
  <c r="I845" i="14" s="1"/>
  <c r="M27" i="21"/>
  <c r="I833" i="14" s="1"/>
  <c r="R27" i="21"/>
  <c r="I834" i="14" s="1"/>
  <c r="M60" i="21"/>
  <c r="R53" i="21"/>
  <c r="I939" i="14" s="1"/>
  <c r="H50" i="21"/>
  <c r="I925" i="14" s="1"/>
  <c r="H17" i="21"/>
  <c r="M104" i="21"/>
  <c r="I1144" i="14" s="1"/>
  <c r="M1144" i="14" s="1"/>
  <c r="M103" i="21"/>
  <c r="I1140" i="14" s="1"/>
  <c r="M1140" i="14" s="1"/>
  <c r="U43" i="21"/>
  <c r="M17" i="21"/>
  <c r="Z41" i="21"/>
  <c r="M106" i="21"/>
  <c r="I1152" i="14" s="1"/>
  <c r="M1152" i="14" s="1"/>
  <c r="H106" i="21"/>
  <c r="I1151" i="14" s="1"/>
  <c r="K1151" i="14" s="1"/>
  <c r="M79" i="21"/>
  <c r="W39" i="21"/>
  <c r="I876" i="14" s="1"/>
  <c r="R81" i="21"/>
  <c r="H22" i="21"/>
  <c r="R37" i="21"/>
  <c r="I867" i="14" s="1"/>
  <c r="H46" i="21"/>
  <c r="I909" i="14" s="1"/>
  <c r="M73" i="21"/>
  <c r="H72" i="21"/>
  <c r="H38" i="21"/>
  <c r="I869" i="14" s="1"/>
  <c r="Z72" i="21"/>
  <c r="H20" i="21"/>
  <c r="H61" i="21"/>
  <c r="U71" i="21"/>
  <c r="Y33" i="21"/>
  <c r="M62" i="21"/>
  <c r="R46" i="21"/>
  <c r="I911" i="14" s="1"/>
  <c r="R9" i="21"/>
  <c r="H63" i="21"/>
  <c r="R49" i="21"/>
  <c r="I923" i="14" s="1"/>
  <c r="M111" i="21"/>
  <c r="I1172" i="14" s="1"/>
  <c r="H48" i="21"/>
  <c r="I917" i="14" s="1"/>
  <c r="H65" i="21"/>
  <c r="H70" i="21"/>
  <c r="M83" i="21"/>
  <c r="M52" i="21"/>
  <c r="I934" i="14" s="1"/>
  <c r="M19" i="21"/>
  <c r="H9" i="21"/>
  <c r="R70" i="21"/>
  <c r="M46" i="21"/>
  <c r="I910" i="14" s="1"/>
  <c r="M63" i="21"/>
  <c r="H36" i="21"/>
  <c r="I861" i="14" s="1"/>
  <c r="H81" i="21"/>
  <c r="R22" i="21"/>
  <c r="H104" i="21"/>
  <c r="I1143" i="14" s="1"/>
  <c r="K1143" i="14" s="1"/>
  <c r="M9" i="21"/>
  <c r="M110" i="21"/>
  <c r="I1168" i="14" s="1"/>
  <c r="H1168" i="14" s="1"/>
  <c r="Z91" i="21"/>
  <c r="T32" i="21"/>
  <c r="M49" i="21"/>
  <c r="I922" i="14" s="1"/>
  <c r="R19" i="21"/>
  <c r="W22" i="21"/>
  <c r="R42" i="21"/>
  <c r="I887" i="14" s="1"/>
  <c r="H49" i="21"/>
  <c r="I921" i="14" s="1"/>
  <c r="Z51" i="21"/>
  <c r="M48" i="21"/>
  <c r="I918" i="14" s="1"/>
  <c r="H26" i="21"/>
  <c r="I828" i="14" s="1"/>
  <c r="W11" i="21"/>
  <c r="W110" i="21"/>
  <c r="I1170" i="14" s="1"/>
  <c r="M26" i="21"/>
  <c r="I829" i="14" s="1"/>
  <c r="R52" i="21"/>
  <c r="I935" i="14" s="1"/>
  <c r="W26" i="21"/>
  <c r="I831" i="14" s="1"/>
  <c r="R11" i="21"/>
  <c r="R36" i="21"/>
  <c r="I863" i="14" s="1"/>
  <c r="U63" i="21"/>
  <c r="H69" i="21"/>
  <c r="R83" i="21"/>
  <c r="M65" i="21"/>
  <c r="H11" i="21"/>
  <c r="Z37" i="21"/>
  <c r="M81" i="21"/>
  <c r="M77" i="21"/>
  <c r="M11" i="21"/>
  <c r="R69" i="21"/>
  <c r="H103" i="21"/>
  <c r="I1139" i="14" s="1"/>
  <c r="H1139" i="14" s="1"/>
  <c r="M75" i="21"/>
  <c r="R77" i="21"/>
  <c r="H77" i="21"/>
  <c r="M44" i="21"/>
  <c r="I902" i="14" s="1"/>
  <c r="H32" i="21"/>
  <c r="I837" i="14" s="1"/>
  <c r="R44" i="21"/>
  <c r="I903" i="14" s="1"/>
  <c r="H89" i="21"/>
  <c r="I1067" i="14" s="1"/>
  <c r="K1067" i="14" s="1"/>
  <c r="Z89" i="21"/>
  <c r="W81" i="21"/>
  <c r="M99" i="21"/>
  <c r="I1124" i="14" s="1"/>
  <c r="M1124" i="14" s="1"/>
  <c r="H75" i="21"/>
  <c r="Z107" i="21"/>
  <c r="M42" i="21"/>
  <c r="I886" i="14" s="1"/>
  <c r="R90" i="21"/>
  <c r="I1073" i="14" s="1"/>
  <c r="T35" i="21"/>
  <c r="U35" i="21"/>
  <c r="R95" i="21"/>
  <c r="I1101" i="14" s="1"/>
  <c r="Z103" i="21"/>
  <c r="Y103" i="21"/>
  <c r="Y49" i="21"/>
  <c r="Z49" i="21"/>
  <c r="Z105" i="21"/>
  <c r="Y105" i="21"/>
  <c r="T48" i="21"/>
  <c r="U48" i="21"/>
  <c r="Z99" i="21"/>
  <c r="Y99" i="21"/>
  <c r="Y46" i="21"/>
  <c r="Z46" i="21"/>
  <c r="H78" i="21"/>
  <c r="H90" i="21"/>
  <c r="I1071" i="14" s="1"/>
  <c r="K1071" i="14" s="1"/>
  <c r="M105" i="21"/>
  <c r="I1148" i="14" s="1"/>
  <c r="M1148" i="14" s="1"/>
  <c r="H105" i="21"/>
  <c r="I1147" i="14" s="1"/>
  <c r="H1147" i="14" s="1"/>
  <c r="Z42" i="21"/>
  <c r="Y42" i="21"/>
  <c r="Z62" i="21"/>
  <c r="Y62" i="21"/>
  <c r="M69" i="21"/>
  <c r="R103" i="21"/>
  <c r="I1141" i="14" s="1"/>
  <c r="M41" i="21"/>
  <c r="I882" i="14" s="1"/>
  <c r="R47" i="21"/>
  <c r="I915" i="14" s="1"/>
  <c r="R105" i="21"/>
  <c r="I1149" i="14" s="1"/>
  <c r="Z47" i="21"/>
  <c r="Y47" i="21"/>
  <c r="T91" i="21"/>
  <c r="U91" i="21"/>
  <c r="H98" i="21"/>
  <c r="I1111" i="14" s="1"/>
  <c r="H1111" i="14" s="1"/>
  <c r="T33" i="21"/>
  <c r="U33" i="21"/>
  <c r="Y75" i="21"/>
  <c r="Z75" i="21"/>
  <c r="R111" i="21"/>
  <c r="I1173" i="14" s="1"/>
  <c r="M78" i="21"/>
  <c r="Z32" i="21"/>
  <c r="Y32" i="21"/>
  <c r="W108" i="21"/>
  <c r="Z79" i="21"/>
  <c r="Y79" i="21"/>
  <c r="Z35" i="21"/>
  <c r="Y35" i="21"/>
  <c r="Y92" i="21"/>
  <c r="Z92" i="21"/>
  <c r="H62" i="21"/>
  <c r="H33" i="21"/>
  <c r="I841" i="14" s="1"/>
  <c r="R79" i="21"/>
  <c r="Z90" i="21"/>
  <c r="Y90" i="21"/>
  <c r="H99" i="21"/>
  <c r="I1123" i="14" s="1"/>
  <c r="H1123" i="14" s="1"/>
  <c r="H79" i="21"/>
  <c r="Y48" i="21"/>
  <c r="Z48" i="21"/>
  <c r="H42" i="21"/>
  <c r="I885" i="14" s="1"/>
  <c r="Y63" i="21"/>
  <c r="Z63" i="21"/>
  <c r="U61" i="21"/>
  <c r="T61" i="21"/>
  <c r="Z71" i="21"/>
  <c r="U89" i="21"/>
  <c r="T89" i="21"/>
  <c r="R108" i="21"/>
  <c r="I1161" i="14" s="1"/>
  <c r="U96" i="21"/>
  <c r="W66" i="21"/>
  <c r="H93" i="21"/>
  <c r="I1091" i="14" s="1"/>
  <c r="H1091" i="14" s="1"/>
  <c r="H76" i="21"/>
  <c r="H67" i="21"/>
  <c r="Z100" i="21"/>
  <c r="Z61" i="21"/>
  <c r="H66" i="21"/>
  <c r="M80" i="21"/>
  <c r="U76" i="21"/>
  <c r="R102" i="21"/>
  <c r="I1137" i="14" s="1"/>
  <c r="Z76" i="21"/>
  <c r="Z60" i="21"/>
  <c r="R94" i="21"/>
  <c r="I1097" i="14" s="1"/>
  <c r="R100" i="21"/>
  <c r="I1129" i="14" s="1"/>
  <c r="H101" i="21"/>
  <c r="I1131" i="14" s="1"/>
  <c r="H1131" i="14" s="1"/>
  <c r="M76" i="21"/>
  <c r="Z74" i="21"/>
  <c r="M101" i="21"/>
  <c r="I1132" i="14" s="1"/>
  <c r="K1132" i="14" s="1"/>
  <c r="R65" i="21"/>
  <c r="H73" i="21"/>
  <c r="Z102" i="21"/>
  <c r="Z97" i="21"/>
  <c r="H110" i="21"/>
  <c r="I1167" i="14" s="1"/>
  <c r="K1167" i="14" s="1"/>
  <c r="M109" i="21"/>
  <c r="I1164" i="14" s="1"/>
  <c r="M1164" i="14" s="1"/>
  <c r="R97" i="21"/>
  <c r="I1109" i="14" s="1"/>
  <c r="Z68" i="21"/>
  <c r="M68" i="21"/>
  <c r="W82" i="21"/>
  <c r="Z93" i="21"/>
  <c r="M102" i="21"/>
  <c r="I1136" i="14" s="1"/>
  <c r="M1136" i="14" s="1"/>
  <c r="W80" i="21"/>
  <c r="U104" i="21"/>
  <c r="Z70" i="21"/>
  <c r="Z65" i="21"/>
  <c r="R109" i="21"/>
  <c r="I1165" i="14" s="1"/>
  <c r="H94" i="21"/>
  <c r="I1095" i="14" s="1"/>
  <c r="K1095" i="14" s="1"/>
  <c r="U68" i="21"/>
  <c r="R107" i="21"/>
  <c r="I1157" i="14" s="1"/>
  <c r="M107" i="21"/>
  <c r="I1156" i="14" s="1"/>
  <c r="M1156" i="14" s="1"/>
  <c r="R82" i="21"/>
  <c r="Z101" i="21"/>
  <c r="W67" i="21"/>
  <c r="M94" i="21"/>
  <c r="I1096" i="14" s="1"/>
  <c r="H1096" i="14" s="1"/>
  <c r="M66" i="21"/>
  <c r="M100" i="21"/>
  <c r="I1128" i="14" s="1"/>
  <c r="K1128" i="14" s="1"/>
  <c r="Z96" i="21"/>
  <c r="M93" i="21"/>
  <c r="I1092" i="14" s="1"/>
  <c r="K1092" i="14" s="1"/>
  <c r="H109" i="21"/>
  <c r="I1163" i="14" s="1"/>
  <c r="H1163" i="14" s="1"/>
  <c r="M67" i="21"/>
  <c r="H68" i="21"/>
  <c r="H91" i="21"/>
  <c r="I1083" i="14" s="1"/>
  <c r="H1083" i="14" s="1"/>
  <c r="H71" i="21"/>
  <c r="Z64" i="21"/>
  <c r="Z73" i="21"/>
  <c r="Z77" i="21"/>
  <c r="R66" i="21"/>
  <c r="H107" i="21"/>
  <c r="I1155" i="14" s="1"/>
  <c r="M1155" i="14" s="1"/>
  <c r="U60" i="21"/>
  <c r="R64" i="21"/>
  <c r="H64" i="21"/>
  <c r="U88" i="21"/>
  <c r="H96" i="21"/>
  <c r="I1103" i="14" s="1"/>
  <c r="H1103" i="14" s="1"/>
  <c r="M39" i="21"/>
  <c r="I874" i="14" s="1"/>
  <c r="R51" i="21"/>
  <c r="I931" i="14" s="1"/>
  <c r="M36" i="21"/>
  <c r="I862" i="14" s="1"/>
  <c r="Z44" i="21"/>
  <c r="Z43" i="21"/>
  <c r="Z40" i="21"/>
  <c r="R54" i="21"/>
  <c r="I943" i="14" s="1"/>
  <c r="M51" i="21"/>
  <c r="I930" i="14" s="1"/>
  <c r="R39" i="21"/>
  <c r="I875" i="14" s="1"/>
  <c r="M37" i="21"/>
  <c r="I866" i="14" s="1"/>
  <c r="Z34" i="21"/>
  <c r="W54" i="21"/>
  <c r="I944" i="14" s="1"/>
  <c r="Z36" i="21"/>
  <c r="M45" i="21"/>
  <c r="I906" i="14" s="1"/>
  <c r="H52" i="21"/>
  <c r="I933" i="14" s="1"/>
  <c r="U40" i="21"/>
  <c r="M54" i="21"/>
  <c r="I942" i="14" s="1"/>
  <c r="R38" i="21"/>
  <c r="I871" i="14" s="1"/>
  <c r="M50" i="21"/>
  <c r="I926" i="14" s="1"/>
  <c r="Z45" i="21"/>
  <c r="M40" i="21"/>
  <c r="I878" i="14" s="1"/>
  <c r="W53" i="21"/>
  <c r="I940" i="14" s="1"/>
  <c r="H40" i="21"/>
  <c r="I877" i="14" s="1"/>
  <c r="R55" i="21"/>
  <c r="I947" i="14" s="1"/>
  <c r="R50" i="21"/>
  <c r="I927" i="14" s="1"/>
  <c r="H37" i="21"/>
  <c r="I865" i="14" s="1"/>
  <c r="U4" i="21"/>
  <c r="O952" i="14" s="1"/>
  <c r="Z4" i="21"/>
  <c r="Z20" i="21"/>
  <c r="Z18" i="21"/>
  <c r="Z16" i="21"/>
  <c r="Z23" i="21"/>
  <c r="Z14" i="21"/>
  <c r="U20" i="21"/>
  <c r="O1145" i="14" s="1"/>
  <c r="Z7" i="21"/>
  <c r="U7" i="21"/>
  <c r="O859" i="14" s="1"/>
  <c r="Z12" i="21"/>
  <c r="Z17" i="21"/>
  <c r="Z5" i="21"/>
  <c r="U5" i="21"/>
  <c r="O956" i="14" s="1"/>
  <c r="U15" i="21"/>
  <c r="O899" i="14" s="1"/>
  <c r="Z8" i="21"/>
  <c r="Z6" i="21"/>
  <c r="U12" i="21"/>
  <c r="O992" i="14" s="1"/>
  <c r="Z9" i="21"/>
  <c r="Z15" i="21"/>
  <c r="Z21" i="21"/>
  <c r="Z19" i="21"/>
  <c r="Z13" i="21"/>
  <c r="W5" i="19"/>
  <c r="W9" i="19"/>
  <c r="W13" i="19"/>
  <c r="W17" i="19"/>
  <c r="W21" i="19"/>
  <c r="L718" i="14"/>
  <c r="L703" i="14"/>
  <c r="L686" i="14"/>
  <c r="L671" i="14"/>
  <c r="L687" i="14"/>
  <c r="M14" i="19"/>
  <c r="L656" i="14"/>
  <c r="R6" i="19"/>
  <c r="L688" i="14"/>
  <c r="R14" i="19"/>
  <c r="L720" i="14"/>
  <c r="P9" i="19"/>
  <c r="R9" i="19"/>
  <c r="L654" i="14"/>
  <c r="L655" i="14"/>
  <c r="L719" i="14"/>
  <c r="L672" i="14"/>
  <c r="R10" i="19"/>
  <c r="L704" i="14"/>
  <c r="R18" i="19"/>
  <c r="I657" i="14"/>
  <c r="W6" i="19"/>
  <c r="O673" i="14"/>
  <c r="W10" i="19"/>
  <c r="L689" i="14"/>
  <c r="W14" i="19"/>
  <c r="O705" i="14"/>
  <c r="W18" i="19"/>
  <c r="I721" i="14"/>
  <c r="W22" i="19"/>
  <c r="K11" i="19"/>
  <c r="I675" i="14" s="1"/>
  <c r="R5" i="19"/>
  <c r="F3" i="19"/>
  <c r="X3" i="19" s="1"/>
  <c r="R3" i="19"/>
  <c r="R11" i="19"/>
  <c r="R15" i="19"/>
  <c r="R19" i="19"/>
  <c r="W3" i="19"/>
  <c r="W7" i="19"/>
  <c r="W11" i="19"/>
  <c r="U15" i="19"/>
  <c r="W15" i="19"/>
  <c r="W19" i="19"/>
  <c r="J646" i="14"/>
  <c r="J658" i="14"/>
  <c r="L662" i="14"/>
  <c r="K16" i="19"/>
  <c r="K20" i="19"/>
  <c r="F16" i="19"/>
  <c r="I694" i="14" s="1"/>
  <c r="H694" i="14" s="1"/>
  <c r="P8" i="19"/>
  <c r="R8" i="19"/>
  <c r="R16" i="19"/>
  <c r="R13" i="19"/>
  <c r="J674" i="14"/>
  <c r="P4" i="19"/>
  <c r="R4" i="19"/>
  <c r="W4" i="19"/>
  <c r="W8" i="19"/>
  <c r="W16" i="19"/>
  <c r="U20" i="19"/>
  <c r="W20" i="19"/>
  <c r="J706" i="14"/>
  <c r="J710" i="14"/>
  <c r="J650" i="14"/>
  <c r="L666" i="14"/>
  <c r="J682" i="14"/>
  <c r="J698" i="14"/>
  <c r="L714" i="14"/>
  <c r="J690" i="14"/>
  <c r="J678" i="14"/>
  <c r="K9" i="19"/>
  <c r="K17" i="19"/>
  <c r="K21" i="19"/>
  <c r="F20" i="19"/>
  <c r="I710" i="14" s="1"/>
  <c r="H710" i="14" s="1"/>
  <c r="U13" i="19"/>
  <c r="U18" i="19"/>
  <c r="J662" i="14"/>
  <c r="P5" i="19"/>
  <c r="U3" i="19"/>
  <c r="U19" i="19"/>
  <c r="U16" i="19"/>
  <c r="I673" i="14"/>
  <c r="J673" i="14"/>
  <c r="L698" i="14"/>
  <c r="L650" i="14"/>
  <c r="F4" i="19"/>
  <c r="I646" i="14" s="1"/>
  <c r="H646" i="14" s="1"/>
  <c r="I705" i="14"/>
  <c r="J714" i="14"/>
  <c r="J666" i="14"/>
  <c r="J705" i="14"/>
  <c r="J657" i="14"/>
  <c r="U7" i="19"/>
  <c r="O657" i="14"/>
  <c r="I689" i="14"/>
  <c r="F8" i="19"/>
  <c r="I662" i="14" s="1"/>
  <c r="J689" i="14"/>
  <c r="O689" i="14"/>
  <c r="L682" i="14"/>
  <c r="P17" i="19"/>
  <c r="J721" i="14"/>
  <c r="J670" i="14"/>
  <c r="O688" i="14"/>
  <c r="J702" i="14"/>
  <c r="O721" i="14"/>
  <c r="L657" i="14"/>
  <c r="L673" i="14"/>
  <c r="L705" i="14"/>
  <c r="L721" i="14"/>
  <c r="J686" i="14"/>
  <c r="J719" i="14"/>
  <c r="L642" i="14"/>
  <c r="L658" i="14"/>
  <c r="L674" i="14"/>
  <c r="L690" i="14"/>
  <c r="L706" i="14"/>
  <c r="I672" i="14"/>
  <c r="J694" i="14"/>
  <c r="I704" i="14"/>
  <c r="L646" i="14"/>
  <c r="L678" i="14"/>
  <c r="L694" i="14"/>
  <c r="L710" i="14"/>
  <c r="J671" i="14"/>
  <c r="P16" i="19"/>
  <c r="J672" i="14"/>
  <c r="J704" i="14"/>
  <c r="J718" i="14"/>
  <c r="J703" i="14"/>
  <c r="K4" i="19"/>
  <c r="K8" i="19"/>
  <c r="F12" i="19"/>
  <c r="I678" i="14" s="1"/>
  <c r="H678" i="14" s="1"/>
  <c r="P20" i="19"/>
  <c r="O672" i="14"/>
  <c r="O704" i="14"/>
  <c r="K5" i="19"/>
  <c r="J655" i="14"/>
  <c r="J687" i="14"/>
  <c r="U12" i="19"/>
  <c r="I687" i="14"/>
  <c r="M687" i="14" s="1"/>
  <c r="O687" i="14"/>
  <c r="J720" i="14"/>
  <c r="J654" i="14"/>
  <c r="J642" i="14"/>
  <c r="I656" i="14"/>
  <c r="L670" i="14"/>
  <c r="L702" i="14"/>
  <c r="U8" i="19"/>
  <c r="F9" i="19"/>
  <c r="I666" i="14" s="1"/>
  <c r="J656" i="14"/>
  <c r="I688" i="14"/>
  <c r="P12" i="19"/>
  <c r="O656" i="14"/>
  <c r="J688" i="14"/>
  <c r="P647" i="14"/>
  <c r="J647" i="14" s="1"/>
  <c r="P663" i="14"/>
  <c r="J663" i="14" s="1"/>
  <c r="P679" i="14"/>
  <c r="J679" i="14" s="1"/>
  <c r="P695" i="14"/>
  <c r="J695" i="14" s="1"/>
  <c r="P711" i="14"/>
  <c r="L711" i="14" s="1"/>
  <c r="P643" i="14"/>
  <c r="J643" i="14" s="1"/>
  <c r="P659" i="14"/>
  <c r="L659" i="14" s="1"/>
  <c r="P675" i="14"/>
  <c r="L675" i="14" s="1"/>
  <c r="P691" i="14"/>
  <c r="J691" i="14" s="1"/>
  <c r="P707" i="14"/>
  <c r="L707" i="14" s="1"/>
  <c r="P667" i="14"/>
  <c r="L667" i="14" s="1"/>
  <c r="P683" i="14"/>
  <c r="L683" i="14" s="1"/>
  <c r="P699" i="14"/>
  <c r="L699" i="14" s="1"/>
  <c r="P715" i="14"/>
  <c r="L715" i="14" s="1"/>
  <c r="P651" i="14"/>
  <c r="J651" i="14" s="1"/>
  <c r="F14" i="19"/>
  <c r="I686" i="14" s="1"/>
  <c r="F19" i="19"/>
  <c r="I706" i="14" s="1"/>
  <c r="F17" i="19"/>
  <c r="I698" i="14" s="1"/>
  <c r="F11" i="19"/>
  <c r="F15" i="19"/>
  <c r="K15" i="19"/>
  <c r="P7" i="19"/>
  <c r="U5" i="19"/>
  <c r="F21" i="19"/>
  <c r="F5" i="19"/>
  <c r="U9" i="19"/>
  <c r="P13" i="19"/>
  <c r="F6" i="19"/>
  <c r="I654" i="14" s="1"/>
  <c r="F22" i="19"/>
  <c r="K6" i="19"/>
  <c r="I655" i="14" s="1"/>
  <c r="K12" i="19"/>
  <c r="U10" i="19"/>
  <c r="P14" i="19"/>
  <c r="K18" i="19"/>
  <c r="I703" i="14" s="1"/>
  <c r="M703" i="14" s="1"/>
  <c r="K3" i="19"/>
  <c r="U11" i="19"/>
  <c r="P15" i="19"/>
  <c r="K19" i="19"/>
  <c r="F7" i="19"/>
  <c r="I658" i="14" s="1"/>
  <c r="K22" i="19"/>
  <c r="I719" i="14" s="1"/>
  <c r="M719" i="14" s="1"/>
  <c r="F10" i="19"/>
  <c r="I670" i="14" s="1"/>
  <c r="U14" i="19"/>
  <c r="P18" i="19"/>
  <c r="P3" i="19"/>
  <c r="K7" i="19"/>
  <c r="P21" i="19"/>
  <c r="F13" i="19"/>
  <c r="I682" i="14" s="1"/>
  <c r="U17" i="19"/>
  <c r="P6" i="19"/>
  <c r="K10" i="19"/>
  <c r="I671" i="14" s="1"/>
  <c r="M671" i="14" s="1"/>
  <c r="P22" i="19"/>
  <c r="I720" i="14" s="1"/>
  <c r="U4" i="19"/>
  <c r="K13" i="19"/>
  <c r="U21" i="19"/>
  <c r="U22" i="19"/>
  <c r="U6" i="19"/>
  <c r="P10" i="19"/>
  <c r="K14" i="19"/>
  <c r="F18" i="19"/>
  <c r="P16" i="14"/>
  <c r="D174" i="2"/>
  <c r="D184" i="2" s="1"/>
  <c r="D175" i="2"/>
  <c r="D185" i="2" s="1"/>
  <c r="D176" i="2"/>
  <c r="D186" i="2" s="1"/>
  <c r="D177" i="2"/>
  <c r="D187" i="2" s="1"/>
  <c r="D178" i="2"/>
  <c r="D188" i="2" s="1"/>
  <c r="N14" i="5" l="1"/>
  <c r="G19" i="10" s="1"/>
  <c r="G18" i="10"/>
  <c r="N15" i="5"/>
  <c r="G22" i="10" s="1"/>
  <c r="G21" i="10"/>
  <c r="H1171" i="14"/>
  <c r="K1160" i="14"/>
  <c r="M1160" i="14"/>
  <c r="K1171" i="14"/>
  <c r="H950" i="14"/>
  <c r="K43" i="21"/>
  <c r="I897" i="14"/>
  <c r="H963" i="14"/>
  <c r="K963" i="14"/>
  <c r="K950" i="14"/>
  <c r="M1007" i="14"/>
  <c r="H1007" i="14"/>
  <c r="K1003" i="14"/>
  <c r="H1080" i="14"/>
  <c r="M1003" i="14"/>
  <c r="K1080" i="14"/>
  <c r="I1162" i="14"/>
  <c r="K781" i="14"/>
  <c r="H781" i="14"/>
  <c r="H850" i="14"/>
  <c r="K850" i="14"/>
  <c r="H967" i="14"/>
  <c r="K967" i="14"/>
  <c r="I683" i="14"/>
  <c r="J675" i="14"/>
  <c r="M891" i="14"/>
  <c r="L647" i="14"/>
  <c r="L651" i="14"/>
  <c r="J667" i="14"/>
  <c r="I1102" i="14"/>
  <c r="L691" i="14"/>
  <c r="J707" i="14"/>
  <c r="I711" i="14"/>
  <c r="H1120" i="14"/>
  <c r="I1070" i="14"/>
  <c r="K1120" i="14"/>
  <c r="J699" i="14"/>
  <c r="I715" i="14"/>
  <c r="I667" i="14"/>
  <c r="J715" i="14"/>
  <c r="J683" i="14"/>
  <c r="I1114" i="14"/>
  <c r="L1114" i="14"/>
  <c r="H854" i="14"/>
  <c r="K854" i="14"/>
  <c r="H1135" i="14"/>
  <c r="P21" i="21"/>
  <c r="O1148" i="14" s="1"/>
  <c r="U21" i="21"/>
  <c r="O810" i="14" s="1"/>
  <c r="U23" i="21"/>
  <c r="O1044" i="14" s="1"/>
  <c r="K4" i="21"/>
  <c r="O724" i="14" s="1"/>
  <c r="K21" i="21"/>
  <c r="O1147" i="14" s="1"/>
  <c r="P12" i="21"/>
  <c r="O991" i="14" s="1"/>
  <c r="P4" i="21"/>
  <c r="O951" i="14" s="1"/>
  <c r="P7" i="21"/>
  <c r="O858" i="14" s="1"/>
  <c r="L695" i="14"/>
  <c r="O783" i="14"/>
  <c r="J783" i="14"/>
  <c r="I783" i="14"/>
  <c r="L783" i="14"/>
  <c r="L1025" i="14"/>
  <c r="L1106" i="14"/>
  <c r="J1134" i="14"/>
  <c r="I1150" i="14"/>
  <c r="L735" i="14"/>
  <c r="J1146" i="14"/>
  <c r="J953" i="14"/>
  <c r="I1086" i="14"/>
  <c r="J1049" i="14"/>
  <c r="J1102" i="14"/>
  <c r="L679" i="14"/>
  <c r="J659" i="14"/>
  <c r="L1009" i="14"/>
  <c r="J1009" i="14"/>
  <c r="I1009" i="14"/>
  <c r="I1134" i="14"/>
  <c r="I1146" i="14"/>
  <c r="J1017" i="14"/>
  <c r="J1098" i="14"/>
  <c r="J754" i="14"/>
  <c r="L815" i="14"/>
  <c r="J997" i="14"/>
  <c r="L810" i="14"/>
  <c r="J818" i="14"/>
  <c r="L1126" i="14"/>
  <c r="I691" i="14"/>
  <c r="L663" i="14"/>
  <c r="L643" i="14"/>
  <c r="L778" i="14"/>
  <c r="J778" i="14"/>
  <c r="I778" i="14"/>
  <c r="O778" i="14"/>
  <c r="L1094" i="14"/>
  <c r="I1106" i="14"/>
  <c r="J957" i="14"/>
  <c r="J1090" i="14"/>
  <c r="J767" i="14"/>
  <c r="L985" i="14"/>
  <c r="I1098" i="14"/>
  <c r="L1158" i="14"/>
  <c r="L977" i="14"/>
  <c r="J1045" i="14"/>
  <c r="J1094" i="14"/>
  <c r="Q743" i="14"/>
  <c r="L742" i="14"/>
  <c r="O742" i="14"/>
  <c r="J742" i="14"/>
  <c r="I742" i="14"/>
  <c r="H15" i="14"/>
  <c r="K15" i="14"/>
  <c r="L15" i="14" s="1"/>
  <c r="J15" i="14"/>
  <c r="J1122" i="14"/>
  <c r="I1122" i="14"/>
  <c r="L1122" i="14"/>
  <c r="J1037" i="14"/>
  <c r="I1090" i="14"/>
  <c r="L751" i="14"/>
  <c r="J1074" i="14"/>
  <c r="L1066" i="14"/>
  <c r="H741" i="14"/>
  <c r="K741" i="14"/>
  <c r="M741" i="14"/>
  <c r="J973" i="14"/>
  <c r="J1070" i="14"/>
  <c r="I1074" i="14"/>
  <c r="J1001" i="14"/>
  <c r="L961" i="14"/>
  <c r="H737" i="14"/>
  <c r="M737" i="14"/>
  <c r="K737" i="14"/>
  <c r="L1173" i="14"/>
  <c r="I643" i="14"/>
  <c r="I699" i="14"/>
  <c r="K1159" i="14"/>
  <c r="L794" i="14"/>
  <c r="I1158" i="14"/>
  <c r="J981" i="14"/>
  <c r="I1066" i="14"/>
  <c r="I1126" i="14"/>
  <c r="J1166" i="14"/>
  <c r="H1159" i="14"/>
  <c r="J1041" i="14"/>
  <c r="L1110" i="14"/>
  <c r="L989" i="14"/>
  <c r="L1142" i="14"/>
  <c r="J711" i="14"/>
  <c r="I695" i="14"/>
  <c r="L965" i="14"/>
  <c r="J965" i="14"/>
  <c r="I965" i="14"/>
  <c r="K1164" i="14"/>
  <c r="L1053" i="14"/>
  <c r="L1060" i="14"/>
  <c r="J1029" i="14"/>
  <c r="J1021" i="14"/>
  <c r="L799" i="14"/>
  <c r="L1013" i="14"/>
  <c r="L802" i="14"/>
  <c r="L1033" i="14"/>
  <c r="J1154" i="14"/>
  <c r="I1154" i="14"/>
  <c r="K1147" i="14"/>
  <c r="J1078" i="14"/>
  <c r="I1078" i="14"/>
  <c r="L1078" i="14"/>
  <c r="J993" i="14"/>
  <c r="I659" i="14"/>
  <c r="O16" i="14"/>
  <c r="I16" i="14"/>
  <c r="I1005" i="14"/>
  <c r="L1005" i="14"/>
  <c r="J1005" i="14"/>
  <c r="L1057" i="14"/>
  <c r="J770" i="14"/>
  <c r="L786" i="14"/>
  <c r="J1170" i="14"/>
  <c r="H782" i="14"/>
  <c r="K782" i="14"/>
  <c r="M782" i="14"/>
  <c r="I647" i="14"/>
  <c r="O643" i="14"/>
  <c r="O738" i="14"/>
  <c r="L738" i="14"/>
  <c r="J738" i="14"/>
  <c r="I738" i="14"/>
  <c r="K1124" i="14"/>
  <c r="K1096" i="14"/>
  <c r="L1138" i="14"/>
  <c r="L1130" i="14"/>
  <c r="L1162" i="14"/>
  <c r="M1096" i="14"/>
  <c r="M1104" i="14"/>
  <c r="L973" i="14"/>
  <c r="L1086" i="14"/>
  <c r="L1081" i="14"/>
  <c r="J1081" i="14"/>
  <c r="I1081" i="14"/>
  <c r="M1081" i="14" s="1"/>
  <c r="I651" i="14"/>
  <c r="J1118" i="14"/>
  <c r="I1118" i="14"/>
  <c r="L1118" i="14"/>
  <c r="M1168" i="14"/>
  <c r="I1142" i="14"/>
  <c r="I1138" i="14"/>
  <c r="I1130" i="14"/>
  <c r="L1150" i="14"/>
  <c r="H777" i="14"/>
  <c r="M777" i="14"/>
  <c r="K777" i="14"/>
  <c r="L969" i="14"/>
  <c r="J969" i="14"/>
  <c r="I969" i="14"/>
  <c r="J1082" i="14"/>
  <c r="I1082" i="14"/>
  <c r="L1082" i="14"/>
  <c r="I1110" i="14"/>
  <c r="O1032" i="14"/>
  <c r="M1083" i="14"/>
  <c r="H1095" i="14"/>
  <c r="K7" i="21"/>
  <c r="O1083" i="14" s="1"/>
  <c r="K1112" i="14"/>
  <c r="M1128" i="14"/>
  <c r="M1099" i="14"/>
  <c r="K1099" i="14"/>
  <c r="M1111" i="14"/>
  <c r="K1123" i="14"/>
  <c r="K1087" i="14"/>
  <c r="H1164" i="14"/>
  <c r="K1108" i="14"/>
  <c r="O919" i="14"/>
  <c r="M1132" i="14"/>
  <c r="H1167" i="14"/>
  <c r="O1085" i="14"/>
  <c r="M1067" i="14"/>
  <c r="H1067" i="14"/>
  <c r="K1155" i="14"/>
  <c r="H1071" i="14"/>
  <c r="K1072" i="14"/>
  <c r="H1155" i="14"/>
  <c r="K1168" i="14"/>
  <c r="I726" i="14"/>
  <c r="I734" i="14"/>
  <c r="O735" i="14"/>
  <c r="O791" i="14"/>
  <c r="I1031" i="14"/>
  <c r="M931" i="14"/>
  <c r="I1044" i="14"/>
  <c r="M1044" i="14" s="1"/>
  <c r="I1027" i="14"/>
  <c r="K829" i="14"/>
  <c r="H829" i="14"/>
  <c r="M829" i="14"/>
  <c r="I814" i="14"/>
  <c r="I754" i="14"/>
  <c r="I1043" i="14"/>
  <c r="I1040" i="14"/>
  <c r="K1040" i="14" s="1"/>
  <c r="H927" i="14"/>
  <c r="I768" i="14"/>
  <c r="I728" i="14"/>
  <c r="I822" i="14"/>
  <c r="H1124" i="14"/>
  <c r="K1083" i="14"/>
  <c r="H1087" i="14"/>
  <c r="H1092" i="14"/>
  <c r="K1111" i="14"/>
  <c r="M1108" i="14"/>
  <c r="M1112" i="14"/>
  <c r="I731" i="14"/>
  <c r="I985" i="14"/>
  <c r="I800" i="14"/>
  <c r="O786" i="14"/>
  <c r="I958" i="14"/>
  <c r="I996" i="14"/>
  <c r="M996" i="14" s="1"/>
  <c r="M883" i="14"/>
  <c r="I763" i="14"/>
  <c r="I959" i="14"/>
  <c r="I1016" i="14"/>
  <c r="M1016" i="14" s="1"/>
  <c r="M903" i="14"/>
  <c r="I988" i="14"/>
  <c r="M988" i="14" s="1"/>
  <c r="M875" i="14"/>
  <c r="I818" i="14"/>
  <c r="O1012" i="14"/>
  <c r="M1151" i="14"/>
  <c r="M1163" i="14"/>
  <c r="M1092" i="14"/>
  <c r="I727" i="14"/>
  <c r="I1013" i="14"/>
  <c r="I953" i="14"/>
  <c r="I807" i="14"/>
  <c r="I1032" i="14"/>
  <c r="M1032" i="14" s="1"/>
  <c r="M919" i="14"/>
  <c r="I764" i="14"/>
  <c r="I810" i="14"/>
  <c r="I1058" i="14"/>
  <c r="O799" i="14"/>
  <c r="I1038" i="14"/>
  <c r="I761" i="14"/>
  <c r="K828" i="14"/>
  <c r="M828" i="14"/>
  <c r="H828" i="14"/>
  <c r="I971" i="14"/>
  <c r="I774" i="14"/>
  <c r="I1015" i="14"/>
  <c r="I1048" i="14"/>
  <c r="M1048" i="14" s="1"/>
  <c r="H935" i="14"/>
  <c r="I759" i="14"/>
  <c r="I749" i="14"/>
  <c r="O843" i="14"/>
  <c r="H1151" i="14"/>
  <c r="K1163" i="14"/>
  <c r="H1156" i="14"/>
  <c r="I745" i="14"/>
  <c r="I1017" i="14"/>
  <c r="I746" i="14"/>
  <c r="O1105" i="14"/>
  <c r="I765" i="14"/>
  <c r="O807" i="14"/>
  <c r="I974" i="14"/>
  <c r="I1057" i="14"/>
  <c r="I1035" i="14"/>
  <c r="I793" i="14"/>
  <c r="K825" i="14"/>
  <c r="H825" i="14"/>
  <c r="M825" i="14"/>
  <c r="I823" i="14"/>
  <c r="I756" i="14"/>
  <c r="I817" i="14"/>
  <c r="M1147" i="14"/>
  <c r="K1156" i="14"/>
  <c r="K830" i="14"/>
  <c r="H830" i="14"/>
  <c r="M830" i="14"/>
  <c r="I955" i="14"/>
  <c r="K837" i="14"/>
  <c r="H837" i="14"/>
  <c r="M837" i="14"/>
  <c r="I766" i="14"/>
  <c r="I977" i="14"/>
  <c r="I1029" i="14"/>
  <c r="P6" i="21"/>
  <c r="O730" i="14"/>
  <c r="I983" i="14"/>
  <c r="O731" i="14"/>
  <c r="K12" i="21"/>
  <c r="I976" i="14"/>
  <c r="M976" i="14" s="1"/>
  <c r="H863" i="14"/>
  <c r="I991" i="14"/>
  <c r="I1051" i="14"/>
  <c r="I1000" i="14"/>
  <c r="M1000" i="14" s="1"/>
  <c r="H887" i="14"/>
  <c r="K61" i="21"/>
  <c r="I954" i="14"/>
  <c r="I772" i="14"/>
  <c r="I805" i="14"/>
  <c r="I1011" i="14"/>
  <c r="K827" i="14"/>
  <c r="H827" i="14"/>
  <c r="M827" i="14"/>
  <c r="K8" i="21"/>
  <c r="I748" i="14"/>
  <c r="M1143" i="14"/>
  <c r="H1084" i="14"/>
  <c r="I730" i="14"/>
  <c r="I757" i="14"/>
  <c r="I952" i="14"/>
  <c r="H952" i="14" s="1"/>
  <c r="H839" i="14"/>
  <c r="M899" i="14"/>
  <c r="I1012" i="14"/>
  <c r="K1012" i="14" s="1"/>
  <c r="M923" i="14"/>
  <c r="I1036" i="14"/>
  <c r="M1036" i="14" s="1"/>
  <c r="I798" i="14"/>
  <c r="O727" i="14"/>
  <c r="I989" i="14"/>
  <c r="I1026" i="14"/>
  <c r="I752" i="14"/>
  <c r="I804" i="14"/>
  <c r="K826" i="14"/>
  <c r="H826" i="14"/>
  <c r="M826" i="14"/>
  <c r="I770" i="14"/>
  <c r="I1024" i="14"/>
  <c r="K1024" i="14" s="1"/>
  <c r="M911" i="14"/>
  <c r="K23" i="21"/>
  <c r="I816" i="14"/>
  <c r="H1143" i="14"/>
  <c r="K1084" i="14"/>
  <c r="H1088" i="14"/>
  <c r="I961" i="14"/>
  <c r="I751" i="14"/>
  <c r="I744" i="14"/>
  <c r="I957" i="14"/>
  <c r="M907" i="14"/>
  <c r="I1020" i="14"/>
  <c r="H1020" i="14" s="1"/>
  <c r="I747" i="14"/>
  <c r="I1025" i="14"/>
  <c r="I1045" i="14"/>
  <c r="O726" i="14"/>
  <c r="I760" i="14"/>
  <c r="I801" i="14"/>
  <c r="I789" i="14"/>
  <c r="I750" i="14"/>
  <c r="K1135" i="14"/>
  <c r="K1139" i="14"/>
  <c r="H1144" i="14"/>
  <c r="K1088" i="14"/>
  <c r="O1069" i="14"/>
  <c r="M1123" i="14"/>
  <c r="I809" i="14"/>
  <c r="I799" i="14"/>
  <c r="I981" i="14"/>
  <c r="I997" i="14"/>
  <c r="I970" i="14"/>
  <c r="I791" i="14"/>
  <c r="O767" i="14"/>
  <c r="I975" i="14"/>
  <c r="I821" i="14"/>
  <c r="O725" i="14"/>
  <c r="O838" i="14"/>
  <c r="O1064" i="14"/>
  <c r="O746" i="14"/>
  <c r="I984" i="14"/>
  <c r="K984" i="14" s="1"/>
  <c r="H871" i="14"/>
  <c r="M943" i="14"/>
  <c r="I1056" i="14"/>
  <c r="K1056" i="14" s="1"/>
  <c r="I1047" i="14"/>
  <c r="I1053" i="14"/>
  <c r="I979" i="14"/>
  <c r="I815" i="14"/>
  <c r="I792" i="14"/>
  <c r="I797" i="14"/>
  <c r="I773" i="14"/>
  <c r="I1054" i="14"/>
  <c r="I820" i="14"/>
  <c r="I1022" i="14"/>
  <c r="M1139" i="14"/>
  <c r="H1072" i="14"/>
  <c r="K1144" i="14"/>
  <c r="H1148" i="14"/>
  <c r="I1037" i="14"/>
  <c r="I999" i="14"/>
  <c r="I1046" i="14"/>
  <c r="I735" i="14"/>
  <c r="I1059" i="14"/>
  <c r="K1059" i="14" s="1"/>
  <c r="M946" i="14"/>
  <c r="I813" i="14"/>
  <c r="O879" i="14"/>
  <c r="O839" i="14"/>
  <c r="H1140" i="14"/>
  <c r="K1148" i="14"/>
  <c r="H1152" i="14"/>
  <c r="I1001" i="14"/>
  <c r="I1060" i="14"/>
  <c r="O806" i="14"/>
  <c r="I994" i="14"/>
  <c r="I998" i="14"/>
  <c r="I1019" i="14"/>
  <c r="I960" i="14"/>
  <c r="K960" i="14" s="1"/>
  <c r="M847" i="14"/>
  <c r="I790" i="14"/>
  <c r="M1131" i="14"/>
  <c r="H1064" i="14"/>
  <c r="H1068" i="14"/>
  <c r="K1140" i="14"/>
  <c r="K1152" i="14"/>
  <c r="M1103" i="14"/>
  <c r="M1107" i="14"/>
  <c r="I725" i="14"/>
  <c r="I733" i="14"/>
  <c r="I786" i="14"/>
  <c r="H832" i="14"/>
  <c r="M832" i="14"/>
  <c r="K832" i="14"/>
  <c r="K835" i="14"/>
  <c r="H835" i="14"/>
  <c r="M835" i="14"/>
  <c r="O751" i="14"/>
  <c r="I1033" i="14"/>
  <c r="I982" i="14"/>
  <c r="I802" i="14"/>
  <c r="O775" i="14"/>
  <c r="I995" i="14"/>
  <c r="I978" i="14"/>
  <c r="K60" i="21"/>
  <c r="I951" i="14"/>
  <c r="I1055" i="14"/>
  <c r="K824" i="14"/>
  <c r="H824" i="14"/>
  <c r="M824" i="14"/>
  <c r="I796" i="14"/>
  <c r="I1023" i="14"/>
  <c r="I788" i="14"/>
  <c r="K1131" i="14"/>
  <c r="K1064" i="14"/>
  <c r="K1068" i="14"/>
  <c r="H1136" i="14"/>
  <c r="K1103" i="14"/>
  <c r="K1107" i="14"/>
  <c r="K1063" i="14"/>
  <c r="I732" i="14"/>
  <c r="I992" i="14"/>
  <c r="H992" i="14" s="1"/>
  <c r="M879" i="14"/>
  <c r="I987" i="14"/>
  <c r="I1049" i="14"/>
  <c r="I1050" i="14"/>
  <c r="I729" i="14"/>
  <c r="P23" i="21"/>
  <c r="O922" i="14"/>
  <c r="O809" i="14"/>
  <c r="O1035" i="14"/>
  <c r="I1010" i="14"/>
  <c r="I1018" i="14"/>
  <c r="I986" i="14"/>
  <c r="I1042" i="14"/>
  <c r="I1039" i="14"/>
  <c r="H834" i="14"/>
  <c r="K834" i="14"/>
  <c r="M834" i="14"/>
  <c r="I785" i="14"/>
  <c r="I769" i="14"/>
  <c r="O972" i="14"/>
  <c r="K1136" i="14"/>
  <c r="M1091" i="14"/>
  <c r="O1125" i="14"/>
  <c r="M1063" i="14"/>
  <c r="I767" i="14"/>
  <c r="I1021" i="14"/>
  <c r="O766" i="14"/>
  <c r="O747" i="14"/>
  <c r="O1084" i="14"/>
  <c r="I980" i="14"/>
  <c r="M980" i="14" s="1"/>
  <c r="H867" i="14"/>
  <c r="I1030" i="14"/>
  <c r="I762" i="14"/>
  <c r="I812" i="14"/>
  <c r="K833" i="14"/>
  <c r="H833" i="14"/>
  <c r="M833" i="14"/>
  <c r="I784" i="14"/>
  <c r="M1071" i="14"/>
  <c r="H1128" i="14"/>
  <c r="H1132" i="14"/>
  <c r="K1091" i="14"/>
  <c r="M1095" i="14"/>
  <c r="O1065" i="14"/>
  <c r="M1167" i="14"/>
  <c r="H1104" i="14"/>
  <c r="I794" i="14"/>
  <c r="I972" i="14"/>
  <c r="K972" i="14" s="1"/>
  <c r="K859" i="14"/>
  <c r="I806" i="14"/>
  <c r="I758" i="14"/>
  <c r="U6" i="21"/>
  <c r="I1014" i="14"/>
  <c r="K6" i="21"/>
  <c r="I990" i="14"/>
  <c r="I1034" i="14"/>
  <c r="K831" i="14"/>
  <c r="H831" i="14"/>
  <c r="M831" i="14"/>
  <c r="I753" i="14"/>
  <c r="M939" i="14"/>
  <c r="I1052" i="14"/>
  <c r="M1052" i="14" s="1"/>
  <c r="M915" i="14"/>
  <c r="I1028" i="14"/>
  <c r="K1028" i="14" s="1"/>
  <c r="I1041" i="14"/>
  <c r="I993" i="14"/>
  <c r="I956" i="14"/>
  <c r="M956" i="14" s="1"/>
  <c r="K843" i="14"/>
  <c r="I775" i="14"/>
  <c r="I724" i="14"/>
  <c r="I808" i="14"/>
  <c r="M1129" i="14"/>
  <c r="K1129" i="14"/>
  <c r="H1129" i="14"/>
  <c r="M1153" i="14"/>
  <c r="K1153" i="14"/>
  <c r="H1153" i="14"/>
  <c r="M1109" i="14"/>
  <c r="K1109" i="14"/>
  <c r="H1109" i="14"/>
  <c r="M1133" i="14"/>
  <c r="K1133" i="14"/>
  <c r="H1133" i="14"/>
  <c r="M1097" i="14"/>
  <c r="K1097" i="14"/>
  <c r="H1097" i="14"/>
  <c r="M1113" i="14"/>
  <c r="K1113" i="14"/>
  <c r="H1113" i="14"/>
  <c r="M1073" i="14"/>
  <c r="K1073" i="14"/>
  <c r="H1073" i="14"/>
  <c r="O1142" i="14"/>
  <c r="O1146" i="14"/>
  <c r="O1110" i="14"/>
  <c r="M1117" i="14"/>
  <c r="K1117" i="14"/>
  <c r="H1117" i="14"/>
  <c r="O1130" i="14"/>
  <c r="O1134" i="14"/>
  <c r="O1114" i="14"/>
  <c r="M1121" i="14"/>
  <c r="K1121" i="14"/>
  <c r="H1121" i="14"/>
  <c r="O1074" i="14"/>
  <c r="O1118" i="14"/>
  <c r="M1085" i="14"/>
  <c r="K1085" i="14"/>
  <c r="H1085" i="14"/>
  <c r="Q1174" i="14"/>
  <c r="I1174" i="14" s="1"/>
  <c r="O1122" i="14"/>
  <c r="M1172" i="14"/>
  <c r="K1172" i="14"/>
  <c r="H1172" i="14"/>
  <c r="M1161" i="14"/>
  <c r="K1161" i="14"/>
  <c r="H1161" i="14"/>
  <c r="M1137" i="14"/>
  <c r="K1137" i="14"/>
  <c r="H1137" i="14"/>
  <c r="O1086" i="14"/>
  <c r="M1101" i="14"/>
  <c r="K1101" i="14"/>
  <c r="H1101" i="14"/>
  <c r="M1125" i="14"/>
  <c r="K1125" i="14"/>
  <c r="H1125" i="14"/>
  <c r="M1093" i="14"/>
  <c r="K1093" i="14"/>
  <c r="H1093" i="14"/>
  <c r="M1169" i="14"/>
  <c r="K1169" i="14"/>
  <c r="H1169" i="14"/>
  <c r="O1138" i="14"/>
  <c r="M1145" i="14"/>
  <c r="K1145" i="14"/>
  <c r="H1145" i="14"/>
  <c r="O1126" i="14"/>
  <c r="O1094" i="14"/>
  <c r="M1149" i="14"/>
  <c r="K1149" i="14"/>
  <c r="H1149" i="14"/>
  <c r="M1105" i="14"/>
  <c r="K1105" i="14"/>
  <c r="H1105" i="14"/>
  <c r="M1077" i="14"/>
  <c r="K1077" i="14"/>
  <c r="H1077" i="14"/>
  <c r="M1089" i="14"/>
  <c r="K1089" i="14"/>
  <c r="H1089" i="14"/>
  <c r="M1141" i="14"/>
  <c r="K1141" i="14"/>
  <c r="H1141" i="14"/>
  <c r="M1065" i="14"/>
  <c r="K1065" i="14"/>
  <c r="H1065" i="14"/>
  <c r="M1069" i="14"/>
  <c r="K1069" i="14"/>
  <c r="H1069" i="14"/>
  <c r="O1150" i="14"/>
  <c r="M1165" i="14"/>
  <c r="K1165" i="14"/>
  <c r="H1165" i="14"/>
  <c r="O1106" i="14"/>
  <c r="O1078" i="14"/>
  <c r="O1082" i="14"/>
  <c r="M1157" i="14"/>
  <c r="K1157" i="14"/>
  <c r="H1157" i="14"/>
  <c r="O1090" i="14"/>
  <c r="O1066" i="14"/>
  <c r="O1070" i="14"/>
  <c r="O1158" i="14"/>
  <c r="O1013" i="14"/>
  <c r="O1045" i="14"/>
  <c r="O997" i="14"/>
  <c r="O957" i="14"/>
  <c r="M968" i="14"/>
  <c r="K968" i="14"/>
  <c r="H968" i="14"/>
  <c r="O1001" i="14"/>
  <c r="O1029" i="14"/>
  <c r="O969" i="14"/>
  <c r="M1004" i="14"/>
  <c r="K1004" i="14"/>
  <c r="H1004" i="14"/>
  <c r="O993" i="14"/>
  <c r="O1009" i="14"/>
  <c r="O1005" i="14"/>
  <c r="O953" i="14"/>
  <c r="O973" i="14"/>
  <c r="O1021" i="14"/>
  <c r="O977" i="14"/>
  <c r="O961" i="14"/>
  <c r="M1008" i="14"/>
  <c r="K1008" i="14"/>
  <c r="H1008" i="14"/>
  <c r="O1033" i="14"/>
  <c r="O1037" i="14"/>
  <c r="O1017" i="14"/>
  <c r="M964" i="14"/>
  <c r="K964" i="14"/>
  <c r="H964" i="14"/>
  <c r="O981" i="14"/>
  <c r="O1025" i="14"/>
  <c r="O965" i="14"/>
  <c r="Q1061" i="14"/>
  <c r="I1061" i="14" s="1"/>
  <c r="Q948" i="14"/>
  <c r="M851" i="14"/>
  <c r="K851" i="14"/>
  <c r="H851" i="14"/>
  <c r="M855" i="14"/>
  <c r="K855" i="14"/>
  <c r="H855" i="14"/>
  <c r="O888" i="14"/>
  <c r="O912" i="14"/>
  <c r="O924" i="14"/>
  <c r="O848" i="14"/>
  <c r="O904" i="14"/>
  <c r="O908" i="14"/>
  <c r="O852" i="14"/>
  <c r="O856" i="14"/>
  <c r="O864" i="14"/>
  <c r="O860" i="14"/>
  <c r="O868" i="14"/>
  <c r="O932" i="14"/>
  <c r="O916" i="14"/>
  <c r="O920" i="14"/>
  <c r="K927" i="14"/>
  <c r="M895" i="14"/>
  <c r="K895" i="14"/>
  <c r="H895" i="14"/>
  <c r="O880" i="14"/>
  <c r="O884" i="14"/>
  <c r="O892" i="14"/>
  <c r="O896" i="14"/>
  <c r="O900" i="14"/>
  <c r="O840" i="14"/>
  <c r="O844" i="14"/>
  <c r="Q819" i="14"/>
  <c r="O819" i="14" s="1"/>
  <c r="Q803" i="14"/>
  <c r="O803" i="14" s="1"/>
  <c r="Q787" i="14"/>
  <c r="I787" i="14" s="1"/>
  <c r="Q739" i="14"/>
  <c r="Q811" i="14"/>
  <c r="O811" i="14" s="1"/>
  <c r="Q771" i="14"/>
  <c r="Q795" i="14"/>
  <c r="I795" i="14" s="1"/>
  <c r="Q755" i="14"/>
  <c r="Q779" i="14"/>
  <c r="U8" i="21"/>
  <c r="P8" i="21"/>
  <c r="K16" i="21"/>
  <c r="P16" i="21"/>
  <c r="K10" i="21"/>
  <c r="U10" i="21"/>
  <c r="U16" i="21"/>
  <c r="Z10" i="21"/>
  <c r="O872" i="14" s="1"/>
  <c r="P10" i="21"/>
  <c r="P92" i="21"/>
  <c r="P88" i="21"/>
  <c r="P5" i="21"/>
  <c r="P74" i="21"/>
  <c r="P27" i="21"/>
  <c r="P15" i="21"/>
  <c r="K92" i="21"/>
  <c r="K5" i="21"/>
  <c r="P25" i="21"/>
  <c r="K88" i="21"/>
  <c r="P35" i="21"/>
  <c r="I571" i="2"/>
  <c r="P18" i="21"/>
  <c r="K14" i="21"/>
  <c r="U92" i="21"/>
  <c r="P34" i="21"/>
  <c r="Z25" i="21"/>
  <c r="O827" i="14" s="1"/>
  <c r="P24" i="21"/>
  <c r="U18" i="21"/>
  <c r="U24" i="21"/>
  <c r="D571" i="2"/>
  <c r="D570" i="2" s="1"/>
  <c r="P20" i="21"/>
  <c r="U14" i="21"/>
  <c r="K74" i="21"/>
  <c r="K24" i="21"/>
  <c r="K18" i="21"/>
  <c r="K27" i="21"/>
  <c r="U74" i="21"/>
  <c r="Z24" i="21"/>
  <c r="O1162" i="14" s="1"/>
  <c r="Z27" i="21"/>
  <c r="O835" i="14" s="1"/>
  <c r="U72" i="21"/>
  <c r="U27" i="21"/>
  <c r="O834" i="14" s="1"/>
  <c r="P95" i="21"/>
  <c r="U25" i="21"/>
  <c r="P13" i="21"/>
  <c r="Z95" i="21"/>
  <c r="U34" i="21"/>
  <c r="K25" i="21"/>
  <c r="K95" i="21"/>
  <c r="P14" i="21"/>
  <c r="K34" i="21"/>
  <c r="P32" i="21"/>
  <c r="K48" i="21"/>
  <c r="K13" i="21"/>
  <c r="K20" i="21"/>
  <c r="K45" i="21"/>
  <c r="P89" i="21"/>
  <c r="P111" i="21"/>
  <c r="K35" i="21"/>
  <c r="P43" i="21"/>
  <c r="P41" i="21"/>
  <c r="U13" i="21"/>
  <c r="P99" i="21"/>
  <c r="K47" i="21"/>
  <c r="K15" i="21"/>
  <c r="K106" i="21"/>
  <c r="P110" i="21"/>
  <c r="P60" i="21"/>
  <c r="K72" i="21"/>
  <c r="K42" i="21"/>
  <c r="K22" i="21"/>
  <c r="K17" i="21"/>
  <c r="U19" i="21"/>
  <c r="K41" i="21"/>
  <c r="K104" i="21"/>
  <c r="U17" i="21"/>
  <c r="K108" i="21"/>
  <c r="P38" i="21"/>
  <c r="K32" i="21"/>
  <c r="P36" i="21"/>
  <c r="P98" i="21"/>
  <c r="P22" i="21"/>
  <c r="Z106" i="21"/>
  <c r="U78" i="21"/>
  <c r="P79" i="21"/>
  <c r="P17" i="21"/>
  <c r="P53" i="21"/>
  <c r="P70" i="21"/>
  <c r="U106" i="21"/>
  <c r="P106" i="21"/>
  <c r="P44" i="21"/>
  <c r="P62" i="21"/>
  <c r="U22" i="21"/>
  <c r="Z22" i="21"/>
  <c r="O1041" i="14" s="1"/>
  <c r="U46" i="21"/>
  <c r="P104" i="21"/>
  <c r="P48" i="21"/>
  <c r="U44" i="21"/>
  <c r="P46" i="21"/>
  <c r="P72" i="21"/>
  <c r="U77" i="21"/>
  <c r="U41" i="21"/>
  <c r="U95" i="21"/>
  <c r="P19" i="21"/>
  <c r="K19" i="21"/>
  <c r="Z111" i="21"/>
  <c r="K73" i="21"/>
  <c r="K46" i="21"/>
  <c r="K44" i="21"/>
  <c r="Z81" i="21"/>
  <c r="U26" i="21"/>
  <c r="U69" i="21"/>
  <c r="U11" i="21"/>
  <c r="U9" i="21"/>
  <c r="P83" i="21"/>
  <c r="P50" i="21"/>
  <c r="K68" i="21"/>
  <c r="U81" i="21"/>
  <c r="P108" i="21"/>
  <c r="P77" i="21"/>
  <c r="U42" i="21"/>
  <c r="P81" i="21"/>
  <c r="K63" i="21"/>
  <c r="K103" i="21"/>
  <c r="K77" i="21"/>
  <c r="K81" i="21"/>
  <c r="K69" i="21"/>
  <c r="P61" i="21"/>
  <c r="U90" i="21"/>
  <c r="K82" i="21"/>
  <c r="K9" i="21"/>
  <c r="P63" i="21"/>
  <c r="U70" i="21"/>
  <c r="K76" i="21"/>
  <c r="Z11" i="21"/>
  <c r="O876" i="14" s="1"/>
  <c r="Z26" i="21"/>
  <c r="O831" i="14" s="1"/>
  <c r="U47" i="21"/>
  <c r="P47" i="21"/>
  <c r="K26" i="21"/>
  <c r="K111" i="21"/>
  <c r="U49" i="21"/>
  <c r="K49" i="21"/>
  <c r="P49" i="21"/>
  <c r="K11" i="21"/>
  <c r="U111" i="21"/>
  <c r="P9" i="21"/>
  <c r="U108" i="21"/>
  <c r="P26" i="21"/>
  <c r="K99" i="21"/>
  <c r="K70" i="21"/>
  <c r="Z83" i="21"/>
  <c r="U98" i="21"/>
  <c r="U103" i="21"/>
  <c r="P102" i="21"/>
  <c r="P11" i="21"/>
  <c r="Z108" i="21"/>
  <c r="P39" i="21"/>
  <c r="Z78" i="21"/>
  <c r="P103" i="21"/>
  <c r="U102" i="21"/>
  <c r="K90" i="21"/>
  <c r="U83" i="21"/>
  <c r="K83" i="21"/>
  <c r="U94" i="21"/>
  <c r="K101" i="21"/>
  <c r="P67" i="21"/>
  <c r="P69" i="21"/>
  <c r="P42" i="21"/>
  <c r="P75" i="21"/>
  <c r="K75" i="21"/>
  <c r="U75" i="21"/>
  <c r="K89" i="21"/>
  <c r="Z39" i="21"/>
  <c r="P78" i="21"/>
  <c r="K105" i="21"/>
  <c r="U105" i="21"/>
  <c r="P105" i="21"/>
  <c r="U53" i="21"/>
  <c r="Z109" i="21"/>
  <c r="U101" i="21"/>
  <c r="K110" i="21"/>
  <c r="K79" i="21"/>
  <c r="U79" i="21"/>
  <c r="P90" i="21"/>
  <c r="K39" i="21"/>
  <c r="U110" i="21"/>
  <c r="K78" i="21"/>
  <c r="P65" i="21"/>
  <c r="K98" i="21"/>
  <c r="P93" i="21"/>
  <c r="K33" i="21"/>
  <c r="P33" i="21"/>
  <c r="K62" i="21"/>
  <c r="U62" i="21"/>
  <c r="K38" i="21"/>
  <c r="U51" i="21"/>
  <c r="U38" i="21"/>
  <c r="U82" i="21"/>
  <c r="U39" i="21"/>
  <c r="P96" i="21"/>
  <c r="Z94" i="21"/>
  <c r="P109" i="21"/>
  <c r="P101" i="21"/>
  <c r="U80" i="21"/>
  <c r="U73" i="21"/>
  <c r="Z80" i="21"/>
  <c r="P76" i="21"/>
  <c r="K67" i="21"/>
  <c r="P82" i="21"/>
  <c r="U65" i="21"/>
  <c r="P73" i="21"/>
  <c r="Z53" i="21"/>
  <c r="K54" i="21"/>
  <c r="P55" i="21"/>
  <c r="Z54" i="21"/>
  <c r="Z52" i="21"/>
  <c r="Z55" i="21"/>
  <c r="U45" i="21"/>
  <c r="K40" i="21"/>
  <c r="K96" i="21"/>
  <c r="K109" i="21"/>
  <c r="P64" i="21"/>
  <c r="K64" i="21"/>
  <c r="P100" i="21"/>
  <c r="Z110" i="21"/>
  <c r="Z67" i="21"/>
  <c r="K91" i="21"/>
  <c r="P91" i="21"/>
  <c r="U64" i="21"/>
  <c r="P97" i="21"/>
  <c r="U93" i="21"/>
  <c r="U109" i="21"/>
  <c r="K100" i="21"/>
  <c r="Z82" i="21"/>
  <c r="K102" i="21"/>
  <c r="P66" i="21"/>
  <c r="K94" i="21"/>
  <c r="K93" i="21"/>
  <c r="P68" i="21"/>
  <c r="U66" i="21"/>
  <c r="U97" i="21"/>
  <c r="K80" i="21"/>
  <c r="K66" i="21"/>
  <c r="P94" i="21"/>
  <c r="P80" i="21"/>
  <c r="U67" i="21"/>
  <c r="Z66" i="21"/>
  <c r="K65" i="21"/>
  <c r="K97" i="21"/>
  <c r="K107" i="21"/>
  <c r="U107" i="21"/>
  <c r="P107" i="21"/>
  <c r="K71" i="21"/>
  <c r="P71" i="21"/>
  <c r="U100" i="21"/>
  <c r="U55" i="21"/>
  <c r="P40" i="21"/>
  <c r="K53" i="21"/>
  <c r="P54" i="21"/>
  <c r="U52" i="21"/>
  <c r="U54" i="21"/>
  <c r="K50" i="21"/>
  <c r="P52" i="21"/>
  <c r="U50" i="21"/>
  <c r="K52" i="21"/>
  <c r="K55" i="21"/>
  <c r="K51" i="21"/>
  <c r="Z38" i="21"/>
  <c r="P45" i="21"/>
  <c r="P51" i="21"/>
  <c r="Z50" i="21"/>
  <c r="U37" i="21"/>
  <c r="K37" i="21"/>
  <c r="P37" i="21"/>
  <c r="K36" i="21"/>
  <c r="U36" i="21"/>
  <c r="S16" i="19"/>
  <c r="I16" i="19"/>
  <c r="O694" i="14" s="1"/>
  <c r="X16" i="19"/>
  <c r="N16" i="19"/>
  <c r="O695" i="14" s="1"/>
  <c r="N11" i="19"/>
  <c r="O675" i="14" s="1"/>
  <c r="S3" i="19"/>
  <c r="I642" i="14"/>
  <c r="M642" i="14" s="1"/>
  <c r="N3" i="19"/>
  <c r="I3" i="19"/>
  <c r="O642" i="14" s="1"/>
  <c r="X9" i="19"/>
  <c r="I9" i="19"/>
  <c r="O666" i="14" s="1"/>
  <c r="I15" i="19"/>
  <c r="O690" i="14" s="1"/>
  <c r="I20" i="19"/>
  <c r="O710" i="14" s="1"/>
  <c r="I12" i="19"/>
  <c r="O678" i="14" s="1"/>
  <c r="K646" i="14"/>
  <c r="X8" i="19"/>
  <c r="N4" i="19"/>
  <c r="O647" i="14" s="1"/>
  <c r="S4" i="19"/>
  <c r="I4" i="19"/>
  <c r="O646" i="14" s="1"/>
  <c r="I8" i="19"/>
  <c r="O662" i="14" s="1"/>
  <c r="S8" i="19"/>
  <c r="M646" i="14"/>
  <c r="X5" i="19"/>
  <c r="M694" i="14"/>
  <c r="I18" i="19"/>
  <c r="O702" i="14" s="1"/>
  <c r="K694" i="14"/>
  <c r="X15" i="19"/>
  <c r="N9" i="19"/>
  <c r="O667" i="14" s="1"/>
  <c r="H662" i="14"/>
  <c r="K662" i="14"/>
  <c r="M662" i="14"/>
  <c r="N5" i="19"/>
  <c r="O651" i="14" s="1"/>
  <c r="I690" i="14"/>
  <c r="M690" i="14" s="1"/>
  <c r="N8" i="19"/>
  <c r="O663" i="14" s="1"/>
  <c r="S22" i="19"/>
  <c r="O720" i="14" s="1"/>
  <c r="K671" i="14"/>
  <c r="I674" i="14"/>
  <c r="M674" i="14" s="1"/>
  <c r="M710" i="14"/>
  <c r="N10" i="19"/>
  <c r="O671" i="14" s="1"/>
  <c r="S19" i="19"/>
  <c r="M678" i="14"/>
  <c r="H719" i="14"/>
  <c r="H687" i="14"/>
  <c r="K686" i="14"/>
  <c r="H686" i="14"/>
  <c r="M686" i="14"/>
  <c r="M670" i="14"/>
  <c r="K670" i="14"/>
  <c r="H670" i="14"/>
  <c r="M655" i="14"/>
  <c r="K655" i="14"/>
  <c r="H655" i="14"/>
  <c r="M654" i="14"/>
  <c r="H654" i="14"/>
  <c r="K654" i="14"/>
  <c r="X20" i="19"/>
  <c r="X4" i="19"/>
  <c r="S9" i="19"/>
  <c r="I718" i="14"/>
  <c r="S17" i="19"/>
  <c r="I5" i="19"/>
  <c r="O650" i="14" s="1"/>
  <c r="I650" i="14"/>
  <c r="K650" i="14" s="1"/>
  <c r="I663" i="14"/>
  <c r="N21" i="19"/>
  <c r="O715" i="14" s="1"/>
  <c r="I714" i="14"/>
  <c r="K714" i="14" s="1"/>
  <c r="N20" i="19"/>
  <c r="O711" i="14" s="1"/>
  <c r="K719" i="14"/>
  <c r="K710" i="14"/>
  <c r="N17" i="19"/>
  <c r="O699" i="14" s="1"/>
  <c r="H703" i="14"/>
  <c r="K703" i="14"/>
  <c r="I702" i="14"/>
  <c r="X17" i="19"/>
  <c r="S20" i="19"/>
  <c r="I17" i="19"/>
  <c r="O698" i="14" s="1"/>
  <c r="K687" i="14"/>
  <c r="K678" i="14"/>
  <c r="H671" i="14"/>
  <c r="I707" i="14"/>
  <c r="I679" i="14"/>
  <c r="M705" i="14"/>
  <c r="K705" i="14"/>
  <c r="H705" i="14"/>
  <c r="K698" i="14"/>
  <c r="H698" i="14"/>
  <c r="M698" i="14"/>
  <c r="M706" i="14"/>
  <c r="K706" i="14"/>
  <c r="H706" i="14"/>
  <c r="M721" i="14"/>
  <c r="K721" i="14"/>
  <c r="H721" i="14"/>
  <c r="H656" i="14"/>
  <c r="M656" i="14"/>
  <c r="K656" i="14"/>
  <c r="P716" i="14"/>
  <c r="P708" i="14"/>
  <c r="P664" i="14"/>
  <c r="P652" i="14"/>
  <c r="K666" i="14"/>
  <c r="H666" i="14"/>
  <c r="M666" i="14"/>
  <c r="K689" i="14"/>
  <c r="M689" i="14"/>
  <c r="H689" i="14"/>
  <c r="H720" i="14"/>
  <c r="M720" i="14"/>
  <c r="K720" i="14"/>
  <c r="P692" i="14"/>
  <c r="P684" i="14"/>
  <c r="P668" i="14"/>
  <c r="P676" i="14"/>
  <c r="K657" i="14"/>
  <c r="M657" i="14"/>
  <c r="H657" i="14"/>
  <c r="K673" i="14"/>
  <c r="M673" i="14"/>
  <c r="H673" i="14"/>
  <c r="K682" i="14"/>
  <c r="H682" i="14"/>
  <c r="M682" i="14"/>
  <c r="P644" i="14"/>
  <c r="H658" i="14"/>
  <c r="M658" i="14"/>
  <c r="K658" i="14"/>
  <c r="H704" i="14"/>
  <c r="M704" i="14"/>
  <c r="K704" i="14"/>
  <c r="P680" i="14"/>
  <c r="H672" i="14"/>
  <c r="M672" i="14"/>
  <c r="K672" i="14"/>
  <c r="P712" i="14"/>
  <c r="I712" i="14" s="1"/>
  <c r="P696" i="14"/>
  <c r="H688" i="14"/>
  <c r="M688" i="14"/>
  <c r="K688" i="14"/>
  <c r="P700" i="14"/>
  <c r="P648" i="14"/>
  <c r="P660" i="14"/>
  <c r="S12" i="19"/>
  <c r="X12" i="19"/>
  <c r="X14" i="19"/>
  <c r="N22" i="19"/>
  <c r="O719" i="14" s="1"/>
  <c r="S5" i="19"/>
  <c r="N15" i="19"/>
  <c r="O691" i="14" s="1"/>
  <c r="I11" i="19"/>
  <c r="O674" i="14" s="1"/>
  <c r="S14" i="19"/>
  <c r="X11" i="19"/>
  <c r="S11" i="19"/>
  <c r="N19" i="19"/>
  <c r="O707" i="14" s="1"/>
  <c r="S6" i="19"/>
  <c r="S21" i="19"/>
  <c r="I22" i="19"/>
  <c r="O718" i="14" s="1"/>
  <c r="S15" i="19"/>
  <c r="I14" i="19"/>
  <c r="O686" i="14" s="1"/>
  <c r="X13" i="19"/>
  <c r="N18" i="19"/>
  <c r="O703" i="14" s="1"/>
  <c r="S10" i="19"/>
  <c r="X10" i="19"/>
  <c r="I13" i="19"/>
  <c r="O682" i="14" s="1"/>
  <c r="I6" i="19"/>
  <c r="O654" i="14" s="1"/>
  <c r="X22" i="19"/>
  <c r="N14" i="19"/>
  <c r="I7" i="19"/>
  <c r="O658" i="14" s="1"/>
  <c r="N7" i="19"/>
  <c r="O659" i="14" s="1"/>
  <c r="X21" i="19"/>
  <c r="S7" i="19"/>
  <c r="I19" i="19"/>
  <c r="O706" i="14" s="1"/>
  <c r="N13" i="19"/>
  <c r="O683" i="14" s="1"/>
  <c r="X18" i="19"/>
  <c r="I10" i="19"/>
  <c r="O670" i="14" s="1"/>
  <c r="I21" i="19"/>
  <c r="O714" i="14" s="1"/>
  <c r="X7" i="19"/>
  <c r="S18" i="19"/>
  <c r="N6" i="19"/>
  <c r="O655" i="14" s="1"/>
  <c r="S13" i="19"/>
  <c r="X6" i="19"/>
  <c r="X19" i="19"/>
  <c r="N12" i="19"/>
  <c r="O679" i="14" s="1"/>
  <c r="M15" i="14"/>
  <c r="P17" i="14"/>
  <c r="M952" i="14" l="1"/>
  <c r="O1034" i="14"/>
  <c r="M927" i="14"/>
  <c r="O971" i="14"/>
  <c r="O745" i="14"/>
  <c r="K907" i="14"/>
  <c r="K839" i="14"/>
  <c r="H1081" i="14"/>
  <c r="K1081" i="14"/>
  <c r="H996" i="14"/>
  <c r="H891" i="14"/>
  <c r="K996" i="14"/>
  <c r="K891" i="14"/>
  <c r="K911" i="14"/>
  <c r="H1032" i="14"/>
  <c r="K1032" i="14"/>
  <c r="H883" i="14"/>
  <c r="K883" i="14"/>
  <c r="M1012" i="14"/>
  <c r="K1020" i="14"/>
  <c r="M1020" i="14"/>
  <c r="H931" i="14"/>
  <c r="K931" i="14"/>
  <c r="H911" i="14"/>
  <c r="K952" i="14"/>
  <c r="H946" i="14"/>
  <c r="K946" i="14"/>
  <c r="K980" i="14"/>
  <c r="M1059" i="14"/>
  <c r="H1044" i="14"/>
  <c r="H903" i="14"/>
  <c r="K903" i="14"/>
  <c r="H1036" i="14"/>
  <c r="H1016" i="14"/>
  <c r="K1016" i="14"/>
  <c r="K879" i="14"/>
  <c r="H1012" i="14"/>
  <c r="O700" i="14"/>
  <c r="K863" i="14"/>
  <c r="M863" i="14"/>
  <c r="H988" i="14"/>
  <c r="H1059" i="14"/>
  <c r="K992" i="14"/>
  <c r="M992" i="14"/>
  <c r="M843" i="14"/>
  <c r="H907" i="14"/>
  <c r="H923" i="14"/>
  <c r="M859" i="14"/>
  <c r="K887" i="14"/>
  <c r="H915" i="14"/>
  <c r="M887" i="14"/>
  <c r="H980" i="14"/>
  <c r="M1040" i="14"/>
  <c r="H1000" i="14"/>
  <c r="K1000" i="14"/>
  <c r="H943" i="14"/>
  <c r="K943" i="14"/>
  <c r="H847" i="14"/>
  <c r="K1044" i="14"/>
  <c r="K847" i="14"/>
  <c r="K923" i="14"/>
  <c r="H1040" i="14"/>
  <c r="H859" i="14"/>
  <c r="M1056" i="14"/>
  <c r="O1104" i="14"/>
  <c r="H972" i="14"/>
  <c r="H939" i="14"/>
  <c r="M867" i="14"/>
  <c r="H976" i="14"/>
  <c r="H1024" i="14"/>
  <c r="K976" i="14"/>
  <c r="M1024" i="14"/>
  <c r="K988" i="14"/>
  <c r="H899" i="14"/>
  <c r="K899" i="14"/>
  <c r="K935" i="14"/>
  <c r="H984" i="14"/>
  <c r="M935" i="14"/>
  <c r="M984" i="14"/>
  <c r="M972" i="14"/>
  <c r="K867" i="14"/>
  <c r="K871" i="14"/>
  <c r="M871" i="14"/>
  <c r="M960" i="14"/>
  <c r="K1036" i="14"/>
  <c r="H1048" i="14"/>
  <c r="H879" i="14"/>
  <c r="K1048" i="14"/>
  <c r="H960" i="14"/>
  <c r="K915" i="14"/>
  <c r="H1056" i="14"/>
  <c r="M1028" i="14"/>
  <c r="O808" i="14"/>
  <c r="O1063" i="14"/>
  <c r="O1157" i="14"/>
  <c r="O818" i="14"/>
  <c r="O950" i="14"/>
  <c r="O837" i="14"/>
  <c r="O765" i="14"/>
  <c r="O878" i="14"/>
  <c r="O921" i="14"/>
  <c r="O1149" i="14"/>
  <c r="O1036" i="14"/>
  <c r="O931" i="14"/>
  <c r="O923" i="14"/>
  <c r="O857" i="14"/>
  <c r="O970" i="14"/>
  <c r="O744" i="14"/>
  <c r="L708" i="14"/>
  <c r="J708" i="14"/>
  <c r="O708" i="14"/>
  <c r="I708" i="14"/>
  <c r="O676" i="14"/>
  <c r="I676" i="14"/>
  <c r="L676" i="14"/>
  <c r="J676" i="14"/>
  <c r="J716" i="14"/>
  <c r="L716" i="14"/>
  <c r="H742" i="14"/>
  <c r="K742" i="14"/>
  <c r="M742" i="14"/>
  <c r="I684" i="14"/>
  <c r="J684" i="14"/>
  <c r="O684" i="14"/>
  <c r="L684" i="14"/>
  <c r="I692" i="14"/>
  <c r="O692" i="14"/>
  <c r="J692" i="14"/>
  <c r="L692" i="14"/>
  <c r="L660" i="14"/>
  <c r="I660" i="14"/>
  <c r="J660" i="14"/>
  <c r="O660" i="14"/>
  <c r="O779" i="14"/>
  <c r="J779" i="14"/>
  <c r="I779" i="14"/>
  <c r="L779" i="14"/>
  <c r="H778" i="14"/>
  <c r="K778" i="14"/>
  <c r="M778" i="14"/>
  <c r="J755" i="14"/>
  <c r="L755" i="14"/>
  <c r="J795" i="14"/>
  <c r="L795" i="14"/>
  <c r="O795" i="14"/>
  <c r="L743" i="14"/>
  <c r="O743" i="14"/>
  <c r="J743" i="14"/>
  <c r="I743" i="14"/>
  <c r="O668" i="14"/>
  <c r="I668" i="14"/>
  <c r="L668" i="14"/>
  <c r="J668" i="14"/>
  <c r="J700" i="14"/>
  <c r="L700" i="14"/>
  <c r="O712" i="14"/>
  <c r="O716" i="14"/>
  <c r="J771" i="14"/>
  <c r="L771" i="14"/>
  <c r="I811" i="14"/>
  <c r="K811" i="14" s="1"/>
  <c r="I644" i="14"/>
  <c r="J644" i="14"/>
  <c r="L644" i="14"/>
  <c r="O644" i="14"/>
  <c r="L811" i="14"/>
  <c r="J811" i="14"/>
  <c r="I803" i="14"/>
  <c r="K803" i="14" s="1"/>
  <c r="I771" i="14"/>
  <c r="M771" i="14" s="1"/>
  <c r="I755" i="14"/>
  <c r="H755" i="14" s="1"/>
  <c r="J680" i="14"/>
  <c r="O680" i="14"/>
  <c r="I680" i="14"/>
  <c r="L680" i="14"/>
  <c r="J648" i="14"/>
  <c r="I648" i="14"/>
  <c r="O648" i="14"/>
  <c r="L648" i="14"/>
  <c r="I739" i="14"/>
  <c r="O739" i="14"/>
  <c r="J739" i="14"/>
  <c r="L739" i="14"/>
  <c r="I17" i="14"/>
  <c r="O17" i="14"/>
  <c r="L696" i="14"/>
  <c r="O696" i="14"/>
  <c r="I696" i="14"/>
  <c r="J696" i="14"/>
  <c r="L787" i="14"/>
  <c r="J787" i="14"/>
  <c r="O755" i="14"/>
  <c r="O787" i="14"/>
  <c r="I700" i="14"/>
  <c r="H783" i="14"/>
  <c r="M783" i="14"/>
  <c r="K783" i="14"/>
  <c r="J712" i="14"/>
  <c r="L712" i="14"/>
  <c r="L803" i="14"/>
  <c r="J803" i="14"/>
  <c r="L819" i="14"/>
  <c r="J819" i="14"/>
  <c r="H738" i="14"/>
  <c r="K738" i="14"/>
  <c r="M738" i="14"/>
  <c r="I716" i="14"/>
  <c r="I664" i="14"/>
  <c r="O664" i="14"/>
  <c r="J664" i="14"/>
  <c r="L664" i="14"/>
  <c r="J652" i="14"/>
  <c r="O652" i="14"/>
  <c r="L652" i="14"/>
  <c r="I652" i="14"/>
  <c r="L1061" i="14"/>
  <c r="J1061" i="14"/>
  <c r="L1174" i="14"/>
  <c r="J1174" i="14"/>
  <c r="I819" i="14"/>
  <c r="H819" i="14" s="1"/>
  <c r="O771" i="14"/>
  <c r="J16" i="14"/>
  <c r="H16" i="14"/>
  <c r="K16" i="14"/>
  <c r="L16" i="14" s="1"/>
  <c r="H1028" i="14"/>
  <c r="O936" i="14"/>
  <c r="O947" i="14"/>
  <c r="H1052" i="14"/>
  <c r="O985" i="14"/>
  <c r="K1052" i="14"/>
  <c r="M913" i="14"/>
  <c r="H913" i="14"/>
  <c r="K913" i="14"/>
  <c r="O1171" i="14"/>
  <c r="O1058" i="14"/>
  <c r="O832" i="14"/>
  <c r="O945" i="14"/>
  <c r="O789" i="14"/>
  <c r="O902" i="14"/>
  <c r="O1015" i="14"/>
  <c r="O1128" i="14"/>
  <c r="M839" i="14"/>
  <c r="K939" i="14"/>
  <c r="O1166" i="14"/>
  <c r="O1170" i="14"/>
  <c r="H758" i="14"/>
  <c r="K758" i="14"/>
  <c r="M758" i="14"/>
  <c r="K905" i="14"/>
  <c r="H905" i="14"/>
  <c r="M905" i="14"/>
  <c r="M951" i="14"/>
  <c r="K951" i="14"/>
  <c r="H951" i="14"/>
  <c r="H982" i="14"/>
  <c r="K982" i="14"/>
  <c r="M982" i="14"/>
  <c r="K792" i="14"/>
  <c r="M792" i="14"/>
  <c r="H792" i="14"/>
  <c r="H1026" i="14"/>
  <c r="K1026" i="14"/>
  <c r="M1026" i="14"/>
  <c r="H805" i="14"/>
  <c r="K805" i="14"/>
  <c r="M805" i="14"/>
  <c r="H795" i="14"/>
  <c r="K795" i="14"/>
  <c r="M795" i="14"/>
  <c r="H818" i="14"/>
  <c r="K818" i="14"/>
  <c r="M818" i="14"/>
  <c r="K808" i="14"/>
  <c r="H808" i="14"/>
  <c r="M808" i="14"/>
  <c r="K842" i="14"/>
  <c r="M842" i="14"/>
  <c r="H842" i="14"/>
  <c r="M914" i="14"/>
  <c r="K914" i="14"/>
  <c r="H914" i="14"/>
  <c r="O1091" i="14"/>
  <c r="O752" i="14"/>
  <c r="O978" i="14"/>
  <c r="O865" i="14"/>
  <c r="O1159" i="14"/>
  <c r="O933" i="14"/>
  <c r="O820" i="14"/>
  <c r="O1046" i="14"/>
  <c r="O938" i="14"/>
  <c r="O825" i="14"/>
  <c r="O1164" i="14"/>
  <c r="O1051" i="14"/>
  <c r="O862" i="14"/>
  <c r="O749" i="14"/>
  <c r="O1088" i="14"/>
  <c r="O975" i="14"/>
  <c r="O1060" i="14"/>
  <c r="O989" i="14"/>
  <c r="H806" i="14"/>
  <c r="K806" i="14"/>
  <c r="M806" i="14"/>
  <c r="H897" i="14"/>
  <c r="M897" i="14"/>
  <c r="K897" i="14"/>
  <c r="H865" i="14"/>
  <c r="K865" i="14"/>
  <c r="M865" i="14"/>
  <c r="M1019" i="14"/>
  <c r="K1019" i="14"/>
  <c r="H1019" i="14"/>
  <c r="H815" i="14"/>
  <c r="M815" i="14"/>
  <c r="K815" i="14"/>
  <c r="K816" i="14"/>
  <c r="H816" i="14"/>
  <c r="M816" i="14"/>
  <c r="H757" i="14"/>
  <c r="K757" i="14"/>
  <c r="M757" i="14"/>
  <c r="K772" i="14"/>
  <c r="H772" i="14"/>
  <c r="M772" i="14"/>
  <c r="M955" i="14"/>
  <c r="K955" i="14"/>
  <c r="H955" i="14"/>
  <c r="K800" i="14"/>
  <c r="H800" i="14"/>
  <c r="M800" i="14"/>
  <c r="M1027" i="14"/>
  <c r="K1027" i="14"/>
  <c r="H1027" i="14"/>
  <c r="O906" i="14"/>
  <c r="O793" i="14"/>
  <c r="O1019" i="14"/>
  <c r="O1132" i="14"/>
  <c r="O1135" i="14"/>
  <c r="O1022" i="14"/>
  <c r="O909" i="14"/>
  <c r="O796" i="14"/>
  <c r="K784" i="14"/>
  <c r="M784" i="14"/>
  <c r="H784" i="14"/>
  <c r="O866" i="14"/>
  <c r="O753" i="14"/>
  <c r="O1092" i="14"/>
  <c r="O979" i="14"/>
  <c r="O754" i="14"/>
  <c r="O980" i="14"/>
  <c r="O1093" i="14"/>
  <c r="O867" i="14"/>
  <c r="O926" i="14"/>
  <c r="O813" i="14"/>
  <c r="O1152" i="14"/>
  <c r="O1039" i="14"/>
  <c r="O773" i="14"/>
  <c r="O886" i="14"/>
  <c r="O999" i="14"/>
  <c r="O1112" i="14"/>
  <c r="O954" i="14"/>
  <c r="O1067" i="14"/>
  <c r="O841" i="14"/>
  <c r="O728" i="14"/>
  <c r="O750" i="14"/>
  <c r="O863" i="14"/>
  <c r="O976" i="14"/>
  <c r="O1089" i="14"/>
  <c r="H919" i="14"/>
  <c r="M724" i="14"/>
  <c r="H724" i="14"/>
  <c r="K724" i="14"/>
  <c r="H769" i="14"/>
  <c r="K769" i="14"/>
  <c r="M769" i="14"/>
  <c r="K1010" i="14"/>
  <c r="H1010" i="14"/>
  <c r="M1010" i="14"/>
  <c r="K978" i="14"/>
  <c r="H978" i="14"/>
  <c r="M978" i="14"/>
  <c r="H733" i="14"/>
  <c r="K733" i="14"/>
  <c r="M733" i="14"/>
  <c r="M906" i="14"/>
  <c r="K906" i="14"/>
  <c r="H906" i="14"/>
  <c r="M866" i="14"/>
  <c r="K866" i="14"/>
  <c r="H866" i="14"/>
  <c r="H799" i="14"/>
  <c r="M799" i="14"/>
  <c r="K799" i="14"/>
  <c r="H750" i="14"/>
  <c r="M750" i="14"/>
  <c r="K750" i="14"/>
  <c r="H747" i="14"/>
  <c r="K747" i="14"/>
  <c r="M747" i="14"/>
  <c r="O1155" i="14"/>
  <c r="O1042" i="14"/>
  <c r="O816" i="14"/>
  <c r="O929" i="14"/>
  <c r="H841" i="14"/>
  <c r="K841" i="14"/>
  <c r="M841" i="14"/>
  <c r="M870" i="14"/>
  <c r="K870" i="14"/>
  <c r="H870" i="14"/>
  <c r="K728" i="14"/>
  <c r="M728" i="14"/>
  <c r="H728" i="14"/>
  <c r="H822" i="14"/>
  <c r="K822" i="14"/>
  <c r="M822" i="14"/>
  <c r="O762" i="14"/>
  <c r="O988" i="14"/>
  <c r="O875" i="14"/>
  <c r="O1101" i="14"/>
  <c r="O1123" i="14"/>
  <c r="O1010" i="14"/>
  <c r="O897" i="14"/>
  <c r="O784" i="14"/>
  <c r="O774" i="14"/>
  <c r="O1000" i="14"/>
  <c r="O1113" i="14"/>
  <c r="O887" i="14"/>
  <c r="K919" i="14"/>
  <c r="M995" i="14"/>
  <c r="K995" i="14"/>
  <c r="H995" i="14"/>
  <c r="H885" i="14"/>
  <c r="M885" i="14"/>
  <c r="K885" i="14"/>
  <c r="K979" i="14"/>
  <c r="H979" i="14"/>
  <c r="M979" i="14"/>
  <c r="H821" i="14"/>
  <c r="M821" i="14"/>
  <c r="K821" i="14"/>
  <c r="H730" i="14"/>
  <c r="K730" i="14"/>
  <c r="M730" i="14"/>
  <c r="M954" i="14"/>
  <c r="K954" i="14"/>
  <c r="H954" i="14"/>
  <c r="K983" i="14"/>
  <c r="H983" i="14"/>
  <c r="M983" i="14"/>
  <c r="H761" i="14"/>
  <c r="M761" i="14"/>
  <c r="K761" i="14"/>
  <c r="H807" i="14"/>
  <c r="M807" i="14"/>
  <c r="K807" i="14"/>
  <c r="H986" i="14"/>
  <c r="M986" i="14"/>
  <c r="K986" i="14"/>
  <c r="O1099" i="14"/>
  <c r="O873" i="14"/>
  <c r="O760" i="14"/>
  <c r="O986" i="14"/>
  <c r="O1163" i="14"/>
  <c r="O937" i="14"/>
  <c r="O1050" i="14"/>
  <c r="O824" i="14"/>
  <c r="O805" i="14"/>
  <c r="O918" i="14"/>
  <c r="O1031" i="14"/>
  <c r="O1144" i="14"/>
  <c r="O898" i="14"/>
  <c r="O785" i="14"/>
  <c r="O1124" i="14"/>
  <c r="O1011" i="14"/>
  <c r="H775" i="14"/>
  <c r="M775" i="14"/>
  <c r="K775" i="14"/>
  <c r="H921" i="14"/>
  <c r="K921" i="14"/>
  <c r="M921" i="14"/>
  <c r="K812" i="14"/>
  <c r="H812" i="14"/>
  <c r="M812" i="14"/>
  <c r="H785" i="14"/>
  <c r="M785" i="14"/>
  <c r="K785" i="14"/>
  <c r="M874" i="14"/>
  <c r="K874" i="14"/>
  <c r="H874" i="14"/>
  <c r="K788" i="14"/>
  <c r="M788" i="14"/>
  <c r="H788" i="14"/>
  <c r="K882" i="14"/>
  <c r="M882" i="14"/>
  <c r="H882" i="14"/>
  <c r="H725" i="14"/>
  <c r="K725" i="14"/>
  <c r="M725" i="14"/>
  <c r="H998" i="14"/>
  <c r="K998" i="14"/>
  <c r="M998" i="14"/>
  <c r="H909" i="14"/>
  <c r="K909" i="14"/>
  <c r="M909" i="14"/>
  <c r="H809" i="14"/>
  <c r="K809" i="14"/>
  <c r="M809" i="14"/>
  <c r="H789" i="14"/>
  <c r="K789" i="14"/>
  <c r="M789" i="14"/>
  <c r="H793" i="14"/>
  <c r="K793" i="14"/>
  <c r="M793" i="14"/>
  <c r="H749" i="14"/>
  <c r="K749" i="14"/>
  <c r="M749" i="14"/>
  <c r="K925" i="14"/>
  <c r="H925" i="14"/>
  <c r="M925" i="14"/>
  <c r="M846" i="14"/>
  <c r="K846" i="14"/>
  <c r="H846" i="14"/>
  <c r="K768" i="14"/>
  <c r="H768" i="14"/>
  <c r="M768" i="14"/>
  <c r="M918" i="14"/>
  <c r="K918" i="14"/>
  <c r="H918" i="14"/>
  <c r="O830" i="14"/>
  <c r="O1056" i="14"/>
  <c r="O1169" i="14"/>
  <c r="O943" i="14"/>
  <c r="O833" i="14"/>
  <c r="O946" i="14"/>
  <c r="O1172" i="14"/>
  <c r="O1059" i="14"/>
  <c r="O1057" i="14"/>
  <c r="O1173" i="14"/>
  <c r="K1034" i="14"/>
  <c r="M1034" i="14"/>
  <c r="H1034" i="14"/>
  <c r="H794" i="14"/>
  <c r="K794" i="14"/>
  <c r="M794" i="14"/>
  <c r="K987" i="14"/>
  <c r="H987" i="14"/>
  <c r="M987" i="14"/>
  <c r="H910" i="14"/>
  <c r="M910" i="14"/>
  <c r="K910" i="14"/>
  <c r="K881" i="14"/>
  <c r="M881" i="14"/>
  <c r="H881" i="14"/>
  <c r="H813" i="14"/>
  <c r="K813" i="14"/>
  <c r="M813" i="14"/>
  <c r="M1022" i="14"/>
  <c r="H1022" i="14"/>
  <c r="K1022" i="14"/>
  <c r="M862" i="14"/>
  <c r="K862" i="14"/>
  <c r="H862" i="14"/>
  <c r="H1035" i="14"/>
  <c r="K1035" i="14"/>
  <c r="M1035" i="14"/>
  <c r="H765" i="14"/>
  <c r="K765" i="14"/>
  <c r="M765" i="14"/>
  <c r="H1038" i="14"/>
  <c r="K1038" i="14"/>
  <c r="M1038" i="14"/>
  <c r="M959" i="14"/>
  <c r="K959" i="14"/>
  <c r="H959" i="14"/>
  <c r="H1031" i="14"/>
  <c r="M1031" i="14"/>
  <c r="K1031" i="14"/>
  <c r="H823" i="14"/>
  <c r="M823" i="14"/>
  <c r="K823" i="14"/>
  <c r="O815" i="14"/>
  <c r="O770" i="14"/>
  <c r="O996" i="14"/>
  <c r="O883" i="14"/>
  <c r="O1109" i="14"/>
  <c r="O822" i="14"/>
  <c r="O1048" i="14"/>
  <c r="O1161" i="14"/>
  <c r="O935" i="14"/>
  <c r="O1154" i="14"/>
  <c r="H877" i="14"/>
  <c r="K877" i="14"/>
  <c r="M877" i="14"/>
  <c r="M1023" i="14"/>
  <c r="K1023" i="14"/>
  <c r="H1023" i="14"/>
  <c r="H994" i="14"/>
  <c r="M994" i="14"/>
  <c r="K994" i="14"/>
  <c r="M934" i="14"/>
  <c r="K934" i="14"/>
  <c r="H934" i="14"/>
  <c r="M975" i="14"/>
  <c r="K975" i="14"/>
  <c r="H975" i="14"/>
  <c r="H801" i="14"/>
  <c r="M801" i="14"/>
  <c r="K801" i="14"/>
  <c r="H770" i="14"/>
  <c r="K770" i="14"/>
  <c r="M770" i="14"/>
  <c r="O846" i="14"/>
  <c r="O733" i="14"/>
  <c r="O959" i="14"/>
  <c r="O1072" i="14"/>
  <c r="M922" i="14"/>
  <c r="K922" i="14"/>
  <c r="H922" i="14"/>
  <c r="H759" i="14"/>
  <c r="M759" i="14"/>
  <c r="K759" i="14"/>
  <c r="O1107" i="14"/>
  <c r="O994" i="14"/>
  <c r="O768" i="14"/>
  <c r="O881" i="14"/>
  <c r="H745" i="14"/>
  <c r="M745" i="14"/>
  <c r="K745" i="14"/>
  <c r="O942" i="14"/>
  <c r="O829" i="14"/>
  <c r="O1055" i="14"/>
  <c r="O1168" i="14"/>
  <c r="K1018" i="14"/>
  <c r="H1018" i="14"/>
  <c r="M1018" i="14"/>
  <c r="O814" i="14"/>
  <c r="O1153" i="14"/>
  <c r="O1040" i="14"/>
  <c r="O927" i="14"/>
  <c r="O882" i="14"/>
  <c r="O769" i="14"/>
  <c r="O995" i="14"/>
  <c r="O1108" i="14"/>
  <c r="O798" i="14"/>
  <c r="O911" i="14"/>
  <c r="O1137" i="14"/>
  <c r="O1024" i="14"/>
  <c r="O842" i="14"/>
  <c r="O729" i="14"/>
  <c r="O1068" i="14"/>
  <c r="O955" i="14"/>
  <c r="O1102" i="14"/>
  <c r="H990" i="14"/>
  <c r="M990" i="14"/>
  <c r="K990" i="14"/>
  <c r="H762" i="14"/>
  <c r="K762" i="14"/>
  <c r="M762" i="14"/>
  <c r="M820" i="14"/>
  <c r="K820" i="14"/>
  <c r="H820" i="14"/>
  <c r="K1047" i="14"/>
  <c r="M1047" i="14"/>
  <c r="H1047" i="14"/>
  <c r="K748" i="14"/>
  <c r="M748" i="14"/>
  <c r="H748" i="14"/>
  <c r="H938" i="14"/>
  <c r="M938" i="14"/>
  <c r="K938" i="14"/>
  <c r="H763" i="14"/>
  <c r="K763" i="14"/>
  <c r="M763" i="14"/>
  <c r="H731" i="14"/>
  <c r="K731" i="14"/>
  <c r="M731" i="14"/>
  <c r="H930" i="14"/>
  <c r="M930" i="14"/>
  <c r="K930" i="14"/>
  <c r="O1095" i="14"/>
  <c r="O869" i="14"/>
  <c r="O756" i="14"/>
  <c r="O982" i="14"/>
  <c r="M971" i="14"/>
  <c r="K971" i="14"/>
  <c r="H971" i="14"/>
  <c r="O794" i="14"/>
  <c r="O1133" i="14"/>
  <c r="O1020" i="14"/>
  <c r="O907" i="14"/>
  <c r="O826" i="14"/>
  <c r="O1052" i="14"/>
  <c r="O939" i="14"/>
  <c r="O1165" i="14"/>
  <c r="O934" i="14"/>
  <c r="O821" i="14"/>
  <c r="O1047" i="14"/>
  <c r="O1160" i="14"/>
  <c r="O1071" i="14"/>
  <c r="O958" i="14"/>
  <c r="O845" i="14"/>
  <c r="O732" i="14"/>
  <c r="H1030" i="14"/>
  <c r="K1030" i="14"/>
  <c r="M1030" i="14"/>
  <c r="O930" i="14"/>
  <c r="O817" i="14"/>
  <c r="O1156" i="14"/>
  <c r="O1043" i="14"/>
  <c r="K796" i="14"/>
  <c r="H796" i="14"/>
  <c r="M796" i="14"/>
  <c r="K941" i="14"/>
  <c r="H941" i="14"/>
  <c r="M941" i="14"/>
  <c r="K760" i="14"/>
  <c r="M760" i="14"/>
  <c r="H760" i="14"/>
  <c r="K744" i="14"/>
  <c r="H744" i="14"/>
  <c r="M744" i="14"/>
  <c r="O974" i="14"/>
  <c r="O861" i="14"/>
  <c r="O748" i="14"/>
  <c r="O1087" i="14"/>
  <c r="K1051" i="14"/>
  <c r="M1051" i="14"/>
  <c r="H1051" i="14"/>
  <c r="H787" i="14"/>
  <c r="M787" i="14"/>
  <c r="K787" i="14"/>
  <c r="H1058" i="14"/>
  <c r="M1058" i="14"/>
  <c r="K1058" i="14"/>
  <c r="K1043" i="14"/>
  <c r="M1043" i="14"/>
  <c r="H1043" i="14"/>
  <c r="O874" i="14"/>
  <c r="O761" i="14"/>
  <c r="O1100" i="14"/>
  <c r="O987" i="14"/>
  <c r="O828" i="14"/>
  <c r="O941" i="14"/>
  <c r="O1054" i="14"/>
  <c r="O1167" i="14"/>
  <c r="H917" i="14"/>
  <c r="K917" i="14"/>
  <c r="M917" i="14"/>
  <c r="M926" i="14"/>
  <c r="K926" i="14"/>
  <c r="H926" i="14"/>
  <c r="K732" i="14"/>
  <c r="H732" i="14"/>
  <c r="M732" i="14"/>
  <c r="H735" i="14"/>
  <c r="M735" i="14"/>
  <c r="K735" i="14"/>
  <c r="H1054" i="14"/>
  <c r="K1054" i="14"/>
  <c r="M1054" i="14"/>
  <c r="H798" i="14"/>
  <c r="K798" i="14"/>
  <c r="M798" i="14"/>
  <c r="M878" i="14"/>
  <c r="K878" i="14"/>
  <c r="H878" i="14"/>
  <c r="H861" i="14"/>
  <c r="M861" i="14"/>
  <c r="K861" i="14"/>
  <c r="M1015" i="14"/>
  <c r="K1015" i="14"/>
  <c r="H1015" i="14"/>
  <c r="K945" i="14"/>
  <c r="H945" i="14"/>
  <c r="M945" i="14"/>
  <c r="H727" i="14"/>
  <c r="M727" i="14"/>
  <c r="K727" i="14"/>
  <c r="O757" i="14"/>
  <c r="O870" i="14"/>
  <c r="O983" i="14"/>
  <c r="O1096" i="14"/>
  <c r="H843" i="14"/>
  <c r="H875" i="14"/>
  <c r="H956" i="14"/>
  <c r="H1039" i="14"/>
  <c r="K1039" i="14"/>
  <c r="M1039" i="14"/>
  <c r="H729" i="14"/>
  <c r="K729" i="14"/>
  <c r="M729" i="14"/>
  <c r="H1046" i="14"/>
  <c r="K1046" i="14"/>
  <c r="M1046" i="14"/>
  <c r="H791" i="14"/>
  <c r="M791" i="14"/>
  <c r="K791" i="14"/>
  <c r="H751" i="14"/>
  <c r="M751" i="14"/>
  <c r="K751" i="14"/>
  <c r="K991" i="14"/>
  <c r="H991" i="14"/>
  <c r="M991" i="14"/>
  <c r="H817" i="14"/>
  <c r="K817" i="14"/>
  <c r="M817" i="14"/>
  <c r="H974" i="14"/>
  <c r="K974" i="14"/>
  <c r="M974" i="14"/>
  <c r="H746" i="14"/>
  <c r="K746" i="14"/>
  <c r="M746" i="14"/>
  <c r="M902" i="14"/>
  <c r="K902" i="14"/>
  <c r="H902" i="14"/>
  <c r="M845" i="14"/>
  <c r="K845" i="14"/>
  <c r="H845" i="14"/>
  <c r="H754" i="14"/>
  <c r="K754" i="14"/>
  <c r="M754" i="14"/>
  <c r="O1127" i="14"/>
  <c r="O901" i="14"/>
  <c r="O788" i="14"/>
  <c r="O1014" i="14"/>
  <c r="H753" i="14"/>
  <c r="M753" i="14"/>
  <c r="K753" i="14"/>
  <c r="H786" i="14"/>
  <c r="K786" i="14"/>
  <c r="M786" i="14"/>
  <c r="O1139" i="14"/>
  <c r="O1026" i="14"/>
  <c r="O800" i="14"/>
  <c r="O913" i="14"/>
  <c r="O802" i="14"/>
  <c r="O1141" i="14"/>
  <c r="O1028" i="14"/>
  <c r="O915" i="14"/>
  <c r="O759" i="14"/>
  <c r="K875" i="14"/>
  <c r="K956" i="14"/>
  <c r="H1014" i="14"/>
  <c r="K1014" i="14"/>
  <c r="M1014" i="14"/>
  <c r="H1042" i="14"/>
  <c r="K1042" i="14"/>
  <c r="M1042" i="14"/>
  <c r="H937" i="14"/>
  <c r="K937" i="14"/>
  <c r="M937" i="14"/>
  <c r="H933" i="14"/>
  <c r="K933" i="14"/>
  <c r="M933" i="14"/>
  <c r="H773" i="14"/>
  <c r="K773" i="14"/>
  <c r="M773" i="14"/>
  <c r="M857" i="14"/>
  <c r="H857" i="14"/>
  <c r="K857" i="14"/>
  <c r="M804" i="14"/>
  <c r="H804" i="14"/>
  <c r="K804" i="14"/>
  <c r="H774" i="14"/>
  <c r="K774" i="14"/>
  <c r="M774" i="14"/>
  <c r="H810" i="14"/>
  <c r="K810" i="14"/>
  <c r="M810" i="14"/>
  <c r="H958" i="14"/>
  <c r="K958" i="14"/>
  <c r="M958" i="14"/>
  <c r="H734" i="14"/>
  <c r="K734" i="14"/>
  <c r="M734" i="14"/>
  <c r="H869" i="14"/>
  <c r="K869" i="14"/>
  <c r="M869" i="14"/>
  <c r="O914" i="14"/>
  <c r="O801" i="14"/>
  <c r="O1140" i="14"/>
  <c r="O1027" i="14"/>
  <c r="O1018" i="14"/>
  <c r="O905" i="14"/>
  <c r="O792" i="14"/>
  <c r="O1131" i="14"/>
  <c r="O885" i="14"/>
  <c r="O772" i="14"/>
  <c r="O998" i="14"/>
  <c r="O1111" i="14"/>
  <c r="O790" i="14"/>
  <c r="O903" i="14"/>
  <c r="O1129" i="14"/>
  <c r="O1016" i="14"/>
  <c r="O928" i="14"/>
  <c r="H901" i="14"/>
  <c r="K901" i="14"/>
  <c r="M901" i="14"/>
  <c r="H767" i="14"/>
  <c r="M767" i="14"/>
  <c r="K767" i="14"/>
  <c r="M929" i="14"/>
  <c r="H929" i="14"/>
  <c r="K929" i="14"/>
  <c r="H1050" i="14"/>
  <c r="K1050" i="14"/>
  <c r="M1050" i="14"/>
  <c r="M942" i="14"/>
  <c r="K942" i="14"/>
  <c r="H942" i="14"/>
  <c r="M886" i="14"/>
  <c r="K886" i="14"/>
  <c r="H886" i="14"/>
  <c r="K970" i="14"/>
  <c r="H970" i="14"/>
  <c r="M970" i="14"/>
  <c r="H898" i="14"/>
  <c r="M898" i="14"/>
  <c r="K898" i="14"/>
  <c r="H766" i="14"/>
  <c r="M766" i="14"/>
  <c r="K766" i="14"/>
  <c r="K764" i="14"/>
  <c r="M764" i="14"/>
  <c r="H764" i="14"/>
  <c r="H814" i="14"/>
  <c r="M814" i="14"/>
  <c r="K814" i="14"/>
  <c r="H726" i="14"/>
  <c r="K726" i="14"/>
  <c r="M726" i="14"/>
  <c r="M838" i="14"/>
  <c r="K838" i="14"/>
  <c r="H838" i="14"/>
  <c r="O763" i="14"/>
  <c r="O1151" i="14"/>
  <c r="O1038" i="14"/>
  <c r="O925" i="14"/>
  <c r="O812" i="14"/>
  <c r="O1143" i="14"/>
  <c r="O1030" i="14"/>
  <c r="O917" i="14"/>
  <c r="O804" i="14"/>
  <c r="O823" i="14"/>
  <c r="O910" i="14"/>
  <c r="O797" i="14"/>
  <c r="O1023" i="14"/>
  <c r="O1136" i="14"/>
  <c r="O758" i="14"/>
  <c r="O871" i="14"/>
  <c r="O984" i="14"/>
  <c r="O1097" i="14"/>
  <c r="O944" i="14"/>
  <c r="O940" i="14"/>
  <c r="O1053" i="14"/>
  <c r="O1049" i="14"/>
  <c r="O1098" i="14"/>
  <c r="O734" i="14"/>
  <c r="O847" i="14"/>
  <c r="O1073" i="14"/>
  <c r="O960" i="14"/>
  <c r="H873" i="14"/>
  <c r="M873" i="14"/>
  <c r="K873" i="14"/>
  <c r="K1055" i="14"/>
  <c r="M1055" i="14"/>
  <c r="H1055" i="14"/>
  <c r="H802" i="14"/>
  <c r="K802" i="14"/>
  <c r="M802" i="14"/>
  <c r="H790" i="14"/>
  <c r="K790" i="14"/>
  <c r="M790" i="14"/>
  <c r="K999" i="14"/>
  <c r="H999" i="14"/>
  <c r="M999" i="14"/>
  <c r="H797" i="14"/>
  <c r="K797" i="14"/>
  <c r="M797" i="14"/>
  <c r="M752" i="14"/>
  <c r="H752" i="14"/>
  <c r="K752" i="14"/>
  <c r="M1011" i="14"/>
  <c r="K1011" i="14"/>
  <c r="H1011" i="14"/>
  <c r="O1103" i="14"/>
  <c r="O877" i="14"/>
  <c r="O764" i="14"/>
  <c r="O990" i="14"/>
  <c r="M756" i="14"/>
  <c r="H756" i="14"/>
  <c r="K756" i="14"/>
  <c r="M858" i="14"/>
  <c r="K858" i="14"/>
  <c r="H858" i="14"/>
  <c r="M1130" i="14"/>
  <c r="K1130" i="14"/>
  <c r="H1130" i="14"/>
  <c r="M1150" i="14"/>
  <c r="K1150" i="14"/>
  <c r="H1150" i="14"/>
  <c r="M1126" i="14"/>
  <c r="K1126" i="14"/>
  <c r="H1126" i="14"/>
  <c r="M1122" i="14"/>
  <c r="K1122" i="14"/>
  <c r="H1122" i="14"/>
  <c r="M1074" i="14"/>
  <c r="K1074" i="14"/>
  <c r="H1074" i="14"/>
  <c r="M1142" i="14"/>
  <c r="K1142" i="14"/>
  <c r="H1142" i="14"/>
  <c r="M1162" i="14"/>
  <c r="K1162" i="14"/>
  <c r="H1162" i="14"/>
  <c r="M1098" i="14"/>
  <c r="K1098" i="14"/>
  <c r="H1098" i="14"/>
  <c r="M1086" i="14"/>
  <c r="K1086" i="14"/>
  <c r="H1086" i="14"/>
  <c r="M1102" i="14"/>
  <c r="K1102" i="14"/>
  <c r="H1102" i="14"/>
  <c r="M1078" i="14"/>
  <c r="K1078" i="14"/>
  <c r="H1078" i="14"/>
  <c r="H1173" i="14"/>
  <c r="M1173" i="14"/>
  <c r="K1173" i="14"/>
  <c r="H1070" i="14"/>
  <c r="M1070" i="14"/>
  <c r="K1070" i="14"/>
  <c r="M1066" i="14"/>
  <c r="H1066" i="14"/>
  <c r="K1066" i="14"/>
  <c r="M1110" i="14"/>
  <c r="K1110" i="14"/>
  <c r="H1110" i="14"/>
  <c r="M1114" i="14"/>
  <c r="K1114" i="14"/>
  <c r="H1114" i="14"/>
  <c r="O1174" i="14"/>
  <c r="M1158" i="14"/>
  <c r="K1158" i="14"/>
  <c r="H1158" i="14"/>
  <c r="M1090" i="14"/>
  <c r="K1090" i="14"/>
  <c r="H1090" i="14"/>
  <c r="M1154" i="14"/>
  <c r="K1154" i="14"/>
  <c r="H1154" i="14"/>
  <c r="M1106" i="14"/>
  <c r="K1106" i="14"/>
  <c r="H1106" i="14"/>
  <c r="M1138" i="14"/>
  <c r="K1138" i="14"/>
  <c r="H1138" i="14"/>
  <c r="M1134" i="14"/>
  <c r="K1134" i="14"/>
  <c r="H1134" i="14"/>
  <c r="M1094" i="14"/>
  <c r="K1094" i="14"/>
  <c r="H1094" i="14"/>
  <c r="M1118" i="14"/>
  <c r="K1118" i="14"/>
  <c r="H1118" i="14"/>
  <c r="M1170" i="14"/>
  <c r="K1170" i="14"/>
  <c r="H1170" i="14"/>
  <c r="M1082" i="14"/>
  <c r="K1082" i="14"/>
  <c r="H1082" i="14"/>
  <c r="M1166" i="14"/>
  <c r="K1166" i="14"/>
  <c r="H1166" i="14"/>
  <c r="M1146" i="14"/>
  <c r="K1146" i="14"/>
  <c r="H1146" i="14"/>
  <c r="M977" i="14"/>
  <c r="K977" i="14"/>
  <c r="H977" i="14"/>
  <c r="M1001" i="14"/>
  <c r="K1001" i="14"/>
  <c r="H1001" i="14"/>
  <c r="M1013" i="14"/>
  <c r="K1013" i="14"/>
  <c r="H1013" i="14"/>
  <c r="M997" i="14"/>
  <c r="K997" i="14"/>
  <c r="H997" i="14"/>
  <c r="M1005" i="14"/>
  <c r="K1005" i="14"/>
  <c r="H1005" i="14"/>
  <c r="M1025" i="14"/>
  <c r="K1025" i="14"/>
  <c r="H1025" i="14"/>
  <c r="M1049" i="14"/>
  <c r="K1049" i="14"/>
  <c r="H1049" i="14"/>
  <c r="M989" i="14"/>
  <c r="K989" i="14"/>
  <c r="H989" i="14"/>
  <c r="O1061" i="14"/>
  <c r="M1037" i="14"/>
  <c r="K1037" i="14"/>
  <c r="H1037" i="14"/>
  <c r="M1021" i="14"/>
  <c r="K1021" i="14"/>
  <c r="H1021" i="14"/>
  <c r="M1009" i="14"/>
  <c r="K1009" i="14"/>
  <c r="H1009" i="14"/>
  <c r="M1017" i="14"/>
  <c r="K1017" i="14"/>
  <c r="H1017" i="14"/>
  <c r="M981" i="14"/>
  <c r="K981" i="14"/>
  <c r="H981" i="14"/>
  <c r="M961" i="14"/>
  <c r="H961" i="14"/>
  <c r="K961" i="14"/>
  <c r="M969" i="14"/>
  <c r="K969" i="14"/>
  <c r="H969" i="14"/>
  <c r="H1060" i="14"/>
  <c r="M1060" i="14"/>
  <c r="K1060" i="14"/>
  <c r="M1045" i="14"/>
  <c r="K1045" i="14"/>
  <c r="H1045" i="14"/>
  <c r="M985" i="14"/>
  <c r="K985" i="14"/>
  <c r="H985" i="14"/>
  <c r="M973" i="14"/>
  <c r="K973" i="14"/>
  <c r="H973" i="14"/>
  <c r="M1041" i="14"/>
  <c r="K1041" i="14"/>
  <c r="H1041" i="14"/>
  <c r="M1053" i="14"/>
  <c r="K1053" i="14"/>
  <c r="H1053" i="14"/>
  <c r="M1029" i="14"/>
  <c r="K1029" i="14"/>
  <c r="H1029" i="14"/>
  <c r="M965" i="14"/>
  <c r="K965" i="14"/>
  <c r="H965" i="14"/>
  <c r="M1033" i="14"/>
  <c r="K1033" i="14"/>
  <c r="H1033" i="14"/>
  <c r="M957" i="14"/>
  <c r="H957" i="14"/>
  <c r="K957" i="14"/>
  <c r="M1057" i="14"/>
  <c r="K1057" i="14"/>
  <c r="H1057" i="14"/>
  <c r="M993" i="14"/>
  <c r="K993" i="14"/>
  <c r="H993" i="14"/>
  <c r="H953" i="14"/>
  <c r="M953" i="14"/>
  <c r="K953" i="14"/>
  <c r="H932" i="14"/>
  <c r="M932" i="14"/>
  <c r="K932" i="14"/>
  <c r="H908" i="14"/>
  <c r="M908" i="14"/>
  <c r="K908" i="14"/>
  <c r="H912" i="14"/>
  <c r="M912" i="14"/>
  <c r="K912" i="14"/>
  <c r="M900" i="14"/>
  <c r="K900" i="14"/>
  <c r="H900" i="14"/>
  <c r="H880" i="14"/>
  <c r="M880" i="14"/>
  <c r="K880" i="14"/>
  <c r="H928" i="14"/>
  <c r="M928" i="14"/>
  <c r="K928" i="14"/>
  <c r="M868" i="14"/>
  <c r="H868" i="14"/>
  <c r="K868" i="14"/>
  <c r="M920" i="14"/>
  <c r="K920" i="14"/>
  <c r="H920" i="14"/>
  <c r="H872" i="14"/>
  <c r="M872" i="14"/>
  <c r="K872" i="14"/>
  <c r="H904" i="14"/>
  <c r="M904" i="14"/>
  <c r="K904" i="14"/>
  <c r="M888" i="14"/>
  <c r="K888" i="14"/>
  <c r="H888" i="14"/>
  <c r="M944" i="14"/>
  <c r="K944" i="14"/>
  <c r="H944" i="14"/>
  <c r="M860" i="14"/>
  <c r="K860" i="14"/>
  <c r="H860" i="14"/>
  <c r="H947" i="14"/>
  <c r="M947" i="14"/>
  <c r="K947" i="14"/>
  <c r="M916" i="14"/>
  <c r="K916" i="14"/>
  <c r="H916" i="14"/>
  <c r="O948" i="14"/>
  <c r="M856" i="14"/>
  <c r="K856" i="14"/>
  <c r="H856" i="14"/>
  <c r="M848" i="14"/>
  <c r="K848" i="14"/>
  <c r="H848" i="14"/>
  <c r="H896" i="14"/>
  <c r="M896" i="14"/>
  <c r="K896" i="14"/>
  <c r="H844" i="14"/>
  <c r="M844" i="14"/>
  <c r="K844" i="14"/>
  <c r="H892" i="14"/>
  <c r="M892" i="14"/>
  <c r="K892" i="14"/>
  <c r="M936" i="14"/>
  <c r="K936" i="14"/>
  <c r="H936" i="14"/>
  <c r="M940" i="14"/>
  <c r="K940" i="14"/>
  <c r="H940" i="14"/>
  <c r="H876" i="14"/>
  <c r="M876" i="14"/>
  <c r="K876" i="14"/>
  <c r="H852" i="14"/>
  <c r="M852" i="14"/>
  <c r="K852" i="14"/>
  <c r="H924" i="14"/>
  <c r="M924" i="14"/>
  <c r="K924" i="14"/>
  <c r="H864" i="14"/>
  <c r="M864" i="14"/>
  <c r="K864" i="14"/>
  <c r="M840" i="14"/>
  <c r="H840" i="14"/>
  <c r="K840" i="14"/>
  <c r="M884" i="14"/>
  <c r="H884" i="14"/>
  <c r="K884" i="14"/>
  <c r="K642" i="14"/>
  <c r="H642" i="14"/>
  <c r="K674" i="14"/>
  <c r="K690" i="14"/>
  <c r="H674" i="14"/>
  <c r="M714" i="14"/>
  <c r="H714" i="14"/>
  <c r="H690" i="14"/>
  <c r="M650" i="14"/>
  <c r="H650" i="14"/>
  <c r="M718" i="14"/>
  <c r="K718" i="14"/>
  <c r="H718" i="14"/>
  <c r="H702" i="14"/>
  <c r="M702" i="14"/>
  <c r="K702" i="14"/>
  <c r="M695" i="14"/>
  <c r="K695" i="14"/>
  <c r="H695" i="14"/>
  <c r="M667" i="14"/>
  <c r="K667" i="14"/>
  <c r="H667" i="14"/>
  <c r="P665" i="14"/>
  <c r="P685" i="14"/>
  <c r="P709" i="14"/>
  <c r="M647" i="14"/>
  <c r="K647" i="14"/>
  <c r="H647" i="14"/>
  <c r="M663" i="14"/>
  <c r="K663" i="14"/>
  <c r="H663" i="14"/>
  <c r="M699" i="14"/>
  <c r="K699" i="14"/>
  <c r="H699" i="14"/>
  <c r="P697" i="14"/>
  <c r="P701" i="14"/>
  <c r="M683" i="14"/>
  <c r="K683" i="14"/>
  <c r="H683" i="14"/>
  <c r="H707" i="14"/>
  <c r="M707" i="14"/>
  <c r="K707" i="14"/>
  <c r="P649" i="14"/>
  <c r="P717" i="14"/>
  <c r="P645" i="14"/>
  <c r="M679" i="14"/>
  <c r="K679" i="14"/>
  <c r="H679" i="14"/>
  <c r="P713" i="14"/>
  <c r="P677" i="14"/>
  <c r="H659" i="14"/>
  <c r="M659" i="14"/>
  <c r="K659" i="14"/>
  <c r="H643" i="14"/>
  <c r="M643" i="14"/>
  <c r="K643" i="14"/>
  <c r="H691" i="14"/>
  <c r="M691" i="14"/>
  <c r="K691" i="14"/>
  <c r="M651" i="14"/>
  <c r="K651" i="14"/>
  <c r="H651" i="14"/>
  <c r="P681" i="14"/>
  <c r="P661" i="14"/>
  <c r="M715" i="14"/>
  <c r="K715" i="14"/>
  <c r="H715" i="14"/>
  <c r="H675" i="14"/>
  <c r="M675" i="14"/>
  <c r="K675" i="14"/>
  <c r="M711" i="14"/>
  <c r="H711" i="14"/>
  <c r="K711" i="14"/>
  <c r="P693" i="14"/>
  <c r="P653" i="14"/>
  <c r="P669" i="14"/>
  <c r="P18" i="14"/>
  <c r="M16" i="14"/>
  <c r="E36" i="6"/>
  <c r="F36" i="6"/>
  <c r="E37" i="6"/>
  <c r="F37" i="6"/>
  <c r="E38" i="6"/>
  <c r="F38" i="6"/>
  <c r="P38" i="11"/>
  <c r="P37" i="11"/>
  <c r="P36" i="11"/>
  <c r="K771" i="14" l="1"/>
  <c r="H771" i="14"/>
  <c r="M811" i="14"/>
  <c r="H811" i="14"/>
  <c r="M755" i="14"/>
  <c r="K755" i="14"/>
  <c r="M803" i="14"/>
  <c r="H803" i="14"/>
  <c r="M819" i="14"/>
  <c r="K819" i="14"/>
  <c r="O669" i="14"/>
  <c r="L669" i="14"/>
  <c r="I669" i="14"/>
  <c r="J669" i="14"/>
  <c r="J717" i="14"/>
  <c r="L717" i="14"/>
  <c r="I717" i="14"/>
  <c r="O717" i="14"/>
  <c r="I649" i="14"/>
  <c r="J649" i="14"/>
  <c r="O649" i="14"/>
  <c r="L649" i="14"/>
  <c r="O653" i="14"/>
  <c r="J653" i="14"/>
  <c r="I653" i="14"/>
  <c r="L653" i="14"/>
  <c r="O693" i="14"/>
  <c r="I693" i="14"/>
  <c r="J693" i="14"/>
  <c r="L693" i="14"/>
  <c r="H17" i="14"/>
  <c r="J17" i="14"/>
  <c r="K17" i="14"/>
  <c r="L17" i="14" s="1"/>
  <c r="H779" i="14"/>
  <c r="K779" i="14"/>
  <c r="M779" i="14"/>
  <c r="O709" i="14"/>
  <c r="L709" i="14"/>
  <c r="I709" i="14"/>
  <c r="J709" i="14"/>
  <c r="H743" i="14"/>
  <c r="M743" i="14"/>
  <c r="K743" i="14"/>
  <c r="L685" i="14"/>
  <c r="O685" i="14"/>
  <c r="J685" i="14"/>
  <c r="I685" i="14"/>
  <c r="J665" i="14"/>
  <c r="O665" i="14"/>
  <c r="I665" i="14"/>
  <c r="L665" i="14"/>
  <c r="J701" i="14"/>
  <c r="O701" i="14"/>
  <c r="L701" i="14"/>
  <c r="I701" i="14"/>
  <c r="H739" i="14"/>
  <c r="K739" i="14"/>
  <c r="M739" i="14"/>
  <c r="I697" i="14"/>
  <c r="J697" i="14"/>
  <c r="L697" i="14"/>
  <c r="O697" i="14"/>
  <c r="I661" i="14"/>
  <c r="O661" i="14"/>
  <c r="J661" i="14"/>
  <c r="L661" i="14"/>
  <c r="L677" i="14"/>
  <c r="J677" i="14"/>
  <c r="I677" i="14"/>
  <c r="O677" i="14"/>
  <c r="I681" i="14"/>
  <c r="J681" i="14"/>
  <c r="L681" i="14"/>
  <c r="O681" i="14"/>
  <c r="J713" i="14"/>
  <c r="O713" i="14"/>
  <c r="L713" i="14"/>
  <c r="I713" i="14"/>
  <c r="I18" i="14"/>
  <c r="O18" i="14"/>
  <c r="J645" i="14"/>
  <c r="O645" i="14"/>
  <c r="L645" i="14"/>
  <c r="I645" i="14"/>
  <c r="M1174" i="14"/>
  <c r="K1174" i="14"/>
  <c r="H1174" i="14"/>
  <c r="M1061" i="14"/>
  <c r="K1061" i="14"/>
  <c r="H1061" i="14"/>
  <c r="M948" i="14"/>
  <c r="K948" i="14"/>
  <c r="H948" i="14"/>
  <c r="M680" i="14"/>
  <c r="K680" i="14"/>
  <c r="H680" i="14"/>
  <c r="M664" i="14"/>
  <c r="K664" i="14"/>
  <c r="H664" i="14"/>
  <c r="M668" i="14"/>
  <c r="K668" i="14"/>
  <c r="H668" i="14"/>
  <c r="M716" i="14"/>
  <c r="K716" i="14"/>
  <c r="H716" i="14"/>
  <c r="M700" i="14"/>
  <c r="K700" i="14"/>
  <c r="H700" i="14"/>
  <c r="M644" i="14"/>
  <c r="K644" i="14"/>
  <c r="H644" i="14"/>
  <c r="M692" i="14"/>
  <c r="K692" i="14"/>
  <c r="H692" i="14"/>
  <c r="M684" i="14"/>
  <c r="K684" i="14"/>
  <c r="H684" i="14"/>
  <c r="M676" i="14"/>
  <c r="K676" i="14"/>
  <c r="H676" i="14"/>
  <c r="M652" i="14"/>
  <c r="K652" i="14"/>
  <c r="H652" i="14"/>
  <c r="M648" i="14"/>
  <c r="K648" i="14"/>
  <c r="H648" i="14"/>
  <c r="M696" i="14"/>
  <c r="K696" i="14"/>
  <c r="H696" i="14"/>
  <c r="M712" i="14"/>
  <c r="K712" i="14"/>
  <c r="H712" i="14"/>
  <c r="M660" i="14"/>
  <c r="K660" i="14"/>
  <c r="H660" i="14"/>
  <c r="M708" i="14"/>
  <c r="K708" i="14"/>
  <c r="H708" i="14"/>
  <c r="M17" i="14"/>
  <c r="P35" i="11"/>
  <c r="P34" i="11"/>
  <c r="P33" i="11"/>
  <c r="P32" i="11"/>
  <c r="P31" i="11"/>
  <c r="P30" i="11"/>
  <c r="H18" i="14" l="1"/>
  <c r="J18" i="14"/>
  <c r="K18" i="14"/>
  <c r="L18" i="14" s="1"/>
  <c r="K697" i="14"/>
  <c r="M697" i="14"/>
  <c r="H697" i="14"/>
  <c r="K665" i="14"/>
  <c r="M665" i="14"/>
  <c r="H665" i="14"/>
  <c r="M693" i="14"/>
  <c r="K693" i="14"/>
  <c r="H693" i="14"/>
  <c r="K717" i="14"/>
  <c r="H717" i="14"/>
  <c r="M717" i="14"/>
  <c r="K677" i="14"/>
  <c r="M677" i="14"/>
  <c r="H677" i="14"/>
  <c r="K669" i="14"/>
  <c r="H669" i="14"/>
  <c r="M669" i="14"/>
  <c r="M709" i="14"/>
  <c r="K709" i="14"/>
  <c r="H709" i="14"/>
  <c r="M713" i="14"/>
  <c r="K713" i="14"/>
  <c r="H713" i="14"/>
  <c r="K645" i="14"/>
  <c r="M645" i="14"/>
  <c r="H645" i="14"/>
  <c r="K653" i="14"/>
  <c r="H653" i="14"/>
  <c r="M653" i="14"/>
  <c r="H649" i="14"/>
  <c r="K649" i="14"/>
  <c r="M649" i="14"/>
  <c r="K661" i="14"/>
  <c r="M661" i="14"/>
  <c r="H661" i="14"/>
  <c r="K701" i="14"/>
  <c r="H701" i="14"/>
  <c r="M701" i="14"/>
  <c r="K685" i="14"/>
  <c r="H685" i="14"/>
  <c r="M685" i="14"/>
  <c r="M681" i="14"/>
  <c r="K681" i="14"/>
  <c r="H681" i="14"/>
  <c r="M18" i="14"/>
  <c r="E33" i="6"/>
  <c r="E34" i="6"/>
  <c r="E35" i="6"/>
  <c r="F29" i="6"/>
  <c r="F30" i="6"/>
  <c r="F31" i="6"/>
  <c r="F32" i="6"/>
  <c r="F33" i="6"/>
  <c r="F34" i="6"/>
  <c r="F35" i="6"/>
  <c r="E32" i="6"/>
  <c r="E31" i="6"/>
  <c r="E30" i="6"/>
  <c r="F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E17" i="6"/>
  <c r="E16" i="6"/>
  <c r="E15" i="6"/>
  <c r="E14" i="6"/>
  <c r="E13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K20" i="5" l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H11" i="5"/>
  <c r="F30" i="7" s="1"/>
  <c r="H12" i="5"/>
  <c r="F36" i="7" s="1"/>
  <c r="H13" i="5"/>
  <c r="F33" i="7" s="1"/>
  <c r="I10" i="10"/>
  <c r="H6" i="5"/>
  <c r="F15" i="7" s="1"/>
  <c r="H5" i="5"/>
  <c r="F12" i="7" s="1"/>
  <c r="D8" i="14"/>
  <c r="D9" i="14"/>
  <c r="D10" i="14"/>
  <c r="D11" i="14"/>
  <c r="D12" i="14"/>
  <c r="D13" i="14"/>
  <c r="D14" i="14"/>
  <c r="D7" i="14"/>
  <c r="G14" i="14"/>
  <c r="F14" i="14"/>
  <c r="G13" i="14"/>
  <c r="F13" i="14"/>
  <c r="G12" i="14"/>
  <c r="F12" i="14"/>
  <c r="P11" i="14"/>
  <c r="G11" i="14"/>
  <c r="F11" i="14"/>
  <c r="F10" i="14"/>
  <c r="F9" i="14"/>
  <c r="F8" i="14"/>
  <c r="P7" i="14"/>
  <c r="F7" i="14"/>
  <c r="L6" i="12"/>
  <c r="I6" i="12"/>
  <c r="F6" i="12"/>
  <c r="T4" i="17"/>
  <c r="O4" i="17"/>
  <c r="J4" i="17"/>
  <c r="E4" i="17"/>
  <c r="F4" i="17" s="1"/>
  <c r="T3" i="17"/>
  <c r="W3" i="17" s="1"/>
  <c r="O3" i="17"/>
  <c r="R3" i="17" s="1"/>
  <c r="J3" i="17"/>
  <c r="E3" i="17"/>
  <c r="I11" i="14" l="1"/>
  <c r="K11" i="14" s="1"/>
  <c r="L11" i="14" s="1"/>
  <c r="O36" i="7"/>
  <c r="M3" i="17"/>
  <c r="K3" i="17"/>
  <c r="O30" i="7"/>
  <c r="O33" i="7"/>
  <c r="P12" i="14"/>
  <c r="P8" i="14"/>
  <c r="N4" i="17"/>
  <c r="O12" i="14" s="1"/>
  <c r="W4" i="17"/>
  <c r="K4" i="17"/>
  <c r="P3" i="17"/>
  <c r="F3" i="17"/>
  <c r="I7" i="14" s="1"/>
  <c r="P4" i="17"/>
  <c r="U3" i="17"/>
  <c r="U4" i="17"/>
  <c r="G8" i="7"/>
  <c r="H8" i="7"/>
  <c r="J11" i="14" l="1"/>
  <c r="H11" i="14"/>
  <c r="I8" i="14"/>
  <c r="J8" i="14" s="1"/>
  <c r="H7" i="14"/>
  <c r="K7" i="14"/>
  <c r="L7" i="14" s="1"/>
  <c r="M7" i="14"/>
  <c r="J7" i="14"/>
  <c r="X4" i="17"/>
  <c r="O14" i="14" s="1"/>
  <c r="I12" i="14"/>
  <c r="S4" i="17"/>
  <c r="I4" i="17"/>
  <c r="O11" i="14" s="1"/>
  <c r="M11" i="14"/>
  <c r="N3" i="17"/>
  <c r="O8" i="14" s="1"/>
  <c r="X3" i="17"/>
  <c r="I3" i="17"/>
  <c r="O7" i="14" s="1"/>
  <c r="S3" i="17"/>
  <c r="P13" i="14"/>
  <c r="P14" i="14" s="1"/>
  <c r="I14" i="14" s="1"/>
  <c r="P9" i="14"/>
  <c r="I9" i="14" s="1"/>
  <c r="H3" i="3"/>
  <c r="H4" i="3"/>
  <c r="H5" i="3"/>
  <c r="H6" i="3"/>
  <c r="H7" i="3"/>
  <c r="H8" i="3"/>
  <c r="H9" i="3"/>
  <c r="H10" i="3"/>
  <c r="H11" i="3"/>
  <c r="H12" i="3"/>
  <c r="H13" i="3"/>
  <c r="H2" i="3"/>
  <c r="K8" i="14" l="1"/>
  <c r="L8" i="14" s="1"/>
  <c r="M8" i="14"/>
  <c r="H8" i="14"/>
  <c r="J14" i="14"/>
  <c r="H14" i="14"/>
  <c r="K14" i="14"/>
  <c r="L14" i="14" s="1"/>
  <c r="O13" i="14"/>
  <c r="I13" i="14"/>
  <c r="J13" i="14" s="1"/>
  <c r="M9" i="14"/>
  <c r="J9" i="14"/>
  <c r="K9" i="14"/>
  <c r="L9" i="14" s="1"/>
  <c r="H9" i="14"/>
  <c r="O9" i="14"/>
  <c r="H12" i="14"/>
  <c r="K12" i="14"/>
  <c r="L12" i="14" s="1"/>
  <c r="J12" i="14"/>
  <c r="M12" i="14"/>
  <c r="P10" i="14"/>
  <c r="I10" i="14" s="1"/>
  <c r="K13" i="14" l="1"/>
  <c r="L13" i="14" s="1"/>
  <c r="O10" i="14"/>
  <c r="K10" i="14"/>
  <c r="L10" i="14" s="1"/>
  <c r="J10" i="14"/>
  <c r="M10" i="14"/>
  <c r="H10" i="14"/>
  <c r="M14" i="14"/>
  <c r="M13" i="14"/>
  <c r="B432" i="14"/>
  <c r="B433" i="14"/>
  <c r="B434" i="14"/>
  <c r="B435" i="14"/>
  <c r="B436" i="14"/>
  <c r="B437" i="14"/>
  <c r="B438" i="14"/>
  <c r="B439" i="14"/>
  <c r="B440" i="14"/>
  <c r="B441" i="14"/>
  <c r="B442" i="14"/>
  <c r="B443" i="14"/>
  <c r="B444" i="14"/>
  <c r="B445" i="14"/>
  <c r="B446" i="14"/>
  <c r="B447" i="14"/>
  <c r="B448" i="14"/>
  <c r="B449" i="14"/>
  <c r="B450" i="14"/>
  <c r="B451" i="14"/>
  <c r="B452" i="14"/>
  <c r="B453" i="14"/>
  <c r="B454" i="14"/>
  <c r="B455" i="14"/>
  <c r="B456" i="14"/>
  <c r="B457" i="14"/>
  <c r="B458" i="14"/>
  <c r="B459" i="14"/>
  <c r="B460" i="14"/>
  <c r="B461" i="14"/>
  <c r="B462" i="14"/>
  <c r="B463" i="14"/>
  <c r="B464" i="14"/>
  <c r="B465" i="14"/>
  <c r="B466" i="14"/>
  <c r="B467" i="14"/>
  <c r="B468" i="14"/>
  <c r="B469" i="14"/>
  <c r="B470" i="14"/>
  <c r="B471" i="14"/>
  <c r="B472" i="14"/>
  <c r="B473" i="14"/>
  <c r="B474" i="14"/>
  <c r="B475" i="14"/>
  <c r="B476" i="14"/>
  <c r="B477" i="14"/>
  <c r="B478" i="14"/>
  <c r="B479" i="14"/>
  <c r="B480" i="14"/>
  <c r="B481" i="14"/>
  <c r="B482" i="14"/>
  <c r="B483" i="14"/>
  <c r="B484" i="14"/>
  <c r="B485" i="14"/>
  <c r="B486" i="14"/>
  <c r="B487" i="14"/>
  <c r="B488" i="14"/>
  <c r="B489" i="14"/>
  <c r="B490" i="14"/>
  <c r="B491" i="14"/>
  <c r="B492" i="14"/>
  <c r="B493" i="14"/>
  <c r="B494" i="14"/>
  <c r="B495" i="14"/>
  <c r="B496" i="14"/>
  <c r="B497" i="14"/>
  <c r="B498" i="14"/>
  <c r="B499" i="14"/>
  <c r="B500" i="14"/>
  <c r="B501" i="14"/>
  <c r="B502" i="14"/>
  <c r="B503" i="14"/>
  <c r="B504" i="14"/>
  <c r="B505" i="14"/>
  <c r="B506" i="14"/>
  <c r="B507" i="14"/>
  <c r="B508" i="14"/>
  <c r="B509" i="14"/>
  <c r="B510" i="14"/>
  <c r="B511" i="14"/>
  <c r="B512" i="14"/>
  <c r="B513" i="14"/>
  <c r="B514" i="14"/>
  <c r="B515" i="14"/>
  <c r="B516" i="14"/>
  <c r="B517" i="14"/>
  <c r="B518" i="14"/>
  <c r="B519" i="14"/>
  <c r="B520" i="14"/>
  <c r="B521" i="14"/>
  <c r="B522" i="14"/>
  <c r="B523" i="14"/>
  <c r="B524" i="14"/>
  <c r="B525" i="14"/>
  <c r="B526" i="14"/>
  <c r="B527" i="14"/>
  <c r="B529" i="14"/>
  <c r="B530" i="14"/>
  <c r="B531" i="14"/>
  <c r="B533" i="14"/>
  <c r="B534" i="14"/>
  <c r="B535" i="14"/>
  <c r="B537" i="14"/>
  <c r="B538" i="14"/>
  <c r="B539" i="14"/>
  <c r="B541" i="14"/>
  <c r="B542" i="14"/>
  <c r="B543" i="14"/>
  <c r="B545" i="14"/>
  <c r="B546" i="14"/>
  <c r="B547" i="14"/>
  <c r="B549" i="14"/>
  <c r="B550" i="14"/>
  <c r="B551" i="14"/>
  <c r="B553" i="14"/>
  <c r="B554" i="14"/>
  <c r="B555" i="14"/>
  <c r="B557" i="14"/>
  <c r="B558" i="14"/>
  <c r="B559" i="14"/>
  <c r="B561" i="14"/>
  <c r="B562" i="14"/>
  <c r="B563" i="14"/>
  <c r="B565" i="14"/>
  <c r="B566" i="14"/>
  <c r="B567" i="14"/>
  <c r="B569" i="14"/>
  <c r="B570" i="14"/>
  <c r="B571" i="14"/>
  <c r="B573" i="14"/>
  <c r="B574" i="14"/>
  <c r="B575" i="14"/>
  <c r="B577" i="14"/>
  <c r="B578" i="14"/>
  <c r="B579" i="14"/>
  <c r="B581" i="14"/>
  <c r="B582" i="14"/>
  <c r="B583" i="14"/>
  <c r="B585" i="14"/>
  <c r="B586" i="14"/>
  <c r="B587" i="14"/>
  <c r="B589" i="14"/>
  <c r="B590" i="14"/>
  <c r="B591" i="14"/>
  <c r="B593" i="14"/>
  <c r="B594" i="14"/>
  <c r="B595" i="14"/>
  <c r="B597" i="14"/>
  <c r="B598" i="14"/>
  <c r="B599" i="14"/>
  <c r="B601" i="14"/>
  <c r="B602" i="14"/>
  <c r="B603" i="14"/>
  <c r="B605" i="14"/>
  <c r="B606" i="14"/>
  <c r="B607" i="14"/>
  <c r="B609" i="14"/>
  <c r="B610" i="14"/>
  <c r="B611" i="14"/>
  <c r="B613" i="14"/>
  <c r="B614" i="14"/>
  <c r="B615" i="14"/>
  <c r="B617" i="14"/>
  <c r="B618" i="14"/>
  <c r="B619" i="14"/>
  <c r="B621" i="14"/>
  <c r="B622" i="14"/>
  <c r="B623" i="14"/>
  <c r="B625" i="14"/>
  <c r="B626" i="14"/>
  <c r="B627" i="14"/>
  <c r="B429" i="14"/>
  <c r="B430" i="14"/>
  <c r="B431" i="14"/>
  <c r="B428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  <c r="D490" i="14"/>
  <c r="D491" i="14"/>
  <c r="D492" i="14"/>
  <c r="D493" i="14"/>
  <c r="D494" i="14"/>
  <c r="D495" i="14"/>
  <c r="D496" i="14"/>
  <c r="D497" i="14"/>
  <c r="D498" i="14"/>
  <c r="D499" i="14"/>
  <c r="D500" i="14"/>
  <c r="D501" i="14"/>
  <c r="D502" i="14"/>
  <c r="D503" i="14"/>
  <c r="D504" i="14"/>
  <c r="D505" i="14"/>
  <c r="D506" i="14"/>
  <c r="D507" i="14"/>
  <c r="D508" i="14"/>
  <c r="D509" i="14"/>
  <c r="D510" i="14"/>
  <c r="D511" i="14"/>
  <c r="D512" i="14"/>
  <c r="D513" i="14"/>
  <c r="D514" i="14"/>
  <c r="D515" i="14"/>
  <c r="D516" i="14"/>
  <c r="D517" i="14"/>
  <c r="D518" i="14"/>
  <c r="D519" i="14"/>
  <c r="D520" i="14"/>
  <c r="D521" i="14"/>
  <c r="D522" i="14"/>
  <c r="D523" i="14"/>
  <c r="D524" i="14"/>
  <c r="D525" i="14"/>
  <c r="D526" i="14"/>
  <c r="D527" i="14"/>
  <c r="D529" i="14"/>
  <c r="D530" i="14"/>
  <c r="D531" i="14"/>
  <c r="D533" i="14"/>
  <c r="D534" i="14"/>
  <c r="D535" i="14"/>
  <c r="D537" i="14"/>
  <c r="D538" i="14"/>
  <c r="D539" i="14"/>
  <c r="D541" i="14"/>
  <c r="D542" i="14"/>
  <c r="D543" i="14"/>
  <c r="D545" i="14"/>
  <c r="D546" i="14"/>
  <c r="D547" i="14"/>
  <c r="D549" i="14"/>
  <c r="D550" i="14"/>
  <c r="D551" i="14"/>
  <c r="D553" i="14"/>
  <c r="D554" i="14"/>
  <c r="D555" i="14"/>
  <c r="D557" i="14"/>
  <c r="D558" i="14"/>
  <c r="D559" i="14"/>
  <c r="D561" i="14"/>
  <c r="D562" i="14"/>
  <c r="D563" i="14"/>
  <c r="D565" i="14"/>
  <c r="D566" i="14"/>
  <c r="D567" i="14"/>
  <c r="D569" i="14"/>
  <c r="D570" i="14"/>
  <c r="D571" i="14"/>
  <c r="D573" i="14"/>
  <c r="D574" i="14"/>
  <c r="D575" i="14"/>
  <c r="D577" i="14"/>
  <c r="D578" i="14"/>
  <c r="D579" i="14"/>
  <c r="D581" i="14"/>
  <c r="D582" i="14"/>
  <c r="D583" i="14"/>
  <c r="D585" i="14"/>
  <c r="D586" i="14"/>
  <c r="D587" i="14"/>
  <c r="D589" i="14"/>
  <c r="D590" i="14"/>
  <c r="D591" i="14"/>
  <c r="D593" i="14"/>
  <c r="D594" i="14"/>
  <c r="D595" i="14"/>
  <c r="D597" i="14"/>
  <c r="D598" i="14"/>
  <c r="D599" i="14"/>
  <c r="D601" i="14"/>
  <c r="D602" i="14"/>
  <c r="D603" i="14"/>
  <c r="D605" i="14"/>
  <c r="D606" i="14"/>
  <c r="D607" i="14"/>
  <c r="D609" i="14"/>
  <c r="D610" i="14"/>
  <c r="D611" i="14"/>
  <c r="D613" i="14"/>
  <c r="D614" i="14"/>
  <c r="D615" i="14"/>
  <c r="D617" i="14"/>
  <c r="D618" i="14"/>
  <c r="D619" i="14"/>
  <c r="D621" i="14"/>
  <c r="D622" i="14"/>
  <c r="D623" i="14"/>
  <c r="D625" i="14"/>
  <c r="D626" i="14"/>
  <c r="D627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28" i="14"/>
  <c r="P529" i="14"/>
  <c r="P530" i="14"/>
  <c r="P531" i="14"/>
  <c r="P532" i="14"/>
  <c r="P533" i="14"/>
  <c r="P534" i="14"/>
  <c r="P535" i="14"/>
  <c r="P536" i="14"/>
  <c r="P537" i="14"/>
  <c r="P538" i="14"/>
  <c r="P539" i="14"/>
  <c r="P540" i="14"/>
  <c r="D540" i="14" s="1"/>
  <c r="P541" i="14"/>
  <c r="P542" i="14"/>
  <c r="P543" i="14"/>
  <c r="P544" i="14"/>
  <c r="D544" i="14" s="1"/>
  <c r="P545" i="14"/>
  <c r="P546" i="14"/>
  <c r="P547" i="14"/>
  <c r="P548" i="14"/>
  <c r="P549" i="14"/>
  <c r="P550" i="14"/>
  <c r="P551" i="14"/>
  <c r="P552" i="14"/>
  <c r="B552" i="14" s="1"/>
  <c r="P553" i="14"/>
  <c r="P554" i="14"/>
  <c r="P555" i="14"/>
  <c r="P556" i="14"/>
  <c r="D556" i="14" s="1"/>
  <c r="P557" i="14"/>
  <c r="P558" i="14"/>
  <c r="P559" i="14"/>
  <c r="P560" i="14"/>
  <c r="D560" i="14" s="1"/>
  <c r="P561" i="14"/>
  <c r="P562" i="14"/>
  <c r="P563" i="14"/>
  <c r="P564" i="14"/>
  <c r="P565" i="14"/>
  <c r="P566" i="14"/>
  <c r="P567" i="14"/>
  <c r="P568" i="14"/>
  <c r="B568" i="14" s="1"/>
  <c r="P569" i="14"/>
  <c r="P570" i="14"/>
  <c r="P571" i="14"/>
  <c r="P572" i="14"/>
  <c r="D572" i="14" s="1"/>
  <c r="P573" i="14"/>
  <c r="P574" i="14"/>
  <c r="P575" i="14"/>
  <c r="P576" i="14"/>
  <c r="D576" i="14" s="1"/>
  <c r="P577" i="14"/>
  <c r="P578" i="14"/>
  <c r="P579" i="14"/>
  <c r="P580" i="14"/>
  <c r="P581" i="14"/>
  <c r="P582" i="14"/>
  <c r="P583" i="14"/>
  <c r="P584" i="14"/>
  <c r="B584" i="14" s="1"/>
  <c r="P585" i="14"/>
  <c r="P586" i="14"/>
  <c r="P587" i="14"/>
  <c r="P588" i="14"/>
  <c r="B588" i="14" s="1"/>
  <c r="P589" i="14"/>
  <c r="P590" i="14"/>
  <c r="P591" i="14"/>
  <c r="P592" i="14"/>
  <c r="D592" i="14" s="1"/>
  <c r="P593" i="14"/>
  <c r="P594" i="14"/>
  <c r="P595" i="14"/>
  <c r="P596" i="14"/>
  <c r="P597" i="14"/>
  <c r="P598" i="14"/>
  <c r="P599" i="14"/>
  <c r="P600" i="14"/>
  <c r="D600" i="14" s="1"/>
  <c r="P601" i="14"/>
  <c r="P602" i="14"/>
  <c r="P603" i="14"/>
  <c r="P604" i="14"/>
  <c r="B604" i="14" s="1"/>
  <c r="P605" i="14"/>
  <c r="P606" i="14"/>
  <c r="P607" i="14"/>
  <c r="P608" i="14"/>
  <c r="D608" i="14" s="1"/>
  <c r="P609" i="14"/>
  <c r="P610" i="14"/>
  <c r="P611" i="14"/>
  <c r="P612" i="14"/>
  <c r="P613" i="14"/>
  <c r="P614" i="14"/>
  <c r="P615" i="14"/>
  <c r="P616" i="14"/>
  <c r="B616" i="14" s="1"/>
  <c r="P617" i="14"/>
  <c r="P618" i="14"/>
  <c r="P619" i="14"/>
  <c r="P620" i="14"/>
  <c r="B620" i="14" s="1"/>
  <c r="P621" i="14"/>
  <c r="P622" i="14"/>
  <c r="P623" i="14"/>
  <c r="P624" i="14"/>
  <c r="D624" i="14" s="1"/>
  <c r="P625" i="14"/>
  <c r="P626" i="14"/>
  <c r="P627" i="14"/>
  <c r="P528" i="14"/>
  <c r="Q528" i="14"/>
  <c r="Q529" i="14" s="1"/>
  <c r="Q530" i="14" s="1"/>
  <c r="Q531" i="14" s="1"/>
  <c r="Q532" i="14"/>
  <c r="Q533" i="14" s="1"/>
  <c r="Q534" i="14" s="1"/>
  <c r="Q535" i="14" s="1"/>
  <c r="Q536" i="14"/>
  <c r="Q537" i="14" s="1"/>
  <c r="Q538" i="14" s="1"/>
  <c r="Q539" i="14" s="1"/>
  <c r="Q540" i="14"/>
  <c r="Q541" i="14" s="1"/>
  <c r="Q544" i="14"/>
  <c r="Q545" i="14" s="1"/>
  <c r="Q546" i="14" s="1"/>
  <c r="Q547" i="14" s="1"/>
  <c r="Q548" i="14"/>
  <c r="Q549" i="14" s="1"/>
  <c r="Q552" i="14"/>
  <c r="Q553" i="14" s="1"/>
  <c r="Q554" i="14" s="1"/>
  <c r="Q556" i="14"/>
  <c r="Q557" i="14" s="1"/>
  <c r="Q558" i="14" s="1"/>
  <c r="Q559" i="14" s="1"/>
  <c r="Q560" i="14"/>
  <c r="Q561" i="14" s="1"/>
  <c r="Q564" i="14"/>
  <c r="Q565" i="14" s="1"/>
  <c r="Q568" i="14"/>
  <c r="Q569" i="14" s="1"/>
  <c r="Q570" i="14" s="1"/>
  <c r="Q572" i="14"/>
  <c r="Q573" i="14" s="1"/>
  <c r="Q574" i="14" s="1"/>
  <c r="Q575" i="14" s="1"/>
  <c r="Q576" i="14"/>
  <c r="Q577" i="14" s="1"/>
  <c r="Q580" i="14"/>
  <c r="Q581" i="14" s="1"/>
  <c r="Q582" i="14" s="1"/>
  <c r="Q583" i="14" s="1"/>
  <c r="Q584" i="14"/>
  <c r="Q585" i="14" s="1"/>
  <c r="Q586" i="14" s="1"/>
  <c r="Q587" i="14" s="1"/>
  <c r="Q588" i="14"/>
  <c r="Q589" i="14" s="1"/>
  <c r="Q592" i="14"/>
  <c r="Q593" i="14" s="1"/>
  <c r="Q594" i="14" s="1"/>
  <c r="Q595" i="14" s="1"/>
  <c r="Q596" i="14"/>
  <c r="Q597" i="14" s="1"/>
  <c r="Q600" i="14"/>
  <c r="Q601" i="14" s="1"/>
  <c r="Q604" i="14"/>
  <c r="Q605" i="14" s="1"/>
  <c r="Q608" i="14"/>
  <c r="Q609" i="14" s="1"/>
  <c r="Q610" i="14" s="1"/>
  <c r="Q611" i="14" s="1"/>
  <c r="Q612" i="14"/>
  <c r="Q613" i="14" s="1"/>
  <c r="Q614" i="14" s="1"/>
  <c r="Q615" i="14" s="1"/>
  <c r="Q616" i="14"/>
  <c r="Q617" i="14" s="1"/>
  <c r="Q618" i="14" s="1"/>
  <c r="Q619" i="14" s="1"/>
  <c r="Q620" i="14"/>
  <c r="Q621" i="14" s="1"/>
  <c r="Q622" i="14" s="1"/>
  <c r="Q623" i="14" s="1"/>
  <c r="Q624" i="14"/>
  <c r="Q625" i="14" s="1"/>
  <c r="Q626" i="14" s="1"/>
  <c r="Q627" i="14" s="1"/>
  <c r="G627" i="14"/>
  <c r="F627" i="14"/>
  <c r="G626" i="14"/>
  <c r="F626" i="14"/>
  <c r="G625" i="14"/>
  <c r="F625" i="14"/>
  <c r="G624" i="14"/>
  <c r="F624" i="14"/>
  <c r="G623" i="14"/>
  <c r="F623" i="14"/>
  <c r="G622" i="14"/>
  <c r="F622" i="14"/>
  <c r="G621" i="14"/>
  <c r="F621" i="14"/>
  <c r="G620" i="14"/>
  <c r="F620" i="14"/>
  <c r="G619" i="14"/>
  <c r="F619" i="14"/>
  <c r="G618" i="14"/>
  <c r="F618" i="14"/>
  <c r="G617" i="14"/>
  <c r="F617" i="14"/>
  <c r="G616" i="14"/>
  <c r="F616" i="14"/>
  <c r="G615" i="14"/>
  <c r="F615" i="14"/>
  <c r="G614" i="14"/>
  <c r="F614" i="14"/>
  <c r="G613" i="14"/>
  <c r="F613" i="14"/>
  <c r="G612" i="14"/>
  <c r="F612" i="14"/>
  <c r="G611" i="14"/>
  <c r="F611" i="14"/>
  <c r="G610" i="14"/>
  <c r="F610" i="14"/>
  <c r="G609" i="14"/>
  <c r="F609" i="14"/>
  <c r="G608" i="14"/>
  <c r="F608" i="14"/>
  <c r="G607" i="14"/>
  <c r="F607" i="14"/>
  <c r="G606" i="14"/>
  <c r="F606" i="14"/>
  <c r="G605" i="14"/>
  <c r="F605" i="14"/>
  <c r="G604" i="14"/>
  <c r="F604" i="14"/>
  <c r="G603" i="14"/>
  <c r="F603" i="14"/>
  <c r="G602" i="14"/>
  <c r="F602" i="14"/>
  <c r="G601" i="14"/>
  <c r="F601" i="14"/>
  <c r="G600" i="14"/>
  <c r="F600" i="14"/>
  <c r="G599" i="14"/>
  <c r="F599" i="14"/>
  <c r="G598" i="14"/>
  <c r="F598" i="14"/>
  <c r="G597" i="14"/>
  <c r="F597" i="14"/>
  <c r="G596" i="14"/>
  <c r="F596" i="14"/>
  <c r="G595" i="14"/>
  <c r="F595" i="14"/>
  <c r="G594" i="14"/>
  <c r="F594" i="14"/>
  <c r="G593" i="14"/>
  <c r="F593" i="14"/>
  <c r="G592" i="14"/>
  <c r="F592" i="14"/>
  <c r="G591" i="14"/>
  <c r="F591" i="14"/>
  <c r="G590" i="14"/>
  <c r="F590" i="14"/>
  <c r="G589" i="14"/>
  <c r="F589" i="14"/>
  <c r="G588" i="14"/>
  <c r="F588" i="14"/>
  <c r="G587" i="14"/>
  <c r="F587" i="14"/>
  <c r="G586" i="14"/>
  <c r="F586" i="14"/>
  <c r="G585" i="14"/>
  <c r="F585" i="14"/>
  <c r="G584" i="14"/>
  <c r="F584" i="14"/>
  <c r="G583" i="14"/>
  <c r="F583" i="14"/>
  <c r="G582" i="14"/>
  <c r="F582" i="14"/>
  <c r="G581" i="14"/>
  <c r="F581" i="14"/>
  <c r="G580" i="14"/>
  <c r="F580" i="14"/>
  <c r="G579" i="14"/>
  <c r="F579" i="14"/>
  <c r="G578" i="14"/>
  <c r="F578" i="14"/>
  <c r="G577" i="14"/>
  <c r="F577" i="14"/>
  <c r="G576" i="14"/>
  <c r="F576" i="14"/>
  <c r="G575" i="14"/>
  <c r="F575" i="14"/>
  <c r="G574" i="14"/>
  <c r="F574" i="14"/>
  <c r="G573" i="14"/>
  <c r="F573" i="14"/>
  <c r="G572" i="14"/>
  <c r="F572" i="14"/>
  <c r="G571" i="14"/>
  <c r="F571" i="14"/>
  <c r="G570" i="14"/>
  <c r="F570" i="14"/>
  <c r="G569" i="14"/>
  <c r="F569" i="14"/>
  <c r="G568" i="14"/>
  <c r="F568" i="14"/>
  <c r="G567" i="14"/>
  <c r="F567" i="14"/>
  <c r="G566" i="14"/>
  <c r="F566" i="14"/>
  <c r="G565" i="14"/>
  <c r="F565" i="14"/>
  <c r="G564" i="14"/>
  <c r="F564" i="14"/>
  <c r="G563" i="14"/>
  <c r="F563" i="14"/>
  <c r="G562" i="14"/>
  <c r="F562" i="14"/>
  <c r="G561" i="14"/>
  <c r="F561" i="14"/>
  <c r="G560" i="14"/>
  <c r="F560" i="14"/>
  <c r="G559" i="14"/>
  <c r="F559" i="14"/>
  <c r="G558" i="14"/>
  <c r="F558" i="14"/>
  <c r="G557" i="14"/>
  <c r="F557" i="14"/>
  <c r="G556" i="14"/>
  <c r="F556" i="14"/>
  <c r="G555" i="14"/>
  <c r="F555" i="14"/>
  <c r="G554" i="14"/>
  <c r="F554" i="14"/>
  <c r="G553" i="14"/>
  <c r="F553" i="14"/>
  <c r="G552" i="14"/>
  <c r="F552" i="14"/>
  <c r="G551" i="14"/>
  <c r="F551" i="14"/>
  <c r="G550" i="14"/>
  <c r="F550" i="14"/>
  <c r="G549" i="14"/>
  <c r="F549" i="14"/>
  <c r="G548" i="14"/>
  <c r="F548" i="14"/>
  <c r="G547" i="14"/>
  <c r="F547" i="14"/>
  <c r="G546" i="14"/>
  <c r="F546" i="14"/>
  <c r="G545" i="14"/>
  <c r="F545" i="14"/>
  <c r="G544" i="14"/>
  <c r="F544" i="14"/>
  <c r="G543" i="14"/>
  <c r="F543" i="14"/>
  <c r="G542" i="14"/>
  <c r="F542" i="14"/>
  <c r="G541" i="14"/>
  <c r="F541" i="14"/>
  <c r="G540" i="14"/>
  <c r="F540" i="14"/>
  <c r="G539" i="14"/>
  <c r="F539" i="14"/>
  <c r="G538" i="14"/>
  <c r="F538" i="14"/>
  <c r="G537" i="14"/>
  <c r="F537" i="14"/>
  <c r="G536" i="14"/>
  <c r="F536" i="14"/>
  <c r="G535" i="14"/>
  <c r="F535" i="14"/>
  <c r="G534" i="14"/>
  <c r="F534" i="14"/>
  <c r="G533" i="14"/>
  <c r="F533" i="14"/>
  <c r="G532" i="14"/>
  <c r="F532" i="14"/>
  <c r="G531" i="14"/>
  <c r="F531" i="14"/>
  <c r="G530" i="14"/>
  <c r="F530" i="14"/>
  <c r="G529" i="14"/>
  <c r="F529" i="14"/>
  <c r="G528" i="14"/>
  <c r="F528" i="14"/>
  <c r="J15" i="12"/>
  <c r="L15" i="12"/>
  <c r="J16" i="12"/>
  <c r="L16" i="12"/>
  <c r="F17" i="12"/>
  <c r="J17" i="12"/>
  <c r="L17" i="12"/>
  <c r="F18" i="12"/>
  <c r="J18" i="12"/>
  <c r="L18" i="12"/>
  <c r="F19" i="12"/>
  <c r="J19" i="12"/>
  <c r="L19" i="12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B170" i="2"/>
  <c r="A170" i="2" s="1"/>
  <c r="B171" i="2"/>
  <c r="A171" i="2" s="1"/>
  <c r="B172" i="2"/>
  <c r="A172" i="2" s="1"/>
  <c r="B173" i="2"/>
  <c r="A173" i="2" s="1"/>
  <c r="B174" i="2"/>
  <c r="A174" i="2" s="1"/>
  <c r="B175" i="2"/>
  <c r="A175" i="2" s="1"/>
  <c r="B176" i="2"/>
  <c r="A176" i="2" s="1"/>
  <c r="B177" i="2"/>
  <c r="A177" i="2" s="1"/>
  <c r="B178" i="2"/>
  <c r="A178" i="2" s="1"/>
  <c r="B179" i="2"/>
  <c r="A179" i="2" s="1"/>
  <c r="B180" i="2"/>
  <c r="A180" i="2" s="1"/>
  <c r="B181" i="2"/>
  <c r="A181" i="2" s="1"/>
  <c r="B182" i="2"/>
  <c r="A182" i="2" s="1"/>
  <c r="B183" i="2"/>
  <c r="A183" i="2" s="1"/>
  <c r="B184" i="2"/>
  <c r="A184" i="2" s="1"/>
  <c r="B185" i="2"/>
  <c r="A185" i="2" s="1"/>
  <c r="B186" i="2"/>
  <c r="A186" i="2" s="1"/>
  <c r="B187" i="2"/>
  <c r="A187" i="2" s="1"/>
  <c r="B188" i="2"/>
  <c r="A188" i="2" s="1"/>
  <c r="B189" i="2"/>
  <c r="A189" i="2" s="1"/>
  <c r="B190" i="2"/>
  <c r="A190" i="2" s="1"/>
  <c r="B191" i="2"/>
  <c r="A191" i="2" s="1"/>
  <c r="B192" i="2"/>
  <c r="A192" i="2" s="1"/>
  <c r="B193" i="2"/>
  <c r="A193" i="2" s="1"/>
  <c r="B169" i="2"/>
  <c r="A169" i="2" s="1"/>
  <c r="G508" i="14"/>
  <c r="G509" i="14"/>
  <c r="G510" i="14"/>
  <c r="G511" i="14"/>
  <c r="G512" i="14"/>
  <c r="G513" i="14"/>
  <c r="G514" i="14"/>
  <c r="G515" i="14"/>
  <c r="G516" i="14"/>
  <c r="G517" i="14"/>
  <c r="G518" i="14"/>
  <c r="G519" i="14"/>
  <c r="G520" i="14"/>
  <c r="G521" i="14"/>
  <c r="G522" i="14"/>
  <c r="G523" i="14"/>
  <c r="G524" i="14"/>
  <c r="G525" i="14"/>
  <c r="G526" i="14"/>
  <c r="G527" i="14"/>
  <c r="G507" i="14"/>
  <c r="G506" i="14"/>
  <c r="G505" i="14"/>
  <c r="G504" i="14"/>
  <c r="G503" i="14"/>
  <c r="G502" i="14"/>
  <c r="G501" i="14"/>
  <c r="G500" i="14"/>
  <c r="G499" i="14"/>
  <c r="G498" i="14"/>
  <c r="G497" i="14"/>
  <c r="G496" i="14"/>
  <c r="G495" i="14"/>
  <c r="G494" i="14"/>
  <c r="G493" i="14"/>
  <c r="G492" i="14"/>
  <c r="G491" i="14"/>
  <c r="G490" i="14"/>
  <c r="G489" i="14"/>
  <c r="G488" i="14"/>
  <c r="G487" i="14"/>
  <c r="G486" i="14"/>
  <c r="G485" i="14"/>
  <c r="G484" i="14"/>
  <c r="G483" i="14"/>
  <c r="G482" i="14"/>
  <c r="G481" i="14"/>
  <c r="G480" i="14"/>
  <c r="G479" i="14"/>
  <c r="G478" i="14"/>
  <c r="G477" i="14"/>
  <c r="G476" i="14"/>
  <c r="G475" i="14"/>
  <c r="G474" i="14"/>
  <c r="G473" i="14"/>
  <c r="G472" i="14"/>
  <c r="G471" i="14"/>
  <c r="G470" i="14"/>
  <c r="G469" i="14"/>
  <c r="G468" i="14"/>
  <c r="G467" i="14"/>
  <c r="G466" i="14"/>
  <c r="G465" i="14"/>
  <c r="G464" i="14"/>
  <c r="G463" i="14"/>
  <c r="G462" i="14"/>
  <c r="G461" i="14"/>
  <c r="G460" i="14"/>
  <c r="G459" i="14"/>
  <c r="G458" i="14"/>
  <c r="G457" i="14"/>
  <c r="G456" i="14"/>
  <c r="G455" i="14"/>
  <c r="G454" i="14"/>
  <c r="G453" i="14"/>
  <c r="G452" i="14"/>
  <c r="G451" i="14"/>
  <c r="G450" i="14"/>
  <c r="G449" i="14"/>
  <c r="G448" i="14"/>
  <c r="G447" i="14"/>
  <c r="G446" i="14"/>
  <c r="G445" i="14"/>
  <c r="G444" i="14"/>
  <c r="G443" i="14"/>
  <c r="G442" i="14"/>
  <c r="G441" i="14"/>
  <c r="G440" i="14"/>
  <c r="G439" i="14"/>
  <c r="G438" i="14"/>
  <c r="G437" i="14"/>
  <c r="G436" i="14"/>
  <c r="G435" i="14"/>
  <c r="G434" i="14"/>
  <c r="G433" i="14"/>
  <c r="G432" i="14"/>
  <c r="G431" i="14"/>
  <c r="G430" i="14"/>
  <c r="G429" i="14"/>
  <c r="G428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23" i="14"/>
  <c r="D536" i="14" l="1"/>
  <c r="B628" i="14"/>
  <c r="D628" i="14"/>
  <c r="B632" i="14"/>
  <c r="D632" i="14"/>
  <c r="D584" i="14"/>
  <c r="D616" i="14"/>
  <c r="D552" i="14"/>
  <c r="D588" i="14"/>
  <c r="D604" i="14"/>
  <c r="D568" i="14"/>
  <c r="D620" i="14"/>
  <c r="B600" i="14"/>
  <c r="B540" i="14"/>
  <c r="B556" i="14"/>
  <c r="B572" i="14"/>
  <c r="B536" i="14"/>
  <c r="Q550" i="14"/>
  <c r="Q551" i="14" s="1"/>
  <c r="Q598" i="14"/>
  <c r="Q599" i="14" s="1"/>
  <c r="D528" i="14"/>
  <c r="B528" i="14"/>
  <c r="B612" i="14"/>
  <c r="D612" i="14"/>
  <c r="B596" i="14"/>
  <c r="D596" i="14"/>
  <c r="B580" i="14"/>
  <c r="D580" i="14"/>
  <c r="B564" i="14"/>
  <c r="D564" i="14"/>
  <c r="B548" i="14"/>
  <c r="D548" i="14"/>
  <c r="B532" i="14"/>
  <c r="D532" i="14"/>
  <c r="Q566" i="14"/>
  <c r="Q567" i="14" s="1"/>
  <c r="B624" i="14"/>
  <c r="B608" i="14"/>
  <c r="B592" i="14"/>
  <c r="B576" i="14"/>
  <c r="B560" i="14"/>
  <c r="B544" i="14"/>
  <c r="Q555" i="14"/>
  <c r="Q578" i="14"/>
  <c r="Q571" i="14"/>
  <c r="Q562" i="14"/>
  <c r="Q606" i="14"/>
  <c r="Q590" i="14"/>
  <c r="Q542" i="14"/>
  <c r="Q543" i="14" s="1"/>
  <c r="Q602" i="14"/>
  <c r="Q603" i="14" s="1"/>
  <c r="B636" i="14" l="1"/>
  <c r="D636" i="14"/>
  <c r="Q563" i="14"/>
  <c r="Q591" i="14"/>
  <c r="Q579" i="14"/>
  <c r="Q607" i="14"/>
  <c r="Q432" i="14"/>
  <c r="Q436" i="14"/>
  <c r="Q440" i="14"/>
  <c r="Q444" i="14"/>
  <c r="Q448" i="14"/>
  <c r="Q449" i="14" s="1"/>
  <c r="Q450" i="14" s="1"/>
  <c r="Q452" i="14"/>
  <c r="Q456" i="14"/>
  <c r="Q460" i="14"/>
  <c r="Q461" i="14" s="1"/>
  <c r="Q464" i="14"/>
  <c r="Q465" i="14" s="1"/>
  <c r="Q468" i="14"/>
  <c r="Q469" i="14" s="1"/>
  <c r="Q472" i="14"/>
  <c r="Q476" i="14"/>
  <c r="Q477" i="14" s="1"/>
  <c r="Q480" i="14"/>
  <c r="Q484" i="14"/>
  <c r="Q488" i="14"/>
  <c r="Q492" i="14"/>
  <c r="Q493" i="14" s="1"/>
  <c r="Q496" i="14"/>
  <c r="Q500" i="14"/>
  <c r="Q501" i="14" s="1"/>
  <c r="Q502" i="14" s="1"/>
  <c r="Q504" i="14"/>
  <c r="Q508" i="14"/>
  <c r="Q512" i="14"/>
  <c r="Q513" i="14" s="1"/>
  <c r="Q516" i="14"/>
  <c r="Q520" i="14"/>
  <c r="Q524" i="14"/>
  <c r="Q525" i="14" s="1"/>
  <c r="Q428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24" i="14"/>
  <c r="F25" i="14"/>
  <c r="F26" i="14"/>
  <c r="F23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L11" i="12"/>
  <c r="L12" i="12"/>
  <c r="L13" i="12"/>
  <c r="L14" i="12"/>
  <c r="L10" i="12"/>
  <c r="J11" i="12"/>
  <c r="J12" i="12"/>
  <c r="J13" i="12"/>
  <c r="J14" i="12"/>
  <c r="J10" i="12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3" i="16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44" i="2"/>
  <c r="G54" i="16" l="1"/>
  <c r="X55" i="16"/>
  <c r="X53" i="16"/>
  <c r="X51" i="16"/>
  <c r="J623" i="14" s="1"/>
  <c r="X49" i="16"/>
  <c r="J615" i="14" s="1"/>
  <c r="X47" i="16"/>
  <c r="J607" i="14" s="1"/>
  <c r="X45" i="16"/>
  <c r="J599" i="14" s="1"/>
  <c r="X43" i="16"/>
  <c r="J591" i="14" s="1"/>
  <c r="X41" i="16"/>
  <c r="J583" i="14" s="1"/>
  <c r="X39" i="16"/>
  <c r="J575" i="14" s="1"/>
  <c r="X37" i="16"/>
  <c r="J567" i="14" s="1"/>
  <c r="X35" i="16"/>
  <c r="J559" i="14" s="1"/>
  <c r="X33" i="16"/>
  <c r="J551" i="14" s="1"/>
  <c r="X31" i="16"/>
  <c r="J543" i="14" s="1"/>
  <c r="X29" i="16"/>
  <c r="J535" i="14" s="1"/>
  <c r="X27" i="16"/>
  <c r="X25" i="16"/>
  <c r="X23" i="16"/>
  <c r="X21" i="16"/>
  <c r="X19" i="16"/>
  <c r="X17" i="16"/>
  <c r="X15" i="16"/>
  <c r="X13" i="16"/>
  <c r="X11" i="16"/>
  <c r="X9" i="16"/>
  <c r="X7" i="16"/>
  <c r="X5" i="16"/>
  <c r="X3" i="16"/>
  <c r="V53" i="16"/>
  <c r="V51" i="16"/>
  <c r="L623" i="14" s="1"/>
  <c r="V47" i="16"/>
  <c r="V45" i="16"/>
  <c r="L599" i="14" s="1"/>
  <c r="V41" i="16"/>
  <c r="L583" i="14" s="1"/>
  <c r="V39" i="16"/>
  <c r="L575" i="14" s="1"/>
  <c r="V35" i="16"/>
  <c r="L559" i="14" s="1"/>
  <c r="V33" i="16"/>
  <c r="L551" i="14" s="1"/>
  <c r="V29" i="16"/>
  <c r="L535" i="14" s="1"/>
  <c r="V25" i="16"/>
  <c r="V19" i="16"/>
  <c r="V15" i="16"/>
  <c r="V11" i="16"/>
  <c r="V7" i="16"/>
  <c r="S33" i="16"/>
  <c r="J550" i="14" s="1"/>
  <c r="S23" i="16"/>
  <c r="S15" i="16"/>
  <c r="S7" i="16"/>
  <c r="N13" i="16"/>
  <c r="J469" i="14" s="1"/>
  <c r="X12" i="16"/>
  <c r="V55" i="16"/>
  <c r="V49" i="16"/>
  <c r="L615" i="14" s="1"/>
  <c r="V43" i="16"/>
  <c r="L591" i="14" s="1"/>
  <c r="V37" i="16"/>
  <c r="L567" i="14" s="1"/>
  <c r="V31" i="16"/>
  <c r="L543" i="14" s="1"/>
  <c r="V27" i="16"/>
  <c r="V23" i="16"/>
  <c r="V21" i="16"/>
  <c r="V17" i="16"/>
  <c r="V13" i="16"/>
  <c r="V9" i="16"/>
  <c r="N9" i="16"/>
  <c r="X14" i="16"/>
  <c r="S55" i="16"/>
  <c r="S53" i="16"/>
  <c r="S51" i="16"/>
  <c r="J622" i="14" s="1"/>
  <c r="S49" i="16"/>
  <c r="J614" i="14" s="1"/>
  <c r="S47" i="16"/>
  <c r="J606" i="14" s="1"/>
  <c r="S45" i="16"/>
  <c r="J598" i="14" s="1"/>
  <c r="S43" i="16"/>
  <c r="J590" i="14" s="1"/>
  <c r="S41" i="16"/>
  <c r="J582" i="14" s="1"/>
  <c r="S39" i="16"/>
  <c r="J574" i="14" s="1"/>
  <c r="S37" i="16"/>
  <c r="J566" i="14" s="1"/>
  <c r="S35" i="16"/>
  <c r="J558" i="14" s="1"/>
  <c r="S27" i="16"/>
  <c r="S25" i="16"/>
  <c r="S17" i="16"/>
  <c r="S9" i="16"/>
  <c r="Q7" i="16"/>
  <c r="N19" i="16"/>
  <c r="J493" i="14" s="1"/>
  <c r="X16" i="16"/>
  <c r="Q55" i="16"/>
  <c r="Q53" i="16"/>
  <c r="Q51" i="16"/>
  <c r="Q49" i="16"/>
  <c r="L614" i="14" s="1"/>
  <c r="Q47" i="16"/>
  <c r="Q45" i="16"/>
  <c r="Q43" i="16"/>
  <c r="L590" i="14" s="1"/>
  <c r="Q41" i="16"/>
  <c r="Q39" i="16"/>
  <c r="Q37" i="16"/>
  <c r="Q35" i="16"/>
  <c r="Q33" i="16"/>
  <c r="L550" i="14" s="1"/>
  <c r="Q31" i="16"/>
  <c r="Q29" i="16"/>
  <c r="Q27" i="16"/>
  <c r="Q25" i="16"/>
  <c r="Q23" i="16"/>
  <c r="Q21" i="16"/>
  <c r="L502" i="14" s="1"/>
  <c r="Q19" i="16"/>
  <c r="Q17" i="16"/>
  <c r="Q15" i="16"/>
  <c r="Q13" i="16"/>
  <c r="Q9" i="16"/>
  <c r="N29" i="16"/>
  <c r="J533" i="14" s="1"/>
  <c r="N17" i="16"/>
  <c r="G5" i="16"/>
  <c r="L436" i="14" s="1"/>
  <c r="N55" i="16"/>
  <c r="N53" i="16"/>
  <c r="N51" i="16"/>
  <c r="J621" i="14" s="1"/>
  <c r="N49" i="16"/>
  <c r="J613" i="14" s="1"/>
  <c r="N47" i="16"/>
  <c r="J605" i="14" s="1"/>
  <c r="N45" i="16"/>
  <c r="J597" i="14" s="1"/>
  <c r="N43" i="16"/>
  <c r="J589" i="14" s="1"/>
  <c r="N41" i="16"/>
  <c r="J581" i="14" s="1"/>
  <c r="N39" i="16"/>
  <c r="J573" i="14" s="1"/>
  <c r="N37" i="16"/>
  <c r="J565" i="14" s="1"/>
  <c r="N35" i="16"/>
  <c r="J557" i="14" s="1"/>
  <c r="N31" i="16"/>
  <c r="J541" i="14" s="1"/>
  <c r="N25" i="16"/>
  <c r="N15" i="16"/>
  <c r="J477" i="14" s="1"/>
  <c r="X10" i="16"/>
  <c r="L55" i="16"/>
  <c r="L53" i="16"/>
  <c r="L51" i="16"/>
  <c r="L49" i="16"/>
  <c r="L47" i="16"/>
  <c r="L45" i="16"/>
  <c r="L43" i="16"/>
  <c r="L41" i="16"/>
  <c r="L39" i="16"/>
  <c r="L37" i="16"/>
  <c r="L35" i="16"/>
  <c r="L33" i="16"/>
  <c r="L549" i="14" s="1"/>
  <c r="L31" i="16"/>
  <c r="L29" i="16"/>
  <c r="L27" i="16"/>
  <c r="L25" i="16"/>
  <c r="L23" i="16"/>
  <c r="L21" i="16"/>
  <c r="L501" i="14" s="1"/>
  <c r="L19" i="16"/>
  <c r="L17" i="16"/>
  <c r="L15" i="16"/>
  <c r="L13" i="16"/>
  <c r="L469" i="14" s="1"/>
  <c r="L11" i="16"/>
  <c r="L461" i="14" s="1"/>
  <c r="L9" i="16"/>
  <c r="L7" i="16"/>
  <c r="L5" i="16"/>
  <c r="L3" i="16"/>
  <c r="G9" i="16"/>
  <c r="I55" i="16"/>
  <c r="I53" i="16"/>
  <c r="I51" i="16"/>
  <c r="J620" i="14" s="1"/>
  <c r="I49" i="16"/>
  <c r="J612" i="14" s="1"/>
  <c r="I47" i="16"/>
  <c r="J604" i="14" s="1"/>
  <c r="I45" i="16"/>
  <c r="J596" i="14" s="1"/>
  <c r="I43" i="16"/>
  <c r="J588" i="14" s="1"/>
  <c r="I41" i="16"/>
  <c r="J580" i="14" s="1"/>
  <c r="I39" i="16"/>
  <c r="J572" i="14" s="1"/>
  <c r="I37" i="16"/>
  <c r="J564" i="14" s="1"/>
  <c r="I35" i="16"/>
  <c r="J556" i="14" s="1"/>
  <c r="I33" i="16"/>
  <c r="J548" i="14" s="1"/>
  <c r="I31" i="16"/>
  <c r="J540" i="14" s="1"/>
  <c r="I29" i="16"/>
  <c r="J532" i="14" s="1"/>
  <c r="I27" i="16"/>
  <c r="J524" i="14" s="1"/>
  <c r="I25" i="16"/>
  <c r="J516" i="14" s="1"/>
  <c r="I23" i="16"/>
  <c r="J508" i="14" s="1"/>
  <c r="I21" i="16"/>
  <c r="J500" i="14" s="1"/>
  <c r="I19" i="16"/>
  <c r="J492" i="14" s="1"/>
  <c r="I17" i="16"/>
  <c r="J484" i="14" s="1"/>
  <c r="I15" i="16"/>
  <c r="J476" i="14" s="1"/>
  <c r="I13" i="16"/>
  <c r="J468" i="14" s="1"/>
  <c r="I11" i="16"/>
  <c r="J460" i="14" s="1"/>
  <c r="I9" i="16"/>
  <c r="J452" i="14" s="1"/>
  <c r="I7" i="16"/>
  <c r="J444" i="14" s="1"/>
  <c r="I5" i="16"/>
  <c r="J436" i="14" s="1"/>
  <c r="I3" i="16"/>
  <c r="J428" i="14" s="1"/>
  <c r="G55" i="16"/>
  <c r="G53" i="16"/>
  <c r="G51" i="16"/>
  <c r="G49" i="16"/>
  <c r="G47" i="16"/>
  <c r="G45" i="16"/>
  <c r="G43" i="16"/>
  <c r="G41" i="16"/>
  <c r="G39" i="16"/>
  <c r="G37" i="16"/>
  <c r="G35" i="16"/>
  <c r="G33" i="16"/>
  <c r="G31" i="16"/>
  <c r="G29" i="16"/>
  <c r="G27" i="16"/>
  <c r="G25" i="16"/>
  <c r="G23" i="16"/>
  <c r="G21" i="16"/>
  <c r="L500" i="14" s="1"/>
  <c r="G19" i="16"/>
  <c r="G17" i="16"/>
  <c r="L484" i="14" s="1"/>
  <c r="G15" i="16"/>
  <c r="G3" i="16"/>
  <c r="X54" i="16"/>
  <c r="X52" i="16"/>
  <c r="J627" i="14" s="1"/>
  <c r="X50" i="16"/>
  <c r="J619" i="14" s="1"/>
  <c r="X48" i="16"/>
  <c r="J611" i="14" s="1"/>
  <c r="X46" i="16"/>
  <c r="J603" i="14" s="1"/>
  <c r="X44" i="16"/>
  <c r="J595" i="14" s="1"/>
  <c r="X42" i="16"/>
  <c r="J587" i="14" s="1"/>
  <c r="X40" i="16"/>
  <c r="J579" i="14" s="1"/>
  <c r="X38" i="16"/>
  <c r="J571" i="14" s="1"/>
  <c r="X36" i="16"/>
  <c r="J563" i="14" s="1"/>
  <c r="X34" i="16"/>
  <c r="J555" i="14" s="1"/>
  <c r="X32" i="16"/>
  <c r="J547" i="14" s="1"/>
  <c r="X30" i="16"/>
  <c r="J539" i="14" s="1"/>
  <c r="X28" i="16"/>
  <c r="J531" i="14" s="1"/>
  <c r="X26" i="16"/>
  <c r="X24" i="16"/>
  <c r="X22" i="16"/>
  <c r="X8" i="16"/>
  <c r="V54" i="16"/>
  <c r="V52" i="16"/>
  <c r="L627" i="14" s="1"/>
  <c r="V50" i="16"/>
  <c r="L619" i="14" s="1"/>
  <c r="V48" i="16"/>
  <c r="L611" i="14" s="1"/>
  <c r="V46" i="16"/>
  <c r="L603" i="14" s="1"/>
  <c r="V44" i="16"/>
  <c r="L595" i="14" s="1"/>
  <c r="V42" i="16"/>
  <c r="V40" i="16"/>
  <c r="L579" i="14" s="1"/>
  <c r="V38" i="16"/>
  <c r="L571" i="14" s="1"/>
  <c r="V36" i="16"/>
  <c r="L563" i="14" s="1"/>
  <c r="V34" i="16"/>
  <c r="L555" i="14" s="1"/>
  <c r="V32" i="16"/>
  <c r="V30" i="16"/>
  <c r="V28" i="16"/>
  <c r="L531" i="14" s="1"/>
  <c r="V26" i="16"/>
  <c r="V24" i="16"/>
  <c r="V22" i="16"/>
  <c r="V20" i="16"/>
  <c r="V18" i="16"/>
  <c r="V16" i="16"/>
  <c r="V14" i="16"/>
  <c r="V12" i="16"/>
  <c r="V10" i="16"/>
  <c r="V8" i="16"/>
  <c r="V6" i="16"/>
  <c r="V4" i="16"/>
  <c r="Q12" i="16"/>
  <c r="Q6" i="16"/>
  <c r="N50" i="16"/>
  <c r="J617" i="14" s="1"/>
  <c r="N44" i="16"/>
  <c r="J593" i="14" s="1"/>
  <c r="N38" i="16"/>
  <c r="J569" i="14" s="1"/>
  <c r="N30" i="16"/>
  <c r="J537" i="14" s="1"/>
  <c r="N24" i="16"/>
  <c r="J513" i="14" s="1"/>
  <c r="N18" i="16"/>
  <c r="N10" i="16"/>
  <c r="G13" i="16"/>
  <c r="X6" i="16"/>
  <c r="S54" i="16"/>
  <c r="S52" i="16"/>
  <c r="J626" i="14" s="1"/>
  <c r="S50" i="16"/>
  <c r="J618" i="14" s="1"/>
  <c r="S48" i="16"/>
  <c r="J610" i="14" s="1"/>
  <c r="S46" i="16"/>
  <c r="J602" i="14" s="1"/>
  <c r="S44" i="16"/>
  <c r="J594" i="14" s="1"/>
  <c r="S42" i="16"/>
  <c r="J586" i="14" s="1"/>
  <c r="S40" i="16"/>
  <c r="J578" i="14" s="1"/>
  <c r="S38" i="16"/>
  <c r="J570" i="14" s="1"/>
  <c r="S36" i="16"/>
  <c r="J562" i="14" s="1"/>
  <c r="S34" i="16"/>
  <c r="J554" i="14" s="1"/>
  <c r="S32" i="16"/>
  <c r="J546" i="14" s="1"/>
  <c r="S30" i="16"/>
  <c r="J538" i="14" s="1"/>
  <c r="S28" i="16"/>
  <c r="J530" i="14" s="1"/>
  <c r="S26" i="16"/>
  <c r="S24" i="16"/>
  <c r="S22" i="16"/>
  <c r="S20" i="16"/>
  <c r="S18" i="16"/>
  <c r="S16" i="16"/>
  <c r="S14" i="16"/>
  <c r="S12" i="16"/>
  <c r="S10" i="16"/>
  <c r="S8" i="16"/>
  <c r="J450" i="14" s="1"/>
  <c r="S6" i="16"/>
  <c r="S4" i="16"/>
  <c r="Q20" i="16"/>
  <c r="Q14" i="16"/>
  <c r="Q8" i="16"/>
  <c r="L450" i="14" s="1"/>
  <c r="N54" i="16"/>
  <c r="N46" i="16"/>
  <c r="J601" i="14" s="1"/>
  <c r="N40" i="16"/>
  <c r="J577" i="14" s="1"/>
  <c r="N36" i="16"/>
  <c r="J561" i="14" s="1"/>
  <c r="N32" i="16"/>
  <c r="J545" i="14" s="1"/>
  <c r="N26" i="16"/>
  <c r="N20" i="16"/>
  <c r="N14" i="16"/>
  <c r="N6" i="16"/>
  <c r="N5" i="16"/>
  <c r="G11" i="16"/>
  <c r="L460" i="14" s="1"/>
  <c r="Q54" i="16"/>
  <c r="Q52" i="16"/>
  <c r="Q50" i="16"/>
  <c r="Q48" i="16"/>
  <c r="L610" i="14" s="1"/>
  <c r="Q46" i="16"/>
  <c r="Q44" i="16"/>
  <c r="L594" i="14" s="1"/>
  <c r="Q42" i="16"/>
  <c r="Q40" i="16"/>
  <c r="Q38" i="16"/>
  <c r="L570" i="14" s="1"/>
  <c r="Q36" i="16"/>
  <c r="Q34" i="16"/>
  <c r="L554" i="14" s="1"/>
  <c r="Q32" i="16"/>
  <c r="Q30" i="16"/>
  <c r="Q28" i="16"/>
  <c r="L530" i="14" s="1"/>
  <c r="Q26" i="16"/>
  <c r="Q24" i="16"/>
  <c r="Q22" i="16"/>
  <c r="Q18" i="16"/>
  <c r="Q16" i="16"/>
  <c r="Q10" i="16"/>
  <c r="Q4" i="16"/>
  <c r="N52" i="16"/>
  <c r="J625" i="14" s="1"/>
  <c r="N48" i="16"/>
  <c r="J609" i="14" s="1"/>
  <c r="N42" i="16"/>
  <c r="J585" i="14" s="1"/>
  <c r="N34" i="16"/>
  <c r="J553" i="14" s="1"/>
  <c r="N28" i="16"/>
  <c r="J529" i="14" s="1"/>
  <c r="N22" i="16"/>
  <c r="N16" i="16"/>
  <c r="N12" i="16"/>
  <c r="J465" i="14" s="1"/>
  <c r="N8" i="16"/>
  <c r="J449" i="14" s="1"/>
  <c r="N4" i="16"/>
  <c r="N3" i="16"/>
  <c r="G7" i="16"/>
  <c r="L444" i="14" s="1"/>
  <c r="X4" i="16"/>
  <c r="L54" i="16"/>
  <c r="L52" i="16"/>
  <c r="L50" i="16"/>
  <c r="L48" i="16"/>
  <c r="L46" i="16"/>
  <c r="L44" i="16"/>
  <c r="L42" i="16"/>
  <c r="L40" i="16"/>
  <c r="L38" i="16"/>
  <c r="L36" i="16"/>
  <c r="L34" i="16"/>
  <c r="L32" i="16"/>
  <c r="L30" i="16"/>
  <c r="L28" i="16"/>
  <c r="L26" i="16"/>
  <c r="L24" i="16"/>
  <c r="L22" i="16"/>
  <c r="L20" i="16"/>
  <c r="L18" i="16"/>
  <c r="L16" i="16"/>
  <c r="L14" i="16"/>
  <c r="L12" i="16"/>
  <c r="L465" i="14" s="1"/>
  <c r="L10" i="16"/>
  <c r="L8" i="16"/>
  <c r="L449" i="14" s="1"/>
  <c r="L6" i="16"/>
  <c r="L4" i="16"/>
  <c r="G52" i="16"/>
  <c r="G46" i="16"/>
  <c r="G42" i="16"/>
  <c r="G38" i="16"/>
  <c r="G34" i="16"/>
  <c r="G28" i="16"/>
  <c r="G24" i="16"/>
  <c r="G18" i="16"/>
  <c r="G14" i="16"/>
  <c r="G10" i="16"/>
  <c r="G6" i="16"/>
  <c r="L440" i="14" s="1"/>
  <c r="V3" i="16"/>
  <c r="S29" i="16"/>
  <c r="J534" i="14" s="1"/>
  <c r="S19" i="16"/>
  <c r="J494" i="14" s="1"/>
  <c r="S13" i="16"/>
  <c r="J470" i="14" s="1"/>
  <c r="S5" i="16"/>
  <c r="Q11" i="16"/>
  <c r="L462" i="14" s="1"/>
  <c r="Q3" i="16"/>
  <c r="N27" i="16"/>
  <c r="J525" i="14" s="1"/>
  <c r="N21" i="16"/>
  <c r="J501" i="14" s="1"/>
  <c r="N7" i="16"/>
  <c r="X18" i="16"/>
  <c r="I54" i="16"/>
  <c r="I52" i="16"/>
  <c r="J624" i="14" s="1"/>
  <c r="I50" i="16"/>
  <c r="J616" i="14" s="1"/>
  <c r="I48" i="16"/>
  <c r="J608" i="14" s="1"/>
  <c r="I46" i="16"/>
  <c r="J600" i="14" s="1"/>
  <c r="I44" i="16"/>
  <c r="J592" i="14" s="1"/>
  <c r="I42" i="16"/>
  <c r="J584" i="14" s="1"/>
  <c r="I40" i="16"/>
  <c r="J576" i="14" s="1"/>
  <c r="I38" i="16"/>
  <c r="J568" i="14" s="1"/>
  <c r="I36" i="16"/>
  <c r="J560" i="14" s="1"/>
  <c r="I34" i="16"/>
  <c r="J552" i="14" s="1"/>
  <c r="I32" i="16"/>
  <c r="J544" i="14" s="1"/>
  <c r="I30" i="16"/>
  <c r="J536" i="14" s="1"/>
  <c r="I28" i="16"/>
  <c r="J528" i="14" s="1"/>
  <c r="I26" i="16"/>
  <c r="J520" i="14" s="1"/>
  <c r="I24" i="16"/>
  <c r="J512" i="14" s="1"/>
  <c r="I22" i="16"/>
  <c r="J504" i="14" s="1"/>
  <c r="I20" i="16"/>
  <c r="J496" i="14" s="1"/>
  <c r="I18" i="16"/>
  <c r="J488" i="14" s="1"/>
  <c r="I16" i="16"/>
  <c r="J480" i="14" s="1"/>
  <c r="I14" i="16"/>
  <c r="J472" i="14" s="1"/>
  <c r="I12" i="16"/>
  <c r="J464" i="14" s="1"/>
  <c r="I10" i="16"/>
  <c r="J456" i="14" s="1"/>
  <c r="I8" i="16"/>
  <c r="J448" i="14" s="1"/>
  <c r="I6" i="16"/>
  <c r="J440" i="14" s="1"/>
  <c r="I4" i="16"/>
  <c r="J432" i="14" s="1"/>
  <c r="G50" i="16"/>
  <c r="G48" i="16"/>
  <c r="G44" i="16"/>
  <c r="G40" i="16"/>
  <c r="G36" i="16"/>
  <c r="G32" i="16"/>
  <c r="G30" i="16"/>
  <c r="G26" i="16"/>
  <c r="G22" i="16"/>
  <c r="L504" i="14" s="1"/>
  <c r="G20" i="16"/>
  <c r="G16" i="16"/>
  <c r="L480" i="14" s="1"/>
  <c r="G12" i="16"/>
  <c r="L464" i="14" s="1"/>
  <c r="G8" i="16"/>
  <c r="G4" i="16"/>
  <c r="V5" i="16"/>
  <c r="S31" i="16"/>
  <c r="J542" i="14" s="1"/>
  <c r="S21" i="16"/>
  <c r="J502" i="14" s="1"/>
  <c r="S11" i="16"/>
  <c r="J462" i="14" s="1"/>
  <c r="S3" i="16"/>
  <c r="Q5" i="16"/>
  <c r="N33" i="16"/>
  <c r="J549" i="14" s="1"/>
  <c r="N23" i="16"/>
  <c r="N11" i="16"/>
  <c r="J461" i="14" s="1"/>
  <c r="X20" i="16"/>
  <c r="Q462" i="14"/>
  <c r="Q466" i="14"/>
  <c r="Q433" i="14"/>
  <c r="Q517" i="14"/>
  <c r="Q509" i="14"/>
  <c r="Q505" i="14"/>
  <c r="Q441" i="14"/>
  <c r="Q473" i="14"/>
  <c r="Q514" i="14"/>
  <c r="Q503" i="14"/>
  <c r="Q526" i="14"/>
  <c r="Q481" i="14"/>
  <c r="Q437" i="14"/>
  <c r="Q457" i="14"/>
  <c r="Q470" i="14"/>
  <c r="Q497" i="14"/>
  <c r="Q453" i="14"/>
  <c r="Q494" i="14"/>
  <c r="Q451" i="14"/>
  <c r="Q489" i="14"/>
  <c r="Q478" i="14"/>
  <c r="Q521" i="14"/>
  <c r="Q429" i="14"/>
  <c r="Q485" i="14"/>
  <c r="Q445" i="14"/>
  <c r="J497" i="14" l="1"/>
  <c r="J481" i="14"/>
  <c r="L441" i="14"/>
  <c r="J505" i="14"/>
  <c r="J521" i="14"/>
  <c r="L451" i="14"/>
  <c r="J478" i="14"/>
  <c r="J514" i="14"/>
  <c r="L485" i="14"/>
  <c r="J453" i="14"/>
  <c r="J457" i="14"/>
  <c r="J489" i="14"/>
  <c r="L509" i="14"/>
  <c r="J526" i="14"/>
  <c r="J485" i="14"/>
  <c r="L503" i="14"/>
  <c r="L481" i="14"/>
  <c r="L505" i="14"/>
  <c r="J451" i="14"/>
  <c r="J509" i="14"/>
  <c r="J517" i="14"/>
  <c r="J445" i="14"/>
  <c r="L470" i="14"/>
  <c r="J429" i="14"/>
  <c r="L514" i="14"/>
  <c r="J433" i="14"/>
  <c r="J437" i="14"/>
  <c r="L429" i="14"/>
  <c r="J503" i="14"/>
  <c r="J441" i="14"/>
  <c r="J466" i="14"/>
  <c r="L466" i="14"/>
  <c r="L437" i="14"/>
  <c r="J473" i="14"/>
  <c r="L445" i="14"/>
  <c r="K15" i="15"/>
  <c r="E15" i="15"/>
  <c r="L433" i="14"/>
  <c r="D15" i="15"/>
  <c r="P15" i="15" s="1"/>
  <c r="K73" i="15"/>
  <c r="E73" i="15"/>
  <c r="L561" i="14"/>
  <c r="D73" i="15"/>
  <c r="P73" i="15" s="1"/>
  <c r="K64" i="15"/>
  <c r="E64" i="15"/>
  <c r="D64" i="15"/>
  <c r="P64" i="15" s="1"/>
  <c r="L546" i="14"/>
  <c r="D37" i="15"/>
  <c r="P37" i="15" s="1"/>
  <c r="L508" i="14"/>
  <c r="K37" i="15"/>
  <c r="E37" i="15"/>
  <c r="D127" i="15"/>
  <c r="P127" i="15" s="1"/>
  <c r="L636" i="14"/>
  <c r="K127" i="15"/>
  <c r="E127" i="15"/>
  <c r="L453" i="14"/>
  <c r="K18" i="15"/>
  <c r="E18" i="15"/>
  <c r="D18" i="15"/>
  <c r="P18" i="15" s="1"/>
  <c r="L581" i="14"/>
  <c r="D87" i="15"/>
  <c r="P87" i="15" s="1"/>
  <c r="K87" i="15"/>
  <c r="E87" i="15"/>
  <c r="K129" i="15"/>
  <c r="E129" i="15"/>
  <c r="D129" i="15"/>
  <c r="P129" i="15" s="1"/>
  <c r="L638" i="14"/>
  <c r="D79" i="15"/>
  <c r="P79" i="15" s="1"/>
  <c r="L569" i="14"/>
  <c r="K79" i="15"/>
  <c r="E79" i="15"/>
  <c r="K40" i="15"/>
  <c r="E40" i="15"/>
  <c r="D40" i="15"/>
  <c r="P40" i="15" s="1"/>
  <c r="L516" i="14"/>
  <c r="L589" i="14"/>
  <c r="E94" i="15"/>
  <c r="D94" i="15"/>
  <c r="P94" i="15" s="1"/>
  <c r="K94" i="15"/>
  <c r="K42" i="15"/>
  <c r="E42" i="15"/>
  <c r="D42" i="15"/>
  <c r="P42" i="15" s="1"/>
  <c r="J630" i="14"/>
  <c r="R53" i="16"/>
  <c r="L607" i="14"/>
  <c r="K106" i="15"/>
  <c r="E106" i="15"/>
  <c r="D106" i="15"/>
  <c r="P106" i="15" s="1"/>
  <c r="L577" i="14"/>
  <c r="E84" i="15"/>
  <c r="D84" i="15"/>
  <c r="P84" i="15" s="1"/>
  <c r="K84" i="15"/>
  <c r="E74" i="15"/>
  <c r="D74" i="15"/>
  <c r="P74" i="15" s="1"/>
  <c r="K74" i="15"/>
  <c r="L562" i="14"/>
  <c r="E92" i="15"/>
  <c r="K92" i="15"/>
  <c r="D92" i="15"/>
  <c r="P92" i="15" s="1"/>
  <c r="L587" i="14"/>
  <c r="K46" i="15"/>
  <c r="E46" i="15"/>
  <c r="D46" i="15"/>
  <c r="P46" i="15" s="1"/>
  <c r="L524" i="14"/>
  <c r="L597" i="14"/>
  <c r="K98" i="15"/>
  <c r="E98" i="15"/>
  <c r="D98" i="15"/>
  <c r="P98" i="15" s="1"/>
  <c r="K48" i="15"/>
  <c r="E48" i="15"/>
  <c r="L526" i="14"/>
  <c r="D48" i="15"/>
  <c r="P48" i="15" s="1"/>
  <c r="J638" i="14"/>
  <c r="R55" i="16"/>
  <c r="I638" i="14" s="1"/>
  <c r="E20" i="15"/>
  <c r="D20" i="15"/>
  <c r="P20" i="15" s="1"/>
  <c r="L457" i="14"/>
  <c r="K20" i="15"/>
  <c r="L585" i="14"/>
  <c r="K90" i="15"/>
  <c r="E90" i="15"/>
  <c r="D90" i="15"/>
  <c r="P90" i="15" s="1"/>
  <c r="J634" i="14"/>
  <c r="R54" i="16"/>
  <c r="I634" i="14" s="1"/>
  <c r="D52" i="15"/>
  <c r="P52" i="15" s="1"/>
  <c r="E52" i="15"/>
  <c r="L532" i="14"/>
  <c r="K52" i="15"/>
  <c r="K26" i="15"/>
  <c r="E26" i="15"/>
  <c r="D26" i="15"/>
  <c r="P26" i="15" s="1"/>
  <c r="L477" i="14"/>
  <c r="E104" i="15"/>
  <c r="L605" i="14"/>
  <c r="K104" i="15"/>
  <c r="D104" i="15"/>
  <c r="P104" i="15" s="1"/>
  <c r="K54" i="15"/>
  <c r="E54" i="15"/>
  <c r="D54" i="15"/>
  <c r="P54" i="15" s="1"/>
  <c r="L534" i="14"/>
  <c r="L631" i="14"/>
  <c r="Z53" i="16"/>
  <c r="O631" i="14" s="1"/>
  <c r="Y53" i="16"/>
  <c r="L593" i="14"/>
  <c r="K96" i="15"/>
  <c r="E96" i="15"/>
  <c r="D96" i="15"/>
  <c r="P96" i="15" s="1"/>
  <c r="K85" i="15"/>
  <c r="E85" i="15"/>
  <c r="L578" i="14"/>
  <c r="D85" i="15"/>
  <c r="P85" i="15" s="1"/>
  <c r="D59" i="15"/>
  <c r="P59" i="15" s="1"/>
  <c r="L540" i="14"/>
  <c r="K59" i="15"/>
  <c r="E59" i="15"/>
  <c r="K110" i="15"/>
  <c r="L613" i="14"/>
  <c r="E110" i="15"/>
  <c r="D110" i="15"/>
  <c r="P110" i="15" s="1"/>
  <c r="D61" i="15"/>
  <c r="P61" i="15" s="1"/>
  <c r="K61" i="15"/>
  <c r="E61" i="15"/>
  <c r="L542" i="14"/>
  <c r="L473" i="14"/>
  <c r="K24" i="15"/>
  <c r="E24" i="15"/>
  <c r="D24" i="15"/>
  <c r="P24" i="15" s="1"/>
  <c r="L601" i="14"/>
  <c r="K101" i="15"/>
  <c r="E101" i="15"/>
  <c r="D101" i="15"/>
  <c r="P101" i="15" s="1"/>
  <c r="K91" i="15"/>
  <c r="E91" i="15"/>
  <c r="D91" i="15"/>
  <c r="P91" i="15" s="1"/>
  <c r="L586" i="14"/>
  <c r="L468" i="14"/>
  <c r="K22" i="15"/>
  <c r="E22" i="15"/>
  <c r="D22" i="15"/>
  <c r="P22" i="15" s="1"/>
  <c r="K66" i="15"/>
  <c r="L548" i="14"/>
  <c r="E66" i="15"/>
  <c r="D66" i="15"/>
  <c r="P66" i="15" s="1"/>
  <c r="L493" i="14"/>
  <c r="K31" i="15"/>
  <c r="E31" i="15"/>
  <c r="D31" i="15"/>
  <c r="P31" i="15" s="1"/>
  <c r="K115" i="15"/>
  <c r="E115" i="15"/>
  <c r="D115" i="15"/>
  <c r="P115" i="15" s="1"/>
  <c r="L621" i="14"/>
  <c r="J629" i="14"/>
  <c r="M53" i="16"/>
  <c r="I629" i="14" s="1"/>
  <c r="L496" i="14"/>
  <c r="E33" i="15"/>
  <c r="D33" i="15"/>
  <c r="P33" i="15" s="1"/>
  <c r="K33" i="15"/>
  <c r="K19" i="15"/>
  <c r="E19" i="15"/>
  <c r="D19" i="15"/>
  <c r="P19" i="15" s="1"/>
  <c r="L456" i="14"/>
  <c r="E108" i="15"/>
  <c r="D108" i="15"/>
  <c r="P108" i="15" s="1"/>
  <c r="L609" i="14"/>
  <c r="K108" i="15"/>
  <c r="J633" i="14"/>
  <c r="M54" i="16"/>
  <c r="I633" i="14" s="1"/>
  <c r="L556" i="14"/>
  <c r="K69" i="15"/>
  <c r="E69" i="15"/>
  <c r="D69" i="15"/>
  <c r="P69" i="15" s="1"/>
  <c r="K121" i="15"/>
  <c r="E121" i="15"/>
  <c r="L629" i="14"/>
  <c r="D121" i="15"/>
  <c r="P121" i="15" s="1"/>
  <c r="J637" i="14"/>
  <c r="M55" i="16"/>
  <c r="I637" i="14" s="1"/>
  <c r="D71" i="15"/>
  <c r="P71" i="15" s="1"/>
  <c r="K71" i="15"/>
  <c r="E71" i="15"/>
  <c r="L558" i="14"/>
  <c r="D23" i="15"/>
  <c r="P23" i="15" s="1"/>
  <c r="L472" i="14"/>
  <c r="K23" i="15"/>
  <c r="E23" i="15"/>
  <c r="L489" i="14"/>
  <c r="E29" i="15"/>
  <c r="K29" i="15"/>
  <c r="D29" i="15"/>
  <c r="P29" i="15" s="1"/>
  <c r="L617" i="14"/>
  <c r="K112" i="15"/>
  <c r="E112" i="15"/>
  <c r="D112" i="15"/>
  <c r="P112" i="15" s="1"/>
  <c r="E102" i="15"/>
  <c r="D102" i="15"/>
  <c r="P102" i="15" s="1"/>
  <c r="L602" i="14"/>
  <c r="K102" i="15"/>
  <c r="E36" i="15"/>
  <c r="D36" i="15"/>
  <c r="P36" i="15" s="1"/>
  <c r="K36" i="15"/>
  <c r="K75" i="15"/>
  <c r="L564" i="14"/>
  <c r="E75" i="15"/>
  <c r="D75" i="15"/>
  <c r="P75" i="15" s="1"/>
  <c r="D128" i="15"/>
  <c r="P128" i="15" s="1"/>
  <c r="L637" i="14"/>
  <c r="K128" i="15"/>
  <c r="E128" i="15"/>
  <c r="D77" i="15"/>
  <c r="P77" i="15" s="1"/>
  <c r="L566" i="14"/>
  <c r="E77" i="15"/>
  <c r="K77" i="15"/>
  <c r="D43" i="15"/>
  <c r="P43" i="15" s="1"/>
  <c r="L520" i="14"/>
  <c r="K43" i="15"/>
  <c r="E43" i="15"/>
  <c r="E28" i="15"/>
  <c r="L488" i="14"/>
  <c r="K28" i="15"/>
  <c r="D28" i="15"/>
  <c r="P28" i="15" s="1"/>
  <c r="K34" i="15"/>
  <c r="E34" i="15"/>
  <c r="L497" i="14"/>
  <c r="D34" i="15"/>
  <c r="P34" i="15" s="1"/>
  <c r="K118" i="15"/>
  <c r="E118" i="15"/>
  <c r="D118" i="15"/>
  <c r="P118" i="15" s="1"/>
  <c r="L625" i="14"/>
  <c r="K21" i="15"/>
  <c r="E21" i="15"/>
  <c r="D21" i="15"/>
  <c r="P21" i="15" s="1"/>
  <c r="K126" i="15"/>
  <c r="E126" i="15"/>
  <c r="D126" i="15"/>
  <c r="P126" i="15" s="1"/>
  <c r="L635" i="14"/>
  <c r="D80" i="15"/>
  <c r="P80" i="15" s="1"/>
  <c r="L572" i="14"/>
  <c r="K80" i="15"/>
  <c r="E80" i="15"/>
  <c r="K41" i="15"/>
  <c r="E41" i="15"/>
  <c r="L517" i="14"/>
  <c r="D41" i="15"/>
  <c r="P41" i="15" s="1"/>
  <c r="K82" i="15"/>
  <c r="E82" i="15"/>
  <c r="D82" i="15"/>
  <c r="P82" i="15" s="1"/>
  <c r="L574" i="14"/>
  <c r="K55" i="15"/>
  <c r="E55" i="15"/>
  <c r="D55" i="15"/>
  <c r="P55" i="15" s="1"/>
  <c r="L536" i="14"/>
  <c r="J632" i="14"/>
  <c r="H54" i="16"/>
  <c r="I632" i="14" s="1"/>
  <c r="L512" i="14"/>
  <c r="K38" i="15"/>
  <c r="E38" i="15"/>
  <c r="D38" i="15"/>
  <c r="P38" i="15" s="1"/>
  <c r="L633" i="14"/>
  <c r="K124" i="15"/>
  <c r="D124" i="15"/>
  <c r="P124" i="15" s="1"/>
  <c r="E124" i="15"/>
  <c r="K113" i="15"/>
  <c r="L618" i="14"/>
  <c r="E113" i="15"/>
  <c r="D113" i="15"/>
  <c r="P113" i="15" s="1"/>
  <c r="E35" i="15"/>
  <c r="D35" i="15"/>
  <c r="P35" i="15" s="1"/>
  <c r="K35" i="15"/>
  <c r="L580" i="14"/>
  <c r="K86" i="15"/>
  <c r="E86" i="15"/>
  <c r="D86" i="15"/>
  <c r="P86" i="15" s="1"/>
  <c r="K47" i="15"/>
  <c r="D47" i="15"/>
  <c r="P47" i="15" s="1"/>
  <c r="L525" i="14"/>
  <c r="E47" i="15"/>
  <c r="L582" i="14"/>
  <c r="D88" i="15"/>
  <c r="P88" i="15" s="1"/>
  <c r="K88" i="15"/>
  <c r="E88" i="15"/>
  <c r="L448" i="14"/>
  <c r="K16" i="15"/>
  <c r="E16" i="15"/>
  <c r="D16" i="15"/>
  <c r="P16" i="15" s="1"/>
  <c r="K62" i="15"/>
  <c r="E62" i="15"/>
  <c r="D62" i="15"/>
  <c r="P62" i="15" s="1"/>
  <c r="L544" i="14"/>
  <c r="K50" i="15"/>
  <c r="L528" i="14"/>
  <c r="E50" i="15"/>
  <c r="D50" i="15"/>
  <c r="P50" i="15" s="1"/>
  <c r="L513" i="14"/>
  <c r="K39" i="15"/>
  <c r="E39" i="15"/>
  <c r="D39" i="15"/>
  <c r="P39" i="15" s="1"/>
  <c r="D119" i="15"/>
  <c r="P119" i="15" s="1"/>
  <c r="K119" i="15"/>
  <c r="E119" i="15"/>
  <c r="L626" i="14"/>
  <c r="J635" i="14"/>
  <c r="W54" i="16"/>
  <c r="I635" i="14" s="1"/>
  <c r="K93" i="15"/>
  <c r="E93" i="15"/>
  <c r="L588" i="14"/>
  <c r="D93" i="15"/>
  <c r="P93" i="15" s="1"/>
  <c r="J628" i="14"/>
  <c r="H53" i="16"/>
  <c r="I628" i="14" s="1"/>
  <c r="L533" i="14"/>
  <c r="K53" i="15"/>
  <c r="E53" i="15"/>
  <c r="D53" i="15"/>
  <c r="P53" i="15" s="1"/>
  <c r="K49" i="15"/>
  <c r="E49" i="15"/>
  <c r="D49" i="15"/>
  <c r="P49" i="15" s="1"/>
  <c r="K72" i="15"/>
  <c r="E72" i="15"/>
  <c r="D72" i="15"/>
  <c r="P72" i="15" s="1"/>
  <c r="L560" i="14"/>
  <c r="K67" i="15"/>
  <c r="E67" i="15"/>
  <c r="D67" i="15"/>
  <c r="P67" i="15" s="1"/>
  <c r="L552" i="14"/>
  <c r="E44" i="15"/>
  <c r="L521" i="14"/>
  <c r="K44" i="15"/>
  <c r="D44" i="15"/>
  <c r="P44" i="15" s="1"/>
  <c r="K125" i="15"/>
  <c r="E125" i="15"/>
  <c r="D125" i="15"/>
  <c r="P125" i="15" s="1"/>
  <c r="L634" i="14"/>
  <c r="L428" i="14"/>
  <c r="K13" i="15"/>
  <c r="D13" i="15"/>
  <c r="P13" i="15" s="1"/>
  <c r="E13" i="15"/>
  <c r="K97" i="15"/>
  <c r="E97" i="15"/>
  <c r="L596" i="14"/>
  <c r="D97" i="15"/>
  <c r="P97" i="15" s="1"/>
  <c r="J636" i="14"/>
  <c r="H55" i="16"/>
  <c r="I636" i="14" s="1"/>
  <c r="E60" i="15"/>
  <c r="K60" i="15"/>
  <c r="D60" i="15"/>
  <c r="P60" i="15" s="1"/>
  <c r="L541" i="14"/>
  <c r="K99" i="15"/>
  <c r="D99" i="15"/>
  <c r="P99" i="15" s="1"/>
  <c r="E99" i="15"/>
  <c r="L598" i="14"/>
  <c r="K83" i="15"/>
  <c r="E83" i="15"/>
  <c r="D83" i="15"/>
  <c r="P83" i="15" s="1"/>
  <c r="L576" i="14"/>
  <c r="D78" i="15"/>
  <c r="P78" i="15" s="1"/>
  <c r="L568" i="14"/>
  <c r="K78" i="15"/>
  <c r="E78" i="15"/>
  <c r="L529" i="14"/>
  <c r="K51" i="15"/>
  <c r="E51" i="15"/>
  <c r="D51" i="15"/>
  <c r="P51" i="15" s="1"/>
  <c r="K58" i="15"/>
  <c r="L539" i="14"/>
  <c r="E58" i="15"/>
  <c r="D58" i="15"/>
  <c r="P58" i="15" s="1"/>
  <c r="K25" i="15"/>
  <c r="E25" i="15"/>
  <c r="D25" i="15"/>
  <c r="P25" i="15" s="1"/>
  <c r="L476" i="14"/>
  <c r="D103" i="15"/>
  <c r="P103" i="15" s="1"/>
  <c r="L604" i="14"/>
  <c r="K103" i="15"/>
  <c r="E103" i="15"/>
  <c r="K17" i="15"/>
  <c r="D17" i="15"/>
  <c r="P17" i="15" s="1"/>
  <c r="L452" i="14"/>
  <c r="E17" i="15"/>
  <c r="L478" i="14"/>
  <c r="K27" i="15"/>
  <c r="D27" i="15"/>
  <c r="P27" i="15" s="1"/>
  <c r="E27" i="15"/>
  <c r="D105" i="15"/>
  <c r="P105" i="15" s="1"/>
  <c r="L606" i="14"/>
  <c r="E105" i="15"/>
  <c r="K105" i="15"/>
  <c r="D95" i="15"/>
  <c r="P95" i="15" s="1"/>
  <c r="L592" i="14"/>
  <c r="K95" i="15"/>
  <c r="E95" i="15"/>
  <c r="K89" i="15"/>
  <c r="E89" i="15"/>
  <c r="D89" i="15"/>
  <c r="P89" i="15" s="1"/>
  <c r="L584" i="14"/>
  <c r="L537" i="14"/>
  <c r="K56" i="15"/>
  <c r="E56" i="15"/>
  <c r="D56" i="15"/>
  <c r="P56" i="15" s="1"/>
  <c r="K45" i="15"/>
  <c r="E45" i="15"/>
  <c r="D45" i="15"/>
  <c r="P45" i="15" s="1"/>
  <c r="K65" i="15"/>
  <c r="E65" i="15"/>
  <c r="L547" i="14"/>
  <c r="D65" i="15"/>
  <c r="P65" i="15" s="1"/>
  <c r="E109" i="15"/>
  <c r="L612" i="14"/>
  <c r="D109" i="15"/>
  <c r="P109" i="15" s="1"/>
  <c r="K109" i="15"/>
  <c r="L557" i="14"/>
  <c r="K70" i="15"/>
  <c r="E70" i="15"/>
  <c r="D70" i="15"/>
  <c r="P70" i="15" s="1"/>
  <c r="J631" i="14"/>
  <c r="W53" i="16"/>
  <c r="I631" i="14" s="1"/>
  <c r="L608" i="14"/>
  <c r="K107" i="15"/>
  <c r="E107" i="15"/>
  <c r="D107" i="15"/>
  <c r="P107" i="15" s="1"/>
  <c r="L600" i="14"/>
  <c r="K100" i="15"/>
  <c r="E100" i="15"/>
  <c r="D100" i="15"/>
  <c r="P100" i="15" s="1"/>
  <c r="K63" i="15"/>
  <c r="D63" i="15"/>
  <c r="P63" i="15" s="1"/>
  <c r="L545" i="14"/>
  <c r="E63" i="15"/>
  <c r="K30" i="15"/>
  <c r="D30" i="15"/>
  <c r="P30" i="15" s="1"/>
  <c r="L492" i="14"/>
  <c r="E30" i="15"/>
  <c r="K114" i="15"/>
  <c r="L620" i="14"/>
  <c r="E114" i="15"/>
  <c r="D114" i="15"/>
  <c r="P114" i="15" s="1"/>
  <c r="L565" i="14"/>
  <c r="K76" i="15"/>
  <c r="D76" i="15"/>
  <c r="P76" i="15" s="1"/>
  <c r="E76" i="15"/>
  <c r="L494" i="14"/>
  <c r="K32" i="15"/>
  <c r="D32" i="15"/>
  <c r="P32" i="15" s="1"/>
  <c r="E32" i="15"/>
  <c r="E116" i="15"/>
  <c r="D116" i="15"/>
  <c r="P116" i="15" s="1"/>
  <c r="L622" i="14"/>
  <c r="K116" i="15"/>
  <c r="J639" i="14"/>
  <c r="W55" i="16"/>
  <c r="I639" i="14" s="1"/>
  <c r="E14" i="15"/>
  <c r="D14" i="15"/>
  <c r="P14" i="15" s="1"/>
  <c r="L432" i="14"/>
  <c r="K14" i="15"/>
  <c r="D111" i="15"/>
  <c r="P111" i="15" s="1"/>
  <c r="L616" i="14"/>
  <c r="K111" i="15"/>
  <c r="E111" i="15"/>
  <c r="L624" i="14"/>
  <c r="K117" i="15"/>
  <c r="E117" i="15"/>
  <c r="D117" i="15"/>
  <c r="P117" i="15" s="1"/>
  <c r="E68" i="15"/>
  <c r="D68" i="15"/>
  <c r="P68" i="15" s="1"/>
  <c r="L553" i="14"/>
  <c r="K68" i="15"/>
  <c r="K57" i="15"/>
  <c r="E57" i="15"/>
  <c r="D57" i="15"/>
  <c r="P57" i="15" s="1"/>
  <c r="L538" i="14"/>
  <c r="D120" i="15"/>
  <c r="P120" i="15" s="1"/>
  <c r="K120" i="15"/>
  <c r="L628" i="14"/>
  <c r="E120" i="15"/>
  <c r="L573" i="14"/>
  <c r="D81" i="15"/>
  <c r="P81" i="15" s="1"/>
  <c r="E81" i="15"/>
  <c r="K81" i="15"/>
  <c r="E122" i="15"/>
  <c r="K122" i="15"/>
  <c r="L630" i="14"/>
  <c r="D122" i="15"/>
  <c r="P122" i="15" s="1"/>
  <c r="K130" i="15"/>
  <c r="E130" i="15"/>
  <c r="D130" i="15"/>
  <c r="P130" i="15" s="1"/>
  <c r="L639" i="14"/>
  <c r="E123" i="15"/>
  <c r="D123" i="15"/>
  <c r="P123" i="15" s="1"/>
  <c r="L632" i="14"/>
  <c r="K123" i="15"/>
  <c r="W19" i="16"/>
  <c r="H21" i="16"/>
  <c r="I500" i="14" s="1"/>
  <c r="R3" i="16"/>
  <c r="W14" i="16"/>
  <c r="H20" i="16"/>
  <c r="I496" i="14" s="1"/>
  <c r="H23" i="16"/>
  <c r="M26" i="16"/>
  <c r="W27" i="16"/>
  <c r="H16" i="16"/>
  <c r="I480" i="14" s="1"/>
  <c r="M13" i="16"/>
  <c r="I469" i="14" s="1"/>
  <c r="K469" i="14" s="1"/>
  <c r="M14" i="16"/>
  <c r="I473" i="14" s="1"/>
  <c r="K473" i="14" s="1"/>
  <c r="M11" i="16"/>
  <c r="H10" i="16"/>
  <c r="I456" i="14" s="1"/>
  <c r="M456" i="14" s="1"/>
  <c r="W24" i="16"/>
  <c r="W43" i="16"/>
  <c r="R21" i="16"/>
  <c r="I502" i="14" s="1"/>
  <c r="W12" i="16"/>
  <c r="M22" i="16"/>
  <c r="I505" i="14" s="1"/>
  <c r="K505" i="14" s="1"/>
  <c r="W40" i="16"/>
  <c r="I579" i="14" s="1"/>
  <c r="R23" i="16"/>
  <c r="R20" i="16"/>
  <c r="W7" i="16"/>
  <c r="M10" i="16"/>
  <c r="H7" i="16"/>
  <c r="H27" i="16"/>
  <c r="I524" i="14" s="1"/>
  <c r="W20" i="16"/>
  <c r="R19" i="16"/>
  <c r="I494" i="14" s="1"/>
  <c r="M494" i="14" s="1"/>
  <c r="H22" i="16"/>
  <c r="I504" i="14" s="1"/>
  <c r="K504" i="14" s="1"/>
  <c r="H26" i="16"/>
  <c r="I520" i="14" s="1"/>
  <c r="W8" i="16"/>
  <c r="R26" i="16"/>
  <c r="R14" i="16"/>
  <c r="M21" i="16"/>
  <c r="I501" i="14" s="1"/>
  <c r="K501" i="14" s="1"/>
  <c r="M4" i="16"/>
  <c r="I433" i="14" s="1"/>
  <c r="M433" i="14" s="1"/>
  <c r="R15" i="16"/>
  <c r="I478" i="14" s="1"/>
  <c r="M478" i="14" s="1"/>
  <c r="H18" i="16"/>
  <c r="R16" i="16"/>
  <c r="M16" i="16"/>
  <c r="W47" i="16"/>
  <c r="W36" i="16"/>
  <c r="M17" i="16"/>
  <c r="I485" i="14" s="1"/>
  <c r="M485" i="14" s="1"/>
  <c r="W5" i="16"/>
  <c r="R8" i="16"/>
  <c r="I450" i="14" s="1"/>
  <c r="R18" i="16"/>
  <c r="R9" i="16"/>
  <c r="R12" i="16"/>
  <c r="M15" i="16"/>
  <c r="H6" i="16"/>
  <c r="I440" i="14" s="1"/>
  <c r="H17" i="16"/>
  <c r="I484" i="14" s="1"/>
  <c r="K484" i="14" s="1"/>
  <c r="R5" i="16"/>
  <c r="R25" i="16"/>
  <c r="H11" i="16"/>
  <c r="I460" i="14" s="1"/>
  <c r="W13" i="16"/>
  <c r="R4" i="16"/>
  <c r="R13" i="16"/>
  <c r="M8" i="16"/>
  <c r="I449" i="14" s="1"/>
  <c r="H12" i="16"/>
  <c r="I464" i="14" s="1"/>
  <c r="R27" i="16"/>
  <c r="I526" i="14" s="1"/>
  <c r="K526" i="14" s="1"/>
  <c r="W17" i="16"/>
  <c r="W3" i="16"/>
  <c r="R17" i="16"/>
  <c r="M5" i="16"/>
  <c r="R22" i="16"/>
  <c r="M9" i="16"/>
  <c r="M12" i="16"/>
  <c r="I465" i="14" s="1"/>
  <c r="H15" i="16"/>
  <c r="I476" i="14" s="1"/>
  <c r="R10" i="16"/>
  <c r="H19" i="16"/>
  <c r="I492" i="14" s="1"/>
  <c r="M492" i="14" s="1"/>
  <c r="W15" i="16"/>
  <c r="H13" i="16"/>
  <c r="W18" i="16"/>
  <c r="M3" i="16"/>
  <c r="H4" i="16"/>
  <c r="I432" i="14" s="1"/>
  <c r="W16" i="16"/>
  <c r="H8" i="16"/>
  <c r="I448" i="14" s="1"/>
  <c r="W10" i="16"/>
  <c r="H9" i="16"/>
  <c r="I452" i="14" s="1"/>
  <c r="M6" i="16"/>
  <c r="M27" i="16"/>
  <c r="I525" i="14" s="1"/>
  <c r="M20" i="16"/>
  <c r="R11" i="16"/>
  <c r="I462" i="14" s="1"/>
  <c r="M462" i="14" s="1"/>
  <c r="R7" i="16"/>
  <c r="W9" i="16"/>
  <c r="W26" i="16"/>
  <c r="H14" i="16"/>
  <c r="I472" i="14" s="1"/>
  <c r="M472" i="14" s="1"/>
  <c r="W4" i="16"/>
  <c r="M19" i="16"/>
  <c r="W25" i="16"/>
  <c r="M24" i="16"/>
  <c r="I513" i="14" s="1"/>
  <c r="M513" i="14" s="1"/>
  <c r="M7" i="16"/>
  <c r="I445" i="14" s="1"/>
  <c r="K445" i="14" s="1"/>
  <c r="M25" i="16"/>
  <c r="I517" i="14" s="1"/>
  <c r="K517" i="14" s="1"/>
  <c r="W6" i="16"/>
  <c r="M18" i="16"/>
  <c r="I489" i="14" s="1"/>
  <c r="M489" i="14" s="1"/>
  <c r="H5" i="16"/>
  <c r="H24" i="16"/>
  <c r="I512" i="14" s="1"/>
  <c r="W11" i="16"/>
  <c r="R24" i="16"/>
  <c r="I514" i="14" s="1"/>
  <c r="M514" i="14" s="1"/>
  <c r="W22" i="16"/>
  <c r="W23" i="16"/>
  <c r="H25" i="16"/>
  <c r="I516" i="14" s="1"/>
  <c r="R6" i="16"/>
  <c r="W21" i="16"/>
  <c r="M23" i="16"/>
  <c r="R30" i="16"/>
  <c r="I538" i="14" s="1"/>
  <c r="Y48" i="16"/>
  <c r="Z48" i="16"/>
  <c r="O611" i="14" s="1"/>
  <c r="M36" i="16"/>
  <c r="I561" i="14" s="1"/>
  <c r="U17" i="16"/>
  <c r="Y17" i="16"/>
  <c r="Z17" i="16"/>
  <c r="W50" i="16"/>
  <c r="I619" i="14" s="1"/>
  <c r="W38" i="16"/>
  <c r="I571" i="14" s="1"/>
  <c r="R44" i="16"/>
  <c r="I594" i="14" s="1"/>
  <c r="U3" i="16"/>
  <c r="T3" i="16"/>
  <c r="H40" i="16"/>
  <c r="I576" i="14" s="1"/>
  <c r="M46" i="16"/>
  <c r="I601" i="14" s="1"/>
  <c r="W30" i="16"/>
  <c r="I539" i="14" s="1"/>
  <c r="W48" i="16"/>
  <c r="I611" i="14" s="1"/>
  <c r="Y51" i="16"/>
  <c r="Z51" i="16"/>
  <c r="O623" i="14" s="1"/>
  <c r="P8" i="16"/>
  <c r="O449" i="14" s="1"/>
  <c r="Z26" i="16"/>
  <c r="Y26" i="16"/>
  <c r="Z6" i="16"/>
  <c r="Y6" i="16"/>
  <c r="H37" i="16"/>
  <c r="I564" i="14" s="1"/>
  <c r="W29" i="16"/>
  <c r="I535" i="14" s="1"/>
  <c r="K5" i="16"/>
  <c r="O436" i="14" s="1"/>
  <c r="M40" i="16"/>
  <c r="I577" i="14" s="1"/>
  <c r="W44" i="16"/>
  <c r="I595" i="14" s="1"/>
  <c r="R41" i="16"/>
  <c r="I582" i="14" s="1"/>
  <c r="M50" i="16"/>
  <c r="I617" i="14" s="1"/>
  <c r="H52" i="16"/>
  <c r="I624" i="14" s="1"/>
  <c r="H47" i="16"/>
  <c r="I604" i="14" s="1"/>
  <c r="M37" i="16"/>
  <c r="I565" i="14" s="1"/>
  <c r="Z22" i="16"/>
  <c r="Y22" i="16"/>
  <c r="H44" i="16"/>
  <c r="I592" i="14" s="1"/>
  <c r="U5" i="16"/>
  <c r="M51" i="16"/>
  <c r="I621" i="14" s="1"/>
  <c r="H42" i="16"/>
  <c r="I584" i="14" s="1"/>
  <c r="H34" i="16"/>
  <c r="I552" i="14" s="1"/>
  <c r="M28" i="16"/>
  <c r="I529" i="14" s="1"/>
  <c r="M29" i="16"/>
  <c r="I533" i="14" s="1"/>
  <c r="R52" i="16"/>
  <c r="I626" i="14" s="1"/>
  <c r="Y5" i="16"/>
  <c r="Z5" i="16"/>
  <c r="M43" i="16"/>
  <c r="I589" i="14" s="1"/>
  <c r="R38" i="16"/>
  <c r="I570" i="14" s="1"/>
  <c r="R36" i="16"/>
  <c r="I562" i="14" s="1"/>
  <c r="M30" i="16"/>
  <c r="I537" i="14" s="1"/>
  <c r="W31" i="16"/>
  <c r="I543" i="14" s="1"/>
  <c r="R51" i="16"/>
  <c r="I622" i="14" s="1"/>
  <c r="Y49" i="16"/>
  <c r="Z49" i="16"/>
  <c r="O615" i="14" s="1"/>
  <c r="H41" i="16"/>
  <c r="I580" i="14" s="1"/>
  <c r="R49" i="16"/>
  <c r="I614" i="14" s="1"/>
  <c r="Z10" i="16"/>
  <c r="Y10" i="16"/>
  <c r="R37" i="16"/>
  <c r="I566" i="14" s="1"/>
  <c r="P16" i="16"/>
  <c r="O481" i="14" s="1"/>
  <c r="R32" i="16"/>
  <c r="I546" i="14" s="1"/>
  <c r="H50" i="16"/>
  <c r="I616" i="14" s="1"/>
  <c r="M47" i="16"/>
  <c r="I605" i="14" s="1"/>
  <c r="T48" i="16"/>
  <c r="U48" i="16"/>
  <c r="O610" i="14" s="1"/>
  <c r="P5" i="16"/>
  <c r="O437" i="14" s="1"/>
  <c r="Z21" i="16"/>
  <c r="O503" i="14" s="1"/>
  <c r="Z18" i="16"/>
  <c r="Y18" i="16"/>
  <c r="W45" i="16"/>
  <c r="I599" i="14" s="1"/>
  <c r="U18" i="16"/>
  <c r="T18" i="16"/>
  <c r="H35" i="16"/>
  <c r="I556" i="14" s="1"/>
  <c r="K17" i="16"/>
  <c r="O484" i="14" s="1"/>
  <c r="W28" i="16"/>
  <c r="I531" i="14" s="1"/>
  <c r="R42" i="16"/>
  <c r="I586" i="14" s="1"/>
  <c r="Z3" i="16"/>
  <c r="Y3" i="16"/>
  <c r="M48" i="16"/>
  <c r="I609" i="14" s="1"/>
  <c r="M45" i="16"/>
  <c r="I597" i="14" s="1"/>
  <c r="W32" i="16"/>
  <c r="I547" i="14" s="1"/>
  <c r="R46" i="16"/>
  <c r="I602" i="14" s="1"/>
  <c r="H31" i="16"/>
  <c r="I540" i="14" s="1"/>
  <c r="U14" i="16"/>
  <c r="T14" i="16"/>
  <c r="W42" i="16"/>
  <c r="I587" i="14" s="1"/>
  <c r="T9" i="16"/>
  <c r="U9" i="16"/>
  <c r="H38" i="16"/>
  <c r="I568" i="14" s="1"/>
  <c r="P23" i="16"/>
  <c r="O509" i="14" s="1"/>
  <c r="H51" i="16"/>
  <c r="I620" i="14" s="1"/>
  <c r="W33" i="16"/>
  <c r="I551" i="14" s="1"/>
  <c r="M44" i="16"/>
  <c r="I593" i="14" s="1"/>
  <c r="Z15" i="16"/>
  <c r="Y15" i="16"/>
  <c r="R33" i="16"/>
  <c r="I550" i="14" s="1"/>
  <c r="Z23" i="16"/>
  <c r="Y23" i="16"/>
  <c r="M42" i="16"/>
  <c r="I585" i="14" s="1"/>
  <c r="W46" i="16"/>
  <c r="I603" i="14" s="1"/>
  <c r="H48" i="16"/>
  <c r="I608" i="14" s="1"/>
  <c r="H45" i="16"/>
  <c r="I596" i="14" s="1"/>
  <c r="R29" i="16"/>
  <c r="I534" i="14" s="1"/>
  <c r="H28" i="16"/>
  <c r="I528" i="14" s="1"/>
  <c r="R47" i="16"/>
  <c r="I606" i="14" s="1"/>
  <c r="W49" i="16"/>
  <c r="I615" i="14" s="1"/>
  <c r="R48" i="16"/>
  <c r="I610" i="14" s="1"/>
  <c r="Y12" i="16"/>
  <c r="Z12" i="16"/>
  <c r="W35" i="16"/>
  <c r="I559" i="14" s="1"/>
  <c r="M35" i="16"/>
  <c r="I557" i="14" s="1"/>
  <c r="H43" i="16"/>
  <c r="I588" i="14" s="1"/>
  <c r="R39" i="16"/>
  <c r="I574" i="14" s="1"/>
  <c r="M39" i="16"/>
  <c r="I573" i="14" s="1"/>
  <c r="Y43" i="16"/>
  <c r="Z43" i="16"/>
  <c r="O591" i="14" s="1"/>
  <c r="T13" i="16"/>
  <c r="U13" i="16"/>
  <c r="O470" i="14" s="1"/>
  <c r="Y25" i="16"/>
  <c r="Z25" i="16"/>
  <c r="Y39" i="16"/>
  <c r="Z39" i="16"/>
  <c r="O575" i="14" s="1"/>
  <c r="M41" i="16"/>
  <c r="I581" i="14" s="1"/>
  <c r="W41" i="16"/>
  <c r="I583" i="14" s="1"/>
  <c r="W39" i="16"/>
  <c r="I575" i="14" s="1"/>
  <c r="P17" i="16"/>
  <c r="O485" i="14" s="1"/>
  <c r="H32" i="16"/>
  <c r="I544" i="14" s="1"/>
  <c r="Y9" i="16"/>
  <c r="Z9" i="16"/>
  <c r="U43" i="16"/>
  <c r="O590" i="14" s="1"/>
  <c r="H36" i="16"/>
  <c r="I560" i="14" s="1"/>
  <c r="H39" i="16"/>
  <c r="I572" i="14" s="1"/>
  <c r="R50" i="16"/>
  <c r="I618" i="14" s="1"/>
  <c r="R34" i="16"/>
  <c r="I554" i="14" s="1"/>
  <c r="M52" i="16"/>
  <c r="I625" i="14" s="1"/>
  <c r="M32" i="16"/>
  <c r="I545" i="14" s="1"/>
  <c r="Y8" i="16"/>
  <c r="Z8" i="16"/>
  <c r="O451" i="14" s="1"/>
  <c r="K7" i="16"/>
  <c r="O444" i="14" s="1"/>
  <c r="U24" i="16"/>
  <c r="O514" i="14" s="1"/>
  <c r="W52" i="16"/>
  <c r="I627" i="14" s="1"/>
  <c r="Z11" i="16"/>
  <c r="Y11" i="16"/>
  <c r="M38" i="16"/>
  <c r="I569" i="14" s="1"/>
  <c r="M33" i="16"/>
  <c r="I549" i="14" s="1"/>
  <c r="Y34" i="16"/>
  <c r="Z34" i="16"/>
  <c r="O555" i="14" s="1"/>
  <c r="P6" i="16"/>
  <c r="O441" i="14" s="1"/>
  <c r="H46" i="16"/>
  <c r="I600" i="14" s="1"/>
  <c r="Y45" i="16"/>
  <c r="Z45" i="16"/>
  <c r="O599" i="14" s="1"/>
  <c r="Y24" i="16"/>
  <c r="Z24" i="16"/>
  <c r="Z14" i="16"/>
  <c r="Y14" i="16"/>
  <c r="H29" i="16"/>
  <c r="I532" i="14" s="1"/>
  <c r="T8" i="16"/>
  <c r="U8" i="16"/>
  <c r="O450" i="14" s="1"/>
  <c r="K6" i="16"/>
  <c r="O440" i="14" s="1"/>
  <c r="Z19" i="16"/>
  <c r="Y19" i="16"/>
  <c r="H30" i="16"/>
  <c r="I536" i="14" s="1"/>
  <c r="W37" i="16"/>
  <c r="I567" i="14" s="1"/>
  <c r="H33" i="16"/>
  <c r="I548" i="14" s="1"/>
  <c r="M31" i="16"/>
  <c r="I541" i="14" s="1"/>
  <c r="M34" i="16"/>
  <c r="I553" i="14" s="1"/>
  <c r="Y13" i="16"/>
  <c r="Z13" i="16"/>
  <c r="Z7" i="16"/>
  <c r="Y7" i="16"/>
  <c r="T23" i="16"/>
  <c r="U23" i="16"/>
  <c r="O510" i="14" s="1"/>
  <c r="R28" i="16"/>
  <c r="I530" i="14" s="1"/>
  <c r="P7" i="16"/>
  <c r="O445" i="14" s="1"/>
  <c r="W51" i="16"/>
  <c r="I623" i="14" s="1"/>
  <c r="Y28" i="16"/>
  <c r="Z28" i="16"/>
  <c r="O531" i="14" s="1"/>
  <c r="Y16" i="16"/>
  <c r="Z16" i="16"/>
  <c r="U28" i="16"/>
  <c r="O530" i="14" s="1"/>
  <c r="U6" i="16"/>
  <c r="Z44" i="16"/>
  <c r="O595" i="14" s="1"/>
  <c r="P13" i="16"/>
  <c r="O469" i="14" s="1"/>
  <c r="Y38" i="16"/>
  <c r="Z38" i="16"/>
  <c r="O571" i="14" s="1"/>
  <c r="R31" i="16"/>
  <c r="I542" i="14" s="1"/>
  <c r="T7" i="16"/>
  <c r="U7" i="16"/>
  <c r="H49" i="16"/>
  <c r="I612" i="14" s="1"/>
  <c r="Y33" i="16"/>
  <c r="Z33" i="16"/>
  <c r="O551" i="14" s="1"/>
  <c r="R45" i="16"/>
  <c r="I598" i="14" s="1"/>
  <c r="R35" i="16"/>
  <c r="I558" i="14" s="1"/>
  <c r="W34" i="16"/>
  <c r="I555" i="14" s="1"/>
  <c r="Y29" i="16"/>
  <c r="Z29" i="16"/>
  <c r="O535" i="14" s="1"/>
  <c r="M49" i="16"/>
  <c r="I613" i="14" s="1"/>
  <c r="R40" i="16"/>
  <c r="I578" i="14" s="1"/>
  <c r="Y4" i="16"/>
  <c r="Z4" i="16"/>
  <c r="R43" i="16"/>
  <c r="I590" i="14" s="1"/>
  <c r="Q495" i="14"/>
  <c r="J495" i="14" s="1"/>
  <c r="Q454" i="14"/>
  <c r="L454" i="14" s="1"/>
  <c r="Q515" i="14"/>
  <c r="L515" i="14" s="1"/>
  <c r="Q430" i="14"/>
  <c r="J430" i="14" s="1"/>
  <c r="Q527" i="14"/>
  <c r="J527" i="14" s="1"/>
  <c r="Q434" i="14"/>
  <c r="L434" i="14" s="1"/>
  <c r="Q458" i="14"/>
  <c r="L458" i="14" s="1"/>
  <c r="Q506" i="14"/>
  <c r="J506" i="14" s="1"/>
  <c r="Q486" i="14"/>
  <c r="L486" i="14" s="1"/>
  <c r="Q490" i="14"/>
  <c r="L490" i="14" s="1"/>
  <c r="Q498" i="14"/>
  <c r="J498" i="14" s="1"/>
  <c r="Q474" i="14"/>
  <c r="J474" i="14" s="1"/>
  <c r="Q522" i="14"/>
  <c r="L522" i="14" s="1"/>
  <c r="Q467" i="14"/>
  <c r="L467" i="14" s="1"/>
  <c r="Q446" i="14"/>
  <c r="L446" i="14" s="1"/>
  <c r="Q438" i="14"/>
  <c r="J438" i="14" s="1"/>
  <c r="Q510" i="14"/>
  <c r="L510" i="14" s="1"/>
  <c r="Q518" i="14"/>
  <c r="J518" i="14" s="1"/>
  <c r="Q471" i="14"/>
  <c r="L471" i="14" s="1"/>
  <c r="Q442" i="14"/>
  <c r="L442" i="14" s="1"/>
  <c r="Q482" i="14"/>
  <c r="J482" i="14" s="1"/>
  <c r="Q479" i="14"/>
  <c r="L479" i="14" s="1"/>
  <c r="Q463" i="14"/>
  <c r="J463" i="14" s="1"/>
  <c r="H3" i="16"/>
  <c r="I428" i="14" s="1"/>
  <c r="U53" i="16" l="1"/>
  <c r="O630" i="14" s="1"/>
  <c r="U54" i="16"/>
  <c r="O634" i="14" s="1"/>
  <c r="K54" i="16"/>
  <c r="O632" i="14" s="1"/>
  <c r="K472" i="14"/>
  <c r="I527" i="14"/>
  <c r="O467" i="14"/>
  <c r="O479" i="14"/>
  <c r="I522" i="14"/>
  <c r="I506" i="14"/>
  <c r="O471" i="14"/>
  <c r="O490" i="14"/>
  <c r="I486" i="14"/>
  <c r="I454" i="14"/>
  <c r="L474" i="14"/>
  <c r="J486" i="14"/>
  <c r="J446" i="14"/>
  <c r="O442" i="14"/>
  <c r="O438" i="14"/>
  <c r="O486" i="14"/>
  <c r="I490" i="14"/>
  <c r="L527" i="14"/>
  <c r="L498" i="14"/>
  <c r="L430" i="14"/>
  <c r="J515" i="14"/>
  <c r="J471" i="14"/>
  <c r="J442" i="14"/>
  <c r="L495" i="14"/>
  <c r="J522" i="14"/>
  <c r="O474" i="14"/>
  <c r="L506" i="14"/>
  <c r="L463" i="14"/>
  <c r="J510" i="14"/>
  <c r="J479" i="14"/>
  <c r="J490" i="14"/>
  <c r="O495" i="14"/>
  <c r="J458" i="14"/>
  <c r="L482" i="14"/>
  <c r="J454" i="14"/>
  <c r="I434" i="14"/>
  <c r="O463" i="14"/>
  <c r="I442" i="14"/>
  <c r="I479" i="14"/>
  <c r="I471" i="14"/>
  <c r="I482" i="14"/>
  <c r="M482" i="14" s="1"/>
  <c r="I498" i="14"/>
  <c r="I510" i="14"/>
  <c r="L518" i="14"/>
  <c r="I458" i="14"/>
  <c r="I518" i="14"/>
  <c r="I430" i="14"/>
  <c r="J467" i="14"/>
  <c r="O446" i="14"/>
  <c r="O430" i="14"/>
  <c r="I446" i="14"/>
  <c r="I438" i="14"/>
  <c r="J434" i="14"/>
  <c r="I467" i="14"/>
  <c r="I495" i="14"/>
  <c r="O515" i="14"/>
  <c r="I463" i="14"/>
  <c r="I474" i="14"/>
  <c r="L438" i="14"/>
  <c r="O454" i="14"/>
  <c r="I515" i="14"/>
  <c r="K8" i="16"/>
  <c r="O448" i="14" s="1"/>
  <c r="Z54" i="16"/>
  <c r="O635" i="14" s="1"/>
  <c r="P54" i="16"/>
  <c r="O633" i="14" s="1"/>
  <c r="M636" i="14"/>
  <c r="K636" i="14"/>
  <c r="K634" i="14"/>
  <c r="M634" i="14"/>
  <c r="M639" i="14"/>
  <c r="K639" i="14"/>
  <c r="K628" i="14"/>
  <c r="M628" i="14"/>
  <c r="M637" i="14"/>
  <c r="K637" i="14"/>
  <c r="K631" i="14"/>
  <c r="M631" i="14"/>
  <c r="Z55" i="16"/>
  <c r="O639" i="14" s="1"/>
  <c r="K635" i="14"/>
  <c r="M635" i="14"/>
  <c r="P53" i="16"/>
  <c r="O629" i="14" s="1"/>
  <c r="I630" i="14"/>
  <c r="K55" i="16"/>
  <c r="O636" i="14" s="1"/>
  <c r="K638" i="14"/>
  <c r="M638" i="14"/>
  <c r="K53" i="16"/>
  <c r="O628" i="14" s="1"/>
  <c r="M629" i="14"/>
  <c r="K629" i="14"/>
  <c r="U55" i="16"/>
  <c r="O638" i="14" s="1"/>
  <c r="K492" i="14"/>
  <c r="M632" i="14"/>
  <c r="K632" i="14"/>
  <c r="P55" i="16"/>
  <c r="O637" i="14" s="1"/>
  <c r="M633" i="14"/>
  <c r="K633" i="14"/>
  <c r="K513" i="14"/>
  <c r="P18" i="16"/>
  <c r="O489" i="14" s="1"/>
  <c r="K456" i="14"/>
  <c r="K18" i="16"/>
  <c r="O488" i="14" s="1"/>
  <c r="U25" i="16"/>
  <c r="O518" i="14" s="1"/>
  <c r="M504" i="14"/>
  <c r="P14" i="16"/>
  <c r="O473" i="14" s="1"/>
  <c r="I477" i="14"/>
  <c r="K477" i="14" s="1"/>
  <c r="I591" i="14"/>
  <c r="K591" i="14" s="1"/>
  <c r="I436" i="14"/>
  <c r="K436" i="14" s="1"/>
  <c r="I466" i="14"/>
  <c r="M466" i="14" s="1"/>
  <c r="I451" i="14"/>
  <c r="K451" i="14" s="1"/>
  <c r="I461" i="14"/>
  <c r="M461" i="14" s="1"/>
  <c r="I437" i="14"/>
  <c r="K437" i="14" s="1"/>
  <c r="I497" i="14"/>
  <c r="K497" i="14" s="1"/>
  <c r="I429" i="14"/>
  <c r="M429" i="14" s="1"/>
  <c r="I563" i="14"/>
  <c r="M563" i="14" s="1"/>
  <c r="I444" i="14"/>
  <c r="M444" i="14" s="1"/>
  <c r="K14" i="16"/>
  <c r="O472" i="14" s="1"/>
  <c r="I509" i="14"/>
  <c r="M509" i="14" s="1"/>
  <c r="I493" i="14"/>
  <c r="M493" i="14" s="1"/>
  <c r="I470" i="14"/>
  <c r="M470" i="14" s="1"/>
  <c r="I607" i="14"/>
  <c r="K607" i="14" s="1"/>
  <c r="I457" i="14"/>
  <c r="K457" i="14" s="1"/>
  <c r="I521" i="14"/>
  <c r="M521" i="14" s="1"/>
  <c r="I441" i="14"/>
  <c r="K441" i="14" s="1"/>
  <c r="I503" i="14"/>
  <c r="M503" i="14" s="1"/>
  <c r="K13" i="16"/>
  <c r="O468" i="14" s="1"/>
  <c r="I468" i="14"/>
  <c r="M468" i="14" s="1"/>
  <c r="I481" i="14"/>
  <c r="K481" i="14" s="1"/>
  <c r="I508" i="14"/>
  <c r="K508" i="14" s="1"/>
  <c r="I488" i="14"/>
  <c r="M488" i="14" s="1"/>
  <c r="I453" i="14"/>
  <c r="M453" i="14" s="1"/>
  <c r="U11" i="16"/>
  <c r="O462" i="14" s="1"/>
  <c r="K25" i="16"/>
  <c r="O516" i="14" s="1"/>
  <c r="P11" i="16"/>
  <c r="O461" i="14" s="1"/>
  <c r="Z47" i="16"/>
  <c r="O607" i="14" s="1"/>
  <c r="Y40" i="16"/>
  <c r="Z40" i="16"/>
  <c r="O579" i="14" s="1"/>
  <c r="K23" i="16"/>
  <c r="O508" i="14" s="1"/>
  <c r="U16" i="16"/>
  <c r="O482" i="14" s="1"/>
  <c r="K12" i="16"/>
  <c r="O464" i="14" s="1"/>
  <c r="K11" i="16"/>
  <c r="O460" i="14" s="1"/>
  <c r="P4" i="16"/>
  <c r="O433" i="14" s="1"/>
  <c r="K4" i="16"/>
  <c r="O432" i="14" s="1"/>
  <c r="P12" i="16"/>
  <c r="O465" i="14" s="1"/>
  <c r="U4" i="16"/>
  <c r="O434" i="14" s="1"/>
  <c r="U12" i="16"/>
  <c r="O466" i="14" s="1"/>
  <c r="K16" i="16"/>
  <c r="O480" i="14" s="1"/>
  <c r="P25" i="16"/>
  <c r="O517" i="14" s="1"/>
  <c r="Z32" i="16"/>
  <c r="O547" i="14" s="1"/>
  <c r="Z20" i="16"/>
  <c r="U21" i="16"/>
  <c r="O502" i="14" s="1"/>
  <c r="U26" i="16"/>
  <c r="O522" i="14" s="1"/>
  <c r="K22" i="16"/>
  <c r="O504" i="14" s="1"/>
  <c r="P9" i="16"/>
  <c r="O453" i="14" s="1"/>
  <c r="U19" i="16"/>
  <c r="O494" i="14" s="1"/>
  <c r="U22" i="16"/>
  <c r="O506" i="14" s="1"/>
  <c r="P22" i="16"/>
  <c r="O505" i="14" s="1"/>
  <c r="K21" i="16"/>
  <c r="O500" i="14" s="1"/>
  <c r="K27" i="16"/>
  <c r="O524" i="14" s="1"/>
  <c r="K9" i="16"/>
  <c r="O452" i="14" s="1"/>
  <c r="P21" i="16"/>
  <c r="O501" i="14" s="1"/>
  <c r="P20" i="16"/>
  <c r="O497" i="14" s="1"/>
  <c r="U20" i="16"/>
  <c r="O498" i="14" s="1"/>
  <c r="K20" i="16"/>
  <c r="O496" i="14" s="1"/>
  <c r="T22" i="16"/>
  <c r="P26" i="16"/>
  <c r="O521" i="14" s="1"/>
  <c r="P27" i="16"/>
  <c r="O525" i="14" s="1"/>
  <c r="P24" i="16"/>
  <c r="O513" i="14" s="1"/>
  <c r="K19" i="16"/>
  <c r="O492" i="14" s="1"/>
  <c r="K26" i="16"/>
  <c r="O520" i="14" s="1"/>
  <c r="U27" i="16"/>
  <c r="O526" i="14" s="1"/>
  <c r="U10" i="16"/>
  <c r="O458" i="14" s="1"/>
  <c r="K24" i="16"/>
  <c r="O512" i="14" s="1"/>
  <c r="P10" i="16"/>
  <c r="O457" i="14" s="1"/>
  <c r="Z27" i="16"/>
  <c r="O527" i="14" s="1"/>
  <c r="U15" i="16"/>
  <c r="O478" i="14" s="1"/>
  <c r="P19" i="16"/>
  <c r="O493" i="14" s="1"/>
  <c r="K15" i="16"/>
  <c r="O476" i="14" s="1"/>
  <c r="K10" i="16"/>
  <c r="O456" i="14" s="1"/>
  <c r="P15" i="16"/>
  <c r="O477" i="14" s="1"/>
  <c r="K551" i="14"/>
  <c r="M449" i="14"/>
  <c r="K440" i="14"/>
  <c r="K502" i="14"/>
  <c r="K582" i="14"/>
  <c r="K525" i="14"/>
  <c r="M626" i="14"/>
  <c r="K595" i="14"/>
  <c r="K559" i="14"/>
  <c r="K603" i="14"/>
  <c r="M614" i="14"/>
  <c r="M566" i="14"/>
  <c r="K535" i="14"/>
  <c r="M520" i="14"/>
  <c r="K496" i="14"/>
  <c r="M610" i="14"/>
  <c r="K622" i="14"/>
  <c r="K538" i="14"/>
  <c r="K460" i="14"/>
  <c r="K587" i="14"/>
  <c r="K543" i="14"/>
  <c r="M618" i="14"/>
  <c r="M450" i="14"/>
  <c r="K579" i="14"/>
  <c r="M574" i="14"/>
  <c r="K546" i="14"/>
  <c r="M476" i="14"/>
  <c r="K500" i="14"/>
  <c r="P3" i="16"/>
  <c r="O429" i="14" s="1"/>
  <c r="M428" i="14"/>
  <c r="K530" i="14"/>
  <c r="K432" i="14"/>
  <c r="K465" i="14"/>
  <c r="K464" i="14"/>
  <c r="K524" i="14"/>
  <c r="U38" i="16"/>
  <c r="O570" i="14" s="1"/>
  <c r="U29" i="16"/>
  <c r="O534" i="14" s="1"/>
  <c r="Z46" i="16"/>
  <c r="O603" i="14" s="1"/>
  <c r="U33" i="16"/>
  <c r="O550" i="14" s="1"/>
  <c r="Z35" i="16"/>
  <c r="O559" i="14" s="1"/>
  <c r="Z31" i="16"/>
  <c r="O543" i="14" s="1"/>
  <c r="Z30" i="16"/>
  <c r="O539" i="14" s="1"/>
  <c r="K30" i="16"/>
  <c r="O536" i="14" s="1"/>
  <c r="U34" i="16"/>
  <c r="O554" i="14" s="1"/>
  <c r="U52" i="16"/>
  <c r="O626" i="14" s="1"/>
  <c r="K514" i="14"/>
  <c r="P46" i="16"/>
  <c r="O601" i="14" s="1"/>
  <c r="K433" i="14"/>
  <c r="M505" i="14"/>
  <c r="P31" i="16"/>
  <c r="O541" i="14" s="1"/>
  <c r="K41" i="16"/>
  <c r="O580" i="14" s="1"/>
  <c r="U36" i="16"/>
  <c r="O562" i="14" s="1"/>
  <c r="U30" i="16"/>
  <c r="O538" i="14" s="1"/>
  <c r="P49" i="16"/>
  <c r="O613" i="14" s="1"/>
  <c r="K46" i="16"/>
  <c r="O600" i="14" s="1"/>
  <c r="P30" i="16"/>
  <c r="O537" i="14" s="1"/>
  <c r="K51" i="16"/>
  <c r="O620" i="14" s="1"/>
  <c r="Z52" i="16"/>
  <c r="O627" i="14" s="1"/>
  <c r="Z41" i="16"/>
  <c r="O583" i="14" s="1"/>
  <c r="Z36" i="16"/>
  <c r="O563" i="14" s="1"/>
  <c r="K49" i="16"/>
  <c r="O612" i="14" s="1"/>
  <c r="P51" i="16"/>
  <c r="O621" i="14" s="1"/>
  <c r="U51" i="16"/>
  <c r="O622" i="14" s="1"/>
  <c r="P29" i="16"/>
  <c r="O533" i="14" s="1"/>
  <c r="U41" i="16"/>
  <c r="O582" i="14" s="1"/>
  <c r="K43" i="16"/>
  <c r="O588" i="14" s="1"/>
  <c r="K40" i="16"/>
  <c r="O576" i="14" s="1"/>
  <c r="P35" i="16"/>
  <c r="O557" i="14" s="1"/>
  <c r="K36" i="16"/>
  <c r="O560" i="14" s="1"/>
  <c r="K31" i="16"/>
  <c r="O540" i="14" s="1"/>
  <c r="P33" i="16"/>
  <c r="O549" i="14" s="1"/>
  <c r="K28" i="16"/>
  <c r="O528" i="14" s="1"/>
  <c r="M564" i="14"/>
  <c r="K564" i="14"/>
  <c r="M592" i="14"/>
  <c r="K592" i="14"/>
  <c r="K550" i="14"/>
  <c r="M550" i="14"/>
  <c r="U44" i="16"/>
  <c r="O594" i="14" s="1"/>
  <c r="K588" i="14"/>
  <c r="M588" i="14"/>
  <c r="K528" i="14"/>
  <c r="M528" i="14"/>
  <c r="M556" i="14"/>
  <c r="K556" i="14"/>
  <c r="U32" i="16"/>
  <c r="O546" i="14" s="1"/>
  <c r="M584" i="14"/>
  <c r="K584" i="14"/>
  <c r="K33" i="16"/>
  <c r="O548" i="14" s="1"/>
  <c r="M469" i="14"/>
  <c r="M548" i="14"/>
  <c r="K548" i="14"/>
  <c r="Z50" i="16"/>
  <c r="O619" i="14" s="1"/>
  <c r="P42" i="16"/>
  <c r="O585" i="14" s="1"/>
  <c r="M573" i="14"/>
  <c r="K573" i="14"/>
  <c r="K585" i="14"/>
  <c r="M585" i="14"/>
  <c r="M540" i="14"/>
  <c r="K540" i="14"/>
  <c r="K597" i="14"/>
  <c r="M597" i="14"/>
  <c r="Z42" i="16"/>
  <c r="O587" i="14" s="1"/>
  <c r="M537" i="14"/>
  <c r="K537" i="14"/>
  <c r="P43" i="16"/>
  <c r="O589" i="14" s="1"/>
  <c r="P34" i="16"/>
  <c r="O553" i="14" s="1"/>
  <c r="K577" i="14"/>
  <c r="M577" i="14"/>
  <c r="M569" i="14"/>
  <c r="K569" i="14"/>
  <c r="Z37" i="16"/>
  <c r="O567" i="14" s="1"/>
  <c r="K489" i="14"/>
  <c r="M578" i="14"/>
  <c r="K578" i="14"/>
  <c r="K553" i="14"/>
  <c r="M553" i="14"/>
  <c r="K39" i="16"/>
  <c r="O572" i="14" s="1"/>
  <c r="K29" i="16"/>
  <c r="O532" i="14" s="1"/>
  <c r="K34" i="16"/>
  <c r="O552" i="14" s="1"/>
  <c r="M534" i="14"/>
  <c r="K534" i="14"/>
  <c r="M593" i="14"/>
  <c r="K593" i="14"/>
  <c r="K621" i="14"/>
  <c r="M621" i="14"/>
  <c r="M617" i="14"/>
  <c r="K617" i="14"/>
  <c r="M549" i="14"/>
  <c r="K549" i="14"/>
  <c r="M542" i="14"/>
  <c r="K542" i="14"/>
  <c r="M544" i="14"/>
  <c r="K544" i="14"/>
  <c r="M609" i="14"/>
  <c r="K609" i="14"/>
  <c r="M562" i="14"/>
  <c r="K562" i="14"/>
  <c r="K565" i="14"/>
  <c r="M565" i="14"/>
  <c r="K42" i="16"/>
  <c r="O584" i="14" s="1"/>
  <c r="K45" i="16"/>
  <c r="O596" i="14" s="1"/>
  <c r="U46" i="16"/>
  <c r="O602" i="14" s="1"/>
  <c r="K38" i="16"/>
  <c r="O568" i="14" s="1"/>
  <c r="K613" i="14"/>
  <c r="M613" i="14"/>
  <c r="K558" i="14"/>
  <c r="M558" i="14"/>
  <c r="M612" i="14"/>
  <c r="K612" i="14"/>
  <c r="K541" i="14"/>
  <c r="M541" i="14"/>
  <c r="M600" i="14"/>
  <c r="K600" i="14"/>
  <c r="M545" i="14"/>
  <c r="K545" i="14"/>
  <c r="U40" i="16"/>
  <c r="O578" i="14" s="1"/>
  <c r="P45" i="16"/>
  <c r="O597" i="14" s="1"/>
  <c r="K599" i="14"/>
  <c r="M599" i="14"/>
  <c r="P41" i="16"/>
  <c r="O581" i="14" s="1"/>
  <c r="P37" i="16"/>
  <c r="O565" i="14" s="1"/>
  <c r="K52" i="16"/>
  <c r="O624" i="14" s="1"/>
  <c r="P38" i="16"/>
  <c r="O569" i="14" s="1"/>
  <c r="M536" i="14"/>
  <c r="K536" i="14"/>
  <c r="M604" i="14"/>
  <c r="K604" i="14"/>
  <c r="P40" i="16"/>
  <c r="O577" i="14" s="1"/>
  <c r="K598" i="14"/>
  <c r="M598" i="14"/>
  <c r="M625" i="14"/>
  <c r="K625" i="14"/>
  <c r="K581" i="14"/>
  <c r="M581" i="14"/>
  <c r="P32" i="16"/>
  <c r="O545" i="14" s="1"/>
  <c r="K32" i="16"/>
  <c r="O544" i="14" s="1"/>
  <c r="K596" i="14"/>
  <c r="M596" i="14"/>
  <c r="U35" i="16"/>
  <c r="O558" i="14" s="1"/>
  <c r="K580" i="14"/>
  <c r="M580" i="14"/>
  <c r="M594" i="14"/>
  <c r="K594" i="14"/>
  <c r="K561" i="14"/>
  <c r="M561" i="14"/>
  <c r="M608" i="14"/>
  <c r="K608" i="14"/>
  <c r="M570" i="14"/>
  <c r="K570" i="14"/>
  <c r="M560" i="14"/>
  <c r="K560" i="14"/>
  <c r="U47" i="16"/>
  <c r="O606" i="14" s="1"/>
  <c r="K47" i="16"/>
  <c r="O604" i="14" s="1"/>
  <c r="P39" i="16"/>
  <c r="O573" i="14" s="1"/>
  <c r="U37" i="16"/>
  <c r="O566" i="14" s="1"/>
  <c r="M586" i="14"/>
  <c r="K586" i="14"/>
  <c r="K3" i="16"/>
  <c r="O428" i="14" s="1"/>
  <c r="M624" i="14"/>
  <c r="K624" i="14"/>
  <c r="U50" i="16"/>
  <c r="O618" i="14" s="1"/>
  <c r="M555" i="14"/>
  <c r="K555" i="14"/>
  <c r="K494" i="14"/>
  <c r="P47" i="16"/>
  <c r="O605" i="14" s="1"/>
  <c r="M532" i="14"/>
  <c r="K532" i="14"/>
  <c r="M554" i="14"/>
  <c r="K554" i="14"/>
  <c r="U45" i="16"/>
  <c r="O598" i="14" s="1"/>
  <c r="M568" i="14"/>
  <c r="K568" i="14"/>
  <c r="M602" i="14"/>
  <c r="K602" i="14"/>
  <c r="P48" i="16"/>
  <c r="O609" i="14" s="1"/>
  <c r="K35" i="16"/>
  <c r="O556" i="14" s="1"/>
  <c r="M526" i="14"/>
  <c r="K590" i="14"/>
  <c r="M590" i="14"/>
  <c r="U39" i="16"/>
  <c r="O574" i="14" s="1"/>
  <c r="P52" i="16"/>
  <c r="O625" i="14" s="1"/>
  <c r="U42" i="16"/>
  <c r="O586" i="14" s="1"/>
  <c r="K620" i="14"/>
  <c r="M620" i="14"/>
  <c r="P28" i="16"/>
  <c r="O529" i="14" s="1"/>
  <c r="K50" i="16"/>
  <c r="O616" i="14" s="1"/>
  <c r="M601" i="14"/>
  <c r="K601" i="14"/>
  <c r="K576" i="14"/>
  <c r="M576" i="14"/>
  <c r="P36" i="16"/>
  <c r="O561" i="14" s="1"/>
  <c r="M572" i="14"/>
  <c r="K572" i="14"/>
  <c r="P50" i="16"/>
  <c r="O617" i="14" s="1"/>
  <c r="M605" i="14"/>
  <c r="K605" i="14"/>
  <c r="K48" i="16"/>
  <c r="O608" i="14" s="1"/>
  <c r="M533" i="14"/>
  <c r="K533" i="14"/>
  <c r="M552" i="14"/>
  <c r="K552" i="14"/>
  <c r="U31" i="16"/>
  <c r="O542" i="14" s="1"/>
  <c r="M557" i="14"/>
  <c r="K557" i="14"/>
  <c r="K44" i="16"/>
  <c r="O592" i="14" s="1"/>
  <c r="M589" i="14"/>
  <c r="K589" i="14"/>
  <c r="K606" i="14"/>
  <c r="M606" i="14"/>
  <c r="K616" i="14"/>
  <c r="M616" i="14"/>
  <c r="M529" i="14"/>
  <c r="K529" i="14"/>
  <c r="U49" i="16"/>
  <c r="O614" i="14" s="1"/>
  <c r="K37" i="16"/>
  <c r="O564" i="14" s="1"/>
  <c r="M571" i="14"/>
  <c r="K571" i="14"/>
  <c r="P44" i="16"/>
  <c r="O593" i="14" s="1"/>
  <c r="Q491" i="14"/>
  <c r="I491" i="14" s="1"/>
  <c r="Q459" i="14"/>
  <c r="O459" i="14" s="1"/>
  <c r="Q443" i="14"/>
  <c r="I443" i="14" s="1"/>
  <c r="K470" i="14"/>
  <c r="Q511" i="14"/>
  <c r="O511" i="14" s="1"/>
  <c r="Q435" i="14"/>
  <c r="O435" i="14" s="1"/>
  <c r="M451" i="14"/>
  <c r="Q475" i="14"/>
  <c r="I475" i="14" s="1"/>
  <c r="Q487" i="14"/>
  <c r="Q439" i="14"/>
  <c r="O439" i="14" s="1"/>
  <c r="Q455" i="14"/>
  <c r="I455" i="14" s="1"/>
  <c r="Q499" i="14"/>
  <c r="I499" i="14" s="1"/>
  <c r="Q507" i="14"/>
  <c r="O507" i="14" s="1"/>
  <c r="K462" i="14"/>
  <c r="Q483" i="14"/>
  <c r="O483" i="14" s="1"/>
  <c r="K478" i="14"/>
  <c r="Q447" i="14"/>
  <c r="O447" i="14" s="1"/>
  <c r="Q519" i="14"/>
  <c r="I519" i="14" s="1"/>
  <c r="Q523" i="14"/>
  <c r="O523" i="14" s="1"/>
  <c r="Q431" i="14"/>
  <c r="O431" i="14" s="1"/>
  <c r="M575" i="14"/>
  <c r="K575" i="14"/>
  <c r="M583" i="14"/>
  <c r="K583" i="14"/>
  <c r="M623" i="14"/>
  <c r="K623" i="14"/>
  <c r="M615" i="14"/>
  <c r="K615" i="14"/>
  <c r="K611" i="14"/>
  <c r="M611" i="14"/>
  <c r="K547" i="14"/>
  <c r="M547" i="14"/>
  <c r="M627" i="14"/>
  <c r="K627" i="14"/>
  <c r="K619" i="14"/>
  <c r="M619" i="14"/>
  <c r="M539" i="14"/>
  <c r="K539" i="14"/>
  <c r="M531" i="14"/>
  <c r="K531" i="14"/>
  <c r="M567" i="14"/>
  <c r="K567" i="14"/>
  <c r="M473" i="14"/>
  <c r="K485" i="14"/>
  <c r="M477" i="14"/>
  <c r="M484" i="14"/>
  <c r="M501" i="14"/>
  <c r="M445" i="14"/>
  <c r="M517" i="14"/>
  <c r="M516" i="14"/>
  <c r="K516" i="14"/>
  <c r="K452" i="14"/>
  <c r="M452" i="14"/>
  <c r="M448" i="14"/>
  <c r="K448" i="14"/>
  <c r="M480" i="14"/>
  <c r="K480" i="14"/>
  <c r="M512" i="14"/>
  <c r="K512" i="14"/>
  <c r="P27" i="14"/>
  <c r="P31" i="14"/>
  <c r="P35" i="14"/>
  <c r="P39" i="14"/>
  <c r="P43" i="14"/>
  <c r="P47" i="14"/>
  <c r="P51" i="14"/>
  <c r="P55" i="14"/>
  <c r="P59" i="14"/>
  <c r="P63" i="14"/>
  <c r="P67" i="14"/>
  <c r="P71" i="14"/>
  <c r="P75" i="14"/>
  <c r="P79" i="14"/>
  <c r="P83" i="14"/>
  <c r="P87" i="14"/>
  <c r="P91" i="14"/>
  <c r="P95" i="14"/>
  <c r="P99" i="14"/>
  <c r="P23" i="14"/>
  <c r="L8" i="12"/>
  <c r="J8" i="12"/>
  <c r="C55" i="2"/>
  <c r="K503" i="14" l="1"/>
  <c r="K466" i="14"/>
  <c r="M457" i="14"/>
  <c r="K461" i="14"/>
  <c r="K521" i="14"/>
  <c r="M591" i="14"/>
  <c r="I447" i="14"/>
  <c r="I511" i="14"/>
  <c r="I439" i="14"/>
  <c r="I431" i="14"/>
  <c r="I435" i="14"/>
  <c r="I483" i="14"/>
  <c r="I459" i="14"/>
  <c r="O491" i="14"/>
  <c r="O499" i="14"/>
  <c r="O475" i="14"/>
  <c r="I523" i="14"/>
  <c r="J487" i="14"/>
  <c r="L487" i="14"/>
  <c r="L455" i="14"/>
  <c r="J455" i="14"/>
  <c r="I507" i="14"/>
  <c r="I487" i="14"/>
  <c r="L499" i="14"/>
  <c r="J499" i="14"/>
  <c r="J475" i="14"/>
  <c r="L475" i="14"/>
  <c r="M441" i="14"/>
  <c r="J511" i="14"/>
  <c r="L511" i="14"/>
  <c r="L447" i="14"/>
  <c r="J447" i="14"/>
  <c r="L443" i="14"/>
  <c r="J443" i="14"/>
  <c r="O487" i="14"/>
  <c r="O455" i="14"/>
  <c r="J435" i="14"/>
  <c r="L435" i="14"/>
  <c r="J523" i="14"/>
  <c r="L523" i="14"/>
  <c r="J439" i="14"/>
  <c r="L439" i="14"/>
  <c r="L431" i="14"/>
  <c r="J431" i="14"/>
  <c r="J519" i="14"/>
  <c r="L519" i="14"/>
  <c r="J459" i="14"/>
  <c r="L459" i="14"/>
  <c r="J491" i="14"/>
  <c r="L491" i="14"/>
  <c r="O519" i="14"/>
  <c r="O443" i="14"/>
  <c r="L507" i="14"/>
  <c r="J507" i="14"/>
  <c r="J483" i="14"/>
  <c r="L483" i="14"/>
  <c r="K630" i="14"/>
  <c r="M630" i="14"/>
  <c r="K429" i="14"/>
  <c r="M508" i="14"/>
  <c r="M481" i="14"/>
  <c r="M607" i="14"/>
  <c r="K509" i="14"/>
  <c r="K453" i="14"/>
  <c r="K444" i="14"/>
  <c r="M436" i="14"/>
  <c r="K493" i="14"/>
  <c r="K563" i="14"/>
  <c r="K488" i="14"/>
  <c r="M497" i="14"/>
  <c r="M437" i="14"/>
  <c r="P28" i="14"/>
  <c r="L28" i="14" s="1"/>
  <c r="L27" i="14"/>
  <c r="K618" i="14"/>
  <c r="K626" i="14"/>
  <c r="M587" i="14"/>
  <c r="M582" i="14"/>
  <c r="K614" i="14"/>
  <c r="M603" i="14"/>
  <c r="M559" i="14"/>
  <c r="M622" i="14"/>
  <c r="M551" i="14"/>
  <c r="M538" i="14"/>
  <c r="M535" i="14"/>
  <c r="K566" i="14"/>
  <c r="K574" i="14"/>
  <c r="M432" i="14"/>
  <c r="K450" i="14"/>
  <c r="M496" i="14"/>
  <c r="M595" i="14"/>
  <c r="M543" i="14"/>
  <c r="M530" i="14"/>
  <c r="K520" i="14"/>
  <c r="M525" i="14"/>
  <c r="M500" i="14"/>
  <c r="M546" i="14"/>
  <c r="K476" i="14"/>
  <c r="M460" i="14"/>
  <c r="K468" i="14"/>
  <c r="M502" i="14"/>
  <c r="M524" i="14"/>
  <c r="M440" i="14"/>
  <c r="K610" i="14"/>
  <c r="M464" i="14"/>
  <c r="K449" i="14"/>
  <c r="M465" i="14"/>
  <c r="M579" i="14"/>
  <c r="D55" i="2"/>
  <c r="C14" i="3" s="1"/>
  <c r="L83" i="14"/>
  <c r="J83" i="14"/>
  <c r="J79" i="14"/>
  <c r="L79" i="14"/>
  <c r="L59" i="14"/>
  <c r="J59" i="14"/>
  <c r="J75" i="14"/>
  <c r="L75" i="14"/>
  <c r="P44" i="14"/>
  <c r="P45" i="14" s="1"/>
  <c r="L43" i="14"/>
  <c r="J43" i="14"/>
  <c r="L23" i="14"/>
  <c r="J23" i="14"/>
  <c r="L39" i="14"/>
  <c r="J39" i="14"/>
  <c r="P64" i="14"/>
  <c r="P65" i="14" s="1"/>
  <c r="J63" i="14"/>
  <c r="L63" i="14"/>
  <c r="P56" i="14"/>
  <c r="P57" i="14" s="1"/>
  <c r="J55" i="14"/>
  <c r="L55" i="14"/>
  <c r="P52" i="14"/>
  <c r="J51" i="14"/>
  <c r="L51" i="14"/>
  <c r="J47" i="14"/>
  <c r="L47" i="14"/>
  <c r="J99" i="14"/>
  <c r="L99" i="14"/>
  <c r="P36" i="14"/>
  <c r="J35" i="14"/>
  <c r="L35" i="14"/>
  <c r="P72" i="14"/>
  <c r="L71" i="14"/>
  <c r="J71" i="14"/>
  <c r="L67" i="14"/>
  <c r="J67" i="14"/>
  <c r="P96" i="14"/>
  <c r="P97" i="14" s="1"/>
  <c r="L95" i="14"/>
  <c r="J95" i="14"/>
  <c r="P32" i="14"/>
  <c r="P33" i="14" s="1"/>
  <c r="J31" i="14"/>
  <c r="L31" i="14"/>
  <c r="L91" i="14"/>
  <c r="J91" i="14"/>
  <c r="J27" i="14"/>
  <c r="L87" i="14"/>
  <c r="J87" i="14"/>
  <c r="P80" i="14"/>
  <c r="C9" i="3"/>
  <c r="C10" i="3"/>
  <c r="C12" i="3"/>
  <c r="C13" i="3"/>
  <c r="C11" i="3"/>
  <c r="K428" i="14"/>
  <c r="K482" i="14"/>
  <c r="P84" i="14"/>
  <c r="K446" i="14"/>
  <c r="M446" i="14"/>
  <c r="M442" i="14"/>
  <c r="K442" i="14"/>
  <c r="K474" i="14"/>
  <c r="M474" i="14"/>
  <c r="K498" i="14"/>
  <c r="M498" i="14"/>
  <c r="K434" i="14"/>
  <c r="M434" i="14"/>
  <c r="K458" i="14"/>
  <c r="M458" i="14"/>
  <c r="M438" i="14"/>
  <c r="K438" i="14"/>
  <c r="P68" i="14"/>
  <c r="M522" i="14"/>
  <c r="K522" i="14"/>
  <c r="M479" i="14"/>
  <c r="K479" i="14"/>
  <c r="M454" i="14"/>
  <c r="K454" i="14"/>
  <c r="K467" i="14"/>
  <c r="M467" i="14"/>
  <c r="K463" i="14"/>
  <c r="M463" i="14"/>
  <c r="M510" i="14"/>
  <c r="K510" i="14"/>
  <c r="M490" i="14"/>
  <c r="K490" i="14"/>
  <c r="K518" i="14"/>
  <c r="M518" i="14"/>
  <c r="M527" i="14"/>
  <c r="K527" i="14"/>
  <c r="M471" i="14"/>
  <c r="K471" i="14"/>
  <c r="M430" i="14"/>
  <c r="K430" i="14"/>
  <c r="M495" i="14"/>
  <c r="K495" i="14"/>
  <c r="K506" i="14"/>
  <c r="M506" i="14"/>
  <c r="K515" i="14"/>
  <c r="M515" i="14"/>
  <c r="K486" i="14"/>
  <c r="M486" i="14"/>
  <c r="P88" i="14"/>
  <c r="P76" i="14"/>
  <c r="P100" i="14"/>
  <c r="P92" i="14"/>
  <c r="P60" i="14"/>
  <c r="P24" i="14"/>
  <c r="L24" i="14" s="1"/>
  <c r="P73" i="14"/>
  <c r="P48" i="14"/>
  <c r="F8" i="12"/>
  <c r="P40" i="14"/>
  <c r="P22" i="13"/>
  <c r="K15" i="13"/>
  <c r="U7" i="13"/>
  <c r="U5" i="13"/>
  <c r="U19" i="13"/>
  <c r="U18" i="13"/>
  <c r="P13" i="13"/>
  <c r="P7" i="13"/>
  <c r="P17" i="13"/>
  <c r="U3" i="13"/>
  <c r="P6" i="13"/>
  <c r="U9" i="13"/>
  <c r="U10" i="13"/>
  <c r="U14" i="13"/>
  <c r="F12" i="13"/>
  <c r="U21" i="13"/>
  <c r="F11" i="13"/>
  <c r="F3" i="13"/>
  <c r="F7" i="13"/>
  <c r="P11" i="13"/>
  <c r="F22" i="13"/>
  <c r="F6" i="13"/>
  <c r="P12" i="13"/>
  <c r="U8" i="13"/>
  <c r="F21" i="13"/>
  <c r="F5" i="13"/>
  <c r="F20" i="13"/>
  <c r="F4" i="13"/>
  <c r="P14" i="13"/>
  <c r="F19" i="13"/>
  <c r="K3" i="13"/>
  <c r="P15" i="13"/>
  <c r="U11" i="13"/>
  <c r="F18" i="13"/>
  <c r="P16" i="13"/>
  <c r="U12" i="13"/>
  <c r="F17" i="13"/>
  <c r="U13" i="13"/>
  <c r="F16" i="13"/>
  <c r="P18" i="13"/>
  <c r="F15" i="13"/>
  <c r="P3" i="13"/>
  <c r="P19" i="13"/>
  <c r="U15" i="13"/>
  <c r="F14" i="13"/>
  <c r="P4" i="13"/>
  <c r="P20" i="13"/>
  <c r="U16" i="13"/>
  <c r="F13" i="13"/>
  <c r="P5" i="13"/>
  <c r="P21" i="13"/>
  <c r="U17" i="13"/>
  <c r="F10" i="13"/>
  <c r="P8" i="13"/>
  <c r="U4" i="13"/>
  <c r="U20" i="13"/>
  <c r="F9" i="13"/>
  <c r="P9" i="13"/>
  <c r="F8" i="13"/>
  <c r="P10" i="13"/>
  <c r="U6" i="13"/>
  <c r="U22" i="13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7" i="11"/>
  <c r="P8" i="11"/>
  <c r="P6" i="11"/>
  <c r="C4" i="3" l="1"/>
  <c r="C6" i="3"/>
  <c r="C3" i="3"/>
  <c r="C7" i="3"/>
  <c r="C8" i="3"/>
  <c r="P29" i="14"/>
  <c r="L29" i="14" s="1"/>
  <c r="I3" i="13"/>
  <c r="S3" i="13"/>
  <c r="X3" i="13"/>
  <c r="N3" i="13"/>
  <c r="I15" i="13"/>
  <c r="X15" i="13"/>
  <c r="S15" i="13"/>
  <c r="N15" i="13"/>
  <c r="I87" i="14"/>
  <c r="K19" i="13"/>
  <c r="S19" i="13" s="1"/>
  <c r="I75" i="14"/>
  <c r="K16" i="13"/>
  <c r="I76" i="14" s="1"/>
  <c r="M76" i="14" s="1"/>
  <c r="I91" i="14"/>
  <c r="K20" i="13"/>
  <c r="I92" i="14" s="1"/>
  <c r="K92" i="14" s="1"/>
  <c r="I39" i="14"/>
  <c r="K7" i="13"/>
  <c r="I40" i="14" s="1"/>
  <c r="K40" i="14" s="1"/>
  <c r="I95" i="14"/>
  <c r="K21" i="13"/>
  <c r="I96" i="14" s="1"/>
  <c r="K96" i="14" s="1"/>
  <c r="I67" i="14"/>
  <c r="K14" i="13"/>
  <c r="I68" i="14" s="1"/>
  <c r="K68" i="14" s="1"/>
  <c r="I59" i="14"/>
  <c r="K12" i="13"/>
  <c r="I60" i="14" s="1"/>
  <c r="H60" i="14" s="1"/>
  <c r="I31" i="14"/>
  <c r="K5" i="13"/>
  <c r="I32" i="14" s="1"/>
  <c r="I51" i="14"/>
  <c r="K10" i="13"/>
  <c r="I52" i="14" s="1"/>
  <c r="M52" i="14" s="1"/>
  <c r="I55" i="14"/>
  <c r="K11" i="13"/>
  <c r="I56" i="14" s="1"/>
  <c r="K56" i="14" s="1"/>
  <c r="I27" i="14"/>
  <c r="I63" i="14"/>
  <c r="K13" i="13"/>
  <c r="I64" i="14" s="1"/>
  <c r="K64" i="14" s="1"/>
  <c r="I43" i="14"/>
  <c r="K8" i="13"/>
  <c r="I44" i="14" s="1"/>
  <c r="M44" i="14" s="1"/>
  <c r="I83" i="14"/>
  <c r="K18" i="13"/>
  <c r="I84" i="14" s="1"/>
  <c r="M84" i="14" s="1"/>
  <c r="I35" i="14"/>
  <c r="K6" i="13"/>
  <c r="I36" i="14" s="1"/>
  <c r="M36" i="14" s="1"/>
  <c r="I79" i="14"/>
  <c r="K17" i="13"/>
  <c r="N17" i="13" s="1"/>
  <c r="I99" i="14"/>
  <c r="K22" i="13"/>
  <c r="I100" i="14" s="1"/>
  <c r="M100" i="14" s="1"/>
  <c r="I47" i="14"/>
  <c r="K9" i="13"/>
  <c r="I48" i="14" s="1"/>
  <c r="K48" i="14" s="1"/>
  <c r="I71" i="14"/>
  <c r="I23" i="14"/>
  <c r="I97" i="14"/>
  <c r="M97" i="14" s="1"/>
  <c r="I10" i="12"/>
  <c r="I11" i="12"/>
  <c r="C5" i="3"/>
  <c r="L36" i="14"/>
  <c r="P69" i="14"/>
  <c r="I69" i="14" s="1"/>
  <c r="K69" i="14" s="1"/>
  <c r="L68" i="14"/>
  <c r="L48" i="14"/>
  <c r="J48" i="14"/>
  <c r="L57" i="14"/>
  <c r="J57" i="14"/>
  <c r="O57" i="14"/>
  <c r="I57" i="14"/>
  <c r="M57" i="14" s="1"/>
  <c r="L44" i="14"/>
  <c r="J44" i="14"/>
  <c r="P85" i="14"/>
  <c r="L84" i="14"/>
  <c r="L97" i="14"/>
  <c r="J97" i="14"/>
  <c r="L32" i="14"/>
  <c r="O73" i="14"/>
  <c r="L73" i="14"/>
  <c r="J73" i="14"/>
  <c r="I73" i="14"/>
  <c r="K73" i="14" s="1"/>
  <c r="P37" i="14"/>
  <c r="P53" i="14"/>
  <c r="J52" i="14"/>
  <c r="L52" i="14"/>
  <c r="L33" i="14"/>
  <c r="I33" i="14"/>
  <c r="M33" i="14" s="1"/>
  <c r="O33" i="14"/>
  <c r="J33" i="14"/>
  <c r="L96" i="14"/>
  <c r="J96" i="14"/>
  <c r="P25" i="14"/>
  <c r="L25" i="14" s="1"/>
  <c r="J24" i="14"/>
  <c r="O24" i="14"/>
  <c r="I24" i="14"/>
  <c r="K24" i="14" s="1"/>
  <c r="L88" i="14"/>
  <c r="J88" i="14"/>
  <c r="L60" i="14"/>
  <c r="J60" i="14"/>
  <c r="L56" i="14"/>
  <c r="J56" i="14"/>
  <c r="I45" i="14"/>
  <c r="K45" i="14" s="1"/>
  <c r="O45" i="14"/>
  <c r="L45" i="14"/>
  <c r="J45" i="14"/>
  <c r="L40" i="14"/>
  <c r="J40" i="14"/>
  <c r="P93" i="14"/>
  <c r="L92" i="14"/>
  <c r="J92" i="14"/>
  <c r="L80" i="14"/>
  <c r="P101" i="14"/>
  <c r="J100" i="14"/>
  <c r="L100" i="14"/>
  <c r="J72" i="14"/>
  <c r="I72" i="14"/>
  <c r="K72" i="14" s="1"/>
  <c r="L72" i="14"/>
  <c r="L64" i="14"/>
  <c r="P77" i="14"/>
  <c r="L76" i="14"/>
  <c r="J76" i="14"/>
  <c r="P66" i="14"/>
  <c r="O65" i="14"/>
  <c r="L65" i="14"/>
  <c r="J65" i="14"/>
  <c r="I65" i="14"/>
  <c r="M65" i="14" s="1"/>
  <c r="P30" i="14"/>
  <c r="L30" i="14" s="1"/>
  <c r="O29" i="14"/>
  <c r="J29" i="14"/>
  <c r="I29" i="14"/>
  <c r="K29" i="14" s="1"/>
  <c r="P81" i="14"/>
  <c r="I17" i="12"/>
  <c r="I18" i="12"/>
  <c r="I15" i="12"/>
  <c r="I19" i="12"/>
  <c r="I16" i="12"/>
  <c r="M507" i="14"/>
  <c r="K507" i="14"/>
  <c r="M511" i="14"/>
  <c r="K511" i="14"/>
  <c r="K435" i="14"/>
  <c r="M435" i="14"/>
  <c r="M455" i="14"/>
  <c r="K455" i="14"/>
  <c r="K523" i="14"/>
  <c r="M523" i="14"/>
  <c r="M499" i="14"/>
  <c r="K499" i="14"/>
  <c r="K431" i="14"/>
  <c r="M431" i="14"/>
  <c r="M475" i="14"/>
  <c r="K475" i="14"/>
  <c r="M491" i="14"/>
  <c r="K491" i="14"/>
  <c r="M443" i="14"/>
  <c r="K443" i="14"/>
  <c r="M439" i="14"/>
  <c r="K439" i="14"/>
  <c r="P89" i="14"/>
  <c r="M487" i="14"/>
  <c r="K487" i="14"/>
  <c r="M519" i="14"/>
  <c r="K519" i="14"/>
  <c r="M483" i="14"/>
  <c r="K483" i="14"/>
  <c r="M459" i="14"/>
  <c r="K459" i="14"/>
  <c r="K447" i="14"/>
  <c r="M447" i="14"/>
  <c r="I14" i="12"/>
  <c r="I12" i="12"/>
  <c r="I13" i="12"/>
  <c r="P61" i="14"/>
  <c r="P46" i="14"/>
  <c r="P41" i="14"/>
  <c r="P58" i="14"/>
  <c r="P98" i="14"/>
  <c r="P74" i="14"/>
  <c r="P49" i="14"/>
  <c r="P34" i="14"/>
  <c r="H56" i="14" l="1"/>
  <c r="M56" i="14"/>
  <c r="S9" i="13"/>
  <c r="I16" i="13"/>
  <c r="S16" i="13"/>
  <c r="I13" i="13"/>
  <c r="S13" i="13"/>
  <c r="X9" i="13"/>
  <c r="X21" i="13"/>
  <c r="X20" i="13"/>
  <c r="S12" i="13"/>
  <c r="N7" i="13"/>
  <c r="X7" i="13"/>
  <c r="S5" i="13"/>
  <c r="X5" i="13"/>
  <c r="I5" i="13"/>
  <c r="N5" i="13"/>
  <c r="S10" i="13"/>
  <c r="X10" i="13"/>
  <c r="X17" i="13"/>
  <c r="S17" i="13"/>
  <c r="X12" i="13"/>
  <c r="I12" i="13"/>
  <c r="H96" i="14"/>
  <c r="H64" i="14"/>
  <c r="N12" i="13"/>
  <c r="X16" i="13"/>
  <c r="I9" i="13"/>
  <c r="S7" i="13"/>
  <c r="I10" i="13"/>
  <c r="I17" i="13"/>
  <c r="O79" i="14" s="1"/>
  <c r="N16" i="13"/>
  <c r="N9" i="13"/>
  <c r="I7" i="13"/>
  <c r="N10" i="13"/>
  <c r="M64" i="14"/>
  <c r="X13" i="13"/>
  <c r="X8" i="13"/>
  <c r="I20" i="13"/>
  <c r="O91" i="14" s="1"/>
  <c r="S18" i="13"/>
  <c r="I18" i="13"/>
  <c r="O83" i="14" s="1"/>
  <c r="N13" i="13"/>
  <c r="N8" i="13"/>
  <c r="N20" i="13"/>
  <c r="O92" i="14" s="1"/>
  <c r="N18" i="13"/>
  <c r="O84" i="14" s="1"/>
  <c r="S8" i="13"/>
  <c r="S20" i="13"/>
  <c r="X18" i="13"/>
  <c r="S14" i="13"/>
  <c r="N19" i="13"/>
  <c r="O88" i="14" s="1"/>
  <c r="S22" i="13"/>
  <c r="O101" i="14" s="1"/>
  <c r="I8" i="13"/>
  <c r="I21" i="13"/>
  <c r="O95" i="14" s="1"/>
  <c r="I14" i="13"/>
  <c r="I22" i="13"/>
  <c r="O99" i="14" s="1"/>
  <c r="N21" i="13"/>
  <c r="O96" i="14" s="1"/>
  <c r="N14" i="13"/>
  <c r="X19" i="13"/>
  <c r="N22" i="13"/>
  <c r="O100" i="14" s="1"/>
  <c r="S21" i="13"/>
  <c r="O97" i="14" s="1"/>
  <c r="X14" i="13"/>
  <c r="I19" i="13"/>
  <c r="O87" i="14" s="1"/>
  <c r="X22" i="13"/>
  <c r="N6" i="13"/>
  <c r="N11" i="13"/>
  <c r="S6" i="13"/>
  <c r="S11" i="13"/>
  <c r="I6" i="13"/>
  <c r="X11" i="13"/>
  <c r="X6" i="13"/>
  <c r="I11" i="13"/>
  <c r="K44" i="14"/>
  <c r="H44" i="14"/>
  <c r="H52" i="14"/>
  <c r="K52" i="14"/>
  <c r="I88" i="14"/>
  <c r="K88" i="14" s="1"/>
  <c r="M96" i="14"/>
  <c r="K32" i="14"/>
  <c r="H32" i="14"/>
  <c r="M32" i="14"/>
  <c r="O80" i="14"/>
  <c r="J80" i="14"/>
  <c r="I80" i="14"/>
  <c r="J68" i="14"/>
  <c r="K4" i="13"/>
  <c r="J28" i="14"/>
  <c r="J32" i="14"/>
  <c r="J64" i="14"/>
  <c r="J36" i="14"/>
  <c r="J84" i="14"/>
  <c r="P26" i="14"/>
  <c r="L26" i="14" s="1"/>
  <c r="M29" i="14"/>
  <c r="H29" i="14"/>
  <c r="K36" i="14"/>
  <c r="H36" i="14"/>
  <c r="K33" i="14"/>
  <c r="H69" i="14"/>
  <c r="M69" i="14"/>
  <c r="M72" i="14"/>
  <c r="O41" i="14"/>
  <c r="L41" i="14"/>
  <c r="J41" i="14"/>
  <c r="I41" i="14"/>
  <c r="O89" i="14"/>
  <c r="L89" i="14"/>
  <c r="J89" i="14"/>
  <c r="I89" i="14"/>
  <c r="M89" i="14" s="1"/>
  <c r="P86" i="14"/>
  <c r="O85" i="14"/>
  <c r="L85" i="14"/>
  <c r="J85" i="14"/>
  <c r="I85" i="14"/>
  <c r="H72" i="14"/>
  <c r="H65" i="14"/>
  <c r="H45" i="14"/>
  <c r="K65" i="14"/>
  <c r="O66" i="14"/>
  <c r="L66" i="14"/>
  <c r="J66" i="14"/>
  <c r="I66" i="14"/>
  <c r="P102" i="14"/>
  <c r="L101" i="14"/>
  <c r="J101" i="14"/>
  <c r="I98" i="14"/>
  <c r="O98" i="14"/>
  <c r="J98" i="14"/>
  <c r="L98" i="14"/>
  <c r="O58" i="14"/>
  <c r="L58" i="14"/>
  <c r="J58" i="14"/>
  <c r="I58" i="14"/>
  <c r="M45" i="14"/>
  <c r="O46" i="14"/>
  <c r="L46" i="14"/>
  <c r="J46" i="14"/>
  <c r="I46" i="14"/>
  <c r="I101" i="14"/>
  <c r="K101" i="14" s="1"/>
  <c r="P54" i="14"/>
  <c r="O53" i="14"/>
  <c r="L53" i="14"/>
  <c r="J53" i="14"/>
  <c r="I53" i="14"/>
  <c r="P38" i="14"/>
  <c r="O37" i="14"/>
  <c r="I37" i="14"/>
  <c r="K37" i="14" s="1"/>
  <c r="L37" i="14"/>
  <c r="J37" i="14"/>
  <c r="P94" i="14"/>
  <c r="J93" i="14"/>
  <c r="I93" i="14"/>
  <c r="L93" i="14"/>
  <c r="O93" i="14"/>
  <c r="I61" i="14"/>
  <c r="J61" i="14"/>
  <c r="O61" i="14"/>
  <c r="L61" i="14"/>
  <c r="P82" i="14"/>
  <c r="O81" i="14"/>
  <c r="L81" i="14"/>
  <c r="J81" i="14"/>
  <c r="I81" i="14"/>
  <c r="K81" i="14" s="1"/>
  <c r="P78" i="14"/>
  <c r="I77" i="14"/>
  <c r="K77" i="14" s="1"/>
  <c r="J77" i="14"/>
  <c r="L77" i="14"/>
  <c r="O77" i="14"/>
  <c r="I25" i="14"/>
  <c r="M25" i="14" s="1"/>
  <c r="J25" i="14"/>
  <c r="O25" i="14"/>
  <c r="L34" i="14"/>
  <c r="J34" i="14"/>
  <c r="O34" i="14"/>
  <c r="I34" i="14"/>
  <c r="P70" i="14"/>
  <c r="L69" i="14"/>
  <c r="J69" i="14"/>
  <c r="H33" i="14"/>
  <c r="O49" i="14"/>
  <c r="L49" i="14"/>
  <c r="J49" i="14"/>
  <c r="I49" i="14"/>
  <c r="O74" i="14"/>
  <c r="L74" i="14"/>
  <c r="J74" i="14"/>
  <c r="I74" i="14"/>
  <c r="O26" i="14"/>
  <c r="J26" i="14"/>
  <c r="I26" i="14"/>
  <c r="H26" i="14" s="1"/>
  <c r="O30" i="14"/>
  <c r="J30" i="14"/>
  <c r="I30" i="14"/>
  <c r="H84" i="14"/>
  <c r="K84" i="14"/>
  <c r="M60" i="14"/>
  <c r="K60" i="14"/>
  <c r="H76" i="14"/>
  <c r="M68" i="14"/>
  <c r="K76" i="14"/>
  <c r="H68" i="14"/>
  <c r="P90" i="14"/>
  <c r="H40" i="14"/>
  <c r="M40" i="14"/>
  <c r="K100" i="14"/>
  <c r="H57" i="14"/>
  <c r="K57" i="14"/>
  <c r="M92" i="14"/>
  <c r="H92" i="14"/>
  <c r="H100" i="14"/>
  <c r="H73" i="14"/>
  <c r="M73" i="14"/>
  <c r="H97" i="14"/>
  <c r="K97" i="14"/>
  <c r="H24" i="14"/>
  <c r="M24" i="14"/>
  <c r="M48" i="14"/>
  <c r="P62" i="14"/>
  <c r="H48" i="14"/>
  <c r="P50" i="14"/>
  <c r="P42" i="14"/>
  <c r="K31" i="14"/>
  <c r="M31" i="14"/>
  <c r="H31" i="14"/>
  <c r="K79" i="14"/>
  <c r="H79" i="14"/>
  <c r="M79" i="14"/>
  <c r="K51" i="14"/>
  <c r="M51" i="14"/>
  <c r="H51" i="14"/>
  <c r="K55" i="14"/>
  <c r="M55" i="14"/>
  <c r="H55" i="14"/>
  <c r="K59" i="14"/>
  <c r="M59" i="14"/>
  <c r="H59" i="14"/>
  <c r="K35" i="14"/>
  <c r="M35" i="14"/>
  <c r="H35" i="14"/>
  <c r="K39" i="14"/>
  <c r="M39" i="14"/>
  <c r="H39" i="14"/>
  <c r="K83" i="14"/>
  <c r="M83" i="14"/>
  <c r="H83" i="14"/>
  <c r="K27" i="14"/>
  <c r="M27" i="14"/>
  <c r="H27" i="14"/>
  <c r="K23" i="14"/>
  <c r="H23" i="14"/>
  <c r="M23" i="14"/>
  <c r="K71" i="14"/>
  <c r="H71" i="14"/>
  <c r="M71" i="14"/>
  <c r="K67" i="14"/>
  <c r="M67" i="14"/>
  <c r="H67" i="14"/>
  <c r="K63" i="14"/>
  <c r="M63" i="14"/>
  <c r="H63" i="14"/>
  <c r="K43" i="14"/>
  <c r="M43" i="14"/>
  <c r="H43" i="14"/>
  <c r="K47" i="14"/>
  <c r="M47" i="14"/>
  <c r="H47" i="14"/>
  <c r="K87" i="14"/>
  <c r="M87" i="14"/>
  <c r="H87" i="14"/>
  <c r="K95" i="14"/>
  <c r="M95" i="14"/>
  <c r="H95" i="14"/>
  <c r="K91" i="14"/>
  <c r="M91" i="14"/>
  <c r="H91" i="14"/>
  <c r="K99" i="14"/>
  <c r="M99" i="14"/>
  <c r="H99" i="14"/>
  <c r="K75" i="14"/>
  <c r="M75" i="14"/>
  <c r="H75" i="14"/>
  <c r="H8" i="5"/>
  <c r="F21" i="7" s="1"/>
  <c r="H9" i="5"/>
  <c r="F24" i="7" s="1"/>
  <c r="H10" i="5"/>
  <c r="F27" i="7" s="1"/>
  <c r="H3" i="5"/>
  <c r="F6" i="7" s="1"/>
  <c r="H4" i="5"/>
  <c r="F9" i="7" s="1"/>
  <c r="H7" i="5"/>
  <c r="F18" i="7" s="1"/>
  <c r="I8" i="12"/>
  <c r="C80" i="2"/>
  <c r="C78" i="2"/>
  <c r="C79" i="2"/>
  <c r="J7" i="5" l="1"/>
  <c r="F20" i="7" s="1"/>
  <c r="B116" i="13"/>
  <c r="B71" i="13"/>
  <c r="B65" i="13"/>
  <c r="B119" i="13"/>
  <c r="B108" i="13"/>
  <c r="B86" i="13"/>
  <c r="B60" i="13"/>
  <c r="B106" i="13"/>
  <c r="B95" i="13"/>
  <c r="B63" i="13"/>
  <c r="B112" i="13"/>
  <c r="H112" i="13" s="1"/>
  <c r="E257" i="7" s="1"/>
  <c r="B103" i="13"/>
  <c r="B92" i="13"/>
  <c r="B58" i="13"/>
  <c r="B88" i="13"/>
  <c r="H88" i="13" s="1"/>
  <c r="E214" i="7" s="1"/>
  <c r="B82" i="13"/>
  <c r="B84" i="13"/>
  <c r="B118" i="13"/>
  <c r="B70" i="13"/>
  <c r="B79" i="13"/>
  <c r="B102" i="13"/>
  <c r="B94" i="13"/>
  <c r="B55" i="13"/>
  <c r="B76" i="13"/>
  <c r="H76" i="13" s="1"/>
  <c r="E190" i="7" s="1"/>
  <c r="B78" i="13"/>
  <c r="B115" i="13"/>
  <c r="B52" i="13"/>
  <c r="H52" i="13" s="1"/>
  <c r="E147" i="7" s="1"/>
  <c r="B90" i="13"/>
  <c r="B56" i="13"/>
  <c r="B107" i="13"/>
  <c r="B109" i="13"/>
  <c r="B110" i="13"/>
  <c r="B69" i="13"/>
  <c r="B113" i="13"/>
  <c r="B101" i="13"/>
  <c r="B117" i="13"/>
  <c r="B54" i="13"/>
  <c r="B105" i="13"/>
  <c r="B91" i="13"/>
  <c r="B93" i="13"/>
  <c r="B59" i="13"/>
  <c r="B111" i="13"/>
  <c r="B89" i="13"/>
  <c r="B83" i="13"/>
  <c r="B85" i="13"/>
  <c r="B104" i="13"/>
  <c r="B87" i="13"/>
  <c r="B81" i="13"/>
  <c r="B77" i="13"/>
  <c r="B62" i="13"/>
  <c r="B61" i="13"/>
  <c r="B64" i="13"/>
  <c r="H64" i="13" s="1"/>
  <c r="E171" i="7" s="1"/>
  <c r="B68" i="13"/>
  <c r="B57" i="13"/>
  <c r="B114" i="13"/>
  <c r="B100" i="13"/>
  <c r="H100" i="13" s="1"/>
  <c r="E233" i="7" s="1"/>
  <c r="B66" i="13"/>
  <c r="B53" i="13"/>
  <c r="B80" i="13"/>
  <c r="B67" i="13"/>
  <c r="I28" i="14"/>
  <c r="K28" i="14" s="1"/>
  <c r="S4" i="13"/>
  <c r="N4" i="13"/>
  <c r="O28" i="14" s="1"/>
  <c r="I4" i="13"/>
  <c r="O27" i="14" s="1"/>
  <c r="X4" i="13"/>
  <c r="B41" i="13"/>
  <c r="B34" i="13"/>
  <c r="B36" i="13"/>
  <c r="B39" i="13"/>
  <c r="B28" i="13"/>
  <c r="H28" i="13" s="1"/>
  <c r="E104" i="7" s="1"/>
  <c r="B44" i="13"/>
  <c r="B29" i="13"/>
  <c r="B45" i="13"/>
  <c r="B47" i="13"/>
  <c r="B35" i="13"/>
  <c r="B37" i="13"/>
  <c r="B46" i="13"/>
  <c r="B43" i="13"/>
  <c r="B38" i="13"/>
  <c r="B33" i="13"/>
  <c r="B30" i="13"/>
  <c r="B40" i="13"/>
  <c r="H40" i="13" s="1"/>
  <c r="E128" i="7" s="1"/>
  <c r="B31" i="13"/>
  <c r="B42" i="13"/>
  <c r="B32" i="13"/>
  <c r="H88" i="14"/>
  <c r="M88" i="14"/>
  <c r="H80" i="14"/>
  <c r="K80" i="14"/>
  <c r="M80" i="14"/>
  <c r="J17" i="5"/>
  <c r="F41" i="7" s="1"/>
  <c r="J8" i="5"/>
  <c r="F23" i="7" s="1"/>
  <c r="J16" i="5"/>
  <c r="F44" i="7" s="1"/>
  <c r="I16" i="5"/>
  <c r="F43" i="7" s="1"/>
  <c r="I17" i="5"/>
  <c r="F40" i="7" s="1"/>
  <c r="I15" i="5"/>
  <c r="F49" i="7" s="1"/>
  <c r="J15" i="5"/>
  <c r="F50" i="7" s="1"/>
  <c r="I14" i="5"/>
  <c r="F46" i="7" s="1"/>
  <c r="J14" i="5"/>
  <c r="F47" i="7" s="1"/>
  <c r="B19" i="19"/>
  <c r="B21" i="19"/>
  <c r="B22" i="19"/>
  <c r="B8" i="19"/>
  <c r="B13" i="19"/>
  <c r="B14" i="19"/>
  <c r="H14" i="19" s="1"/>
  <c r="E417" i="7" s="1"/>
  <c r="B18" i="19"/>
  <c r="B6" i="19"/>
  <c r="B7" i="19"/>
  <c r="B20" i="19"/>
  <c r="B3" i="19"/>
  <c r="H3" i="19" s="1"/>
  <c r="E396" i="7" s="1"/>
  <c r="B15" i="19"/>
  <c r="B5" i="19"/>
  <c r="B4" i="19"/>
  <c r="B11" i="19"/>
  <c r="B16" i="19"/>
  <c r="B9" i="19"/>
  <c r="B12" i="19"/>
  <c r="B17" i="19"/>
  <c r="B10" i="19"/>
  <c r="J11" i="5"/>
  <c r="F32" i="7" s="1"/>
  <c r="J5" i="5"/>
  <c r="F14" i="7" s="1"/>
  <c r="J13" i="5"/>
  <c r="F35" i="7" s="1"/>
  <c r="O21" i="7"/>
  <c r="H77" i="14"/>
  <c r="H25" i="14"/>
  <c r="M101" i="14"/>
  <c r="H101" i="14"/>
  <c r="M77" i="14"/>
  <c r="K25" i="14"/>
  <c r="J90" i="14"/>
  <c r="O90" i="14"/>
  <c r="L90" i="14"/>
  <c r="I90" i="14"/>
  <c r="K90" i="14" s="1"/>
  <c r="H85" i="14"/>
  <c r="M85" i="14"/>
  <c r="K85" i="14"/>
  <c r="L38" i="14"/>
  <c r="J38" i="14"/>
  <c r="I38" i="14"/>
  <c r="O38" i="14"/>
  <c r="O70" i="14"/>
  <c r="L70" i="14"/>
  <c r="J70" i="14"/>
  <c r="I70" i="14"/>
  <c r="I82" i="14"/>
  <c r="H82" i="14" s="1"/>
  <c r="O82" i="14"/>
  <c r="L82" i="14"/>
  <c r="J82" i="14"/>
  <c r="K53" i="14"/>
  <c r="M53" i="14"/>
  <c r="H53" i="14"/>
  <c r="J12" i="5"/>
  <c r="F38" i="7" s="1"/>
  <c r="I12" i="5"/>
  <c r="F37" i="7" s="1"/>
  <c r="I13" i="5"/>
  <c r="F34" i="7" s="1"/>
  <c r="I11" i="5"/>
  <c r="F31" i="7" s="1"/>
  <c r="O86" i="14"/>
  <c r="L86" i="14"/>
  <c r="J86" i="14"/>
  <c r="I86" i="14"/>
  <c r="M37" i="14"/>
  <c r="H81" i="14"/>
  <c r="O54" i="14"/>
  <c r="J54" i="14"/>
  <c r="L54" i="14"/>
  <c r="I54" i="14"/>
  <c r="H37" i="14"/>
  <c r="L102" i="14"/>
  <c r="J102" i="14"/>
  <c r="I102" i="14"/>
  <c r="O50" i="14"/>
  <c r="L50" i="14"/>
  <c r="J50" i="14"/>
  <c r="I50" i="14"/>
  <c r="K66" i="14"/>
  <c r="M66" i="14"/>
  <c r="H66" i="14"/>
  <c r="I42" i="14"/>
  <c r="O42" i="14"/>
  <c r="L42" i="14"/>
  <c r="J42" i="14"/>
  <c r="K93" i="14"/>
  <c r="M93" i="14"/>
  <c r="H93" i="14"/>
  <c r="O94" i="14"/>
  <c r="L94" i="14"/>
  <c r="J94" i="14"/>
  <c r="I94" i="14"/>
  <c r="J62" i="14"/>
  <c r="I62" i="14"/>
  <c r="O62" i="14"/>
  <c r="L62" i="14"/>
  <c r="O102" i="14"/>
  <c r="K30" i="14"/>
  <c r="M30" i="14"/>
  <c r="H30" i="14"/>
  <c r="J78" i="14"/>
  <c r="I78" i="14"/>
  <c r="O78" i="14"/>
  <c r="L78" i="14"/>
  <c r="O9" i="7"/>
  <c r="B3" i="17"/>
  <c r="H3" i="17" s="1"/>
  <c r="E53" i="7" s="1"/>
  <c r="B4" i="17"/>
  <c r="M81" i="14"/>
  <c r="K26" i="14"/>
  <c r="M26" i="14"/>
  <c r="O75" i="14"/>
  <c r="O48" i="14"/>
  <c r="O31" i="14"/>
  <c r="O44" i="14"/>
  <c r="O71" i="14"/>
  <c r="O69" i="14"/>
  <c r="O59" i="14"/>
  <c r="O60" i="14"/>
  <c r="O72" i="14"/>
  <c r="O56" i="14"/>
  <c r="O39" i="14"/>
  <c r="O43" i="14"/>
  <c r="O64" i="14"/>
  <c r="O55" i="14"/>
  <c r="O52" i="14"/>
  <c r="O35" i="14"/>
  <c r="O76" i="14"/>
  <c r="O68" i="14"/>
  <c r="O47" i="14"/>
  <c r="O51" i="14"/>
  <c r="O67" i="14"/>
  <c r="O40" i="14"/>
  <c r="O36" i="14"/>
  <c r="O23" i="14"/>
  <c r="O32" i="14"/>
  <c r="O63" i="14"/>
  <c r="O12" i="7"/>
  <c r="O6" i="7"/>
  <c r="J3" i="5"/>
  <c r="F8" i="7" s="1"/>
  <c r="O15" i="7"/>
  <c r="J6" i="5"/>
  <c r="F17" i="7" s="1"/>
  <c r="K89" i="14"/>
  <c r="H89" i="14"/>
  <c r="M46" i="14"/>
  <c r="K46" i="14"/>
  <c r="H46" i="14"/>
  <c r="M61" i="14"/>
  <c r="H61" i="14"/>
  <c r="K61" i="14"/>
  <c r="K41" i="14"/>
  <c r="M41" i="14"/>
  <c r="H41" i="14"/>
  <c r="H49" i="14"/>
  <c r="K49" i="14"/>
  <c r="M49" i="14"/>
  <c r="K74" i="14"/>
  <c r="M74" i="14"/>
  <c r="H74" i="14"/>
  <c r="H98" i="14"/>
  <c r="M98" i="14"/>
  <c r="K98" i="14"/>
  <c r="H34" i="14"/>
  <c r="M34" i="14"/>
  <c r="K34" i="14"/>
  <c r="K58" i="14"/>
  <c r="M58" i="14"/>
  <c r="H58" i="14"/>
  <c r="B19" i="13"/>
  <c r="B3" i="13"/>
  <c r="H3" i="13" s="1"/>
  <c r="E61" i="7" s="1"/>
  <c r="B4" i="13"/>
  <c r="B20" i="13"/>
  <c r="B21" i="13"/>
  <c r="B6" i="13"/>
  <c r="B22" i="13"/>
  <c r="B7" i="13"/>
  <c r="B5" i="13"/>
  <c r="B18" i="13"/>
  <c r="B9" i="13"/>
  <c r="B15" i="13"/>
  <c r="H15" i="13" s="1"/>
  <c r="E85" i="7" s="1"/>
  <c r="B8" i="13"/>
  <c r="B17" i="13"/>
  <c r="B10" i="13"/>
  <c r="B11" i="13"/>
  <c r="B12" i="13"/>
  <c r="B13" i="13"/>
  <c r="B14" i="13"/>
  <c r="B16" i="13"/>
  <c r="H2" i="5"/>
  <c r="O24" i="7"/>
  <c r="I8" i="5"/>
  <c r="F22" i="7" s="1"/>
  <c r="M8" i="5"/>
  <c r="I11" i="10" s="1"/>
  <c r="L6" i="5"/>
  <c r="G7" i="10" s="1"/>
  <c r="I7" i="5"/>
  <c r="F19" i="7" s="1"/>
  <c r="O18" i="7"/>
  <c r="J4" i="5"/>
  <c r="F11" i="7" s="1"/>
  <c r="J9" i="5"/>
  <c r="F26" i="7" s="1"/>
  <c r="J10" i="5"/>
  <c r="F29" i="7" s="1"/>
  <c r="I6" i="5"/>
  <c r="F16" i="7" s="1"/>
  <c r="I5" i="5"/>
  <c r="F13" i="7" s="1"/>
  <c r="I10" i="5"/>
  <c r="F28" i="7" s="1"/>
  <c r="I4" i="5"/>
  <c r="F10" i="7" s="1"/>
  <c r="I3" i="5"/>
  <c r="F7" i="7" s="1"/>
  <c r="I9" i="5"/>
  <c r="F25" i="7" s="1"/>
  <c r="M81" i="13" l="1"/>
  <c r="E200" i="7" s="1"/>
  <c r="H81" i="13"/>
  <c r="E199" i="7" s="1"/>
  <c r="H110" i="13"/>
  <c r="E252" i="7" s="1"/>
  <c r="M110" i="13"/>
  <c r="E253" i="7" s="1"/>
  <c r="H82" i="13"/>
  <c r="E201" i="7" s="1"/>
  <c r="M82" i="13"/>
  <c r="E202" i="7" s="1"/>
  <c r="M87" i="13"/>
  <c r="E212" i="7" s="1"/>
  <c r="R87" i="13"/>
  <c r="E213" i="7" s="1"/>
  <c r="H87" i="13"/>
  <c r="E211" i="7" s="1"/>
  <c r="H109" i="13"/>
  <c r="E250" i="7" s="1"/>
  <c r="M109" i="13"/>
  <c r="E251" i="7" s="1"/>
  <c r="H104" i="13"/>
  <c r="E240" i="7" s="1"/>
  <c r="M104" i="13"/>
  <c r="E241" i="7" s="1"/>
  <c r="M107" i="13"/>
  <c r="E247" i="7" s="1"/>
  <c r="H107" i="13"/>
  <c r="E246" i="7" s="1"/>
  <c r="H58" i="13"/>
  <c r="E158" i="7" s="1"/>
  <c r="M58" i="13"/>
  <c r="E159" i="7" s="1"/>
  <c r="M67" i="13"/>
  <c r="E177" i="7" s="1"/>
  <c r="H67" i="13"/>
  <c r="E176" i="7" s="1"/>
  <c r="M83" i="13"/>
  <c r="E204" i="7" s="1"/>
  <c r="H83" i="13"/>
  <c r="E203" i="7" s="1"/>
  <c r="H90" i="13"/>
  <c r="E217" i="7" s="1"/>
  <c r="M90" i="13"/>
  <c r="E218" i="7" s="1"/>
  <c r="M103" i="13"/>
  <c r="E239" i="7" s="1"/>
  <c r="H103" i="13"/>
  <c r="E238" i="7" s="1"/>
  <c r="M89" i="13"/>
  <c r="E216" i="7" s="1"/>
  <c r="H89" i="13"/>
  <c r="E215" i="7" s="1"/>
  <c r="H28" i="14"/>
  <c r="M53" i="13"/>
  <c r="E149" i="7" s="1"/>
  <c r="H53" i="13"/>
  <c r="E148" i="7" s="1"/>
  <c r="M111" i="13"/>
  <c r="E255" i="7" s="1"/>
  <c r="R111" i="13"/>
  <c r="E256" i="7" s="1"/>
  <c r="H111" i="13"/>
  <c r="E254" i="7" s="1"/>
  <c r="M115" i="13"/>
  <c r="E263" i="7" s="1"/>
  <c r="H115" i="13"/>
  <c r="E262" i="7" s="1"/>
  <c r="R63" i="13"/>
  <c r="E170" i="7" s="1"/>
  <c r="M63" i="13"/>
  <c r="E169" i="7" s="1"/>
  <c r="H63" i="13"/>
  <c r="E168" i="7" s="1"/>
  <c r="M85" i="13"/>
  <c r="E208" i="7" s="1"/>
  <c r="H85" i="13"/>
  <c r="E207" i="7" s="1"/>
  <c r="H80" i="13"/>
  <c r="E197" i="7" s="1"/>
  <c r="M80" i="13"/>
  <c r="E198" i="7" s="1"/>
  <c r="M28" i="14"/>
  <c r="M66" i="13"/>
  <c r="E175" i="7" s="1"/>
  <c r="H66" i="13"/>
  <c r="E174" i="7" s="1"/>
  <c r="H59" i="13"/>
  <c r="E160" i="7" s="1"/>
  <c r="M59" i="13"/>
  <c r="E161" i="7" s="1"/>
  <c r="H78" i="13"/>
  <c r="E193" i="7" s="1"/>
  <c r="M78" i="13"/>
  <c r="E194" i="7" s="1"/>
  <c r="R95" i="13"/>
  <c r="E230" i="7" s="1"/>
  <c r="H95" i="13"/>
  <c r="E228" i="7" s="1"/>
  <c r="M95" i="13"/>
  <c r="E229" i="7" s="1"/>
  <c r="W95" i="13"/>
  <c r="E231" i="7" s="1"/>
  <c r="M92" i="13"/>
  <c r="E222" i="7" s="1"/>
  <c r="H92" i="13"/>
  <c r="E221" i="7" s="1"/>
  <c r="M93" i="13"/>
  <c r="E224" i="7" s="1"/>
  <c r="H93" i="13"/>
  <c r="E223" i="7" s="1"/>
  <c r="M106" i="13"/>
  <c r="E245" i="7" s="1"/>
  <c r="H106" i="13"/>
  <c r="E244" i="7" s="1"/>
  <c r="H114" i="13"/>
  <c r="E260" i="7" s="1"/>
  <c r="M114" i="13"/>
  <c r="E261" i="7" s="1"/>
  <c r="M91" i="13"/>
  <c r="E220" i="7" s="1"/>
  <c r="H91" i="13"/>
  <c r="E219" i="7" s="1"/>
  <c r="H55" i="13"/>
  <c r="E152" i="7" s="1"/>
  <c r="M55" i="13"/>
  <c r="E153" i="7" s="1"/>
  <c r="M60" i="13"/>
  <c r="E163" i="7" s="1"/>
  <c r="H60" i="13"/>
  <c r="E162" i="7" s="1"/>
  <c r="H57" i="13"/>
  <c r="E156" i="7" s="1"/>
  <c r="M57" i="13"/>
  <c r="E157" i="7" s="1"/>
  <c r="M105" i="13"/>
  <c r="E243" i="7" s="1"/>
  <c r="H105" i="13"/>
  <c r="E242" i="7" s="1"/>
  <c r="M94" i="13"/>
  <c r="E226" i="7" s="1"/>
  <c r="H94" i="13"/>
  <c r="E225" i="7" s="1"/>
  <c r="R94" i="13"/>
  <c r="E227" i="7" s="1"/>
  <c r="M86" i="13"/>
  <c r="E210" i="7" s="1"/>
  <c r="H86" i="13"/>
  <c r="E209" i="7" s="1"/>
  <c r="M68" i="13"/>
  <c r="E179" i="7" s="1"/>
  <c r="H68" i="13"/>
  <c r="E178" i="7" s="1"/>
  <c r="M54" i="13"/>
  <c r="E151" i="7" s="1"/>
  <c r="H54" i="13"/>
  <c r="E150" i="7" s="1"/>
  <c r="H102" i="13"/>
  <c r="E236" i="7" s="1"/>
  <c r="M102" i="13"/>
  <c r="E237" i="7" s="1"/>
  <c r="H108" i="13"/>
  <c r="E248" i="7" s="1"/>
  <c r="M108" i="13"/>
  <c r="E249" i="7" s="1"/>
  <c r="H117" i="13"/>
  <c r="E266" i="7" s="1"/>
  <c r="M117" i="13"/>
  <c r="E267" i="7" s="1"/>
  <c r="H79" i="13"/>
  <c r="E195" i="7" s="1"/>
  <c r="M79" i="13"/>
  <c r="E196" i="7" s="1"/>
  <c r="M119" i="13"/>
  <c r="E272" i="7" s="1"/>
  <c r="W119" i="13"/>
  <c r="E274" i="7" s="1"/>
  <c r="R119" i="13"/>
  <c r="E273" i="7" s="1"/>
  <c r="H119" i="13"/>
  <c r="E271" i="7" s="1"/>
  <c r="H61" i="13"/>
  <c r="E164" i="7" s="1"/>
  <c r="M61" i="13"/>
  <c r="E165" i="7" s="1"/>
  <c r="H101" i="13"/>
  <c r="E234" i="7" s="1"/>
  <c r="M101" i="13"/>
  <c r="E235" i="7" s="1"/>
  <c r="R70" i="13"/>
  <c r="E184" i="7" s="1"/>
  <c r="M70" i="13"/>
  <c r="E183" i="7" s="1"/>
  <c r="H70" i="13"/>
  <c r="E182" i="7" s="1"/>
  <c r="M65" i="13"/>
  <c r="E173" i="7" s="1"/>
  <c r="H65" i="13"/>
  <c r="E172" i="7" s="1"/>
  <c r="H56" i="13"/>
  <c r="E154" i="7" s="1"/>
  <c r="M56" i="13"/>
  <c r="E155" i="7" s="1"/>
  <c r="M62" i="13"/>
  <c r="E167" i="7" s="1"/>
  <c r="H62" i="13"/>
  <c r="E166" i="7" s="1"/>
  <c r="H113" i="13"/>
  <c r="E258" i="7" s="1"/>
  <c r="M113" i="13"/>
  <c r="E259" i="7" s="1"/>
  <c r="H118" i="13"/>
  <c r="E268" i="7" s="1"/>
  <c r="R118" i="13"/>
  <c r="E270" i="7" s="1"/>
  <c r="M118" i="13"/>
  <c r="E269" i="7" s="1"/>
  <c r="W71" i="13"/>
  <c r="E188" i="7" s="1"/>
  <c r="R71" i="13"/>
  <c r="E187" i="7" s="1"/>
  <c r="M71" i="13"/>
  <c r="E186" i="7" s="1"/>
  <c r="H71" i="13"/>
  <c r="E185" i="7" s="1"/>
  <c r="H77" i="13"/>
  <c r="E191" i="7" s="1"/>
  <c r="M77" i="13"/>
  <c r="E192" i="7" s="1"/>
  <c r="H69" i="13"/>
  <c r="E180" i="7" s="1"/>
  <c r="M69" i="13"/>
  <c r="E181" i="7" s="1"/>
  <c r="H84" i="13"/>
  <c r="E205" i="7" s="1"/>
  <c r="M84" i="13"/>
  <c r="E206" i="7" s="1"/>
  <c r="H116" i="13"/>
  <c r="E264" i="7" s="1"/>
  <c r="M116" i="13"/>
  <c r="E265" i="7" s="1"/>
  <c r="H35" i="13"/>
  <c r="E117" i="7" s="1"/>
  <c r="M35" i="13"/>
  <c r="E118" i="7" s="1"/>
  <c r="M14" i="13"/>
  <c r="E83" i="7" s="1"/>
  <c r="R14" i="13"/>
  <c r="E84" i="7" s="1"/>
  <c r="H14" i="13"/>
  <c r="E82" i="7" s="1"/>
  <c r="H4" i="13"/>
  <c r="E62" i="7" s="1"/>
  <c r="M4" i="13"/>
  <c r="E63" i="7" s="1"/>
  <c r="H47" i="13"/>
  <c r="E142" i="7" s="1"/>
  <c r="W47" i="13"/>
  <c r="E145" i="7" s="1"/>
  <c r="M47" i="13"/>
  <c r="E143" i="7" s="1"/>
  <c r="R47" i="13"/>
  <c r="E144" i="7" s="1"/>
  <c r="H45" i="13"/>
  <c r="E137" i="7" s="1"/>
  <c r="M45" i="13"/>
  <c r="E138" i="7" s="1"/>
  <c r="M12" i="13"/>
  <c r="E79" i="7" s="1"/>
  <c r="H12" i="13"/>
  <c r="E78" i="7" s="1"/>
  <c r="M19" i="13"/>
  <c r="E93" i="7" s="1"/>
  <c r="H19" i="13"/>
  <c r="E92" i="7" s="1"/>
  <c r="H29" i="13"/>
  <c r="E105" i="7" s="1"/>
  <c r="M29" i="13"/>
  <c r="E106" i="7" s="1"/>
  <c r="H37" i="13"/>
  <c r="E121" i="7" s="1"/>
  <c r="M37" i="13"/>
  <c r="E122" i="7" s="1"/>
  <c r="M11" i="13"/>
  <c r="E77" i="7" s="1"/>
  <c r="H11" i="13"/>
  <c r="E76" i="7" s="1"/>
  <c r="H44" i="13"/>
  <c r="E135" i="7" s="1"/>
  <c r="M44" i="13"/>
  <c r="E136" i="7" s="1"/>
  <c r="M13" i="13"/>
  <c r="E81" i="7" s="1"/>
  <c r="H13" i="13"/>
  <c r="E80" i="7" s="1"/>
  <c r="H21" i="13"/>
  <c r="E96" i="7" s="1"/>
  <c r="R21" i="13"/>
  <c r="E98" i="7" s="1"/>
  <c r="M21" i="13"/>
  <c r="E97" i="7" s="1"/>
  <c r="M17" i="13"/>
  <c r="E89" i="7" s="1"/>
  <c r="H17" i="13"/>
  <c r="E88" i="7" s="1"/>
  <c r="H32" i="13"/>
  <c r="E111" i="7" s="1"/>
  <c r="M32" i="13"/>
  <c r="E112" i="7" s="1"/>
  <c r="M39" i="13"/>
  <c r="E126" i="7" s="1"/>
  <c r="H39" i="13"/>
  <c r="E125" i="7" s="1"/>
  <c r="R39" i="13"/>
  <c r="E127" i="7" s="1"/>
  <c r="M20" i="13"/>
  <c r="E95" i="7" s="1"/>
  <c r="H20" i="13"/>
  <c r="E94" i="7" s="1"/>
  <c r="D53" i="16"/>
  <c r="J53" i="16" s="1"/>
  <c r="E384" i="7" s="1"/>
  <c r="M8" i="13"/>
  <c r="E71" i="7" s="1"/>
  <c r="H8" i="13"/>
  <c r="E70" i="7" s="1"/>
  <c r="M42" i="13"/>
  <c r="E132" i="7" s="1"/>
  <c r="H42" i="13"/>
  <c r="E131" i="7" s="1"/>
  <c r="H36" i="13"/>
  <c r="E119" i="7" s="1"/>
  <c r="M36" i="13"/>
  <c r="E120" i="7" s="1"/>
  <c r="M31" i="13"/>
  <c r="E110" i="7" s="1"/>
  <c r="H31" i="13"/>
  <c r="E109" i="7" s="1"/>
  <c r="M34" i="13"/>
  <c r="E116" i="7" s="1"/>
  <c r="H34" i="13"/>
  <c r="E115" i="7" s="1"/>
  <c r="M16" i="13"/>
  <c r="E87" i="7" s="1"/>
  <c r="H16" i="13"/>
  <c r="E86" i="7" s="1"/>
  <c r="D55" i="16"/>
  <c r="J55" i="16" s="1"/>
  <c r="E391" i="7" s="1"/>
  <c r="M10" i="13"/>
  <c r="E75" i="7" s="1"/>
  <c r="H10" i="13"/>
  <c r="E74" i="7" s="1"/>
  <c r="H41" i="13"/>
  <c r="E129" i="7" s="1"/>
  <c r="M41" i="13"/>
  <c r="E130" i="7" s="1"/>
  <c r="H30" i="13"/>
  <c r="E107" i="7" s="1"/>
  <c r="M30" i="13"/>
  <c r="E108" i="7" s="1"/>
  <c r="M5" i="13"/>
  <c r="E65" i="7" s="1"/>
  <c r="H5" i="13"/>
  <c r="E64" i="7" s="1"/>
  <c r="H33" i="13"/>
  <c r="E113" i="7" s="1"/>
  <c r="M33" i="13"/>
  <c r="E114" i="7" s="1"/>
  <c r="D52" i="16"/>
  <c r="M7" i="13"/>
  <c r="E69" i="7" s="1"/>
  <c r="H7" i="13"/>
  <c r="E68" i="7" s="1"/>
  <c r="M38" i="13"/>
  <c r="E124" i="7" s="1"/>
  <c r="H38" i="13"/>
  <c r="E123" i="7" s="1"/>
  <c r="R22" i="13"/>
  <c r="E101" i="7" s="1"/>
  <c r="H22" i="13"/>
  <c r="E99" i="7" s="1"/>
  <c r="M22" i="13"/>
  <c r="E100" i="7" s="1"/>
  <c r="W22" i="13"/>
  <c r="E102" i="7" s="1"/>
  <c r="M43" i="13"/>
  <c r="E134" i="7" s="1"/>
  <c r="H43" i="13"/>
  <c r="E133" i="7" s="1"/>
  <c r="D54" i="16"/>
  <c r="T54" i="16" s="1"/>
  <c r="E389" i="7" s="1"/>
  <c r="M9" i="13"/>
  <c r="E73" i="7" s="1"/>
  <c r="H9" i="13"/>
  <c r="E72" i="7" s="1"/>
  <c r="M18" i="13"/>
  <c r="E91" i="7" s="1"/>
  <c r="H18" i="13"/>
  <c r="E90" i="7" s="1"/>
  <c r="M6" i="13"/>
  <c r="E67" i="7" s="1"/>
  <c r="H6" i="13"/>
  <c r="E66" i="7" s="1"/>
  <c r="R46" i="13"/>
  <c r="E141" i="7" s="1"/>
  <c r="H46" i="13"/>
  <c r="E139" i="7" s="1"/>
  <c r="M46" i="13"/>
  <c r="E140" i="7" s="1"/>
  <c r="T55" i="16"/>
  <c r="E393" i="7" s="1"/>
  <c r="O37" i="7"/>
  <c r="O35" i="7"/>
  <c r="O38" i="7"/>
  <c r="O32" i="7"/>
  <c r="O8" i="7"/>
  <c r="O47" i="7"/>
  <c r="O46" i="7"/>
  <c r="O43" i="7"/>
  <c r="O44" i="7"/>
  <c r="O31" i="7"/>
  <c r="H4" i="17"/>
  <c r="E54" i="7" s="1"/>
  <c r="R4" i="17"/>
  <c r="E56" i="7" s="1"/>
  <c r="M4" i="17"/>
  <c r="E55" i="7" s="1"/>
  <c r="O34" i="7"/>
  <c r="O20" i="7"/>
  <c r="O50" i="7"/>
  <c r="O49" i="7"/>
  <c r="O40" i="7"/>
  <c r="O41" i="7"/>
  <c r="D100" i="21"/>
  <c r="D69" i="21"/>
  <c r="D89" i="21"/>
  <c r="D36" i="21"/>
  <c r="D105" i="21"/>
  <c r="D61" i="21"/>
  <c r="D41" i="21"/>
  <c r="D92" i="21"/>
  <c r="D72" i="21"/>
  <c r="D64" i="21"/>
  <c r="D77" i="21"/>
  <c r="D49" i="21"/>
  <c r="D97" i="21"/>
  <c r="D33" i="21"/>
  <c r="D44" i="21"/>
  <c r="D63" i="21"/>
  <c r="D68" i="21"/>
  <c r="D48" i="21"/>
  <c r="D43" i="21"/>
  <c r="D32" i="21"/>
  <c r="D88" i="21"/>
  <c r="D76" i="21"/>
  <c r="D71" i="21"/>
  <c r="D99" i="21"/>
  <c r="D35" i="21"/>
  <c r="D60" i="21"/>
  <c r="D91" i="21"/>
  <c r="D104" i="21"/>
  <c r="D40" i="21"/>
  <c r="D96" i="21"/>
  <c r="D27" i="21"/>
  <c r="D111" i="21"/>
  <c r="D83" i="21"/>
  <c r="D55" i="21"/>
  <c r="D51" i="21"/>
  <c r="D79" i="21"/>
  <c r="D74" i="21"/>
  <c r="D94" i="21"/>
  <c r="D66" i="21"/>
  <c r="D46" i="21"/>
  <c r="D102" i="21"/>
  <c r="D38" i="21"/>
  <c r="D107" i="21"/>
  <c r="D25" i="21"/>
  <c r="D109" i="21"/>
  <c r="D81" i="21"/>
  <c r="D53" i="21"/>
  <c r="D106" i="21"/>
  <c r="D101" i="21"/>
  <c r="D37" i="21"/>
  <c r="D73" i="21"/>
  <c r="D90" i="21"/>
  <c r="D62" i="21"/>
  <c r="D42" i="21"/>
  <c r="D93" i="21"/>
  <c r="D50" i="21"/>
  <c r="D78" i="21"/>
  <c r="D70" i="21"/>
  <c r="D65" i="21"/>
  <c r="D34" i="21"/>
  <c r="D98" i="21"/>
  <c r="D45" i="21"/>
  <c r="D26" i="21"/>
  <c r="D110" i="21"/>
  <c r="D54" i="21"/>
  <c r="D82" i="21"/>
  <c r="D75" i="21"/>
  <c r="D52" i="21"/>
  <c r="D95" i="21"/>
  <c r="D67" i="21"/>
  <c r="D47" i="21"/>
  <c r="D103" i="21"/>
  <c r="D108" i="21"/>
  <c r="D39" i="21"/>
  <c r="D80" i="21"/>
  <c r="D4" i="21"/>
  <c r="D15" i="21"/>
  <c r="D20" i="21"/>
  <c r="D7" i="21"/>
  <c r="D12" i="21"/>
  <c r="D10" i="21"/>
  <c r="D23" i="21"/>
  <c r="D18" i="21"/>
  <c r="D21" i="21"/>
  <c r="D5" i="21"/>
  <c r="D8" i="21"/>
  <c r="D13" i="21"/>
  <c r="D16" i="21"/>
  <c r="D22" i="21"/>
  <c r="D9" i="21"/>
  <c r="D14" i="21"/>
  <c r="D17" i="21"/>
  <c r="D6" i="21"/>
  <c r="D11" i="21"/>
  <c r="D19" i="21"/>
  <c r="D24" i="21"/>
  <c r="M18" i="19"/>
  <c r="E426" i="7" s="1"/>
  <c r="H18" i="19"/>
  <c r="E425" i="7" s="1"/>
  <c r="M13" i="19"/>
  <c r="E416" i="7" s="1"/>
  <c r="H13" i="19"/>
  <c r="E415" i="7" s="1"/>
  <c r="H10" i="19"/>
  <c r="E409" i="7" s="1"/>
  <c r="M10" i="19"/>
  <c r="E410" i="7" s="1"/>
  <c r="M8" i="19"/>
  <c r="E406" i="7" s="1"/>
  <c r="H8" i="19"/>
  <c r="E405" i="7" s="1"/>
  <c r="R17" i="19"/>
  <c r="E424" i="7" s="1"/>
  <c r="H17" i="19"/>
  <c r="E422" i="7" s="1"/>
  <c r="M17" i="19"/>
  <c r="E423" i="7" s="1"/>
  <c r="R22" i="19"/>
  <c r="E437" i="7" s="1"/>
  <c r="H22" i="19"/>
  <c r="E435" i="7" s="1"/>
  <c r="M22" i="19"/>
  <c r="E436" i="7" s="1"/>
  <c r="H12" i="19"/>
  <c r="E413" i="7" s="1"/>
  <c r="M12" i="19"/>
  <c r="E414" i="7" s="1"/>
  <c r="M21" i="19"/>
  <c r="E433" i="7" s="1"/>
  <c r="R21" i="19"/>
  <c r="E434" i="7" s="1"/>
  <c r="H21" i="19"/>
  <c r="E432" i="7" s="1"/>
  <c r="H9" i="19"/>
  <c r="E407" i="7" s="1"/>
  <c r="M9" i="19"/>
  <c r="E408" i="7" s="1"/>
  <c r="M19" i="19"/>
  <c r="E428" i="7" s="1"/>
  <c r="H19" i="19"/>
  <c r="E427" i="7" s="1"/>
  <c r="M16" i="19"/>
  <c r="E421" i="7" s="1"/>
  <c r="H16" i="19"/>
  <c r="E420" i="7" s="1"/>
  <c r="M11" i="19"/>
  <c r="E412" i="7" s="1"/>
  <c r="H11" i="19"/>
  <c r="E411" i="7" s="1"/>
  <c r="M4" i="19"/>
  <c r="E398" i="7" s="1"/>
  <c r="H4" i="19"/>
  <c r="E397" i="7" s="1"/>
  <c r="M5" i="19"/>
  <c r="E400" i="7" s="1"/>
  <c r="H5" i="19"/>
  <c r="E399" i="7" s="1"/>
  <c r="M15" i="19"/>
  <c r="E419" i="7" s="1"/>
  <c r="H15" i="19"/>
  <c r="E418" i="7" s="1"/>
  <c r="R20" i="19"/>
  <c r="E431" i="7" s="1"/>
  <c r="M20" i="19"/>
  <c r="E430" i="7" s="1"/>
  <c r="H20" i="19"/>
  <c r="E429" i="7" s="1"/>
  <c r="H7" i="19"/>
  <c r="E403" i="7" s="1"/>
  <c r="M7" i="19"/>
  <c r="E404" i="7" s="1"/>
  <c r="H6" i="19"/>
  <c r="E401" i="7" s="1"/>
  <c r="M6" i="19"/>
  <c r="E402" i="7" s="1"/>
  <c r="H90" i="14"/>
  <c r="M90" i="14"/>
  <c r="K70" i="14"/>
  <c r="M70" i="14"/>
  <c r="H70" i="14"/>
  <c r="K94" i="14"/>
  <c r="H94" i="14"/>
  <c r="M94" i="14"/>
  <c r="K102" i="14"/>
  <c r="M102" i="14"/>
  <c r="H102" i="14"/>
  <c r="M38" i="14"/>
  <c r="H38" i="14"/>
  <c r="K38" i="14"/>
  <c r="K78" i="14"/>
  <c r="M78" i="14"/>
  <c r="H78" i="14"/>
  <c r="K54" i="14"/>
  <c r="M54" i="14"/>
  <c r="H54" i="14"/>
  <c r="H86" i="14"/>
  <c r="K86" i="14"/>
  <c r="M86" i="14"/>
  <c r="M82" i="14"/>
  <c r="K82" i="14"/>
  <c r="O23" i="7"/>
  <c r="O13" i="7"/>
  <c r="O16" i="7"/>
  <c r="O10" i="7"/>
  <c r="O22" i="7"/>
  <c r="O7" i="7"/>
  <c r="O26" i="7"/>
  <c r="O5" i="5"/>
  <c r="F13" i="10" s="1"/>
  <c r="O14" i="7"/>
  <c r="O25" i="7"/>
  <c r="O17" i="7"/>
  <c r="O11" i="7"/>
  <c r="O19" i="7"/>
  <c r="I2" i="5"/>
  <c r="J2" i="5"/>
  <c r="D41" i="16"/>
  <c r="D46" i="16"/>
  <c r="Y46" i="16" s="1"/>
  <c r="D31" i="16"/>
  <c r="Y31" i="16" s="1"/>
  <c r="D36" i="16"/>
  <c r="D51" i="16"/>
  <c r="D37" i="16"/>
  <c r="D42" i="16"/>
  <c r="D47" i="16"/>
  <c r="Y47" i="16" s="1"/>
  <c r="E370" i="7" s="1"/>
  <c r="D32" i="16"/>
  <c r="Y32" i="16" s="1"/>
  <c r="E329" i="7" s="1"/>
  <c r="D39" i="16"/>
  <c r="D44" i="16"/>
  <c r="Y44" i="16" s="1"/>
  <c r="D29" i="16"/>
  <c r="T29" i="16" s="1"/>
  <c r="E318" i="7" s="1"/>
  <c r="D49" i="16"/>
  <c r="D34" i="16"/>
  <c r="D38" i="16"/>
  <c r="T38" i="16" s="1"/>
  <c r="D43" i="16"/>
  <c r="T43" i="16" s="1"/>
  <c r="D28" i="16"/>
  <c r="T28" i="16" s="1"/>
  <c r="D48" i="16"/>
  <c r="D33" i="16"/>
  <c r="T33" i="16" s="1"/>
  <c r="D35" i="16"/>
  <c r="Y35" i="16" s="1"/>
  <c r="D40" i="16"/>
  <c r="D45" i="16"/>
  <c r="D30" i="16"/>
  <c r="Y30" i="16" s="1"/>
  <c r="E322" i="7" s="1"/>
  <c r="D50" i="16"/>
  <c r="K62" i="14"/>
  <c r="M62" i="14"/>
  <c r="H62" i="14"/>
  <c r="D19" i="16"/>
  <c r="T19" i="16" s="1"/>
  <c r="E296" i="7" s="1"/>
  <c r="D4" i="16"/>
  <c r="T4" i="16" s="1"/>
  <c r="E279" i="7" s="1"/>
  <c r="D24" i="16"/>
  <c r="T24" i="16" s="1"/>
  <c r="D9" i="16"/>
  <c r="D14" i="16"/>
  <c r="D23" i="16"/>
  <c r="D8" i="16"/>
  <c r="D3" i="16"/>
  <c r="D13" i="16"/>
  <c r="D18" i="16"/>
  <c r="D20" i="16"/>
  <c r="D5" i="16"/>
  <c r="T5" i="16" s="1"/>
  <c r="D25" i="16"/>
  <c r="D10" i="16"/>
  <c r="T10" i="16" s="1"/>
  <c r="E285" i="7" s="1"/>
  <c r="D15" i="16"/>
  <c r="T15" i="16" s="1"/>
  <c r="E291" i="7" s="1"/>
  <c r="D22" i="16"/>
  <c r="D7" i="16"/>
  <c r="D27" i="16"/>
  <c r="D12" i="16"/>
  <c r="D17" i="16"/>
  <c r="D21" i="16"/>
  <c r="D6" i="16"/>
  <c r="T6" i="16" s="1"/>
  <c r="D26" i="16"/>
  <c r="T26" i="16" s="1"/>
  <c r="E309" i="7" s="1"/>
  <c r="D11" i="16"/>
  <c r="D16" i="16"/>
  <c r="K42" i="14"/>
  <c r="M42" i="14"/>
  <c r="H42" i="14"/>
  <c r="K50" i="14"/>
  <c r="M50" i="14"/>
  <c r="H50" i="14"/>
  <c r="F26" i="10"/>
  <c r="F25" i="10"/>
  <c r="F31" i="10"/>
  <c r="F24" i="10"/>
  <c r="F30" i="10"/>
  <c r="F29" i="10"/>
  <c r="F27" i="10"/>
  <c r="F28" i="10"/>
  <c r="M6" i="5"/>
  <c r="G8" i="10" s="1"/>
  <c r="N8" i="5"/>
  <c r="I12" i="10" s="1"/>
  <c r="O55" i="16" l="1"/>
  <c r="E392" i="7" s="1"/>
  <c r="T53" i="16"/>
  <c r="E386" i="7" s="1"/>
  <c r="O53" i="16"/>
  <c r="E385" i="7" s="1"/>
  <c r="Y55" i="16"/>
  <c r="E394" i="7" s="1"/>
  <c r="Y54" i="16"/>
  <c r="E390" i="7" s="1"/>
  <c r="O54" i="16"/>
  <c r="E388" i="7" s="1"/>
  <c r="J54" i="16"/>
  <c r="E387" i="7" s="1"/>
  <c r="T20" i="16"/>
  <c r="E299" i="7" s="1"/>
  <c r="Y20" i="16"/>
  <c r="E300" i="7" s="1"/>
  <c r="J24" i="21"/>
  <c r="E496" i="7" s="1"/>
  <c r="Y24" i="21"/>
  <c r="E499" i="7" s="1"/>
  <c r="O24" i="21"/>
  <c r="E497" i="7" s="1"/>
  <c r="T24" i="21"/>
  <c r="E498" i="7" s="1"/>
  <c r="J12" i="21"/>
  <c r="E462" i="7" s="1"/>
  <c r="O12" i="21"/>
  <c r="E463" i="7" s="1"/>
  <c r="Y110" i="21"/>
  <c r="E729" i="7" s="1"/>
  <c r="O110" i="21"/>
  <c r="E727" i="7" s="1"/>
  <c r="T110" i="21"/>
  <c r="E728" i="7" s="1"/>
  <c r="J110" i="21"/>
  <c r="E726" i="7" s="1"/>
  <c r="Y106" i="21"/>
  <c r="E714" i="7" s="1"/>
  <c r="T106" i="21"/>
  <c r="E713" i="7" s="1"/>
  <c r="O106" i="21"/>
  <c r="E712" i="7" s="1"/>
  <c r="J106" i="21"/>
  <c r="E711" i="7" s="1"/>
  <c r="Y111" i="21"/>
  <c r="E733" i="7" s="1"/>
  <c r="O111" i="21"/>
  <c r="E731" i="7" s="1"/>
  <c r="T111" i="21"/>
  <c r="E732" i="7" s="1"/>
  <c r="J111" i="21"/>
  <c r="E730" i="7" s="1"/>
  <c r="O63" i="21"/>
  <c r="E595" i="7" s="1"/>
  <c r="J63" i="21"/>
  <c r="O19" i="21"/>
  <c r="E482" i="7" s="1"/>
  <c r="T19" i="21"/>
  <c r="E483" i="7" s="1"/>
  <c r="J19" i="21"/>
  <c r="E481" i="7" s="1"/>
  <c r="J7" i="21"/>
  <c r="E446" i="7" s="1"/>
  <c r="O7" i="21"/>
  <c r="E447" i="7" s="1"/>
  <c r="T26" i="21"/>
  <c r="E506" i="7" s="1"/>
  <c r="J26" i="21"/>
  <c r="E504" i="7" s="1"/>
  <c r="Y26" i="21"/>
  <c r="E507" i="7" s="1"/>
  <c r="O26" i="21"/>
  <c r="E505" i="7" s="1"/>
  <c r="O53" i="21"/>
  <c r="E575" i="7" s="1"/>
  <c r="Y53" i="21"/>
  <c r="E577" i="7" s="1"/>
  <c r="J53" i="21"/>
  <c r="E574" i="7" s="1"/>
  <c r="T53" i="21"/>
  <c r="E576" i="7" s="1"/>
  <c r="T27" i="21"/>
  <c r="E510" i="7" s="1"/>
  <c r="J27" i="21"/>
  <c r="E508" i="7" s="1"/>
  <c r="Y27" i="21"/>
  <c r="E511" i="7" s="1"/>
  <c r="O27" i="21"/>
  <c r="E509" i="7" s="1"/>
  <c r="T44" i="21"/>
  <c r="E548" i="7" s="1"/>
  <c r="O44" i="21"/>
  <c r="E547" i="7" s="1"/>
  <c r="J44" i="21"/>
  <c r="E546" i="7" s="1"/>
  <c r="T11" i="21"/>
  <c r="E460" i="7" s="1"/>
  <c r="J11" i="21"/>
  <c r="E458" i="7" s="1"/>
  <c r="O11" i="21"/>
  <c r="E459" i="7" s="1"/>
  <c r="Y11" i="21"/>
  <c r="E461" i="7" s="1"/>
  <c r="J20" i="21"/>
  <c r="E484" i="7" s="1"/>
  <c r="O20" i="21"/>
  <c r="E485" i="7" s="1"/>
  <c r="J45" i="21"/>
  <c r="E549" i="7" s="1"/>
  <c r="O45" i="21"/>
  <c r="E550" i="7" s="1"/>
  <c r="T45" i="21"/>
  <c r="E551" i="7" s="1"/>
  <c r="J81" i="21"/>
  <c r="Y81" i="21"/>
  <c r="E651" i="7" s="1"/>
  <c r="O81" i="21"/>
  <c r="E649" i="7" s="1"/>
  <c r="T81" i="21"/>
  <c r="E650" i="7" s="1"/>
  <c r="J96" i="21"/>
  <c r="E684" i="7" s="1"/>
  <c r="O96" i="21"/>
  <c r="E685" i="7" s="1"/>
  <c r="J33" i="21"/>
  <c r="E515" i="7" s="1"/>
  <c r="O33" i="21"/>
  <c r="E516" i="7" s="1"/>
  <c r="J6" i="21"/>
  <c r="E443" i="7" s="1"/>
  <c r="T6" i="21"/>
  <c r="E445" i="7" s="1"/>
  <c r="O6" i="21"/>
  <c r="E444" i="7" s="1"/>
  <c r="O15" i="21"/>
  <c r="E471" i="7" s="1"/>
  <c r="J15" i="21"/>
  <c r="E470" i="7" s="1"/>
  <c r="T98" i="21"/>
  <c r="E691" i="7" s="1"/>
  <c r="J98" i="21"/>
  <c r="E689" i="7" s="1"/>
  <c r="O98" i="21"/>
  <c r="E690" i="7" s="1"/>
  <c r="J109" i="21"/>
  <c r="E722" i="7" s="1"/>
  <c r="T109" i="21"/>
  <c r="E724" i="7" s="1"/>
  <c r="Y109" i="21"/>
  <c r="E725" i="7" s="1"/>
  <c r="O109" i="21"/>
  <c r="E723" i="7" s="1"/>
  <c r="O40" i="21"/>
  <c r="E537" i="7" s="1"/>
  <c r="J40" i="21"/>
  <c r="E536" i="7" s="1"/>
  <c r="T97" i="21"/>
  <c r="E688" i="7" s="1"/>
  <c r="O97" i="21"/>
  <c r="E687" i="7" s="1"/>
  <c r="J97" i="21"/>
  <c r="E686" i="7" s="1"/>
  <c r="O17" i="21"/>
  <c r="E476" i="7" s="1"/>
  <c r="T17" i="21"/>
  <c r="E477" i="7" s="1"/>
  <c r="J17" i="21"/>
  <c r="E475" i="7" s="1"/>
  <c r="J4" i="21"/>
  <c r="E439" i="7" s="1"/>
  <c r="O4" i="21"/>
  <c r="E440" i="7" s="1"/>
  <c r="T34" i="21"/>
  <c r="E519" i="7" s="1"/>
  <c r="J34" i="21"/>
  <c r="E517" i="7" s="1"/>
  <c r="O34" i="21"/>
  <c r="E518" i="7" s="1"/>
  <c r="T25" i="21"/>
  <c r="E502" i="7" s="1"/>
  <c r="Y25" i="21"/>
  <c r="E503" i="7" s="1"/>
  <c r="J25" i="21"/>
  <c r="E500" i="7" s="1"/>
  <c r="O25" i="21"/>
  <c r="E501" i="7" s="1"/>
  <c r="J104" i="21"/>
  <c r="E706" i="7" s="1"/>
  <c r="O104" i="21"/>
  <c r="E707" i="7" s="1"/>
  <c r="O49" i="21"/>
  <c r="E561" i="7" s="1"/>
  <c r="T49" i="21"/>
  <c r="E562" i="7" s="1"/>
  <c r="J49" i="21"/>
  <c r="E560" i="7" s="1"/>
  <c r="O14" i="21"/>
  <c r="E468" i="7" s="1"/>
  <c r="J14" i="21"/>
  <c r="E467" i="7" s="1"/>
  <c r="T14" i="21"/>
  <c r="E469" i="7" s="1"/>
  <c r="Y80" i="21"/>
  <c r="E647" i="7" s="1"/>
  <c r="T80" i="21"/>
  <c r="E646" i="7" s="1"/>
  <c r="J80" i="21"/>
  <c r="O80" i="21"/>
  <c r="E645" i="7" s="1"/>
  <c r="J65" i="21"/>
  <c r="O65" i="21"/>
  <c r="E600" i="7" s="1"/>
  <c r="T65" i="21"/>
  <c r="E601" i="7" s="1"/>
  <c r="T107" i="21"/>
  <c r="E717" i="7" s="1"/>
  <c r="J107" i="21"/>
  <c r="E715" i="7" s="1"/>
  <c r="O107" i="21"/>
  <c r="E716" i="7" s="1"/>
  <c r="O91" i="21"/>
  <c r="E669" i="7" s="1"/>
  <c r="J91" i="21"/>
  <c r="E668" i="7" s="1"/>
  <c r="T77" i="21"/>
  <c r="E636" i="7" s="1"/>
  <c r="J77" i="21"/>
  <c r="O77" i="21"/>
  <c r="E635" i="7" s="1"/>
  <c r="T9" i="21"/>
  <c r="E453" i="7" s="1"/>
  <c r="O9" i="21"/>
  <c r="E452" i="7" s="1"/>
  <c r="J9" i="21"/>
  <c r="E451" i="7" s="1"/>
  <c r="Y39" i="21"/>
  <c r="E535" i="7" s="1"/>
  <c r="O39" i="21"/>
  <c r="E533" i="7" s="1"/>
  <c r="J39" i="21"/>
  <c r="E532" i="7" s="1"/>
  <c r="T39" i="21"/>
  <c r="E534" i="7" s="1"/>
  <c r="J70" i="21"/>
  <c r="T70" i="21"/>
  <c r="E617" i="7" s="1"/>
  <c r="O70" i="21"/>
  <c r="E616" i="7" s="1"/>
  <c r="J38" i="21"/>
  <c r="E528" i="7" s="1"/>
  <c r="T38" i="21"/>
  <c r="E530" i="7" s="1"/>
  <c r="O38" i="21"/>
  <c r="E529" i="7" s="1"/>
  <c r="Y38" i="21"/>
  <c r="E531" i="7" s="1"/>
  <c r="J64" i="21"/>
  <c r="O64" i="21"/>
  <c r="E597" i="7" s="1"/>
  <c r="T64" i="21"/>
  <c r="E598" i="7" s="1"/>
  <c r="J22" i="21"/>
  <c r="E489" i="7" s="1"/>
  <c r="T22" i="21"/>
  <c r="E491" i="7" s="1"/>
  <c r="O22" i="21"/>
  <c r="E490" i="7" s="1"/>
  <c r="Y22" i="21"/>
  <c r="E492" i="7" s="1"/>
  <c r="J108" i="21"/>
  <c r="E718" i="7" s="1"/>
  <c r="Y108" i="21"/>
  <c r="E721" i="7" s="1"/>
  <c r="T108" i="21"/>
  <c r="E720" i="7" s="1"/>
  <c r="O108" i="21"/>
  <c r="E719" i="7" s="1"/>
  <c r="O78" i="21"/>
  <c r="E638" i="7" s="1"/>
  <c r="T78" i="21"/>
  <c r="E639" i="7" s="1"/>
  <c r="Y78" i="21"/>
  <c r="E640" i="7" s="1"/>
  <c r="J78" i="21"/>
  <c r="T102" i="21"/>
  <c r="E702" i="7" s="1"/>
  <c r="O102" i="21"/>
  <c r="E701" i="7" s="1"/>
  <c r="J102" i="21"/>
  <c r="E700" i="7" s="1"/>
  <c r="O35" i="21"/>
  <c r="E521" i="7" s="1"/>
  <c r="J35" i="21"/>
  <c r="E520" i="7" s="1"/>
  <c r="T72" i="21"/>
  <c r="E622" i="7" s="1"/>
  <c r="O72" i="21"/>
  <c r="E621" i="7" s="1"/>
  <c r="J72" i="21"/>
  <c r="O16" i="21"/>
  <c r="E473" i="7" s="1"/>
  <c r="J16" i="21"/>
  <c r="E472" i="7" s="1"/>
  <c r="T16" i="21"/>
  <c r="E474" i="7" s="1"/>
  <c r="J103" i="21"/>
  <c r="E703" i="7" s="1"/>
  <c r="O103" i="21"/>
  <c r="E704" i="7" s="1"/>
  <c r="T103" i="21"/>
  <c r="E705" i="7" s="1"/>
  <c r="J50" i="21"/>
  <c r="E563" i="7" s="1"/>
  <c r="Y50" i="21"/>
  <c r="E566" i="7" s="1"/>
  <c r="T50" i="21"/>
  <c r="E565" i="7" s="1"/>
  <c r="O50" i="21"/>
  <c r="E564" i="7" s="1"/>
  <c r="T46" i="21"/>
  <c r="E554" i="7" s="1"/>
  <c r="O46" i="21"/>
  <c r="E553" i="7" s="1"/>
  <c r="J46" i="21"/>
  <c r="E552" i="7" s="1"/>
  <c r="O99" i="21"/>
  <c r="E693" i="7" s="1"/>
  <c r="J99" i="21"/>
  <c r="E692" i="7" s="1"/>
  <c r="J92" i="21"/>
  <c r="E670" i="7" s="1"/>
  <c r="O92" i="21"/>
  <c r="E671" i="7" s="1"/>
  <c r="T92" i="21"/>
  <c r="E672" i="7" s="1"/>
  <c r="O13" i="21"/>
  <c r="E465" i="7" s="1"/>
  <c r="J13" i="21"/>
  <c r="E464" i="7" s="1"/>
  <c r="T13" i="21"/>
  <c r="E466" i="7" s="1"/>
  <c r="J47" i="21"/>
  <c r="E555" i="7" s="1"/>
  <c r="T47" i="21"/>
  <c r="E557" i="7" s="1"/>
  <c r="O47" i="21"/>
  <c r="E556" i="7" s="1"/>
  <c r="T93" i="21"/>
  <c r="E675" i="7" s="1"/>
  <c r="J93" i="21"/>
  <c r="E673" i="7" s="1"/>
  <c r="O93" i="21"/>
  <c r="E674" i="7" s="1"/>
  <c r="T66" i="21"/>
  <c r="E604" i="7" s="1"/>
  <c r="Y66" i="21"/>
  <c r="E605" i="7" s="1"/>
  <c r="J66" i="21"/>
  <c r="O66" i="21"/>
  <c r="E603" i="7" s="1"/>
  <c r="O71" i="21"/>
  <c r="E619" i="7" s="1"/>
  <c r="J71" i="21"/>
  <c r="O41" i="21"/>
  <c r="E539" i="7" s="1"/>
  <c r="T41" i="21"/>
  <c r="E540" i="7" s="1"/>
  <c r="J41" i="21"/>
  <c r="E538" i="7" s="1"/>
  <c r="J8" i="21"/>
  <c r="E448" i="7" s="1"/>
  <c r="T8" i="21"/>
  <c r="E450" i="7" s="1"/>
  <c r="O8" i="21"/>
  <c r="E449" i="7" s="1"/>
  <c r="Y67" i="21"/>
  <c r="E609" i="7" s="1"/>
  <c r="O67" i="21"/>
  <c r="E607" i="7" s="1"/>
  <c r="J67" i="21"/>
  <c r="T67" i="21"/>
  <c r="E608" i="7" s="1"/>
  <c r="O42" i="21"/>
  <c r="E542" i="7" s="1"/>
  <c r="T42" i="21"/>
  <c r="E543" i="7" s="1"/>
  <c r="J42" i="21"/>
  <c r="E541" i="7" s="1"/>
  <c r="T94" i="21"/>
  <c r="E678" i="7" s="1"/>
  <c r="J94" i="21"/>
  <c r="E676" i="7" s="1"/>
  <c r="O94" i="21"/>
  <c r="E677" i="7" s="1"/>
  <c r="Y94" i="21"/>
  <c r="E679" i="7" s="1"/>
  <c r="O76" i="21"/>
  <c r="E633" i="7" s="1"/>
  <c r="J76" i="21"/>
  <c r="O61" i="21"/>
  <c r="E590" i="7" s="1"/>
  <c r="J61" i="21"/>
  <c r="J5" i="21"/>
  <c r="E441" i="7" s="1"/>
  <c r="O5" i="21"/>
  <c r="E442" i="7" s="1"/>
  <c r="T95" i="21"/>
  <c r="E682" i="7" s="1"/>
  <c r="O95" i="21"/>
  <c r="E681" i="7" s="1"/>
  <c r="Y95" i="21"/>
  <c r="E683" i="7" s="1"/>
  <c r="J95" i="21"/>
  <c r="E680" i="7" s="1"/>
  <c r="O62" i="21"/>
  <c r="E592" i="7" s="1"/>
  <c r="J62" i="21"/>
  <c r="T62" i="21"/>
  <c r="E593" i="7" s="1"/>
  <c r="T74" i="21"/>
  <c r="E628" i="7" s="1"/>
  <c r="O74" i="21"/>
  <c r="E627" i="7" s="1"/>
  <c r="J74" i="21"/>
  <c r="J88" i="21"/>
  <c r="E661" i="7" s="1"/>
  <c r="O88" i="21"/>
  <c r="E662" i="7" s="1"/>
  <c r="O105" i="21"/>
  <c r="E709" i="7" s="1"/>
  <c r="J105" i="21"/>
  <c r="E708" i="7" s="1"/>
  <c r="T105" i="21"/>
  <c r="E710" i="7" s="1"/>
  <c r="T21" i="21"/>
  <c r="E488" i="7" s="1"/>
  <c r="J21" i="21"/>
  <c r="E486" i="7" s="1"/>
  <c r="O21" i="21"/>
  <c r="E487" i="7" s="1"/>
  <c r="J52" i="21"/>
  <c r="E570" i="7" s="1"/>
  <c r="O52" i="21"/>
  <c r="E571" i="7" s="1"/>
  <c r="T52" i="21"/>
  <c r="E572" i="7" s="1"/>
  <c r="Y52" i="21"/>
  <c r="E573" i="7" s="1"/>
  <c r="O90" i="21"/>
  <c r="E666" i="7" s="1"/>
  <c r="T90" i="21"/>
  <c r="E667" i="7" s="1"/>
  <c r="J90" i="21"/>
  <c r="E665" i="7" s="1"/>
  <c r="J79" i="21"/>
  <c r="O79" i="21"/>
  <c r="E642" i="7" s="1"/>
  <c r="T79" i="21"/>
  <c r="E643" i="7" s="1"/>
  <c r="O32" i="21"/>
  <c r="E514" i="7" s="1"/>
  <c r="J32" i="21"/>
  <c r="E513" i="7" s="1"/>
  <c r="J36" i="21"/>
  <c r="E522" i="7" s="1"/>
  <c r="T36" i="21"/>
  <c r="E524" i="7" s="1"/>
  <c r="O36" i="21"/>
  <c r="E523" i="7" s="1"/>
  <c r="O18" i="21"/>
  <c r="E479" i="7" s="1"/>
  <c r="T18" i="21"/>
  <c r="E480" i="7" s="1"/>
  <c r="J18" i="21"/>
  <c r="E478" i="7" s="1"/>
  <c r="O75" i="21"/>
  <c r="E630" i="7" s="1"/>
  <c r="J75" i="21"/>
  <c r="T75" i="21"/>
  <c r="E631" i="7" s="1"/>
  <c r="T73" i="21"/>
  <c r="E625" i="7" s="1"/>
  <c r="O73" i="21"/>
  <c r="E624" i="7" s="1"/>
  <c r="J73" i="21"/>
  <c r="T51" i="21"/>
  <c r="E569" i="7" s="1"/>
  <c r="O51" i="21"/>
  <c r="E568" i="7" s="1"/>
  <c r="J51" i="21"/>
  <c r="E567" i="7" s="1"/>
  <c r="O43" i="21"/>
  <c r="E545" i="7" s="1"/>
  <c r="J43" i="21"/>
  <c r="E544" i="7" s="1"/>
  <c r="O89" i="21"/>
  <c r="E664" i="7" s="1"/>
  <c r="J89" i="21"/>
  <c r="E663" i="7" s="1"/>
  <c r="J23" i="21"/>
  <c r="E493" i="7" s="1"/>
  <c r="T23" i="21"/>
  <c r="E495" i="7" s="1"/>
  <c r="O23" i="21"/>
  <c r="E494" i="7" s="1"/>
  <c r="O82" i="21"/>
  <c r="E653" i="7" s="1"/>
  <c r="Y82" i="21"/>
  <c r="E655" i="7" s="1"/>
  <c r="J82" i="21"/>
  <c r="T82" i="21"/>
  <c r="E654" i="7" s="1"/>
  <c r="O37" i="21"/>
  <c r="E526" i="7" s="1"/>
  <c r="T37" i="21"/>
  <c r="E527" i="7" s="1"/>
  <c r="J37" i="21"/>
  <c r="E525" i="7" s="1"/>
  <c r="J55" i="21"/>
  <c r="E582" i="7" s="1"/>
  <c r="Y55" i="21"/>
  <c r="E585" i="7" s="1"/>
  <c r="T55" i="21"/>
  <c r="E584" i="7" s="1"/>
  <c r="O55" i="21"/>
  <c r="E583" i="7" s="1"/>
  <c r="J48" i="21"/>
  <c r="E558" i="7" s="1"/>
  <c r="O48" i="21"/>
  <c r="E559" i="7" s="1"/>
  <c r="O69" i="21"/>
  <c r="E613" i="7" s="1"/>
  <c r="J69" i="21"/>
  <c r="T69" i="21"/>
  <c r="E614" i="7" s="1"/>
  <c r="Y10" i="21"/>
  <c r="E457" i="7" s="1"/>
  <c r="T10" i="21"/>
  <c r="E456" i="7" s="1"/>
  <c r="J10" i="21"/>
  <c r="E454" i="7" s="1"/>
  <c r="O10" i="21"/>
  <c r="E455" i="7" s="1"/>
  <c r="O54" i="21"/>
  <c r="E579" i="7" s="1"/>
  <c r="J54" i="21"/>
  <c r="E578" i="7" s="1"/>
  <c r="Y54" i="21"/>
  <c r="E581" i="7" s="1"/>
  <c r="T54" i="21"/>
  <c r="E580" i="7" s="1"/>
  <c r="J101" i="21"/>
  <c r="E697" i="7" s="1"/>
  <c r="O101" i="21"/>
  <c r="E698" i="7" s="1"/>
  <c r="T101" i="21"/>
  <c r="E699" i="7" s="1"/>
  <c r="T83" i="21"/>
  <c r="E658" i="7" s="1"/>
  <c r="Y83" i="21"/>
  <c r="E659" i="7" s="1"/>
  <c r="O83" i="21"/>
  <c r="E657" i="7" s="1"/>
  <c r="J83" i="21"/>
  <c r="J68" i="21"/>
  <c r="O68" i="21"/>
  <c r="E611" i="7" s="1"/>
  <c r="T100" i="21"/>
  <c r="E696" i="7" s="1"/>
  <c r="J100" i="21"/>
  <c r="E694" i="7" s="1"/>
  <c r="O100" i="21"/>
  <c r="E695" i="7" s="1"/>
  <c r="J18" i="16"/>
  <c r="E292" i="7" s="1"/>
  <c r="O18" i="16"/>
  <c r="E293" i="7" s="1"/>
  <c r="J13" i="16"/>
  <c r="E286" i="7" s="1"/>
  <c r="O13" i="16"/>
  <c r="J3" i="16"/>
  <c r="E276" i="7" s="1"/>
  <c r="O3" i="16"/>
  <c r="J8" i="16"/>
  <c r="E280" i="7" s="1"/>
  <c r="O8" i="16"/>
  <c r="J23" i="16"/>
  <c r="E301" i="7" s="1"/>
  <c r="O23" i="16"/>
  <c r="T21" i="16"/>
  <c r="Y21" i="16"/>
  <c r="J4" i="16"/>
  <c r="E277" i="7" s="1"/>
  <c r="O4" i="16"/>
  <c r="J22" i="16"/>
  <c r="O22" i="16"/>
  <c r="O19" i="16"/>
  <c r="E295" i="7" s="1"/>
  <c r="J19" i="16"/>
  <c r="E294" i="7" s="1"/>
  <c r="T49" i="16"/>
  <c r="J49" i="16"/>
  <c r="E373" i="7" s="1"/>
  <c r="O49" i="16"/>
  <c r="E374" i="7" s="1"/>
  <c r="T34" i="16"/>
  <c r="J34" i="16"/>
  <c r="E331" i="7" s="1"/>
  <c r="O34" i="16"/>
  <c r="E332" i="7" s="1"/>
  <c r="J10" i="16"/>
  <c r="E283" i="7" s="1"/>
  <c r="O10" i="16"/>
  <c r="E284" i="7" s="1"/>
  <c r="O25" i="16"/>
  <c r="E305" i="7" s="1"/>
  <c r="J25" i="16"/>
  <c r="E304" i="7" s="1"/>
  <c r="T25" i="16"/>
  <c r="E306" i="7" s="1"/>
  <c r="J39" i="16"/>
  <c r="E344" i="7" s="1"/>
  <c r="T39" i="16"/>
  <c r="E346" i="7" s="1"/>
  <c r="O39" i="16"/>
  <c r="E345" i="7" s="1"/>
  <c r="J7" i="16"/>
  <c r="O7" i="16"/>
  <c r="J5" i="16"/>
  <c r="O5" i="16"/>
  <c r="O52" i="16"/>
  <c r="E382" i="7" s="1"/>
  <c r="T52" i="16"/>
  <c r="E383" i="7" s="1"/>
  <c r="J52" i="16"/>
  <c r="E381" i="7" s="1"/>
  <c r="Y52" i="16"/>
  <c r="O15" i="16"/>
  <c r="E290" i="7" s="1"/>
  <c r="J15" i="16"/>
  <c r="E289" i="7" s="1"/>
  <c r="O29" i="16"/>
  <c r="E317" i="7" s="1"/>
  <c r="J29" i="16"/>
  <c r="E316" i="7" s="1"/>
  <c r="O20" i="16"/>
  <c r="E298" i="7" s="1"/>
  <c r="J20" i="16"/>
  <c r="E297" i="7" s="1"/>
  <c r="J50" i="16"/>
  <c r="E375" i="7" s="1"/>
  <c r="Y50" i="16"/>
  <c r="O50" i="16"/>
  <c r="E376" i="7" s="1"/>
  <c r="T50" i="16"/>
  <c r="E377" i="7" s="1"/>
  <c r="J32" i="16"/>
  <c r="E326" i="7" s="1"/>
  <c r="O32" i="16"/>
  <c r="E327" i="7" s="1"/>
  <c r="T32" i="16"/>
  <c r="E328" i="7" s="1"/>
  <c r="O44" i="16"/>
  <c r="E360" i="7" s="1"/>
  <c r="T44" i="16"/>
  <c r="J44" i="16"/>
  <c r="E359" i="7" s="1"/>
  <c r="T30" i="16"/>
  <c r="E321" i="7" s="1"/>
  <c r="J30" i="16"/>
  <c r="E319" i="7" s="1"/>
  <c r="O30" i="16"/>
  <c r="E320" i="7" s="1"/>
  <c r="T47" i="16"/>
  <c r="E369" i="7" s="1"/>
  <c r="O47" i="16"/>
  <c r="E368" i="7" s="1"/>
  <c r="J47" i="16"/>
  <c r="E367" i="7" s="1"/>
  <c r="O16" i="16"/>
  <c r="J16" i="16"/>
  <c r="T16" i="16"/>
  <c r="O45" i="16"/>
  <c r="E362" i="7" s="1"/>
  <c r="T45" i="16"/>
  <c r="E363" i="7" s="1"/>
  <c r="J45" i="16"/>
  <c r="E361" i="7" s="1"/>
  <c r="O42" i="16"/>
  <c r="E354" i="7" s="1"/>
  <c r="T42" i="16"/>
  <c r="E355" i="7" s="1"/>
  <c r="J42" i="16"/>
  <c r="E353" i="7" s="1"/>
  <c r="Y42" i="16"/>
  <c r="E356" i="7" s="1"/>
  <c r="J11" i="16"/>
  <c r="T11" i="16"/>
  <c r="O11" i="16"/>
  <c r="J40" i="16"/>
  <c r="E347" i="7" s="1"/>
  <c r="T40" i="16"/>
  <c r="E349" i="7" s="1"/>
  <c r="O40" i="16"/>
  <c r="E348" i="7" s="1"/>
  <c r="T37" i="16"/>
  <c r="E341" i="7" s="1"/>
  <c r="Y37" i="16"/>
  <c r="O37" i="16"/>
  <c r="E340" i="7" s="1"/>
  <c r="J37" i="16"/>
  <c r="E339" i="7" s="1"/>
  <c r="O26" i="16"/>
  <c r="E308" i="7" s="1"/>
  <c r="J26" i="16"/>
  <c r="E307" i="7" s="1"/>
  <c r="T35" i="16"/>
  <c r="E335" i="7" s="1"/>
  <c r="O35" i="16"/>
  <c r="E334" i="7" s="1"/>
  <c r="J35" i="16"/>
  <c r="E333" i="7" s="1"/>
  <c r="T51" i="16"/>
  <c r="E380" i="7" s="1"/>
  <c r="J51" i="16"/>
  <c r="E378" i="7" s="1"/>
  <c r="O51" i="16"/>
  <c r="E379" i="7" s="1"/>
  <c r="O6" i="16"/>
  <c r="J6" i="16"/>
  <c r="J36" i="16"/>
  <c r="E336" i="7" s="1"/>
  <c r="Y36" i="16"/>
  <c r="T36" i="16"/>
  <c r="E338" i="7" s="1"/>
  <c r="O36" i="16"/>
  <c r="E337" i="7" s="1"/>
  <c r="J21" i="16"/>
  <c r="O21" i="16"/>
  <c r="O48" i="16"/>
  <c r="E372" i="7" s="1"/>
  <c r="J48" i="16"/>
  <c r="E371" i="7" s="1"/>
  <c r="O31" i="16"/>
  <c r="E324" i="7" s="1"/>
  <c r="J31" i="16"/>
  <c r="E323" i="7" s="1"/>
  <c r="T31" i="16"/>
  <c r="E325" i="7" s="1"/>
  <c r="T17" i="16"/>
  <c r="O17" i="16"/>
  <c r="J17" i="16"/>
  <c r="J14" i="16"/>
  <c r="E287" i="7" s="1"/>
  <c r="O14" i="16"/>
  <c r="E288" i="7" s="1"/>
  <c r="J28" i="16"/>
  <c r="E314" i="7" s="1"/>
  <c r="O28" i="16"/>
  <c r="E315" i="7" s="1"/>
  <c r="O46" i="16"/>
  <c r="E365" i="7" s="1"/>
  <c r="T46" i="16"/>
  <c r="E366" i="7" s="1"/>
  <c r="J46" i="16"/>
  <c r="E364" i="7" s="1"/>
  <c r="J33" i="16"/>
  <c r="E330" i="7" s="1"/>
  <c r="O33" i="16"/>
  <c r="J12" i="16"/>
  <c r="T12" i="16"/>
  <c r="O12" i="16"/>
  <c r="O9" i="16"/>
  <c r="E282" i="7" s="1"/>
  <c r="J9" i="16"/>
  <c r="E281" i="7" s="1"/>
  <c r="O43" i="16"/>
  <c r="E358" i="7" s="1"/>
  <c r="J43" i="16"/>
  <c r="E357" i="7" s="1"/>
  <c r="O41" i="16"/>
  <c r="E351" i="7" s="1"/>
  <c r="Y41" i="16"/>
  <c r="J41" i="16"/>
  <c r="E350" i="7" s="1"/>
  <c r="T41" i="16"/>
  <c r="E352" i="7" s="1"/>
  <c r="Y27" i="16"/>
  <c r="E313" i="7" s="1"/>
  <c r="T27" i="16"/>
  <c r="E312" i="7" s="1"/>
  <c r="J27" i="16"/>
  <c r="E310" i="7" s="1"/>
  <c r="O27" i="16"/>
  <c r="E311" i="7" s="1"/>
  <c r="J24" i="16"/>
  <c r="E302" i="7" s="1"/>
  <c r="O24" i="16"/>
  <c r="E303" i="7" s="1"/>
  <c r="J38" i="16"/>
  <c r="E342" i="7" s="1"/>
  <c r="O38" i="16"/>
  <c r="E343" i="7" s="1"/>
  <c r="F38" i="10"/>
  <c r="F35" i="10"/>
  <c r="F36" i="10"/>
  <c r="F37" i="10"/>
  <c r="F34" i="10"/>
  <c r="F39" i="10"/>
  <c r="F33" i="10"/>
  <c r="D6" i="15"/>
  <c r="E632" i="7" l="1"/>
  <c r="E618" i="7"/>
  <c r="E615" i="7"/>
  <c r="E623" i="7"/>
  <c r="E620" i="7"/>
  <c r="E594" i="7"/>
  <c r="E599" i="7"/>
  <c r="E602" i="7"/>
  <c r="E648" i="7"/>
  <c r="E644" i="7"/>
  <c r="E641" i="7"/>
  <c r="E610" i="7"/>
  <c r="E629" i="7"/>
  <c r="E606" i="7"/>
  <c r="E596" i="7"/>
  <c r="E652" i="7"/>
  <c r="E591" i="7"/>
  <c r="E637" i="7"/>
  <c r="E634" i="7"/>
  <c r="E626" i="7"/>
  <c r="E612" i="7"/>
  <c r="E656" i="7"/>
  <c r="E589" i="7"/>
  <c r="E6" i="15"/>
  <c r="K6" i="15"/>
  <c r="E278" i="7"/>
  <c r="O60" i="21"/>
  <c r="E588" i="7" s="1"/>
  <c r="J60" i="21"/>
  <c r="E587" i="7" l="1"/>
</calcChain>
</file>

<file path=xl/sharedStrings.xml><?xml version="1.0" encoding="utf-8"?>
<sst xmlns="http://schemas.openxmlformats.org/spreadsheetml/2006/main" count="10068" uniqueCount="3682">
  <si>
    <t>说明</t>
    <phoneticPr fontId="4" type="noConversion"/>
  </si>
  <si>
    <t>目录</t>
    <phoneticPr fontId="4" type="noConversion"/>
  </si>
  <si>
    <t>此为输入格，可修改数值</t>
    <phoneticPr fontId="4" type="noConversion"/>
  </si>
  <si>
    <t>此为输出格，不可修改数值</t>
    <phoneticPr fontId="4" type="noConversion"/>
  </si>
  <si>
    <t>此为解释性、工具性文本</t>
    <phoneticPr fontId="4" type="noConversion"/>
  </si>
  <si>
    <t>【设计】表决定宏观体验，修改后会影响大量游戏数值</t>
    <phoneticPr fontId="4" type="noConversion"/>
  </si>
  <si>
    <t>【数据】表计算每个系统详细数值</t>
    <phoneticPr fontId="4" type="noConversion"/>
  </si>
  <si>
    <t>数据类型</t>
    <phoneticPr fontId="4" type="noConversion"/>
  </si>
  <si>
    <t>表格类型</t>
    <phoneticPr fontId="4" type="noConversion"/>
  </si>
  <si>
    <t>设计</t>
    <phoneticPr fontId="4" type="noConversion"/>
  </si>
  <si>
    <t>战斗</t>
    <phoneticPr fontId="4" type="noConversion"/>
  </si>
  <si>
    <t>经济</t>
    <phoneticPr fontId="4" type="noConversion"/>
  </si>
  <si>
    <t>挑战模式</t>
    <phoneticPr fontId="4" type="noConversion"/>
  </si>
  <si>
    <t>无限模式</t>
    <phoneticPr fontId="4" type="noConversion"/>
  </si>
  <si>
    <t>对战模式</t>
    <phoneticPr fontId="4" type="noConversion"/>
  </si>
  <si>
    <t>体力</t>
    <phoneticPr fontId="4" type="noConversion"/>
  </si>
  <si>
    <t>副本</t>
    <phoneticPr fontId="4" type="noConversion"/>
  </si>
  <si>
    <t>新手关卡</t>
    <phoneticPr fontId="4" type="noConversion"/>
  </si>
  <si>
    <t>防御塔</t>
    <phoneticPr fontId="4" type="noConversion"/>
  </si>
  <si>
    <t>此为链接</t>
    <phoneticPr fontId="4" type="noConversion"/>
  </si>
  <si>
    <t>总表</t>
    <phoneticPr fontId="4" type="noConversion"/>
  </si>
  <si>
    <t>大类</t>
    <phoneticPr fontId="4" type="noConversion"/>
  </si>
  <si>
    <t>小类</t>
    <phoneticPr fontId="4" type="noConversion"/>
  </si>
  <si>
    <t>数据表</t>
    <phoneticPr fontId="4" type="noConversion"/>
  </si>
  <si>
    <t>特性</t>
    <phoneticPr fontId="4" type="noConversion"/>
  </si>
  <si>
    <t>节奏</t>
    <phoneticPr fontId="4" type="noConversion"/>
  </si>
  <si>
    <t>怪物</t>
    <phoneticPr fontId="4" type="noConversion"/>
  </si>
  <si>
    <t>无限模式</t>
    <phoneticPr fontId="4" type="noConversion"/>
  </si>
  <si>
    <t>挑战模式</t>
    <phoneticPr fontId="4" type="noConversion"/>
  </si>
  <si>
    <t>新手</t>
    <phoneticPr fontId="4" type="noConversion"/>
  </si>
  <si>
    <t>普通</t>
    <phoneticPr fontId="4" type="noConversion"/>
  </si>
  <si>
    <t>高手</t>
    <phoneticPr fontId="4" type="noConversion"/>
  </si>
  <si>
    <t>新手关</t>
    <phoneticPr fontId="4" type="noConversion"/>
  </si>
  <si>
    <t>弩箭塔</t>
  </si>
  <si>
    <t>加农炮</t>
  </si>
  <si>
    <t>火焰塔</t>
  </si>
  <si>
    <t>毒雾塔</t>
  </si>
  <si>
    <t>龙击炮</t>
  </si>
  <si>
    <t>雷电塔</t>
  </si>
  <si>
    <t>冰魔塔</t>
  </si>
  <si>
    <t>加速塔</t>
  </si>
  <si>
    <t>减速</t>
    <phoneticPr fontId="4" type="noConversion"/>
  </si>
  <si>
    <t>加速友军</t>
    <phoneticPr fontId="4" type="noConversion"/>
  </si>
  <si>
    <t>直线</t>
    <phoneticPr fontId="4" type="noConversion"/>
  </si>
  <si>
    <t>圆环</t>
    <phoneticPr fontId="4" type="noConversion"/>
  </si>
  <si>
    <t>1级塔</t>
    <phoneticPr fontId="4" type="noConversion"/>
  </si>
  <si>
    <t>2级塔</t>
  </si>
  <si>
    <t>3级塔</t>
  </si>
  <si>
    <t>标准塔</t>
    <phoneticPr fontId="4" type="noConversion"/>
  </si>
  <si>
    <t>快速</t>
    <phoneticPr fontId="4" type="noConversion"/>
  </si>
  <si>
    <t>慢速</t>
    <phoneticPr fontId="4" type="noConversion"/>
  </si>
  <si>
    <t>/</t>
    <phoneticPr fontId="4" type="noConversion"/>
  </si>
  <si>
    <t>期望性价比</t>
    <phoneticPr fontId="4" type="noConversion"/>
  </si>
  <si>
    <t>养成2级塔</t>
    <phoneticPr fontId="4" type="noConversion"/>
  </si>
  <si>
    <t>养成3级塔</t>
    <phoneticPr fontId="4" type="noConversion"/>
  </si>
  <si>
    <t>养成上限</t>
    <phoneticPr fontId="4" type="noConversion"/>
  </si>
  <si>
    <t>玩家体验时长（min）：</t>
    <phoneticPr fontId="4" type="noConversion"/>
  </si>
  <si>
    <t>最快速度</t>
    <phoneticPr fontId="4" type="noConversion"/>
  </si>
  <si>
    <t>最大性价比</t>
    <phoneticPr fontId="4" type="noConversion"/>
  </si>
  <si>
    <t>最小性价比</t>
    <phoneticPr fontId="4" type="noConversion"/>
  </si>
  <si>
    <t>新手</t>
    <phoneticPr fontId="4" type="noConversion"/>
  </si>
  <si>
    <t>无限</t>
    <phoneticPr fontId="4" type="noConversion"/>
  </si>
  <si>
    <t>关卡</t>
    <phoneticPr fontId="4" type="noConversion"/>
  </si>
  <si>
    <t>最大塔数</t>
    <phoneticPr fontId="4" type="noConversion"/>
  </si>
  <si>
    <t>刷新费用</t>
    <phoneticPr fontId="4" type="noConversion"/>
  </si>
  <si>
    <t>基地血量</t>
    <phoneticPr fontId="4" type="noConversion"/>
  </si>
  <si>
    <t>准备时长(s)</t>
    <phoneticPr fontId="4" type="noConversion"/>
  </si>
  <si>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</si>
  <si>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</si>
  <si>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</si>
  <si>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</si>
  <si>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</si>
  <si>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</si>
  <si>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int</t>
  </si>
  <si>
    <t>float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</si>
  <si>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</si>
  <si>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</si>
  <si>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</si>
  <si>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</si>
  <si>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</si>
  <si>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</si>
  <si>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战斗节奏</t>
    <phoneticPr fontId="4" type="noConversion"/>
  </si>
  <si>
    <t>名字</t>
    <phoneticPr fontId="4" type="noConversion"/>
  </si>
  <si>
    <t>价格</t>
    <phoneticPr fontId="4" type="noConversion"/>
  </si>
  <si>
    <t>攻速</t>
    <phoneticPr fontId="4" type="noConversion"/>
  </si>
  <si>
    <t>攻击</t>
    <phoneticPr fontId="4" type="noConversion"/>
  </si>
  <si>
    <t>标准塔</t>
  </si>
  <si>
    <t>最大DPS</t>
    <phoneticPr fontId="4" type="noConversion"/>
  </si>
  <si>
    <t>攻击cd</t>
    <phoneticPr fontId="4" type="noConversion"/>
  </si>
  <si>
    <t>射程</t>
    <phoneticPr fontId="4" type="noConversion"/>
  </si>
  <si>
    <t>攻击力lv1</t>
    <phoneticPr fontId="4" type="noConversion"/>
  </si>
  <si>
    <t>攻击力lv2</t>
    <phoneticPr fontId="4" type="noConversion"/>
  </si>
  <si>
    <t>攻击力lv3</t>
    <phoneticPr fontId="4" type="noConversion"/>
  </si>
  <si>
    <t>最小DPS</t>
    <phoneticPr fontId="4" type="noConversion"/>
  </si>
  <si>
    <t>特殊参数</t>
    <phoneticPr fontId="4" type="noConversion"/>
  </si>
  <si>
    <t>低处特攻</t>
    <phoneticPr fontId="4" type="noConversion"/>
  </si>
  <si>
    <t>设定最大高度为5</t>
    <phoneticPr fontId="4" type="noConversion"/>
  </si>
  <si>
    <t>dis</t>
  </si>
  <si>
    <t>cd</t>
  </si>
  <si>
    <t>skillSelectAction</t>
  </si>
  <si>
    <t>timeline_id</t>
  </si>
  <si>
    <t>learn_action_id</t>
  </si>
  <si>
    <t>string#ref=TimelineCfgCategory?</t>
  </si>
  <si>
    <t>(list#sep=;),string#ref=ActionCfg_ref_group</t>
  </si>
  <si>
    <t>这是id</t>
  </si>
  <si>
    <t>技能施法距离</t>
  </si>
  <si>
    <t>技能cd</t>
  </si>
  <si>
    <t>释放对象选择</t>
  </si>
  <si>
    <t>timeline_id（对应TimelineCfg表id）</t>
  </si>
  <si>
    <t>学习技能时Action事件id（对应ActionConfig文件夹下表格）
AddBuff新增Buff
AttackArea范围攻击
BuffAddStackCount增加Buff层数
BuffReduceStackCount减少Buff层数
BuffResetDuration改变Buff时长
CreateEffect创建特效
DamageUnit造成伤害
DeathShow死亡表现
FaceTo面向
FireBullet射出子弹
PlayAnimator播放动作
PlayAudio播放音效
RemoveBuff移除Buff
RemoveEffect删除特效</t>
  </si>
  <si>
    <t>Skill_PlayerSolo1</t>
  </si>
  <si>
    <t>Timeline_PlayerSolo1</t>
  </si>
  <si>
    <t>Skill_PlayerSolo2</t>
  </si>
  <si>
    <t>Timeline_PlayerSolo2</t>
  </si>
  <si>
    <t>Skill_PlayerSolo3</t>
  </si>
  <si>
    <t>Timeline_PlayerSolo3</t>
  </si>
  <si>
    <t>Skill_PlayerAoe1</t>
  </si>
  <si>
    <t>Timeline_PlayerAoe1</t>
  </si>
  <si>
    <t>Skill_PlayerAoe2</t>
  </si>
  <si>
    <t>Timeline_PlayerAoe2</t>
  </si>
  <si>
    <t>Skill_PlayerAoe3</t>
  </si>
  <si>
    <t>Timeline_PlayerAoe3</t>
  </si>
  <si>
    <t>Skill_PlayerLine1</t>
  </si>
  <si>
    <t>Timeline_PlayerLine1</t>
  </si>
  <si>
    <t>Skill_PlayerLine2</t>
  </si>
  <si>
    <t>Timeline_PlayerLine2</t>
  </si>
  <si>
    <t>Skill_PlayerLine3</t>
  </si>
  <si>
    <t>Timeline_PlayerLine3</t>
  </si>
  <si>
    <t>Skill_PlayerCircle1</t>
  </si>
  <si>
    <t>Timeline_PlayerCircle1</t>
  </si>
  <si>
    <t>Skill_PlayerCircle2</t>
  </si>
  <si>
    <t>Timeline_PlayerCircle2</t>
  </si>
  <si>
    <t>Skill_PlayerCircle3</t>
  </si>
  <si>
    <t>Skill_TowerDragon1</t>
  </si>
  <si>
    <t>Timeline_TowerDragon1</t>
  </si>
  <si>
    <t>Skill_TowerDragon2</t>
  </si>
  <si>
    <t>Timeline_TowerDragon2</t>
  </si>
  <si>
    <t>Skill_TowerDragon3</t>
  </si>
  <si>
    <t>Timeline_TowerDragon3</t>
  </si>
  <si>
    <t>Skill_TowerElec1</t>
  </si>
  <si>
    <t>Timeline_TowerElec1</t>
  </si>
  <si>
    <t>Skill_TowerElec2</t>
  </si>
  <si>
    <t>Timeline_TowerElec2</t>
  </si>
  <si>
    <t>Skill_TowerElec3</t>
  </si>
  <si>
    <t>Timeline_TowerElec3</t>
  </si>
  <si>
    <t>Skill_TowerIce1</t>
  </si>
  <si>
    <t>Timeline_TowerIce1</t>
  </si>
  <si>
    <t>Skill_TowerIce2</t>
  </si>
  <si>
    <t>Timeline_TowerIce2</t>
  </si>
  <si>
    <t>Skill_TowerIce3</t>
  </si>
  <si>
    <t>Timeline_TowerIce3</t>
  </si>
  <si>
    <t>Skill_TowerTime1</t>
  </si>
  <si>
    <t>Skill_TowerTime2</t>
  </si>
  <si>
    <t>Skill_TowerTime3</t>
  </si>
  <si>
    <t>id</t>
  </si>
  <si>
    <t>desc</t>
  </si>
  <si>
    <t>Timeline_PlayerCircle3</t>
  </si>
  <si>
    <t>弩箭塔</t>
    <phoneticPr fontId="4" type="noConversion"/>
  </si>
  <si>
    <t>弩箭塔LV1攻击</t>
  </si>
  <si>
    <t>弩箭塔LV2攻击</t>
  </si>
  <si>
    <t>弩箭塔LV3攻击</t>
  </si>
  <si>
    <t>加农炮LV1攻击</t>
  </si>
  <si>
    <t>加农炮LV2攻击</t>
  </si>
  <si>
    <t>加农炮LV3攻击</t>
  </si>
  <si>
    <t>火焰塔LV1攻击</t>
  </si>
  <si>
    <t>火焰塔LV2攻击</t>
  </si>
  <si>
    <t>火焰塔LV3攻击</t>
  </si>
  <si>
    <t>毒雾塔LV1攻击</t>
  </si>
  <si>
    <t>毒雾塔LV2攻击</t>
  </si>
  <si>
    <t>毒雾塔LV3攻击</t>
  </si>
  <si>
    <t>龙击炮LV1攻击</t>
  </si>
  <si>
    <t>龙击炮LV2攻击</t>
  </si>
  <si>
    <t>龙击炮LV3攻击</t>
  </si>
  <si>
    <t>雷电塔LV1攻击</t>
  </si>
  <si>
    <t>雷电塔LV2攻击</t>
  </si>
  <si>
    <t>雷电塔LV3攻击</t>
  </si>
  <si>
    <t>冰魔塔</t>
    <phoneticPr fontId="4" type="noConversion"/>
  </si>
  <si>
    <t>冰魔塔LV1攻击</t>
  </si>
  <si>
    <t>冰魔塔LV2攻击</t>
  </si>
  <si>
    <t>冰魔塔LV3攻击</t>
  </si>
  <si>
    <t>propertyType</t>
  </si>
  <si>
    <t>level</t>
  </si>
  <si>
    <t>HpBase</t>
  </si>
  <si>
    <t>PhysicalAttackBase</t>
  </si>
  <si>
    <t>CriticalHitDamageBase</t>
  </si>
  <si>
    <t>CriticalStrikeRateBase</t>
  </si>
  <si>
    <t>DamageDeepeningBase</t>
  </si>
  <si>
    <t>DamageReliefBase</t>
  </si>
  <si>
    <t>UIAttribute1</t>
    <phoneticPr fontId="4" type="noConversion"/>
  </si>
  <si>
    <t>UIAttribute2</t>
    <phoneticPr fontId="4" type="noConversion"/>
  </si>
  <si>
    <t>UIAttribute3</t>
    <phoneticPr fontId="4" type="noConversion"/>
  </si>
  <si>
    <t>title</t>
    <phoneticPr fontId="4" type="noConversion"/>
  </si>
  <si>
    <t>content</t>
    <phoneticPr fontId="4" type="noConversion"/>
  </si>
  <si>
    <t>contentValue</t>
    <phoneticPr fontId="4" type="noConversion"/>
  </si>
  <si>
    <t>UIAttribute</t>
    <phoneticPr fontId="4" type="noConversion"/>
  </si>
  <si>
    <t>血量</t>
  </si>
  <si>
    <t>物理攻击</t>
  </si>
  <si>
    <t>暴击率(N%)</t>
  </si>
  <si>
    <t>伤害加深系数(N%)</t>
  </si>
  <si>
    <t>受击伤害减免系数(N%)</t>
  </si>
  <si>
    <t>界面展示属性Title1</t>
    <phoneticPr fontId="4" type="noConversion"/>
  </si>
  <si>
    <t>界面展示属性content1</t>
    <phoneticPr fontId="4" type="noConversion"/>
  </si>
  <si>
    <t>界面展示属性内容1</t>
    <phoneticPr fontId="4" type="noConversion"/>
  </si>
  <si>
    <t>Tower1</t>
  </si>
  <si>
    <t>Text_Key_Tower_UIAttribute_GongJi</t>
    <phoneticPr fontId="4" type="noConversion"/>
  </si>
  <si>
    <t>Text_Key_Tower_UIAttribute_Content_Num</t>
  </si>
  <si>
    <t>Text_Key_Tower_UIAttribute_GongSu</t>
  </si>
  <si>
    <t/>
  </si>
  <si>
    <t>Text_Key_Tower_UIAttribute_GongJi</t>
  </si>
  <si>
    <t>Tower2</t>
  </si>
  <si>
    <t>Tower3</t>
  </si>
  <si>
    <t>Tower4</t>
  </si>
  <si>
    <t>Tower5</t>
  </si>
  <si>
    <t>Tower6</t>
  </si>
  <si>
    <t>Tower7</t>
  </si>
  <si>
    <t>Text_Key_Tower_UIAttribute_JianSu</t>
  </si>
  <si>
    <t>Text_Key_Tower_UIAttribute_Content_Percent</t>
  </si>
  <si>
    <t>Tower8</t>
  </si>
  <si>
    <t>Text_Key_Tower_UIAttribute_GongSuJiaCheng</t>
  </si>
  <si>
    <t>攻速加成</t>
    <phoneticPr fontId="4" type="noConversion"/>
  </si>
  <si>
    <t>damageInfo</t>
  </si>
  <si>
    <t>DamageUnit_Attribute</t>
  </si>
  <si>
    <t>加速塔LV1技能</t>
    <phoneticPr fontId="4" type="noConversion"/>
  </si>
  <si>
    <t>加速塔LV2技能</t>
  </si>
  <si>
    <t>加速塔LV3技能</t>
  </si>
  <si>
    <t>damageType</t>
  </si>
  <si>
    <t>value</t>
  </si>
  <si>
    <t>scaleByDis</t>
    <phoneticPr fontId="4" type="noConversion"/>
  </si>
  <si>
    <t>scaleByDisMax</t>
    <phoneticPr fontId="4" type="noConversion"/>
  </si>
  <si>
    <t>scaleByHeight</t>
    <phoneticPr fontId="4" type="noConversion"/>
  </si>
  <si>
    <t>scaleByHeightMax</t>
    <phoneticPr fontId="4" type="noConversion"/>
  </si>
  <si>
    <t>DamageInfo</t>
    <phoneticPr fontId="4" type="noConversion"/>
  </si>
  <si>
    <t>伤害计算方式</t>
  </si>
  <si>
    <t>数值</t>
  </si>
  <si>
    <t>按照距离变化(&gt;0表示越远伤害越高,&lt;0表示越近伤害越高)</t>
    <phoneticPr fontId="4" type="noConversion"/>
  </si>
  <si>
    <t>(上限)按照距离变化</t>
    <phoneticPr fontId="4" type="noConversion"/>
  </si>
  <si>
    <t>按照高度变化(&gt;0表示往上越远伤害越高,&lt;0表示往下越远伤害越高)</t>
    <phoneticPr fontId="4" type="noConversion"/>
  </si>
  <si>
    <t>(上限)按照高度变化</t>
    <phoneticPr fontId="4" type="noConversion"/>
  </si>
  <si>
    <t>按照属性进行计算</t>
  </si>
  <si>
    <t>PropertyBlood</t>
    <phoneticPr fontId="4" type="noConversion"/>
  </si>
  <si>
    <t>按照属性进行计算（距离递增）_毒雾塔LV1</t>
    <phoneticPr fontId="4" type="noConversion"/>
  </si>
  <si>
    <t>按照属性进行计算（距离递增）_毒雾塔LV2</t>
  </si>
  <si>
    <t>按照属性进行计算（距离递增）_毒雾塔LV3</t>
  </si>
  <si>
    <t>按照属性进行计算（高度递减）_雷电塔LV1</t>
    <phoneticPr fontId="4" type="noConversion"/>
  </si>
  <si>
    <t>按照属性进行计算（高度递减）_雷电塔LV2</t>
  </si>
  <si>
    <t>按照属性进行计算（高度递减）_雷电塔LV3</t>
  </si>
  <si>
    <t>DamageUnit_AttributeDisAdd_PlayerCircle1</t>
    <phoneticPr fontId="4" type="noConversion"/>
  </si>
  <si>
    <t>DamageUnit_AttributeDisAdd_PlayerCircle2</t>
  </si>
  <si>
    <t>DamageUnit_AttributeDisAdd_PlayerCircle3</t>
  </si>
  <si>
    <t>DamageUnit_AttributeHeightPlus_TowerElec1</t>
    <phoneticPr fontId="4" type="noConversion"/>
  </si>
  <si>
    <t>DamageUnit_AttributeHeightPlus_TowerElec2</t>
  </si>
  <si>
    <t>DamageUnit_AttributeHeightPlus_TowerElec3</t>
  </si>
  <si>
    <t>毒雾塔</t>
    <phoneticPr fontId="4" type="noConversion"/>
  </si>
  <si>
    <t>雷电塔</t>
    <phoneticPr fontId="4" type="noConversion"/>
  </si>
  <si>
    <t>单体通用</t>
    <phoneticPr fontId="4" type="noConversion"/>
  </si>
  <si>
    <t>type</t>
  </si>
  <si>
    <t>labels</t>
  </si>
  <si>
    <t>qualityRank</t>
  </si>
  <si>
    <t>radius</t>
  </si>
  <si>
    <t>relativePosition</t>
  </si>
  <si>
    <t>unitId</t>
  </si>
  <si>
    <t>num</t>
  </si>
  <si>
    <t>BuyTowerCostGold</t>
  </si>
  <si>
    <t>rewardGold</t>
  </si>
  <si>
    <t>ReclaimTowerCostGold</t>
  </si>
  <si>
    <t>ScaleTowerCostGold</t>
  </si>
  <si>
    <t>nextTowerId</t>
  </si>
  <si>
    <t>newTowerCostCount</t>
  </si>
  <si>
    <t>aiCfgId</t>
  </si>
  <si>
    <t>string#ref=ItemCfgCategory</t>
    <phoneticPr fontId="25" type="noConversion"/>
  </si>
  <si>
    <t>PlayerTowerType</t>
  </si>
  <si>
    <t>(list#sep=;),string</t>
  </si>
  <si>
    <t>QualityRank</t>
  </si>
  <si>
    <t>(list#sep=;),vector3</t>
  </si>
  <si>
    <t>(list#sep=;),string#ref=UnitCfgCategory</t>
  </si>
  <si>
    <t>(list#sep=;),int</t>
  </si>
  <si>
    <t>string#ref=TowerDefense_TowerCfgCategory?</t>
  </si>
  <si>
    <t>string#ref=AIConfigId@AICfgCategory</t>
  </si>
  <si>
    <t>类型</t>
  </si>
  <si>
    <t>标签</t>
  </si>
  <si>
    <t>品阶</t>
  </si>
  <si>
    <t>半径</t>
  </si>
  <si>
    <t>相对位置</t>
  </si>
  <si>
    <t>数量</t>
  </si>
  <si>
    <t>等级</t>
  </si>
  <si>
    <t>购买消耗金币</t>
  </si>
  <si>
    <t>击杀奖励金币</t>
  </si>
  <si>
    <t>回收塔消耗金币</t>
  </si>
  <si>
    <t>出售塔获得金币</t>
  </si>
  <si>
    <t>下一级id</t>
  </si>
  <si>
    <t>升级消耗数量</t>
  </si>
  <si>
    <t>One</t>
  </si>
  <si>
    <t>Tow1_1</t>
  </si>
  <si>
    <t>Tower</t>
  </si>
  <si>
    <t>Text_Key_TowerLabel_Solo</t>
  </si>
  <si>
    <t>Unit_Solo1</t>
  </si>
  <si>
    <t>Tow1_2</t>
  </si>
  <si>
    <t>TowerDefense_Tower1</t>
  </si>
  <si>
    <t>Two</t>
  </si>
  <si>
    <t>Unit_Solo2</t>
  </si>
  <si>
    <t>Tow1_3</t>
  </si>
  <si>
    <t>Three</t>
  </si>
  <si>
    <t>Unit_Solo3</t>
  </si>
  <si>
    <t>Tow2_1</t>
  </si>
  <si>
    <t>Text_Key_TowerLabel_Aoe</t>
  </si>
  <si>
    <t>Unit_Aoe1</t>
  </si>
  <si>
    <t>Tow2_2</t>
  </si>
  <si>
    <t>Unit_Aoe2</t>
  </si>
  <si>
    <t>Tow2_3</t>
  </si>
  <si>
    <t>Unit_Aoe3</t>
  </si>
  <si>
    <t>Tow3_1</t>
  </si>
  <si>
    <t>Text_Key_TowerLabel_DOT;Text_Key_TowerLabel_Aoe</t>
    <phoneticPr fontId="25" type="noConversion"/>
  </si>
  <si>
    <t>Unit_Line1</t>
  </si>
  <si>
    <t>Tow3_2</t>
  </si>
  <si>
    <t>Unit_Line2</t>
  </si>
  <si>
    <t>Tow3_3</t>
  </si>
  <si>
    <t>Unit_Line3</t>
  </si>
  <si>
    <t>Tow4_1</t>
  </si>
  <si>
    <t>Unit_Circle1</t>
  </si>
  <si>
    <t>Tow4_2</t>
  </si>
  <si>
    <t>Unit_Circle2</t>
  </si>
  <si>
    <t>Tow4_3</t>
  </si>
  <si>
    <t>Unit_Circle3</t>
  </si>
  <si>
    <t>Tow5_1</t>
  </si>
  <si>
    <t>Unit_TowerDragon1</t>
  </si>
  <si>
    <t>Tow5_2</t>
  </si>
  <si>
    <t>Unit_TowerDragon2</t>
  </si>
  <si>
    <t>Tow5_3</t>
  </si>
  <si>
    <t>Unit_TowerDragon3</t>
  </si>
  <si>
    <t>Tow6_1</t>
  </si>
  <si>
    <t>Unit_TowerElec1</t>
  </si>
  <si>
    <t>Tow6_2</t>
  </si>
  <si>
    <t>Unit_TowerElec2</t>
  </si>
  <si>
    <t>Tow6_3</t>
  </si>
  <si>
    <t>Unit_TowerElec3</t>
  </si>
  <si>
    <t>Tow7_1</t>
  </si>
  <si>
    <t>Text_Key_TowerLabel_Debuff;Text_Key_TowerLabel_Aoe</t>
    <phoneticPr fontId="25" type="noConversion"/>
  </si>
  <si>
    <t>Unit_TowerIce1</t>
  </si>
  <si>
    <t>Tow7_2</t>
  </si>
  <si>
    <t>Unit_TowerIce2</t>
  </si>
  <si>
    <t>Tow7_3</t>
  </si>
  <si>
    <t>Unit_TowerIce3</t>
  </si>
  <si>
    <t>Tow8_1</t>
  </si>
  <si>
    <t>Text_Key_TowerLabel_Buff</t>
  </si>
  <si>
    <t>Unit_TowerTime1</t>
  </si>
  <si>
    <t>Tow8_2</t>
  </si>
  <si>
    <t>Unit_TowerTime2</t>
  </si>
  <si>
    <t>Tow8_3</t>
  </si>
  <si>
    <t>Unit_TowerTime3</t>
  </si>
  <si>
    <t>isNeedPutHomeAndMonsterCall</t>
  </si>
  <si>
    <t>playerInitGold</t>
  </si>
  <si>
    <t>interestOnDeposit</t>
  </si>
  <si>
    <t>resTime</t>
  </si>
  <si>
    <t>limitTowerCount</t>
  </si>
  <si>
    <t>refreshBuyTowerCost</t>
  </si>
  <si>
    <t>buyTowerPoolCount</t>
  </si>
  <si>
    <t>homeLife</t>
  </si>
  <si>
    <t>buyTowerRefreshRuleCfgId</t>
  </si>
  <si>
    <t>monsterWaveCallRuleCfgId</t>
  </si>
  <si>
    <t>monsterWaveCallStartWaveIndex</t>
  </si>
  <si>
    <t>bool</t>
  </si>
  <si>
    <t>string#ref=TowerDefense_BuyTowerRefreshRuleCfgCategory</t>
  </si>
  <si>
    <t>string#ref=waveRule@TowerDefense_MonsterWaveCallRuleCfgCategory</t>
  </si>
  <si>
    <t>是否需要手动放置大本营和出怪点</t>
  </si>
  <si>
    <t>每个玩家初始金币</t>
  </si>
  <si>
    <t>波次结束结算存款利息(%)</t>
  </si>
  <si>
    <t>中间休息时间</t>
  </si>
  <si>
    <t>每人最多允许建造塔数</t>
  </si>
  <si>
    <t>玩家刷新可购买塔的费用</t>
  </si>
  <si>
    <t>可购买塔展示数量</t>
  </si>
  <si>
    <t>大本营血量</t>
  </si>
  <si>
    <t>可购买塔刷新规则</t>
  </si>
  <si>
    <t>刷怪点刷怪规则</t>
  </si>
  <si>
    <t>刷怪点刷怪开始进来时波次(下一波+1)</t>
  </si>
  <si>
    <t>TowerDefenseCfg_Infinite</t>
  </si>
  <si>
    <t>无限模式</t>
  </si>
  <si>
    <t>MonsterWaveCallRule_Infinite</t>
  </si>
  <si>
    <t>隐身</t>
    <phoneticPr fontId="4" type="noConversion"/>
  </si>
  <si>
    <t>治疗</t>
    <phoneticPr fontId="4" type="noConversion"/>
  </si>
  <si>
    <t>DPS比例</t>
    <phoneticPr fontId="4" type="noConversion"/>
  </si>
  <si>
    <t>波次</t>
    <phoneticPr fontId="4" type="noConversion"/>
  </si>
  <si>
    <t>难度</t>
    <phoneticPr fontId="4" type="noConversion"/>
  </si>
  <si>
    <t>快速怪</t>
    <phoneticPr fontId="4" type="noConversion"/>
  </si>
  <si>
    <t>BOSS</t>
    <phoneticPr fontId="4" type="noConversion"/>
  </si>
  <si>
    <t>快速</t>
    <phoneticPr fontId="4" type="noConversion"/>
  </si>
  <si>
    <t>治疗怪</t>
    <phoneticPr fontId="4" type="noConversion"/>
  </si>
  <si>
    <t>眩晕怪</t>
    <phoneticPr fontId="4" type="noConversion"/>
  </si>
  <si>
    <t>治疗</t>
    <phoneticPr fontId="4" type="noConversion"/>
  </si>
  <si>
    <t>眩晕</t>
    <phoneticPr fontId="4" type="noConversion"/>
  </si>
  <si>
    <t>波次敌人（难度≈杀光怪所需时间）：</t>
    <phoneticPr fontId="4" type="noConversion"/>
  </si>
  <si>
    <t>怪物类型</t>
    <phoneticPr fontId="4" type="noConversion"/>
  </si>
  <si>
    <t>备注</t>
    <phoneticPr fontId="4" type="noConversion"/>
  </si>
  <si>
    <t>怪物</t>
    <phoneticPr fontId="4" type="noConversion"/>
  </si>
  <si>
    <t>集群怪</t>
    <phoneticPr fontId="4" type="noConversion"/>
  </si>
  <si>
    <t>隐身怪</t>
    <phoneticPr fontId="4" type="noConversion"/>
  </si>
  <si>
    <t>波次</t>
  </si>
  <si>
    <t>出怪时长</t>
    <phoneticPr fontId="4" type="noConversion"/>
  </si>
  <si>
    <t>模型</t>
  </si>
  <si>
    <t>生命</t>
  </si>
  <si>
    <t>奖励</t>
  </si>
  <si>
    <t>怪物1</t>
    <phoneticPr fontId="4" type="noConversion"/>
  </si>
  <si>
    <t>怪物2</t>
    <phoneticPr fontId="4" type="noConversion"/>
  </si>
  <si>
    <t>怪物3</t>
    <phoneticPr fontId="4" type="noConversion"/>
  </si>
  <si>
    <t>怪物4</t>
    <phoneticPr fontId="4" type="noConversion"/>
  </si>
  <si>
    <t>出现间隔</t>
    <phoneticPr fontId="4" type="noConversion"/>
  </si>
  <si>
    <t>序号</t>
    <phoneticPr fontId="4" type="noConversion"/>
  </si>
  <si>
    <t>模型</t>
    <phoneticPr fontId="4" type="noConversion"/>
  </si>
  <si>
    <t>功能</t>
    <phoneticPr fontId="4" type="noConversion"/>
  </si>
  <si>
    <t>模型id</t>
    <phoneticPr fontId="4" type="noConversion"/>
  </si>
  <si>
    <t>隐身</t>
    <phoneticPr fontId="4" type="noConversion"/>
  </si>
  <si>
    <t>/</t>
    <phoneticPr fontId="4" type="noConversion"/>
  </si>
  <si>
    <t>ResUnit_MiFeng2</t>
  </si>
  <si>
    <t>ResUnit_MiFeng3</t>
  </si>
  <si>
    <t>ResUnit_BianFu1</t>
  </si>
  <si>
    <t>ResUnit_BianFu2</t>
  </si>
  <si>
    <t>ResUnit_ZhiZhu1</t>
  </si>
  <si>
    <t>ResUnit_ZhiZhu2</t>
  </si>
  <si>
    <t>ResUnit_ZhiZhu3</t>
  </si>
  <si>
    <t>ResUnit_ZhongZi1</t>
  </si>
  <si>
    <t>ResUnit_ZhongZi2</t>
  </si>
  <si>
    <t>ResUnit_ZhongZi3</t>
  </si>
  <si>
    <t>ResUnit_Gui1</t>
  </si>
  <si>
    <t>ResUnit_Gui2</t>
  </si>
  <si>
    <t>ResUnit_Gui3</t>
  </si>
  <si>
    <t>ResUnit_Dan1</t>
  </si>
  <si>
    <t>ResUnit_Dan2</t>
  </si>
  <si>
    <t>ResUnit_Dan3</t>
  </si>
  <si>
    <t>生命系数</t>
    <phoneticPr fontId="4" type="noConversion"/>
  </si>
  <si>
    <t>玩家dps</t>
    <phoneticPr fontId="4" type="noConversion"/>
  </si>
  <si>
    <t>奖励系数</t>
    <phoneticPr fontId="4" type="noConversion"/>
  </si>
  <si>
    <t>移速系数</t>
    <phoneticPr fontId="4" type="noConversion"/>
  </si>
  <si>
    <t>移速系数</t>
    <phoneticPr fontId="4" type="noConversion"/>
  </si>
  <si>
    <t>waveRule</t>
  </si>
  <si>
    <t>waveIndex</t>
  </si>
  <si>
    <t>waveRewardGold</t>
  </si>
  <si>
    <t>duration</t>
  </si>
  <si>
    <t>*nodes</t>
  </si>
  <si>
    <t>timeElapsed</t>
  </si>
  <si>
    <t>totalNum</t>
  </si>
  <si>
    <t>onceIntervalTime</t>
  </si>
  <si>
    <t>onceCallNum</t>
  </si>
  <si>
    <t>monsterCfgId</t>
  </si>
  <si>
    <t>list,MonsterWaveCallNode</t>
  </si>
  <si>
    <t>刷怪规则</t>
  </si>
  <si>
    <t>波次结束奖励金币</t>
  </si>
  <si>
    <t>运行多久之后发生，单位：秒</t>
  </si>
  <si>
    <t>总刷怪数量</t>
  </si>
  <si>
    <t>出怪间隔</t>
  </si>
  <si>
    <t>一次出怪数量</t>
  </si>
  <si>
    <t>怪物id</t>
  </si>
  <si>
    <t>怪物等级</t>
  </si>
  <si>
    <t>单个击杀奖励金币</t>
  </si>
  <si>
    <t>MonsterWaveCallRule_Infinite</t>
    <phoneticPr fontId="4" type="noConversion"/>
  </si>
  <si>
    <t>辅助列</t>
    <phoneticPr fontId="4" type="noConversion"/>
  </si>
  <si>
    <t>资源路径</t>
  </si>
  <si>
    <t>移动速度</t>
  </si>
  <si>
    <t>转身速度</t>
  </si>
  <si>
    <t>是否需要检测Mesh(判断攻击目标时)</t>
  </si>
  <si>
    <t>攻击点高度(判断连通时会不会被阻挡)</t>
  </si>
  <si>
    <t>身体高度(判断位置，判断伤害什么的)</t>
  </si>
  <si>
    <t>身体半径(判断伤害什么的)</t>
  </si>
  <si>
    <t>资源大小缩放</t>
  </si>
  <si>
    <t>属性类型</t>
  </si>
  <si>
    <t>死亡表现</t>
  </si>
  <si>
    <t>Idle行为</t>
  </si>
  <si>
    <t>Move行为</t>
  </si>
  <si>
    <t>拥有技能列表</t>
  </si>
  <si>
    <t>Unit_Monster_Infinite_1_1</t>
  </si>
  <si>
    <t>DeathShow_1</t>
  </si>
  <si>
    <t>Timeline_Idle1</t>
  </si>
  <si>
    <t>Timeline_Move1</t>
  </si>
  <si>
    <t>Unit_Monster_Infinite_2_1</t>
  </si>
  <si>
    <t>Unit_Monster_Infinite_2_2</t>
  </si>
  <si>
    <t>Unit_Monster_Infinite_3_1</t>
  </si>
  <si>
    <t>Unit_Monster_Infinite_3_2</t>
  </si>
  <si>
    <t>Unit_Monster_Infinite_4_1</t>
  </si>
  <si>
    <t>Unit_Monster_Infinite_4_2</t>
  </si>
  <si>
    <t>Unit_Monster_Infinite_5_1</t>
  </si>
  <si>
    <t>Unit_Monster_Infinite_5_2</t>
  </si>
  <si>
    <t>Unit_Monster_Infinite_6_1</t>
  </si>
  <si>
    <t>Unit_Monster_Infinite_6_2</t>
  </si>
  <si>
    <t>Unit_Monster_Infinite_7_1</t>
  </si>
  <si>
    <t>Unit_Monster_Infinite_7_2</t>
  </si>
  <si>
    <t>Unit_Monster_Infinite_8_1</t>
  </si>
  <si>
    <t>Unit_Monster_Infinite_8_2</t>
  </si>
  <si>
    <t>Unit_Monster_Infinite_9_1</t>
  </si>
  <si>
    <t>Unit_Monster_Infinite_9_2</t>
  </si>
  <si>
    <t>Unit_Monster_Infinite_10_1</t>
  </si>
  <si>
    <t>Unit_Monster_Infinite_10_2</t>
  </si>
  <si>
    <t>Unit_Monster_Infinite_11_1</t>
  </si>
  <si>
    <t>Unit_Monster_Infinite_11_2</t>
  </si>
  <si>
    <t>Unit_Monster_Infinite_12_1</t>
  </si>
  <si>
    <t>Unit_Monster_Infinite_12_2</t>
  </si>
  <si>
    <t>Unit_Monster_Infinite_12_3</t>
  </si>
  <si>
    <t>Unit_Monster_Infinite_13_1</t>
  </si>
  <si>
    <t>Unit_Monster_Infinite_14_1</t>
  </si>
  <si>
    <t>Unit_Monster_Infinite_14_2</t>
  </si>
  <si>
    <t>Unit_Monster_Infinite_15_1</t>
  </si>
  <si>
    <t>Unit_Monster_Infinite_15_2</t>
  </si>
  <si>
    <t>Unit_Monster_Infinite_16_1</t>
  </si>
  <si>
    <t>Unit_Monster_Infinite_16_2</t>
  </si>
  <si>
    <t>Unit_Monster_Infinite_17_1</t>
  </si>
  <si>
    <t>Unit_Monster_Infinite_17_2</t>
  </si>
  <si>
    <t>Unit_Monster_Infinite_18_1</t>
  </si>
  <si>
    <t>Unit_Monster_Infinite_18_2</t>
  </si>
  <si>
    <t>Unit_Monster_Infinite_19_1</t>
  </si>
  <si>
    <t>Unit_Monster_Infinite_19_2</t>
  </si>
  <si>
    <t>Unit_Monster_Infinite_19_3</t>
  </si>
  <si>
    <t>Unit_Monster_Infinite_20_1</t>
  </si>
  <si>
    <t>Unit_Monster_Infinite_20_2</t>
  </si>
  <si>
    <t>Unit_Monster_Infinite_20_3</t>
  </si>
  <si>
    <t>Unit_Monster_Infinite_20_4</t>
  </si>
  <si>
    <t>res_id</t>
  </si>
  <si>
    <t>moveSpeed</t>
  </si>
  <si>
    <t>rotationSpeed</t>
  </si>
  <si>
    <t>isNeedChkMesh</t>
  </si>
  <si>
    <t>attackPointHeight</t>
  </si>
  <si>
    <t>bodyHeight</t>
  </si>
  <si>
    <t>bodyRadius</t>
  </si>
  <si>
    <t>resScale</t>
  </si>
  <si>
    <t>deathShow</t>
  </si>
  <si>
    <t>idle_timeline_id</t>
  </si>
  <si>
    <t>move_timeline_id</t>
  </si>
  <si>
    <t>skillList</t>
  </si>
  <si>
    <t>string#ref=ResUnitCfgCategory</t>
  </si>
  <si>
    <t>string#ref=propertyType@UnitPropertyCfgCategory</t>
  </si>
  <si>
    <t>string#ref=ActionCfg_DeathShowCategory</t>
  </si>
  <si>
    <t>(list#sep=;),string#ref=SkillCfgCategory</t>
  </si>
  <si>
    <t>Monster_Infinite_1_1</t>
  </si>
  <si>
    <t>Monster_Infinite_2_1</t>
  </si>
  <si>
    <t>Monster_Infinite_3_1</t>
  </si>
  <si>
    <t>Monster_Infinite_4_1</t>
  </si>
  <si>
    <t>Monster_Infinite_4_2</t>
  </si>
  <si>
    <t>Monster_Infinite_5_1</t>
  </si>
  <si>
    <t>Monster_Infinite_5_2</t>
  </si>
  <si>
    <t>Monster_Infinite_6_1</t>
  </si>
  <si>
    <t>Monster_Infinite_6_2</t>
  </si>
  <si>
    <t>Monster_Infinite_7_1</t>
  </si>
  <si>
    <t>Monster_Infinite_7_2</t>
  </si>
  <si>
    <t>Monster_Infinite_8_1</t>
  </si>
  <si>
    <t>Monster_Infinite_8_2</t>
  </si>
  <si>
    <t>Monster_Infinite_9_1</t>
  </si>
  <si>
    <t>Monster_Infinite_9_2</t>
  </si>
  <si>
    <t>Monster_Infinite_10_1</t>
  </si>
  <si>
    <t>Monster_Infinite_10_2</t>
  </si>
  <si>
    <t>Monster_Infinite_11_1</t>
  </si>
  <si>
    <t>Monster_Infinite_11_2</t>
  </si>
  <si>
    <t>Monster_Infinite_12_1</t>
  </si>
  <si>
    <t>Monster_Infinite_12_2</t>
  </si>
  <si>
    <t>Monster_Infinite_13_1</t>
  </si>
  <si>
    <t>Monster_Infinite_14_1</t>
  </si>
  <si>
    <t>Monster_Infinite_14_2</t>
  </si>
  <si>
    <t>Monster_Infinite_15_1</t>
  </si>
  <si>
    <t>Monster_Infinite_15_2</t>
  </si>
  <si>
    <t>Monster_Infinite_16_1</t>
  </si>
  <si>
    <t>Monster_Infinite_16_2</t>
  </si>
  <si>
    <t>Monster_Infinite_17_1</t>
  </si>
  <si>
    <t>Monster_Infinite_17_2</t>
  </si>
  <si>
    <t>Monster_Infinite_18_1</t>
  </si>
  <si>
    <t>Monster_Infinite_18_2</t>
  </si>
  <si>
    <t>Monster_Infinite_19_1</t>
  </si>
  <si>
    <t>Monster_Infinite_19_2</t>
  </si>
  <si>
    <t>Monster_Infinite_20_1</t>
  </si>
  <si>
    <t>Monster_Infinite_20_2</t>
  </si>
  <si>
    <t>体型系数</t>
    <phoneticPr fontId="4" type="noConversion"/>
  </si>
  <si>
    <t>Monster_Infinite_2_2</t>
  </si>
  <si>
    <t>Monster_Infinite_3_2</t>
  </si>
  <si>
    <t>Monster_Infinite_12_3</t>
  </si>
  <si>
    <t>Monster_Infinite_19_3</t>
  </si>
  <si>
    <t>Monster_Infinite_20_3</t>
  </si>
  <si>
    <t>Monster_Infinite_20_4</t>
  </si>
  <si>
    <t>无限模式怪物</t>
    <phoneticPr fontId="4" type="noConversion"/>
  </si>
  <si>
    <t>ResUnit_MiFeng1</t>
    <phoneticPr fontId="4" type="noConversion"/>
  </si>
  <si>
    <t>蜜蜂1</t>
  </si>
  <si>
    <t>蜜蜂2</t>
  </si>
  <si>
    <t>蜜蜂3</t>
  </si>
  <si>
    <t>蝙蝠1</t>
  </si>
  <si>
    <t>蝙蝠2</t>
  </si>
  <si>
    <t>蜘蛛1</t>
  </si>
  <si>
    <t>蜘蛛2</t>
  </si>
  <si>
    <t>蜘蛛3</t>
  </si>
  <si>
    <t>种子1</t>
  </si>
  <si>
    <t>种子2</t>
  </si>
  <si>
    <t>种子3</t>
  </si>
  <si>
    <t>鬼1</t>
  </si>
  <si>
    <t>鬼2</t>
  </si>
  <si>
    <t>鬼3</t>
  </si>
  <si>
    <t>蛋1</t>
  </si>
  <si>
    <t>蛋2</t>
  </si>
  <si>
    <t>蛋3</t>
  </si>
  <si>
    <t>蜜蜂1</t>
    <phoneticPr fontId="4" type="noConversion"/>
  </si>
  <si>
    <t>蜜蜂2</t>
    <phoneticPr fontId="4" type="noConversion"/>
  </si>
  <si>
    <t>蝙蝠1</t>
    <phoneticPr fontId="4" type="noConversion"/>
  </si>
  <si>
    <t>蜜蜂3</t>
    <phoneticPr fontId="4" type="noConversion"/>
  </si>
  <si>
    <t>蜘蛛1</t>
    <phoneticPr fontId="4" type="noConversion"/>
  </si>
  <si>
    <t>蝙蝠2</t>
    <phoneticPr fontId="4" type="noConversion"/>
  </si>
  <si>
    <t>蜘蛛3</t>
    <phoneticPr fontId="4" type="noConversion"/>
  </si>
  <si>
    <t>种子1</t>
    <phoneticPr fontId="4" type="noConversion"/>
  </si>
  <si>
    <t>蜘蛛2</t>
    <phoneticPr fontId="4" type="noConversion"/>
  </si>
  <si>
    <t>种子3</t>
    <phoneticPr fontId="4" type="noConversion"/>
  </si>
  <si>
    <t>鬼1</t>
    <phoneticPr fontId="4" type="noConversion"/>
  </si>
  <si>
    <t>种子2</t>
    <phoneticPr fontId="4" type="noConversion"/>
  </si>
  <si>
    <t>鬼3</t>
    <phoneticPr fontId="4" type="noConversion"/>
  </si>
  <si>
    <t>蛋1</t>
    <phoneticPr fontId="4" type="noConversion"/>
  </si>
  <si>
    <t>蛋2</t>
    <phoneticPr fontId="4" type="noConversion"/>
  </si>
  <si>
    <t>蛋3</t>
    <phoneticPr fontId="4" type="noConversion"/>
  </si>
  <si>
    <t>鬼2</t>
    <phoneticPr fontId="4" type="noConversion"/>
  </si>
  <si>
    <t>Skill_Monster_Infinite_9_2_ZhongZi</t>
  </si>
  <si>
    <t>Skill_Monster_Infinite_10_2_ZhongZi</t>
  </si>
  <si>
    <t>Skill_Monster_Infinite_11_1_ZhongZi</t>
  </si>
  <si>
    <t>Skill_Monster_Infinite_12_2_ZhongZi</t>
  </si>
  <si>
    <t>Skill_Monster_Infinite_12_3_ZhongZi</t>
  </si>
  <si>
    <t>Skill_Monster_Infinite_13_1_Gui</t>
  </si>
  <si>
    <t>Skill_Monster_Infinite_14_1_Gui</t>
  </si>
  <si>
    <t>Skill_Monster_Infinite_15_1_Gui</t>
  </si>
  <si>
    <t>Skill_Monster_Infinite_15_2_ZhongZi</t>
  </si>
  <si>
    <t>Skill_Monster_Infinite_16_2_Gui</t>
  </si>
  <si>
    <t>Skill_Monster_Infinite_17_2_Dan</t>
  </si>
  <si>
    <t>Skill_Monster_Infinite_18_1_Dan</t>
  </si>
  <si>
    <t>Skill_Monster_Infinite_19_3_ZhongZi</t>
  </si>
  <si>
    <t>Skill_Monster_Infinite_20_1_Dan</t>
  </si>
  <si>
    <t>Skill_Monster_Infinite_20_2_Gui</t>
  </si>
  <si>
    <t>Skill_Monster_Infinite_20_3_ZhongZi</t>
  </si>
  <si>
    <t>Skill_Monster_Infinite_20_4_Dan</t>
  </si>
  <si>
    <t>FixedBlood</t>
  </si>
  <si>
    <t>DamageUnit_Infinite_9_2_ZhongZi</t>
  </si>
  <si>
    <t>无限模式怪物恢复技能_固定回血</t>
    <phoneticPr fontId="4" type="noConversion"/>
  </si>
  <si>
    <t>DamageUnit_Infinite_10_2_ZhongZi</t>
  </si>
  <si>
    <t>DamageUnit_Infinite_11_1_ZhongZi</t>
  </si>
  <si>
    <t>DamageUnit_Infinite_12_2_ZhongZi</t>
  </si>
  <si>
    <t>DamageUnit_Infinite_12_3_ZhongZi</t>
  </si>
  <si>
    <t>DamageUnit_Infinite_15_2_ZhongZi</t>
  </si>
  <si>
    <t>DamageUnit_Infinite_19_3_ZhongZi</t>
  </si>
  <si>
    <t>DamageUnit_Infinite_20_3_ZhongZi</t>
  </si>
  <si>
    <t>卡池</t>
    <phoneticPr fontId="4" type="noConversion"/>
  </si>
  <si>
    <t>加农炮</t>
    <phoneticPr fontId="4" type="noConversion"/>
  </si>
  <si>
    <t>每关敌人（难度≈杀光怪所需时间）：</t>
    <phoneticPr fontId="4" type="noConversion"/>
  </si>
  <si>
    <t>波次1</t>
    <phoneticPr fontId="4" type="noConversion"/>
  </si>
  <si>
    <t>波次2</t>
  </si>
  <si>
    <t>波次3</t>
  </si>
  <si>
    <t>波次4</t>
  </si>
  <si>
    <t>波次5</t>
  </si>
  <si>
    <t>火焰塔</t>
    <phoneticPr fontId="4" type="noConversion"/>
  </si>
  <si>
    <t>加速塔</t>
    <phoneticPr fontId="4" type="noConversion"/>
  </si>
  <si>
    <t>龙击炮</t>
    <phoneticPr fontId="4" type="noConversion"/>
  </si>
  <si>
    <t>混合</t>
    <phoneticPr fontId="4" type="noConversion"/>
  </si>
  <si>
    <t>混合+</t>
    <phoneticPr fontId="4" type="noConversion"/>
  </si>
  <si>
    <t>混合++</t>
    <phoneticPr fontId="4" type="noConversion"/>
  </si>
  <si>
    <t>普通+快速</t>
    <phoneticPr fontId="4" type="noConversion"/>
  </si>
  <si>
    <t>集群+快速</t>
    <phoneticPr fontId="4" type="noConversion"/>
  </si>
  <si>
    <t>普通+治疗</t>
    <phoneticPr fontId="4" type="noConversion"/>
  </si>
  <si>
    <t>集群+治疗</t>
    <phoneticPr fontId="4" type="noConversion"/>
  </si>
  <si>
    <t>隐身+快速</t>
    <phoneticPr fontId="4" type="noConversion"/>
  </si>
  <si>
    <t>隐身+集群</t>
    <phoneticPr fontId="4" type="noConversion"/>
  </si>
  <si>
    <t>隐身+治疗</t>
    <phoneticPr fontId="4" type="noConversion"/>
  </si>
  <si>
    <t>隐身+普通</t>
    <phoneticPr fontId="4" type="noConversion"/>
  </si>
  <si>
    <t>弱化</t>
    <phoneticPr fontId="4" type="noConversion"/>
  </si>
  <si>
    <t>弱化+快速</t>
    <phoneticPr fontId="4" type="noConversion"/>
  </si>
  <si>
    <t>弱化+治疗</t>
    <phoneticPr fontId="4" type="noConversion"/>
  </si>
  <si>
    <t>弱化+隐身</t>
    <phoneticPr fontId="4" type="noConversion"/>
  </si>
  <si>
    <t>弱化+BOSS</t>
    <phoneticPr fontId="4" type="noConversion"/>
  </si>
  <si>
    <t>治疗+快速</t>
    <phoneticPr fontId="4" type="noConversion"/>
  </si>
  <si>
    <t>时长</t>
    <phoneticPr fontId="4" type="noConversion"/>
  </si>
  <si>
    <t>怪物出怪间隔（s）</t>
    <phoneticPr fontId="4" type="noConversion"/>
  </si>
  <si>
    <t>单局养成速度（所需回合数）</t>
    <phoneticPr fontId="4" type="noConversion"/>
  </si>
  <si>
    <t>ID</t>
    <phoneticPr fontId="4" type="noConversion"/>
  </si>
  <si>
    <t>回复怪</t>
    <phoneticPr fontId="4" type="noConversion"/>
  </si>
  <si>
    <t>TowerDefenseCfg_Challenge1</t>
  </si>
  <si>
    <t>TowerDefenseCfg_Challenge2</t>
  </si>
  <si>
    <t>TowerDefenseCfg_Challenge3</t>
  </si>
  <si>
    <t>TowerDefenseCfg_Challenge4</t>
  </si>
  <si>
    <t>TowerDefenseCfg_Challenge5</t>
  </si>
  <si>
    <t>挑战关卡1</t>
    <phoneticPr fontId="4" type="noConversion"/>
  </si>
  <si>
    <t>挑战关卡2</t>
  </si>
  <si>
    <t>挑战关卡3</t>
  </si>
  <si>
    <t>挑战关卡4</t>
  </si>
  <si>
    <t>挑战关卡5</t>
  </si>
  <si>
    <t>BuyTowerRefreshRule_Infinite</t>
    <phoneticPr fontId="4" type="noConversion"/>
  </si>
  <si>
    <t>BuyTowerRefreshRule_Challenge1</t>
  </si>
  <si>
    <t>MonsterWaveCallRule_Challenge1</t>
  </si>
  <si>
    <t>BuyTowerRefreshRule_Challenge2</t>
  </si>
  <si>
    <t>MonsterWaveCallRule_Challenge2</t>
  </si>
  <si>
    <t>BuyTowerRefreshRule_Challenge3</t>
  </si>
  <si>
    <t>MonsterWaveCallRule_Challenge3</t>
  </si>
  <si>
    <t>BuyTowerRefreshRule_Challenge4</t>
  </si>
  <si>
    <t>MonsterWaveCallRule_Challenge4</t>
  </si>
  <si>
    <t>BuyTowerRefreshRule_Challenge5</t>
  </si>
  <si>
    <t>MonsterWaveCallRule_Challenge5</t>
  </si>
  <si>
    <t>无限模式怪物1_1</t>
  </si>
  <si>
    <t>无限模式怪物2_1</t>
  </si>
  <si>
    <t>无限模式怪物2_2</t>
  </si>
  <si>
    <t>无限模式怪物3_1</t>
  </si>
  <si>
    <t>无限模式怪物3_2</t>
  </si>
  <si>
    <t>无限模式怪物4_1</t>
  </si>
  <si>
    <t>无限模式怪物4_2</t>
  </si>
  <si>
    <t>无限模式怪物5_1</t>
  </si>
  <si>
    <t>无限模式怪物5_2</t>
  </si>
  <si>
    <t>无限模式怪物6_1</t>
  </si>
  <si>
    <t>无限模式怪物6_2</t>
  </si>
  <si>
    <t>无限模式怪物7_1</t>
  </si>
  <si>
    <t>无限模式怪物7_2</t>
  </si>
  <si>
    <t>无限模式怪物8_1</t>
  </si>
  <si>
    <t>无限模式怪物8_2</t>
  </si>
  <si>
    <t>无限模式怪物9_1</t>
  </si>
  <si>
    <t>无限模式怪物9_2</t>
  </si>
  <si>
    <t>无限模式怪物10_1</t>
  </si>
  <si>
    <t>无限模式怪物10_2</t>
  </si>
  <si>
    <t>无限模式怪物11_1</t>
  </si>
  <si>
    <t>无限模式怪物11_2</t>
  </si>
  <si>
    <t>无限模式怪物12_1</t>
  </si>
  <si>
    <t>无限模式怪物12_2</t>
  </si>
  <si>
    <t>无限模式怪物12_3</t>
  </si>
  <si>
    <t>无限模式怪物13_1</t>
  </si>
  <si>
    <t>无限模式怪物14_1</t>
  </si>
  <si>
    <t>无限模式怪物14_2</t>
  </si>
  <si>
    <t>无限模式怪物15_1</t>
  </si>
  <si>
    <t>无限模式怪物15_2</t>
  </si>
  <si>
    <t>无限模式怪物16_1</t>
  </si>
  <si>
    <t>无限模式怪物16_2</t>
  </si>
  <si>
    <t>无限模式怪物17_1</t>
  </si>
  <si>
    <t>无限模式怪物17_2</t>
  </si>
  <si>
    <t>无限模式怪物18_1</t>
  </si>
  <si>
    <t>无限模式怪物18_2</t>
  </si>
  <si>
    <t>无限模式怪物19_1</t>
  </si>
  <si>
    <t>无限模式怪物19_2</t>
  </si>
  <si>
    <t>无限模式怪物19_3</t>
  </si>
  <si>
    <t>无限模式怪物20_1</t>
  </si>
  <si>
    <t>无限模式怪物20_2</t>
  </si>
  <si>
    <t>无限模式怪物20_3</t>
  </si>
  <si>
    <t>无限模式怪物20_4</t>
  </si>
  <si>
    <t>挑战关卡怪物1_1_1</t>
  </si>
  <si>
    <t>挑战关卡怪物1_2_1</t>
  </si>
  <si>
    <t>挑战关卡怪物2_1_1</t>
  </si>
  <si>
    <t>挑战关卡怪物2_2_1</t>
  </si>
  <si>
    <t>挑战关卡怪物2_2_2</t>
  </si>
  <si>
    <t>挑战关卡怪物2_3_1</t>
  </si>
  <si>
    <t>挑战关卡怪物2_3_2</t>
  </si>
  <si>
    <t>挑战关卡怪物3_2_1</t>
  </si>
  <si>
    <t>挑战关卡怪物3_2_2</t>
  </si>
  <si>
    <t>挑战关卡怪物3_3_1</t>
  </si>
  <si>
    <t>挑战关卡怪物3_3_2</t>
  </si>
  <si>
    <t>挑战关卡怪物4_1_1</t>
  </si>
  <si>
    <t>挑战关卡怪物4_2_1</t>
  </si>
  <si>
    <t>挑战关卡怪物4_2_2</t>
  </si>
  <si>
    <t>挑战关卡怪物4_3_1</t>
  </si>
  <si>
    <t>挑战关卡怪物4_3_2</t>
  </si>
  <si>
    <t>挑战关卡怪物5_1_1</t>
  </si>
  <si>
    <t>挑战关卡怪物5_2_1</t>
  </si>
  <si>
    <t>挑战关卡怪物5_2_2</t>
  </si>
  <si>
    <t>挑战关卡怪物5_3_1</t>
  </si>
  <si>
    <t>挑战关卡怪物5_3_2</t>
  </si>
  <si>
    <t>挑战关卡怪物5_3_3</t>
  </si>
  <si>
    <t>挑战关卡怪物5_4_1</t>
  </si>
  <si>
    <t>挑战关卡怪物5_4_2</t>
  </si>
  <si>
    <t>挑战关卡怪物5_5_1</t>
  </si>
  <si>
    <t>挑战关卡怪物5_5_2</t>
  </si>
  <si>
    <t>挑战关卡怪物5_5_3</t>
  </si>
  <si>
    <t>挑战关卡怪物5_5_4</t>
  </si>
  <si>
    <t>Unit_Monster_Challenge1_1_1</t>
  </si>
  <si>
    <t>Unit_Monster_Challenge1_2_1</t>
  </si>
  <si>
    <t>Unit_Monster_Challenge2_1_1</t>
  </si>
  <si>
    <t>Unit_Monster_Challenge2_2_1</t>
  </si>
  <si>
    <t>Unit_Monster_Challenge2_2_2</t>
  </si>
  <si>
    <t>Unit_Monster_Challenge2_3_1</t>
  </si>
  <si>
    <t>Unit_Monster_Challenge2_3_2</t>
  </si>
  <si>
    <t>Unit_Monster_Challenge3_2_1</t>
  </si>
  <si>
    <t>Unit_Monster_Challenge3_2_2</t>
  </si>
  <si>
    <t>Unit_Monster_Challenge3_3_1</t>
  </si>
  <si>
    <t>Unit_Monster_Challenge3_3_2</t>
  </si>
  <si>
    <t>Unit_Monster_Challenge4_1_1</t>
  </si>
  <si>
    <t>Unit_Monster_Challenge4_2_1</t>
  </si>
  <si>
    <t>Unit_Monster_Challenge4_2_2</t>
  </si>
  <si>
    <t>Unit_Monster_Challenge4_3_1</t>
  </si>
  <si>
    <t>Unit_Monster_Challenge4_3_2</t>
  </si>
  <si>
    <t>Unit_Monster_Challenge5_2_1</t>
  </si>
  <si>
    <t>Unit_Monster_Challenge5_2_2</t>
  </si>
  <si>
    <t>Unit_Monster_Challenge5_3_1</t>
  </si>
  <si>
    <t>Unit_Monster_Challenge5_3_2</t>
  </si>
  <si>
    <t>Unit_Monster_Challenge5_3_3</t>
  </si>
  <si>
    <t>Unit_Monster_Challenge5_4_1</t>
  </si>
  <si>
    <t>Unit_Monster_Challenge5_4_2</t>
  </si>
  <si>
    <t>Unit_Monster_Challenge5_5_1</t>
  </si>
  <si>
    <t>Unit_Monster_Challenge5_5_2</t>
  </si>
  <si>
    <t>Unit_Monster_Challenge5_5_3</t>
  </si>
  <si>
    <t>Unit_Monster_Challenge5_5_4</t>
  </si>
  <si>
    <t>Monster_Infinite_1_1</t>
    <phoneticPr fontId="4" type="noConversion"/>
  </si>
  <si>
    <t>Monster_Challenge1_1_1</t>
  </si>
  <si>
    <t>Monster_Challenge1_2_1</t>
  </si>
  <si>
    <t>Monster_Challenge2_1_1</t>
  </si>
  <si>
    <t>Monster_Challenge2_2_1</t>
  </si>
  <si>
    <t>Monster_Challenge2_2_2</t>
  </si>
  <si>
    <t>Monster_Challenge2_3_1</t>
  </si>
  <si>
    <t>Monster_Challenge2_3_2</t>
  </si>
  <si>
    <t>Monster_Challenge3_2_1</t>
  </si>
  <si>
    <t>Monster_Challenge3_2_2</t>
  </si>
  <si>
    <t>Monster_Challenge3_3_1</t>
  </si>
  <si>
    <t>Monster_Challenge3_3_2</t>
  </si>
  <si>
    <t>Monster_Challenge4_1_1</t>
  </si>
  <si>
    <t>Monster_Challenge4_2_1</t>
  </si>
  <si>
    <t>Monster_Challenge4_2_2</t>
  </si>
  <si>
    <t>Monster_Challenge4_3_1</t>
  </si>
  <si>
    <t>Monster_Challenge4_3_2</t>
  </si>
  <si>
    <t>Monster_Challenge5_1_1</t>
  </si>
  <si>
    <t>Monster_Challenge5_2_1</t>
  </si>
  <si>
    <t>Monster_Challenge5_2_2</t>
  </si>
  <si>
    <t>Monster_Challenge5_3_1</t>
  </si>
  <si>
    <t>Monster_Challenge5_3_2</t>
  </si>
  <si>
    <t>Monster_Challenge5_3_3</t>
  </si>
  <si>
    <t>Monster_Challenge5_4_1</t>
  </si>
  <si>
    <t>Monster_Challenge5_4_2</t>
  </si>
  <si>
    <t>Monster_Challenge5_5_1</t>
  </si>
  <si>
    <t>Monster_Challenge5_5_2</t>
  </si>
  <si>
    <t>Monster_Challenge5_5_3</t>
  </si>
  <si>
    <t>Monster_Challenge5_5_4</t>
  </si>
  <si>
    <t>Skill_Monster_Challenge3_1_1</t>
  </si>
  <si>
    <t>Skill_Monster_Challenge3_2_1</t>
  </si>
  <si>
    <t>Skill_Monster_Challenge3_3_1</t>
  </si>
  <si>
    <t>Skill_Monster_Challenge3_4_1</t>
  </si>
  <si>
    <t>Skill_Monster_Challenge3_5_1</t>
  </si>
  <si>
    <t>Skill_Monster_Challenge4_5_2</t>
  </si>
  <si>
    <t>Skill_Monster_Challenge5_5_3</t>
  </si>
  <si>
    <t>BuffAdd_Monster_Challenge3_1_1</t>
  </si>
  <si>
    <t>BuffAdd_Monster_Challenge3_2_1</t>
  </si>
  <si>
    <t>BuffAdd_Monster_Challenge3_3_1</t>
  </si>
  <si>
    <t>BuffAdd_Monster_Challenge3_4_1</t>
  </si>
  <si>
    <t>BuffAdd_Monster_Challenge3_5_1</t>
  </si>
  <si>
    <t>BuffAdd_Monster_Challenge4_5_2</t>
  </si>
  <si>
    <t>BuffAdd_Monster_Challenge5_5_3</t>
  </si>
  <si>
    <t>DamageUnit_Monster_Challenge3_1_1</t>
  </si>
  <si>
    <t>挑战关卡怪物恢复技能_固定回血</t>
  </si>
  <si>
    <t>DamageUnit_Monster_Challenge3_2_1</t>
  </si>
  <si>
    <t>DamageUnit_Monster_Challenge3_3_1</t>
  </si>
  <si>
    <t>DamageUnit_Monster_Challenge3_4_1</t>
  </si>
  <si>
    <t>DamageUnit_Monster_Challenge3_5_1</t>
  </si>
  <si>
    <t>DamageUnit_Monster_Challenge4_5_2</t>
  </si>
  <si>
    <t>DamageUnit_Monster_Challenge5_5_3</t>
  </si>
  <si>
    <t>最低过关要求：放任意塔</t>
    <phoneticPr fontId="4" type="noConversion"/>
  </si>
  <si>
    <t>最低过关要求：放减速塔</t>
  </si>
  <si>
    <t>最低过关要求：升级塔</t>
  </si>
  <si>
    <t>最低过关要求：升级塔+曲折路线</t>
    <phoneticPr fontId="4" type="noConversion"/>
  </si>
  <si>
    <t>最低过关要求：升级塔+曲折路线+改变塔位置</t>
    <phoneticPr fontId="4" type="noConversion"/>
  </si>
  <si>
    <t>Skill_Monster_Challenge4_1_1</t>
  </si>
  <si>
    <t>Skill_Monster_Challenge4_2_1</t>
  </si>
  <si>
    <t>Skill_Monster_Challenge4_3_1</t>
  </si>
  <si>
    <t>Skill_Monster_Challenge4_4_1</t>
  </si>
  <si>
    <t>Skill_Monster_Challenge4_5_1</t>
  </si>
  <si>
    <t>Skill_Monster_Challenge5_3_3</t>
  </si>
  <si>
    <t>Skill_Monster_Challenge5_4_2</t>
  </si>
  <si>
    <t>Skill_Monster_Challenge5_5_2</t>
  </si>
  <si>
    <t>挑战关卡怪物技能_回复</t>
    <phoneticPr fontId="4" type="noConversion"/>
  </si>
  <si>
    <t>挑战关卡怪物技能_隐身</t>
    <phoneticPr fontId="4" type="noConversion"/>
  </si>
  <si>
    <t>BuffAdd_Monster_Challenge4_1_1</t>
  </si>
  <si>
    <t>BuffAdd_Monster_Challenge4_2_1</t>
  </si>
  <si>
    <t>BuffAdd_Monster_Challenge4_3_1</t>
  </si>
  <si>
    <t>BuffAdd_Monster_Challenge4_4_1</t>
  </si>
  <si>
    <t>BuffAdd_Monster_Challenge4_5_1</t>
  </si>
  <si>
    <t>BuffAdd_Monster_Challenge5_3_3</t>
  </si>
  <si>
    <t>BuffAdd_Monster_Challenge5_4_2</t>
  </si>
  <si>
    <t>BuffAdd_Monster_Challenge5_5_2</t>
  </si>
  <si>
    <t>Skill_Monster_Challenge5_1_1</t>
  </si>
  <si>
    <t>Skill_Monster_Challenge5_2_1</t>
  </si>
  <si>
    <t>Skill_Monster_Challenge5_3_1</t>
  </si>
  <si>
    <t>Skill_Monster_Challenge5_4_1</t>
  </si>
  <si>
    <t>Skill_Monster_Challenge5_5_1</t>
  </si>
  <si>
    <t>Skill_Monster_Challenge5_5_4</t>
  </si>
  <si>
    <t>赛季</t>
    <phoneticPr fontId="4" type="noConversion"/>
  </si>
  <si>
    <t>活动</t>
    <phoneticPr fontId="4" type="noConversion"/>
  </si>
  <si>
    <t>总时长(单位秒,超出后失败)</t>
  </si>
  <si>
    <t>偷钱</t>
    <phoneticPr fontId="4" type="noConversion"/>
  </si>
  <si>
    <t>鸟1</t>
    <phoneticPr fontId="4" type="noConversion"/>
  </si>
  <si>
    <t>鸟2</t>
  </si>
  <si>
    <t>鸟3</t>
  </si>
  <si>
    <t>ResUnit_Niao1</t>
    <phoneticPr fontId="4" type="noConversion"/>
  </si>
  <si>
    <t>ResUnit_Niao2</t>
  </si>
  <si>
    <t>ResUnit_Niao3</t>
  </si>
  <si>
    <t>加速</t>
    <phoneticPr fontId="4" type="noConversion"/>
  </si>
  <si>
    <t>挑战关卡6</t>
  </si>
  <si>
    <t>挑战关卡7</t>
  </si>
  <si>
    <t>挑战关卡8</t>
  </si>
  <si>
    <t>挑战关卡9</t>
  </si>
  <si>
    <t>挑战关卡10</t>
  </si>
  <si>
    <t>TowerDefenseCfg_Challenge6</t>
  </si>
  <si>
    <t>TowerDefenseCfg_Challenge7</t>
  </si>
  <si>
    <t>TowerDefenseCfg_Challenge8</t>
  </si>
  <si>
    <t>TowerDefenseCfg_Challenge9</t>
  </si>
  <si>
    <t>TowerDefenseCfg_Challenge10</t>
  </si>
  <si>
    <t>BuyTowerRefreshRule_Challenge6</t>
  </si>
  <si>
    <t>MonsterWaveCallRule_Challenge6</t>
  </si>
  <si>
    <t>BuyTowerRefreshRule_Challenge7</t>
  </si>
  <si>
    <t>MonsterWaveCallRule_Challenge7</t>
  </si>
  <si>
    <t>BuyTowerRefreshRule_Challenge8</t>
  </si>
  <si>
    <t>MonsterWaveCallRule_Challenge8</t>
  </si>
  <si>
    <t>BuyTowerRefreshRule_Challenge9</t>
  </si>
  <si>
    <t>MonsterWaveCallRule_Challenge9</t>
  </si>
  <si>
    <t>BuyTowerRefreshRule_Challenge10</t>
  </si>
  <si>
    <t>MonsterWaveCallRule_Challenge10</t>
  </si>
  <si>
    <t>create_action_id</t>
    <phoneticPr fontId="4" type="noConversion"/>
  </si>
  <si>
    <t>生成时Action事件id（对应ActionConfig文件夹下表格）</t>
    <phoneticPr fontId="4" type="noConversion"/>
  </si>
  <si>
    <t>Unit_Monster_Challenge6_1_1</t>
  </si>
  <si>
    <t>Unit_Monster_Challenge6_1_2</t>
  </si>
  <si>
    <t>Unit_Monster_Challenge6_2_1</t>
  </si>
  <si>
    <t>Unit_Monster_Challenge6_2_2</t>
  </si>
  <si>
    <t>Unit_Monster_Challenge6_3_1</t>
  </si>
  <si>
    <t>Unit_Monster_Challenge6_3_2</t>
  </si>
  <si>
    <t>Unit_Monster_Challenge6_3_3</t>
  </si>
  <si>
    <t>Unit_Monster_Challenge6_4_1</t>
  </si>
  <si>
    <t>Unit_Monster_Challenge6_4_2</t>
  </si>
  <si>
    <t>Unit_Monster_Challenge6_4_3</t>
  </si>
  <si>
    <t>Unit_Monster_Challenge6_5_1</t>
  </si>
  <si>
    <t>Unit_Monster_Challenge6_5_2</t>
  </si>
  <si>
    <t>Unit_Monster_Challenge6_5_3</t>
  </si>
  <si>
    <t>Unit_Monster_Challenge7_1_1</t>
  </si>
  <si>
    <t>Unit_Monster_Challenge7_2_1</t>
  </si>
  <si>
    <t>Unit_Monster_Challenge7_2_2</t>
  </si>
  <si>
    <t>Unit_Monster_Challenge7_3_1</t>
  </si>
  <si>
    <t>Unit_Monster_Challenge7_3_2</t>
  </si>
  <si>
    <t>Unit_Monster_Challenge7_3_3</t>
  </si>
  <si>
    <t>Unit_Monster_Challenge7_4_1</t>
  </si>
  <si>
    <t>Unit_Monster_Challenge7_4_2</t>
  </si>
  <si>
    <t>Unit_Monster_Challenge7_4_3</t>
  </si>
  <si>
    <t>Unit_Monster_Challenge7_5_1</t>
  </si>
  <si>
    <t>Unit_Monster_Challenge7_5_2</t>
  </si>
  <si>
    <t>Unit_Monster_Challenge7_5_3</t>
  </si>
  <si>
    <t>Unit_Monster_Challenge8_1_1</t>
  </si>
  <si>
    <t>Unit_Monster_Challenge8_1_2</t>
  </si>
  <si>
    <t>Unit_Monster_Challenge8_2_1</t>
  </si>
  <si>
    <t>Unit_Monster_Challenge8_2_2</t>
  </si>
  <si>
    <t>Unit_Monster_Challenge8_2_3</t>
  </si>
  <si>
    <t>Unit_Monster_Challenge8_3_1</t>
  </si>
  <si>
    <t>Unit_Monster_Challenge8_3_2</t>
  </si>
  <si>
    <t>Unit_Monster_Challenge8_3_3</t>
  </si>
  <si>
    <t>Unit_Monster_Challenge8_4_1</t>
  </si>
  <si>
    <t>Unit_Monster_Challenge8_4_2</t>
  </si>
  <si>
    <t>Unit_Monster_Challenge8_4_3</t>
  </si>
  <si>
    <t>Unit_Monster_Challenge8_5_1</t>
  </si>
  <si>
    <t>Unit_Monster_Challenge8_5_2</t>
  </si>
  <si>
    <t>Unit_Monster_Challenge8_5_3</t>
  </si>
  <si>
    <t>Unit_Monster_Challenge8_5_4</t>
  </si>
  <si>
    <t>Unit_Monster_Challenge9_1_1</t>
  </si>
  <si>
    <t>Unit_Monster_Challenge9_1_2</t>
  </si>
  <si>
    <t>Unit_Monster_Challenge9_2_1</t>
  </si>
  <si>
    <t>Unit_Monster_Challenge9_2_2</t>
  </si>
  <si>
    <t>Unit_Monster_Challenge9_3_1</t>
  </si>
  <si>
    <t>Unit_Monster_Challenge9_3_2</t>
  </si>
  <si>
    <t>Unit_Monster_Challenge9_3_3</t>
  </si>
  <si>
    <t>Unit_Monster_Challenge9_4_1</t>
  </si>
  <si>
    <t>Unit_Monster_Challenge9_4_2</t>
  </si>
  <si>
    <t>Unit_Monster_Challenge9_4_3</t>
  </si>
  <si>
    <t>Unit_Monster_Challenge9_5_1</t>
  </si>
  <si>
    <t>Unit_Monster_Challenge9_5_2</t>
  </si>
  <si>
    <t>Unit_Monster_Challenge9_5_3</t>
  </si>
  <si>
    <t>Unit_Monster_Challenge10_1_1</t>
  </si>
  <si>
    <t>Unit_Monster_Challenge10_1_2</t>
  </si>
  <si>
    <t>Unit_Monster_Challenge10_2_1</t>
  </si>
  <si>
    <t>Unit_Monster_Challenge10_2_2</t>
  </si>
  <si>
    <t>Unit_Monster_Challenge10_3_1</t>
  </si>
  <si>
    <t>Unit_Monster_Challenge10_3_2</t>
  </si>
  <si>
    <t>Unit_Monster_Challenge10_3_3</t>
  </si>
  <si>
    <t>Unit_Monster_Challenge10_4_1</t>
  </si>
  <si>
    <t>Unit_Monster_Challenge10_4_2</t>
  </si>
  <si>
    <t>Unit_Monster_Challenge10_4_3</t>
  </si>
  <si>
    <t>Unit_Monster_Challenge10_5_1</t>
  </si>
  <si>
    <t>Unit_Monster_Challenge10_5_2</t>
  </si>
  <si>
    <t>Unit_Monster_Challenge10_5_3</t>
  </si>
  <si>
    <t>挑战关卡怪物6_1_1</t>
  </si>
  <si>
    <t>挑战关卡怪物6_1_2</t>
  </si>
  <si>
    <t>挑战关卡怪物6_2_1</t>
  </si>
  <si>
    <t>挑战关卡怪物6_2_2</t>
  </si>
  <si>
    <t>挑战关卡怪物6_3_1</t>
  </si>
  <si>
    <t>挑战关卡怪物6_3_2</t>
  </si>
  <si>
    <t>挑战关卡怪物6_3_3</t>
  </si>
  <si>
    <t>挑战关卡怪物6_4_1</t>
  </si>
  <si>
    <t>挑战关卡怪物6_4_2</t>
  </si>
  <si>
    <t>挑战关卡怪物6_4_3</t>
  </si>
  <si>
    <t>挑战关卡怪物6_5_1</t>
  </si>
  <si>
    <t>挑战关卡怪物6_5_2</t>
  </si>
  <si>
    <t>挑战关卡怪物6_5_3</t>
  </si>
  <si>
    <t>挑战关卡怪物7_1_1</t>
  </si>
  <si>
    <t>挑战关卡怪物7_2_1</t>
  </si>
  <si>
    <t>挑战关卡怪物7_2_2</t>
  </si>
  <si>
    <t>挑战关卡怪物7_3_1</t>
  </si>
  <si>
    <t>挑战关卡怪物7_3_2</t>
  </si>
  <si>
    <t>挑战关卡怪物7_3_3</t>
  </si>
  <si>
    <t>挑战关卡怪物7_4_1</t>
  </si>
  <si>
    <t>挑战关卡怪物7_4_2</t>
  </si>
  <si>
    <t>挑战关卡怪物7_4_3</t>
  </si>
  <si>
    <t>挑战关卡怪物7_5_1</t>
  </si>
  <si>
    <t>挑战关卡怪物7_5_2</t>
  </si>
  <si>
    <t>挑战关卡怪物7_5_3</t>
  </si>
  <si>
    <t>挑战关卡怪物8_1_1</t>
  </si>
  <si>
    <t>挑战关卡怪物8_1_2</t>
  </si>
  <si>
    <t>挑战关卡怪物8_2_1</t>
  </si>
  <si>
    <t>挑战关卡怪物8_2_2</t>
  </si>
  <si>
    <t>挑战关卡怪物8_2_3</t>
  </si>
  <si>
    <t>挑战关卡怪物8_3_1</t>
  </si>
  <si>
    <t>挑战关卡怪物8_3_2</t>
  </si>
  <si>
    <t>挑战关卡怪物8_3_3</t>
  </si>
  <si>
    <t>挑战关卡怪物8_4_1</t>
  </si>
  <si>
    <t>挑战关卡怪物8_4_2</t>
  </si>
  <si>
    <t>挑战关卡怪物8_4_3</t>
  </si>
  <si>
    <t>挑战关卡怪物8_5_1</t>
  </si>
  <si>
    <t>挑战关卡怪物8_5_2</t>
  </si>
  <si>
    <t>挑战关卡怪物8_5_3</t>
  </si>
  <si>
    <t>挑战关卡怪物8_5_4</t>
  </si>
  <si>
    <t>挑战关卡怪物9_1_1</t>
  </si>
  <si>
    <t>挑战关卡怪物9_1_2</t>
  </si>
  <si>
    <t>挑战关卡怪物9_2_1</t>
  </si>
  <si>
    <t>挑战关卡怪物9_2_2</t>
  </si>
  <si>
    <t>挑战关卡怪物9_3_1</t>
  </si>
  <si>
    <t>挑战关卡怪物9_3_2</t>
  </si>
  <si>
    <t>挑战关卡怪物9_3_3</t>
  </si>
  <si>
    <t>挑战关卡怪物9_4_1</t>
  </si>
  <si>
    <t>挑战关卡怪物9_4_2</t>
  </si>
  <si>
    <t>挑战关卡怪物9_4_3</t>
  </si>
  <si>
    <t>挑战关卡怪物9_5_1</t>
  </si>
  <si>
    <t>挑战关卡怪物9_5_2</t>
  </si>
  <si>
    <t>挑战关卡怪物9_5_3</t>
  </si>
  <si>
    <t>挑战关卡怪物10_1_1</t>
  </si>
  <si>
    <t>挑战关卡怪物10_1_2</t>
  </si>
  <si>
    <t>挑战关卡怪物10_2_1</t>
  </si>
  <si>
    <t>挑战关卡怪物10_2_2</t>
  </si>
  <si>
    <t>挑战关卡怪物10_3_1</t>
  </si>
  <si>
    <t>挑战关卡怪物10_3_2</t>
  </si>
  <si>
    <t>挑战关卡怪物10_3_3</t>
  </si>
  <si>
    <t>挑战关卡怪物10_4_1</t>
  </si>
  <si>
    <t>挑战关卡怪物10_4_2</t>
  </si>
  <si>
    <t>挑战关卡怪物10_4_3</t>
  </si>
  <si>
    <t>挑战关卡怪物10_5_1</t>
  </si>
  <si>
    <t>挑战关卡怪物10_5_2</t>
  </si>
  <si>
    <t>挑战关卡怪物10_5_3</t>
  </si>
  <si>
    <t>Monster_Challenge6_1_1</t>
  </si>
  <si>
    <t>Monster_Challenge6_1_2</t>
  </si>
  <si>
    <t>Monster_Challenge6_2_1</t>
  </si>
  <si>
    <t>Monster_Challenge6_2_2</t>
  </si>
  <si>
    <t>Monster_Challenge6_3_1</t>
  </si>
  <si>
    <t>Monster_Challenge6_3_2</t>
  </si>
  <si>
    <t>Monster_Challenge6_3_3</t>
  </si>
  <si>
    <t>Monster_Challenge6_4_1</t>
  </si>
  <si>
    <t>Monster_Challenge6_4_2</t>
  </si>
  <si>
    <t>Monster_Challenge6_4_3</t>
  </si>
  <si>
    <t>Monster_Challenge6_5_1</t>
  </si>
  <si>
    <t>Monster_Challenge6_5_2</t>
  </si>
  <si>
    <t>Monster_Challenge6_5_3</t>
  </si>
  <si>
    <t>Monster_Challenge7_1_1</t>
  </si>
  <si>
    <t>Monster_Challenge7_2_1</t>
  </si>
  <si>
    <t>Monster_Challenge7_2_2</t>
  </si>
  <si>
    <t>Monster_Challenge7_3_1</t>
  </si>
  <si>
    <t>Monster_Challenge7_3_2</t>
  </si>
  <si>
    <t>Monster_Challenge7_3_3</t>
  </si>
  <si>
    <t>Monster_Challenge7_4_1</t>
  </si>
  <si>
    <t>Monster_Challenge7_4_2</t>
  </si>
  <si>
    <t>Monster_Challenge7_4_3</t>
  </si>
  <si>
    <t>Monster_Challenge7_5_1</t>
  </si>
  <si>
    <t>Monster_Challenge7_5_2</t>
  </si>
  <si>
    <t>Monster_Challenge7_5_3</t>
  </si>
  <si>
    <t>Monster_Challenge8_1_1</t>
  </si>
  <si>
    <t>Monster_Challenge8_1_2</t>
  </si>
  <si>
    <t>Monster_Challenge8_2_1</t>
  </si>
  <si>
    <t>Monster_Challenge8_2_2</t>
  </si>
  <si>
    <t>Monster_Challenge8_2_3</t>
  </si>
  <si>
    <t>Monster_Challenge8_3_1</t>
  </si>
  <si>
    <t>Monster_Challenge8_3_2</t>
  </si>
  <si>
    <t>Monster_Challenge8_3_3</t>
  </si>
  <si>
    <t>Monster_Challenge8_4_1</t>
  </si>
  <si>
    <t>Monster_Challenge8_4_2</t>
  </si>
  <si>
    <t>Monster_Challenge8_4_3</t>
  </si>
  <si>
    <t>Monster_Challenge8_5_1</t>
  </si>
  <si>
    <t>Monster_Challenge8_5_2</t>
  </si>
  <si>
    <t>Monster_Challenge8_5_3</t>
  </si>
  <si>
    <t>Monster_Challenge8_5_4</t>
  </si>
  <si>
    <t>Monster_Challenge9_1_1</t>
  </si>
  <si>
    <t>Monster_Challenge9_1_2</t>
  </si>
  <si>
    <t>Monster_Challenge9_2_1</t>
  </si>
  <si>
    <t>Monster_Challenge9_2_2</t>
  </si>
  <si>
    <t>Monster_Challenge9_3_1</t>
  </si>
  <si>
    <t>Monster_Challenge9_3_2</t>
  </si>
  <si>
    <t>Monster_Challenge9_3_3</t>
  </si>
  <si>
    <t>Monster_Challenge9_4_1</t>
  </si>
  <si>
    <t>Monster_Challenge9_4_2</t>
  </si>
  <si>
    <t>Monster_Challenge9_4_3</t>
  </si>
  <si>
    <t>Monster_Challenge9_5_1</t>
  </si>
  <si>
    <t>Monster_Challenge9_5_2</t>
  </si>
  <si>
    <t>Monster_Challenge9_5_3</t>
  </si>
  <si>
    <t>Monster_Challenge10_1_1</t>
  </si>
  <si>
    <t>Monster_Challenge10_1_2</t>
  </si>
  <si>
    <t>Monster_Challenge10_2_1</t>
  </si>
  <si>
    <t>Monster_Challenge10_2_2</t>
  </si>
  <si>
    <t>Monster_Challenge10_3_1</t>
  </si>
  <si>
    <t>Monster_Challenge10_3_2</t>
  </si>
  <si>
    <t>Monster_Challenge10_3_3</t>
  </si>
  <si>
    <t>Monster_Challenge10_4_1</t>
  </si>
  <si>
    <t>Monster_Challenge10_4_2</t>
  </si>
  <si>
    <t>Monster_Challenge10_4_3</t>
  </si>
  <si>
    <t>Monster_Challenge10_5_1</t>
  </si>
  <si>
    <t>Monster_Challenge10_5_2</t>
  </si>
  <si>
    <t>Monster_Challenge10_5_3</t>
  </si>
  <si>
    <t>Skill_Monster_Challenge_Niao1</t>
  </si>
  <si>
    <t>挑战关卡怪物技能_加速</t>
    <phoneticPr fontId="4" type="noConversion"/>
  </si>
  <si>
    <t>BuffAdd_Monster_Challenge_Niao1</t>
    <phoneticPr fontId="4" type="noConversion"/>
  </si>
  <si>
    <t>Skill_Monster_Challenge_Niao2</t>
  </si>
  <si>
    <t>BuffAdd_Monster_Challenge_Niao2</t>
  </si>
  <si>
    <t>Skill_Monster_Challenge_Niao3</t>
  </si>
  <si>
    <t>BuffAdd_Monster_Challenge_Niao3</t>
  </si>
  <si>
    <t>循环</t>
    <phoneticPr fontId="4" type="noConversion"/>
  </si>
  <si>
    <t>毒</t>
    <phoneticPr fontId="4" type="noConversion"/>
  </si>
  <si>
    <t>目标</t>
    <phoneticPr fontId="4" type="noConversion"/>
  </si>
  <si>
    <t>总金币</t>
    <phoneticPr fontId="4" type="noConversion"/>
  </si>
  <si>
    <t>过关金币</t>
    <phoneticPr fontId="4" type="noConversion"/>
  </si>
  <si>
    <t>杀敌金币</t>
    <phoneticPr fontId="4" type="noConversion"/>
  </si>
  <si>
    <t>3级塔特性</t>
    <phoneticPr fontId="4" type="noConversion"/>
  </si>
  <si>
    <t>爆炸加大、新特效</t>
    <phoneticPr fontId="4" type="noConversion"/>
  </si>
  <si>
    <t>点燃敌人</t>
    <phoneticPr fontId="4" type="noConversion"/>
  </si>
  <si>
    <t>全范围毒</t>
    <phoneticPr fontId="4" type="noConversion"/>
  </si>
  <si>
    <t>变2个目标</t>
    <phoneticPr fontId="4" type="noConversion"/>
  </si>
  <si>
    <t>大范围</t>
    <phoneticPr fontId="4" type="noConversion"/>
  </si>
  <si>
    <t>最大目标</t>
    <phoneticPr fontId="4" type="noConversion"/>
  </si>
  <si>
    <t>可暴击，新特效</t>
    <phoneticPr fontId="4" type="noConversion"/>
  </si>
  <si>
    <t>暴击伤害(N%)（最终伤害=1+N%）</t>
    <phoneticPr fontId="4" type="noConversion"/>
  </si>
  <si>
    <t>3级暴击率/爆伤</t>
    <phoneticPr fontId="4" type="noConversion"/>
  </si>
  <si>
    <t>DamageUnit_Attribute_Buff_Line3_Fire</t>
    <phoneticPr fontId="4" type="noConversion"/>
  </si>
  <si>
    <t>按照属性进行计算（毒）_火焰塔LV3</t>
    <phoneticPr fontId="4" type="noConversion"/>
  </si>
  <si>
    <t>参数1</t>
    <phoneticPr fontId="4" type="noConversion"/>
  </si>
  <si>
    <t>参数2</t>
  </si>
  <si>
    <t>参数3</t>
  </si>
  <si>
    <t>参数4</t>
  </si>
  <si>
    <t>远处增伤率lv1/2/3</t>
    <phoneticPr fontId="4" type="noConversion"/>
  </si>
  <si>
    <t>低处增伤率lv1/2/3</t>
    <phoneticPr fontId="4" type="noConversion"/>
  </si>
  <si>
    <t>减速率lv1/2/3</t>
    <phoneticPr fontId="4" type="noConversion"/>
  </si>
  <si>
    <t>CD减少lv1/2/3</t>
    <phoneticPr fontId="4" type="noConversion"/>
  </si>
  <si>
    <t>3级灼烧总伤害/总时间/间隔/属性倍率</t>
    <phoneticPr fontId="4" type="noConversion"/>
  </si>
  <si>
    <t>3连发</t>
    <phoneticPr fontId="4" type="noConversion"/>
  </si>
  <si>
    <t>同时攻击3个</t>
    <phoneticPr fontId="4" type="noConversion"/>
  </si>
  <si>
    <t>玩家类型</t>
    <phoneticPr fontId="4" type="noConversion"/>
  </si>
  <si>
    <t>技巧</t>
    <phoneticPr fontId="4" type="noConversion"/>
  </si>
  <si>
    <t>低</t>
    <phoneticPr fontId="4" type="noConversion"/>
  </si>
  <si>
    <t>中</t>
    <phoneticPr fontId="4" type="noConversion"/>
  </si>
  <si>
    <t>高</t>
    <phoneticPr fontId="4" type="noConversion"/>
  </si>
  <si>
    <t>时间</t>
    <phoneticPr fontId="4" type="noConversion"/>
  </si>
  <si>
    <t>金钱</t>
    <phoneticPr fontId="4" type="noConversion"/>
  </si>
  <si>
    <t>匹配的游戏内容</t>
    <phoneticPr fontId="4" type="noConversion"/>
  </si>
  <si>
    <t>技巧低</t>
    <phoneticPr fontId="4" type="noConversion"/>
  </si>
  <si>
    <t>技巧中</t>
    <phoneticPr fontId="4" type="noConversion"/>
  </si>
  <si>
    <t>技巧高</t>
    <phoneticPr fontId="4" type="noConversion"/>
  </si>
  <si>
    <t>抵达内容的时间</t>
    <phoneticPr fontId="4" type="noConversion"/>
  </si>
  <si>
    <t>可玩时间</t>
    <phoneticPr fontId="4" type="noConversion"/>
  </si>
  <si>
    <t>挑战</t>
    <phoneticPr fontId="4" type="noConversion"/>
  </si>
  <si>
    <t>新手+挑战1</t>
    <phoneticPr fontId="4" type="noConversion"/>
  </si>
  <si>
    <t>匹配方法</t>
    <phoneticPr fontId="4" type="noConversion"/>
  </si>
  <si>
    <t>自主选择</t>
    <phoneticPr fontId="4" type="noConversion"/>
  </si>
  <si>
    <t>能力筛选</t>
    <phoneticPr fontId="4" type="noConversion"/>
  </si>
  <si>
    <t>星级</t>
    <phoneticPr fontId="4" type="noConversion"/>
  </si>
  <si>
    <t>最快抵达内容/打击自信/难度阶梯式</t>
    <phoneticPr fontId="4" type="noConversion"/>
  </si>
  <si>
    <t>可玩时间短/必能达到适应难度/能跟随玩家成长</t>
    <phoneticPr fontId="4" type="noConversion"/>
  </si>
  <si>
    <t>最快抵达内容/难度阶梯式/关卡变化小，难度不好控制</t>
    <phoneticPr fontId="4" type="noConversion"/>
  </si>
  <si>
    <t>奖励</t>
    <phoneticPr fontId="4" type="noConversion"/>
  </si>
  <si>
    <t>卡牌</t>
    <phoneticPr fontId="4" type="noConversion"/>
  </si>
  <si>
    <t>简单关卡缩短/活动关卡难度提升/高难关卡挑战时长增加</t>
    <phoneticPr fontId="4" type="noConversion"/>
  </si>
  <si>
    <t>玩家旅程</t>
    <phoneticPr fontId="4" type="noConversion"/>
  </si>
  <si>
    <t>引导</t>
    <phoneticPr fontId="4" type="noConversion"/>
  </si>
  <si>
    <t>设计不同的关卡特色</t>
    <phoneticPr fontId="4" type="noConversion"/>
  </si>
  <si>
    <t>每个关卡都有3种模式</t>
    <phoneticPr fontId="4" type="noConversion"/>
  </si>
  <si>
    <t>不断出现新关卡</t>
    <phoneticPr fontId="4" type="noConversion"/>
  </si>
  <si>
    <t>总览</t>
    <phoneticPr fontId="4" type="noConversion"/>
  </si>
  <si>
    <t>…</t>
    <phoneticPr fontId="4" type="noConversion"/>
  </si>
  <si>
    <t>单体群体搭配</t>
    <phoneticPr fontId="4" type="noConversion"/>
  </si>
  <si>
    <t>单体+群体怪</t>
    <phoneticPr fontId="4" type="noConversion"/>
  </si>
  <si>
    <t>升级</t>
    <phoneticPr fontId="4" type="noConversion"/>
  </si>
  <si>
    <t>毒雾-隐身</t>
    <phoneticPr fontId="4" type="noConversion"/>
  </si>
  <si>
    <t>龙-花</t>
    <phoneticPr fontId="4" type="noConversion"/>
  </si>
  <si>
    <t>远程炮台-弱化</t>
    <phoneticPr fontId="4" type="noConversion"/>
  </si>
  <si>
    <t>怪物对策</t>
    <phoneticPr fontId="4" type="noConversion"/>
  </si>
  <si>
    <t>路线设计要求</t>
    <phoneticPr fontId="4" type="noConversion"/>
  </si>
  <si>
    <t>火塔-直线</t>
    <phoneticPr fontId="4" type="noConversion"/>
  </si>
  <si>
    <t>毒雾-环形</t>
    <phoneticPr fontId="4" type="noConversion"/>
  </si>
  <si>
    <t>雷电-高台</t>
    <phoneticPr fontId="4" type="noConversion"/>
  </si>
  <si>
    <t>组合考验</t>
    <phoneticPr fontId="4" type="noConversion"/>
  </si>
  <si>
    <t>花+隐身</t>
    <phoneticPr fontId="4" type="noConversion"/>
  </si>
  <si>
    <t>花+弱化</t>
    <phoneticPr fontId="4" type="noConversion"/>
  </si>
  <si>
    <t>max塔</t>
    <phoneticPr fontId="4" type="noConversion"/>
  </si>
  <si>
    <t>可用塔</t>
    <phoneticPr fontId="4" type="noConversion"/>
  </si>
  <si>
    <t>弩箭/加农</t>
    <phoneticPr fontId="4" type="noConversion"/>
  </si>
  <si>
    <t>进阶怪物</t>
    <phoneticPr fontId="4" type="noConversion"/>
  </si>
  <si>
    <t>弩箭/加农/减速</t>
    <phoneticPr fontId="4" type="noConversion"/>
  </si>
  <si>
    <t>蜜蜂/蝙蝠/蛋</t>
    <phoneticPr fontId="4" type="noConversion"/>
  </si>
  <si>
    <t>蜜蜂2/蝙蝠2/蛋/蜘蛛</t>
    <phoneticPr fontId="4" type="noConversion"/>
  </si>
  <si>
    <t>弩箭/毒雾/减速</t>
    <phoneticPr fontId="4" type="noConversion"/>
  </si>
  <si>
    <t>弩箭/毒雾/减速/龙</t>
    <phoneticPr fontId="4" type="noConversion"/>
  </si>
  <si>
    <t>蜜蜂2/蝙蝠2/蛋/蜘蛛/花</t>
    <phoneticPr fontId="4" type="noConversion"/>
  </si>
  <si>
    <t>弩箭/火焰/减速/龙</t>
    <phoneticPr fontId="4" type="noConversion"/>
  </si>
  <si>
    <t>弩箭/加农/减速/龙/毒雾</t>
    <phoneticPr fontId="4" type="noConversion"/>
  </si>
  <si>
    <t>蜜蜂2/蝙蝠2/蛋/蜘蛛/鬼</t>
    <phoneticPr fontId="4" type="noConversion"/>
  </si>
  <si>
    <t>雷电/加农/减速/毒雾/火焰</t>
    <phoneticPr fontId="4" type="noConversion"/>
  </si>
  <si>
    <t>蜜蜂2/蝙蝠2/蛋/蜘蛛2</t>
    <phoneticPr fontId="4" type="noConversion"/>
  </si>
  <si>
    <t>弩箭/雷电/加农/减速/毒雾/火焰/龙</t>
    <phoneticPr fontId="4" type="noConversion"/>
  </si>
  <si>
    <t>蜜蜂2/蝙蝠2/蛋/蜘蛛2/弱化</t>
    <phoneticPr fontId="4" type="noConversion"/>
  </si>
  <si>
    <t>全部</t>
    <phoneticPr fontId="4" type="noConversion"/>
  </si>
  <si>
    <t>蜜蜂2/蝙蝠2/蛋/蜘蛛2/花/隐身</t>
    <phoneticPr fontId="4" type="noConversion"/>
  </si>
  <si>
    <t>蜜蜂2/蝙蝠2/蛋/蜘蛛2/花/弱化</t>
    <phoneticPr fontId="4" type="noConversion"/>
  </si>
  <si>
    <t>群体</t>
    <phoneticPr fontId="4" type="noConversion"/>
  </si>
  <si>
    <t>单体</t>
    <phoneticPr fontId="4" type="noConversion"/>
  </si>
  <si>
    <t>TowerDefenseCfgTutorialFirst</t>
  </si>
  <si>
    <t>新手引导</t>
    <phoneticPr fontId="4" type="noConversion"/>
  </si>
  <si>
    <t>BuyTowerRefreshRule_TutorialFirst</t>
  </si>
  <si>
    <t>MonsterWaveCallRule_TutorialFirst</t>
  </si>
  <si>
    <t>Unit_Monster_Tutorial_1_1</t>
  </si>
  <si>
    <t>Unit_Monster_Tutorial_2_1</t>
  </si>
  <si>
    <t>Monster_Tutorial_1_1</t>
  </si>
  <si>
    <t>Monster_Tutorial_2_1</t>
  </si>
  <si>
    <t>新手关卡怪物1_1</t>
  </si>
  <si>
    <t>新手关卡怪物2_1</t>
  </si>
  <si>
    <t>新手关卡怪物2_2</t>
  </si>
  <si>
    <t>游戏框架</t>
    <phoneticPr fontId="4" type="noConversion"/>
  </si>
  <si>
    <t>核心玩法</t>
    <phoneticPr fontId="4" type="noConversion"/>
  </si>
  <si>
    <t>操作</t>
    <phoneticPr fontId="4" type="noConversion"/>
  </si>
  <si>
    <t>策略</t>
    <phoneticPr fontId="4" type="noConversion"/>
  </si>
  <si>
    <t>运气</t>
    <phoneticPr fontId="4" type="noConversion"/>
  </si>
  <si>
    <t>相关机制</t>
    <phoneticPr fontId="4" type="noConversion"/>
  </si>
  <si>
    <t>拖动塔</t>
    <phoneticPr fontId="4" type="noConversion"/>
  </si>
  <si>
    <t>金币</t>
    <phoneticPr fontId="4" type="noConversion"/>
  </si>
  <si>
    <t>宝箱怪，初始无敌，移动一段距离后虚弱</t>
    <phoneticPr fontId="4" type="noConversion"/>
  </si>
  <si>
    <t>道具</t>
    <phoneticPr fontId="4" type="noConversion"/>
  </si>
  <si>
    <t>生存</t>
    <phoneticPr fontId="4" type="noConversion"/>
  </si>
  <si>
    <t>在场景中释放各类道具，位置和时机带来巨大收益变化</t>
    <phoneticPr fontId="4" type="noConversion"/>
  </si>
  <si>
    <t>更强的阵容</t>
    <phoneticPr fontId="4" type="noConversion"/>
  </si>
  <si>
    <t>防御塔之间的搭配组合</t>
    <phoneticPr fontId="4" type="noConversion"/>
  </si>
  <si>
    <t>组卡</t>
    <phoneticPr fontId="4" type="noConversion"/>
  </si>
  <si>
    <t>摆地形</t>
    <phoneticPr fontId="4" type="noConversion"/>
  </si>
  <si>
    <t>发挥防御塔</t>
    <phoneticPr fontId="4" type="noConversion"/>
  </si>
  <si>
    <t>防御塔受地形的影响</t>
    <phoneticPr fontId="4" type="noConversion"/>
  </si>
  <si>
    <t>收益</t>
    <phoneticPr fontId="4" type="noConversion"/>
  </si>
  <si>
    <t>应对敌人</t>
    <phoneticPr fontId="4" type="noConversion"/>
  </si>
  <si>
    <t>怪物受地形影响</t>
    <phoneticPr fontId="4" type="noConversion"/>
  </si>
  <si>
    <t>发挥道具</t>
    <phoneticPr fontId="4" type="noConversion"/>
  </si>
  <si>
    <t>道具受地形影响</t>
    <phoneticPr fontId="4" type="noConversion"/>
  </si>
  <si>
    <t>刷卡</t>
    <phoneticPr fontId="4" type="noConversion"/>
  </si>
  <si>
    <t>加快发育</t>
    <phoneticPr fontId="4" type="noConversion"/>
  </si>
  <si>
    <t>符文</t>
    <phoneticPr fontId="4" type="noConversion"/>
  </si>
  <si>
    <t>增加战力</t>
    <phoneticPr fontId="4" type="noConversion"/>
  </si>
  <si>
    <t>n波抽取一次，相互搭配有强力效果</t>
    <phoneticPr fontId="4" type="noConversion"/>
  </si>
  <si>
    <t>全杀bonus</t>
    <phoneticPr fontId="4" type="noConversion"/>
  </si>
  <si>
    <t>周边系统</t>
    <phoneticPr fontId="4" type="noConversion"/>
  </si>
  <si>
    <t>目的</t>
    <phoneticPr fontId="4" type="noConversion"/>
  </si>
  <si>
    <t>系统</t>
    <phoneticPr fontId="4" type="noConversion"/>
  </si>
  <si>
    <t>规则概述</t>
    <phoneticPr fontId="4" type="noConversion"/>
  </si>
  <si>
    <t>辅助成长</t>
    <phoneticPr fontId="4" type="noConversion"/>
  </si>
  <si>
    <t>养成</t>
    <phoneticPr fontId="4" type="noConversion"/>
  </si>
  <si>
    <t>整体能力持续强化，策略可难可易</t>
    <phoneticPr fontId="4" type="noConversion"/>
  </si>
  <si>
    <t>持续成长</t>
    <phoneticPr fontId="4" type="noConversion"/>
  </si>
  <si>
    <t>新关卡，要求新的策略/塔和怪物有克制关系</t>
    <phoneticPr fontId="4" type="noConversion"/>
  </si>
  <si>
    <t>具体设计</t>
    <phoneticPr fontId="4" type="noConversion"/>
  </si>
  <si>
    <t>远程轰炸：中等区域造成中等伤害</t>
    <phoneticPr fontId="4" type="noConversion"/>
  </si>
  <si>
    <t>暴风雪：对全体敌人造成小额伤害和减速</t>
    <phoneticPr fontId="4" type="noConversion"/>
  </si>
  <si>
    <t>输出搭配：单体/群体</t>
    <phoneticPr fontId="4" type="noConversion"/>
  </si>
  <si>
    <t>个体搭配：高价/低价/对付治疗/对付隐身/对付弱化/范围型buff</t>
    <phoneticPr fontId="4" type="noConversion"/>
  </si>
  <si>
    <t>高台/直线/环形/近距离/远距离/转角（持续点击加攻）</t>
    <phoneticPr fontId="4" type="noConversion"/>
  </si>
  <si>
    <t>同地形搭配：</t>
    <phoneticPr fontId="4" type="noConversion"/>
  </si>
  <si>
    <t>镭射：对一条直线造成中等伤害</t>
    <phoneticPr fontId="4" type="noConversion"/>
  </si>
  <si>
    <t>轨道炮：3s延迟后，对小片区域造成大额伤害和眩晕</t>
    <phoneticPr fontId="4" type="noConversion"/>
  </si>
  <si>
    <t>？羁绊：弩箭+加农=攻速提升/毒+火焰=破甲/雷电+冰=扩散</t>
    <phoneticPr fontId="4" type="noConversion"/>
  </si>
  <si>
    <t>商业化</t>
    <phoneticPr fontId="4" type="noConversion"/>
  </si>
  <si>
    <t>广告/道具购买/充值</t>
    <phoneticPr fontId="4" type="noConversion"/>
  </si>
  <si>
    <t>快速部署</t>
    <phoneticPr fontId="4" type="noConversion"/>
  </si>
  <si>
    <t>弩箭</t>
    <phoneticPr fontId="4" type="noConversion"/>
  </si>
  <si>
    <t>加农</t>
    <phoneticPr fontId="4" type="noConversion"/>
  </si>
  <si>
    <t>后期发力</t>
    <phoneticPr fontId="4" type="noConversion"/>
  </si>
  <si>
    <t>辅助</t>
    <phoneticPr fontId="4" type="noConversion"/>
  </si>
  <si>
    <t>冰魔</t>
    <phoneticPr fontId="4" type="noConversion"/>
  </si>
  <si>
    <t>火</t>
    <phoneticPr fontId="4" type="noConversion"/>
  </si>
  <si>
    <t>雷电</t>
    <phoneticPr fontId="4" type="noConversion"/>
  </si>
  <si>
    <t>龙</t>
    <phoneticPr fontId="4" type="noConversion"/>
  </si>
  <si>
    <t>中期</t>
    <phoneticPr fontId="4" type="noConversion"/>
  </si>
  <si>
    <t>对付治疗</t>
    <phoneticPr fontId="4" type="noConversion"/>
  </si>
  <si>
    <t>对付隐身</t>
    <phoneticPr fontId="4" type="noConversion"/>
  </si>
  <si>
    <t>对付弱化</t>
    <phoneticPr fontId="4" type="noConversion"/>
  </si>
  <si>
    <t>对付快速</t>
    <phoneticPr fontId="4" type="noConversion"/>
  </si>
  <si>
    <t xml:space="preserve">冰 </t>
    <phoneticPr fontId="4" type="noConversion"/>
  </si>
  <si>
    <t>对付加速</t>
    <phoneticPr fontId="4" type="noConversion"/>
  </si>
  <si>
    <t>对付高防</t>
    <phoneticPr fontId="4" type="noConversion"/>
  </si>
  <si>
    <t>新卡</t>
    <phoneticPr fontId="4" type="noConversion"/>
  </si>
  <si>
    <t>参考</t>
    <phoneticPr fontId="4" type="noConversion"/>
  </si>
  <si>
    <t>结论</t>
    <phoneticPr fontId="4" type="noConversion"/>
  </si>
  <si>
    <t>运气影响结果</t>
    <phoneticPr fontId="4" type="noConversion"/>
  </si>
  <si>
    <t>运气影响战斗体验</t>
    <phoneticPr fontId="4" type="noConversion"/>
  </si>
  <si>
    <t>有一定自由选择</t>
    <phoneticPr fontId="4" type="noConversion"/>
  </si>
  <si>
    <t>2波抽取一次，全场拿1-20个</t>
    <phoneticPr fontId="4" type="noConversion"/>
  </si>
  <si>
    <t>平均有3次数值升级</t>
    <phoneticPr fontId="4" type="noConversion"/>
  </si>
  <si>
    <t>单体攻击的目标+1/+2/+3</t>
    <phoneticPr fontId="4" type="noConversion"/>
  </si>
  <si>
    <t>不同等级dps提升为150%/200%/300%</t>
    <phoneticPr fontId="4" type="noConversion"/>
  </si>
  <si>
    <t>每次抽3个，3次可能遇到雷同的，普通5个，稀有3个，传说1个</t>
    <phoneticPr fontId="4" type="noConversion"/>
  </si>
  <si>
    <t>高处攻击强化，最多增伤50%/100%/200%</t>
    <phoneticPr fontId="4" type="noConversion"/>
  </si>
  <si>
    <t>每波开始后暴击率增加5%/10%/15%，持续20秒</t>
    <phoneticPr fontId="4" type="noConversion"/>
  </si>
  <si>
    <t>通用加强</t>
    <phoneticPr fontId="4" type="noConversion"/>
  </si>
  <si>
    <t>特定卡加强</t>
    <phoneticPr fontId="4" type="noConversion"/>
  </si>
  <si>
    <t>组合加强</t>
    <phoneticPr fontId="4" type="noConversion"/>
  </si>
  <si>
    <t>每波开始后在10s内伤害缓慢提升，直到最高50%/100%/200%</t>
    <phoneticPr fontId="4" type="noConversion"/>
  </si>
  <si>
    <t>防御塔最大数量+1/2/4</t>
    <phoneticPr fontId="4" type="noConversion"/>
  </si>
  <si>
    <t>攻击附加毒素，每秒造成当前生命1%/3%/5%的伤害</t>
    <phoneticPr fontId="4" type="noConversion"/>
  </si>
  <si>
    <t>所有buff时间延长50%/100%/200%</t>
    <phoneticPr fontId="4" type="noConversion"/>
  </si>
  <si>
    <t>暴击伤害增加50%/100%/200%</t>
    <phoneticPr fontId="4" type="noConversion"/>
  </si>
  <si>
    <t>所有子弹可弹射1/2/3次</t>
    <phoneticPr fontId="4" type="noConversion"/>
  </si>
  <si>
    <t>电磁塔：单体、持续攻击增伤、3级射程增加</t>
    <phoneticPr fontId="4" type="noConversion"/>
  </si>
  <si>
    <t>哥布林：单体、偷钱、3级概率偷取高额金币</t>
    <phoneticPr fontId="4" type="noConversion"/>
  </si>
  <si>
    <t>火箭塔：群体、抛物线低命中高伤、3级3连发</t>
    <phoneticPr fontId="4" type="noConversion"/>
  </si>
  <si>
    <t>圣剑塔：单体、暴击斩杀、3级10次攻击后必定暴击</t>
    <phoneticPr fontId="4" type="noConversion"/>
  </si>
  <si>
    <t>巫师塔：单体、暴击眩晕、3级3个目标</t>
    <phoneticPr fontId="4" type="noConversion"/>
  </si>
  <si>
    <t>标记塔：单体、标记敌人，增加被暴击概率，3级增加击杀金币</t>
    <phoneticPr fontId="4" type="noConversion"/>
  </si>
  <si>
    <t>闪电链：群体、降低生命上限、3级目标增多</t>
    <phoneticPr fontId="4" type="noConversion"/>
  </si>
  <si>
    <t>奥术天球：群体、缓慢魔法攻击、3级子弹弹射</t>
    <phoneticPr fontId="4" type="noConversion"/>
  </si>
  <si>
    <t>精灵：群体、杀怪增加攻击</t>
    <phoneticPr fontId="4" type="noConversion"/>
  </si>
  <si>
    <t>炸药桶：自爆高伤，3级+眩晕</t>
    <phoneticPr fontId="4" type="noConversion"/>
  </si>
  <si>
    <t>毒：根据当前生命掉血，3级+减甲</t>
    <phoneticPr fontId="4" type="noConversion"/>
  </si>
  <si>
    <t>毒蝎塔</t>
    <phoneticPr fontId="4" type="noConversion"/>
  </si>
  <si>
    <t>哥布林</t>
    <phoneticPr fontId="4" type="noConversion"/>
  </si>
  <si>
    <t>自爆</t>
    <phoneticPr fontId="4" type="noConversion"/>
  </si>
  <si>
    <t>毒伤</t>
    <phoneticPr fontId="4" type="noConversion"/>
  </si>
  <si>
    <t>毒伤lv1/2/3</t>
    <phoneticPr fontId="4" type="noConversion"/>
  </si>
  <si>
    <t>偷钱数lv1/2/3</t>
    <phoneticPr fontId="4" type="noConversion"/>
  </si>
  <si>
    <t>攻击</t>
  </si>
  <si>
    <t>Text_Key_Tower_UIAttribute_DuShang</t>
    <phoneticPr fontId="4" type="noConversion"/>
  </si>
  <si>
    <t>Timeline_TowerScorpio1</t>
  </si>
  <si>
    <t>Skill_TowerScorpio2</t>
  </si>
  <si>
    <t>Timeline_TowerScorpio2</t>
  </si>
  <si>
    <t>Skill_TowerScorpio3</t>
  </si>
  <si>
    <t>Timeline_TowerScorpio3</t>
  </si>
  <si>
    <t>Skill_TowerScorpio1</t>
    <phoneticPr fontId="4" type="noConversion"/>
  </si>
  <si>
    <t>毒蝎塔LV1攻击</t>
    <phoneticPr fontId="4" type="noConversion"/>
  </si>
  <si>
    <t>毒蝎塔LV2攻击</t>
  </si>
  <si>
    <t>毒蝎塔LV3攻击</t>
  </si>
  <si>
    <t>EffectCreate_LevelUp</t>
  </si>
  <si>
    <t>EffectCreate_LevelUp</t>
    <phoneticPr fontId="4" type="noConversion"/>
  </si>
  <si>
    <t>BuffAdd_AddCDDown1;EffectCreate_LevelUp</t>
    <phoneticPr fontId="4" type="noConversion"/>
  </si>
  <si>
    <t>BuffAdd_AddCDDown2;EffectCreate_LevelUp</t>
  </si>
  <si>
    <t>BuffAdd_AddCDDown3;EffectCreate_LevelUp</t>
  </si>
  <si>
    <t>Tow11</t>
    <phoneticPr fontId="4" type="noConversion"/>
  </si>
  <si>
    <t>2个目标</t>
    <phoneticPr fontId="4" type="noConversion"/>
  </si>
  <si>
    <t>Skill_TowerGoblin1</t>
  </si>
  <si>
    <t>Timeline_TowerGoblin1</t>
  </si>
  <si>
    <t>Skill_TowerGoblin2</t>
  </si>
  <si>
    <t>Timeline_TowerGoblin2</t>
  </si>
  <si>
    <t>Skill_TowerGoblin3</t>
  </si>
  <si>
    <t>Timeline_TowerGoblin3</t>
  </si>
  <si>
    <t>哥布林LV1攻击</t>
    <phoneticPr fontId="4" type="noConversion"/>
  </si>
  <si>
    <t>哥布林LV2攻击</t>
  </si>
  <si>
    <t>哥布林LV3攻击</t>
  </si>
  <si>
    <t>毒蝎塔</t>
  </si>
  <si>
    <t>哥布林</t>
    <phoneticPr fontId="25" type="noConversion"/>
  </si>
  <si>
    <t>Tow11_1</t>
  </si>
  <si>
    <t>Text_Key_TowerLabel_DOT;Text_Key_TowerLabel_Solo</t>
    <phoneticPr fontId="25" type="noConversion"/>
  </si>
  <si>
    <t>Unit_TowerScorpio1</t>
  </si>
  <si>
    <t>Tow11_2</t>
  </si>
  <si>
    <t>Unit_TowerScorpio2</t>
  </si>
  <si>
    <t>Tow11_3</t>
  </si>
  <si>
    <t>Unit_TowerScorpio3</t>
  </si>
  <si>
    <t>Tow21_1</t>
  </si>
  <si>
    <t>Text_Key_TowerLabel_GetCoins;Text_Key_TowerLabel_Solo</t>
    <phoneticPr fontId="25" type="noConversion"/>
  </si>
  <si>
    <t>Unit_TowerGoblin1</t>
  </si>
  <si>
    <t>Tow21_2</t>
  </si>
  <si>
    <t>Unit_TowerGoblin2</t>
  </si>
  <si>
    <t>Tow21_3</t>
  </si>
  <si>
    <t>Unit_TowerGoblin3</t>
  </si>
  <si>
    <t>偷取金币</t>
    <phoneticPr fontId="4" type="noConversion"/>
  </si>
  <si>
    <t>Tow21</t>
    <phoneticPr fontId="4" type="noConversion"/>
  </si>
  <si>
    <t>Text_Key_Tower_UIAttribute_Steal</t>
    <phoneticPr fontId="4" type="noConversion"/>
  </si>
  <si>
    <t>炸弹</t>
    <phoneticPr fontId="4" type="noConversion"/>
  </si>
  <si>
    <t>Tow25_1</t>
    <phoneticPr fontId="4" type="noConversion"/>
  </si>
  <si>
    <t>Tow25_2</t>
  </si>
  <si>
    <t>Tow25_3</t>
  </si>
  <si>
    <t>Tow25_2</t>
    <phoneticPr fontId="4" type="noConversion"/>
  </si>
  <si>
    <t>Tow25_3</t>
    <phoneticPr fontId="4" type="noConversion"/>
  </si>
  <si>
    <t>Unit_TowerBomb1</t>
    <phoneticPr fontId="4" type="noConversion"/>
  </si>
  <si>
    <t>Unit_TowerBomb2</t>
  </si>
  <si>
    <t>Unit_TowerBomb3</t>
  </si>
  <si>
    <t>Tow25</t>
    <phoneticPr fontId="4" type="noConversion"/>
  </si>
  <si>
    <t>Text_Key_Tower_UIAttribute_Dizzy</t>
    <phoneticPr fontId="4" type="noConversion"/>
  </si>
  <si>
    <t>性价比参数/眩晕</t>
    <phoneticPr fontId="4" type="noConversion"/>
  </si>
  <si>
    <t>Text_Key_Tower_UIAttribute_Content_OnlySeconds</t>
    <phoneticPr fontId="4" type="noConversion"/>
  </si>
  <si>
    <t>炸弹1攻击</t>
    <phoneticPr fontId="4" type="noConversion"/>
  </si>
  <si>
    <t>Skill_TowerBomb2</t>
  </si>
  <si>
    <t>炸弹2攻击</t>
  </si>
  <si>
    <t>Skill_TowerBomb3</t>
  </si>
  <si>
    <t>炸弹3攻击</t>
  </si>
  <si>
    <t>Skill_TowerBomb1</t>
    <phoneticPr fontId="4" type="noConversion"/>
  </si>
  <si>
    <t>Timeline_Skill_TowerBomb1</t>
    <phoneticPr fontId="4" type="noConversion"/>
  </si>
  <si>
    <t>Timeline_Skill_TowerBomb2</t>
  </si>
  <si>
    <t>Timeline_Skill_TowerBomb3</t>
  </si>
  <si>
    <t>string#ref=SelectObjectCfgCategory</t>
  </si>
  <si>
    <t>SelectObject_Skill_PlayerSolo1</t>
  </si>
  <si>
    <t>SelectObject_Skill_PlayerSolo2</t>
  </si>
  <si>
    <t>SelectObject_Skill_PlayerSolo3</t>
  </si>
  <si>
    <t>SelectObject_Skill_PlayerAoe1</t>
  </si>
  <si>
    <t>SelectObject_Skill_PlayerAoe2</t>
  </si>
  <si>
    <t>SelectObject_Skill_PlayerAoe3</t>
  </si>
  <si>
    <t>SelectObject_Skill_PlayerLine1</t>
  </si>
  <si>
    <t>SelectObject_Skill_PlayerLine2</t>
  </si>
  <si>
    <t>SelectObject_Skill_PlayerLine3</t>
  </si>
  <si>
    <t>SelectObject_Skill_PlayerCircle1</t>
  </si>
  <si>
    <t>SelectObject_Skill_PlayerCircle2</t>
  </si>
  <si>
    <t>SelectObject_Skill_PlayerCircle3</t>
  </si>
  <si>
    <t>SelectObject_Skill_TowerDragon1</t>
  </si>
  <si>
    <t>SelectObject_Skill_TowerDragon2</t>
  </si>
  <si>
    <t>SelectObject_Skill_TowerDragon3</t>
  </si>
  <si>
    <t>SelectObject_Skill_TowerElec1</t>
  </si>
  <si>
    <t>SelectObject_Skill_TowerElec2</t>
  </si>
  <si>
    <t>SelectObject_Skill_TowerElec3</t>
  </si>
  <si>
    <t>SelectObject_Skill_TowerIce1</t>
  </si>
  <si>
    <t>SelectObject_Skill_TowerIce2</t>
  </si>
  <si>
    <t>SelectObject_Skill_TowerIce3</t>
  </si>
  <si>
    <t>SelectObject_Self</t>
  </si>
  <si>
    <t>SelectObject_Skill_TowerScorpio1</t>
  </si>
  <si>
    <t>SelectObject_Skill_TowerScorpio2</t>
  </si>
  <si>
    <t>SelectObject_Skill_TowerScorpio3</t>
  </si>
  <si>
    <t>SelectObject_Skill_TowerGoblin1</t>
  </si>
  <si>
    <t>SelectObject_Skill_TowerGoblin2</t>
  </si>
  <si>
    <t>SelectObject_Skill_TowerGoblin3</t>
  </si>
  <si>
    <t>SelectObject_Skill_TowerBomb1</t>
  </si>
  <si>
    <t>SelectObject_Skill_TowerBomb2</t>
  </si>
  <si>
    <t>SelectObject_Skill_TowerBomb3</t>
  </si>
  <si>
    <t>节点</t>
    <phoneticPr fontId="4" type="noConversion"/>
  </si>
  <si>
    <t>第1天</t>
    <phoneticPr fontId="4" type="noConversion"/>
  </si>
  <si>
    <t>挑战/无限</t>
    <phoneticPr fontId="4" type="noConversion"/>
  </si>
  <si>
    <t>第2天</t>
    <phoneticPr fontId="4" type="noConversion"/>
  </si>
  <si>
    <t>新卡牌</t>
    <phoneticPr fontId="4" type="noConversion"/>
  </si>
  <si>
    <t>开放玩法</t>
    <phoneticPr fontId="4" type="noConversion"/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</si>
  <si>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</si>
  <si>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</si>
  <si>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</si>
  <si>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</si>
  <si>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</si>
  <si>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</si>
  <si>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</si>
  <si>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</si>
  <si>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</si>
  <si>
    <t>第12天</t>
  </si>
  <si>
    <t>第13天</t>
  </si>
  <si>
    <t>上阵</t>
    <phoneticPr fontId="4" type="noConversion"/>
  </si>
  <si>
    <t>新赛季</t>
    <phoneticPr fontId="4" type="noConversion"/>
  </si>
  <si>
    <t>第14天</t>
  </si>
  <si>
    <t>第15天</t>
  </si>
  <si>
    <t>第16天</t>
  </si>
  <si>
    <t>第17天</t>
  </si>
  <si>
    <t>第18天</t>
  </si>
  <si>
    <t>第19天</t>
  </si>
  <si>
    <t>第20天</t>
  </si>
  <si>
    <t>第21天</t>
  </si>
  <si>
    <t>赛季结算</t>
    <phoneticPr fontId="4" type="noConversion"/>
  </si>
  <si>
    <t>循环赛季</t>
    <phoneticPr fontId="4" type="noConversion"/>
  </si>
  <si>
    <t>第22天</t>
  </si>
  <si>
    <t>第23天</t>
  </si>
  <si>
    <t>第24天</t>
  </si>
  <si>
    <t>第25天</t>
  </si>
  <si>
    <t>第26天</t>
  </si>
  <si>
    <t>第27天</t>
  </si>
  <si>
    <t>第28天</t>
  </si>
  <si>
    <t>头像框</t>
    <phoneticPr fontId="4" type="noConversion"/>
  </si>
  <si>
    <t>成就奖</t>
    <phoneticPr fontId="4" type="noConversion"/>
  </si>
  <si>
    <t>开服天数</t>
    <phoneticPr fontId="4" type="noConversion"/>
  </si>
  <si>
    <t>运营计划</t>
    <phoneticPr fontId="4" type="noConversion"/>
  </si>
  <si>
    <t>游戏内容规划</t>
    <phoneticPr fontId="4" type="noConversion"/>
  </si>
  <si>
    <t>新道具</t>
    <phoneticPr fontId="4" type="noConversion"/>
  </si>
  <si>
    <t>版本计划</t>
    <phoneticPr fontId="4" type="noConversion"/>
  </si>
  <si>
    <t>7留测试</t>
    <phoneticPr fontId="4" type="noConversion"/>
  </si>
  <si>
    <t>月留测试</t>
    <phoneticPr fontId="4" type="noConversion"/>
  </si>
  <si>
    <t>付费测试</t>
    <phoneticPr fontId="4" type="noConversion"/>
  </si>
  <si>
    <t>公测</t>
    <phoneticPr fontId="4" type="noConversion"/>
  </si>
  <si>
    <t>版本</t>
    <phoneticPr fontId="4" type="noConversion"/>
  </si>
  <si>
    <t>功能解锁</t>
    <phoneticPr fontId="4" type="noConversion"/>
  </si>
  <si>
    <t>功能引导</t>
    <phoneticPr fontId="4" type="noConversion"/>
  </si>
  <si>
    <t>商店</t>
    <phoneticPr fontId="4" type="noConversion"/>
  </si>
  <si>
    <t>新增内容</t>
    <phoneticPr fontId="4" type="noConversion"/>
  </si>
  <si>
    <t>成就</t>
    <phoneticPr fontId="4" type="noConversion"/>
  </si>
  <si>
    <t>游戏后台</t>
    <phoneticPr fontId="4" type="noConversion"/>
  </si>
  <si>
    <t>活动后台</t>
    <phoneticPr fontId="4" type="noConversion"/>
  </si>
  <si>
    <t>官网</t>
    <phoneticPr fontId="4" type="noConversion"/>
  </si>
  <si>
    <t>渠道</t>
    <phoneticPr fontId="4" type="noConversion"/>
  </si>
  <si>
    <t>谷歌-加拿大</t>
    <phoneticPr fontId="4" type="noConversion"/>
  </si>
  <si>
    <t>ios-加拿大</t>
    <phoneticPr fontId="4" type="noConversion"/>
  </si>
  <si>
    <t>谷歌-北美</t>
    <phoneticPr fontId="4" type="noConversion"/>
  </si>
  <si>
    <t>ios-北美</t>
    <phoneticPr fontId="4" type="noConversion"/>
  </si>
  <si>
    <t>客服/社区</t>
    <phoneticPr fontId="4" type="noConversion"/>
  </si>
  <si>
    <t>活动计划</t>
    <phoneticPr fontId="4" type="noConversion"/>
  </si>
  <si>
    <t>形式</t>
    <phoneticPr fontId="4" type="noConversion"/>
  </si>
  <si>
    <t>拉新</t>
    <phoneticPr fontId="4" type="noConversion"/>
  </si>
  <si>
    <t>活跃/付费</t>
    <phoneticPr fontId="4" type="noConversion"/>
  </si>
  <si>
    <t>每月</t>
    <phoneticPr fontId="4" type="noConversion"/>
  </si>
  <si>
    <t>分享奖励</t>
    <phoneticPr fontId="4" type="noConversion"/>
  </si>
  <si>
    <t>卡牌/道具/成就</t>
    <phoneticPr fontId="4" type="noConversion"/>
  </si>
  <si>
    <t>全新赛季</t>
    <phoneticPr fontId="4" type="noConversion"/>
  </si>
  <si>
    <t>新卡牌/道具</t>
    <phoneticPr fontId="4" type="noConversion"/>
  </si>
  <si>
    <t>引导列表</t>
    <phoneticPr fontId="4" type="noConversion"/>
  </si>
  <si>
    <t>1.只引导当前玩家必要内容</t>
    <phoneticPr fontId="4" type="noConversion"/>
  </si>
  <si>
    <t>2.时长、步骤尽量少</t>
    <phoneticPr fontId="4" type="noConversion"/>
  </si>
  <si>
    <t>3.文案简明</t>
    <phoneticPr fontId="4" type="noConversion"/>
  </si>
  <si>
    <t>原则</t>
    <phoneticPr fontId="4" type="noConversion"/>
  </si>
  <si>
    <t>时期</t>
    <phoneticPr fontId="4" type="noConversion"/>
  </si>
  <si>
    <t>玩家目标</t>
    <phoneticPr fontId="4" type="noConversion"/>
  </si>
  <si>
    <t>引导内容</t>
    <phoneticPr fontId="4" type="noConversion"/>
  </si>
  <si>
    <t>步骤</t>
    <phoneticPr fontId="4" type="noConversion"/>
  </si>
  <si>
    <t>进入游戏</t>
    <phoneticPr fontId="4" type="noConversion"/>
  </si>
  <si>
    <t>进入首页</t>
    <phoneticPr fontId="4" type="noConversion"/>
  </si>
  <si>
    <t>了解游戏</t>
    <phoneticPr fontId="4" type="noConversion"/>
  </si>
  <si>
    <t>扫图</t>
    <phoneticPr fontId="4" type="noConversion"/>
  </si>
  <si>
    <t>确认</t>
    <phoneticPr fontId="4" type="noConversion"/>
  </si>
  <si>
    <t>放大本营</t>
    <phoneticPr fontId="4" type="noConversion"/>
  </si>
  <si>
    <t>放传送门</t>
    <phoneticPr fontId="4" type="noConversion"/>
  </si>
  <si>
    <t>买塔</t>
    <phoneticPr fontId="4" type="noConversion"/>
  </si>
  <si>
    <t>放塔</t>
    <phoneticPr fontId="4" type="noConversion"/>
  </si>
  <si>
    <t>开战</t>
    <phoneticPr fontId="4" type="noConversion"/>
  </si>
  <si>
    <t>刷新</t>
    <phoneticPr fontId="4" type="noConversion"/>
  </si>
  <si>
    <t>玩什么</t>
    <phoneticPr fontId="4" type="noConversion"/>
  </si>
  <si>
    <t>重载</t>
    <phoneticPr fontId="4" type="noConversion"/>
  </si>
  <si>
    <t>集齐8卡</t>
    <phoneticPr fontId="4" type="noConversion"/>
  </si>
  <si>
    <t>进阶玩法</t>
    <phoneticPr fontId="4" type="noConversion"/>
  </si>
  <si>
    <t>查看排行榜</t>
    <phoneticPr fontId="4" type="noConversion"/>
  </si>
  <si>
    <t>4.引导不能打断玩家连续体验</t>
    <phoneticPr fontId="4" type="noConversion"/>
  </si>
  <si>
    <t>投放计划</t>
    <phoneticPr fontId="4" type="noConversion"/>
  </si>
  <si>
    <t>内容</t>
    <phoneticPr fontId="4" type="noConversion"/>
  </si>
  <si>
    <t>付费</t>
    <phoneticPr fontId="4" type="noConversion"/>
  </si>
  <si>
    <t>每日</t>
    <phoneticPr fontId="4" type="noConversion"/>
  </si>
  <si>
    <t>免费</t>
    <phoneticPr fontId="4" type="noConversion"/>
  </si>
  <si>
    <t>游戏时长min</t>
    <phoneticPr fontId="4" type="noConversion"/>
  </si>
  <si>
    <t>∞</t>
    <phoneticPr fontId="4" type="noConversion"/>
  </si>
  <si>
    <t>单次游戏</t>
    <phoneticPr fontId="4" type="noConversion"/>
  </si>
  <si>
    <t>游戏间隔</t>
    <phoneticPr fontId="4" type="noConversion"/>
  </si>
  <si>
    <t>3个目标</t>
    <phoneticPr fontId="4" type="noConversion"/>
  </si>
  <si>
    <t>内容汇总</t>
    <phoneticPr fontId="4" type="noConversion"/>
  </si>
  <si>
    <t>塔</t>
    <phoneticPr fontId="4" type="noConversion"/>
  </si>
  <si>
    <t>挑战关卡</t>
    <phoneticPr fontId="4" type="noConversion"/>
  </si>
  <si>
    <t>总量</t>
    <phoneticPr fontId="4" type="noConversion"/>
  </si>
  <si>
    <t>详细</t>
    <phoneticPr fontId="4" type="noConversion"/>
  </si>
  <si>
    <t>火焰</t>
    <phoneticPr fontId="4" type="noConversion"/>
  </si>
  <si>
    <t xml:space="preserve">毒 </t>
    <phoneticPr fontId="4" type="noConversion"/>
  </si>
  <si>
    <t>冰</t>
    <phoneticPr fontId="4" type="noConversion"/>
  </si>
  <si>
    <t>活动关卡</t>
    <phoneticPr fontId="4" type="noConversion"/>
  </si>
  <si>
    <t>简单</t>
    <phoneticPr fontId="4" type="noConversion"/>
  </si>
  <si>
    <t>特殊怪</t>
    <phoneticPr fontId="4" type="noConversion"/>
  </si>
  <si>
    <t>大块头</t>
    <phoneticPr fontId="4" type="noConversion"/>
  </si>
  <si>
    <t>暴风雪</t>
    <phoneticPr fontId="4" type="noConversion"/>
  </si>
  <si>
    <t>陨石</t>
    <phoneticPr fontId="4" type="noConversion"/>
  </si>
  <si>
    <t>天火</t>
    <phoneticPr fontId="4" type="noConversion"/>
  </si>
  <si>
    <t>残血特攻</t>
    <phoneticPr fontId="4" type="noConversion"/>
  </si>
  <si>
    <t>任意1级塔</t>
    <phoneticPr fontId="4" type="noConversion"/>
  </si>
  <si>
    <t>单体1级塔</t>
    <phoneticPr fontId="4" type="noConversion"/>
  </si>
  <si>
    <t>群体1级塔</t>
    <phoneticPr fontId="4" type="noConversion"/>
  </si>
  <si>
    <t>远程1级塔</t>
    <phoneticPr fontId="4" type="noConversion"/>
  </si>
  <si>
    <t>特定2级塔</t>
    <phoneticPr fontId="4" type="noConversion"/>
  </si>
  <si>
    <t>任意2级塔</t>
    <phoneticPr fontId="4" type="noConversion"/>
  </si>
  <si>
    <t>迂回路线</t>
    <phoneticPr fontId="4" type="noConversion"/>
  </si>
  <si>
    <t>单体和群体</t>
    <phoneticPr fontId="4" type="noConversion"/>
  </si>
  <si>
    <t>挑战关卡2</t>
    <phoneticPr fontId="4" type="noConversion"/>
  </si>
  <si>
    <t>减速塔</t>
    <phoneticPr fontId="4" type="noConversion"/>
  </si>
  <si>
    <t>龙塔</t>
    <phoneticPr fontId="4" type="noConversion"/>
  </si>
  <si>
    <t>如何应对隐身</t>
    <phoneticPr fontId="4" type="noConversion"/>
  </si>
  <si>
    <t>如何应对弱化</t>
    <phoneticPr fontId="4" type="noConversion"/>
  </si>
  <si>
    <t>如何应对治疗</t>
    <phoneticPr fontId="4" type="noConversion"/>
  </si>
  <si>
    <t>怎么应对快速</t>
    <phoneticPr fontId="4" type="noConversion"/>
  </si>
  <si>
    <t>怎么应对单体群体</t>
    <phoneticPr fontId="4" type="noConversion"/>
  </si>
  <si>
    <t>挑战关卡3</t>
    <phoneticPr fontId="4" type="noConversion"/>
  </si>
  <si>
    <t>挑战关卡4</t>
    <phoneticPr fontId="4" type="noConversion"/>
  </si>
  <si>
    <t>挑战关卡5</t>
    <phoneticPr fontId="4" type="noConversion"/>
  </si>
  <si>
    <t>买弩箭</t>
    <phoneticPr fontId="4" type="noConversion"/>
  </si>
  <si>
    <t>开始</t>
    <phoneticPr fontId="4" type="noConversion"/>
  </si>
  <si>
    <t>买加农</t>
    <phoneticPr fontId="4" type="noConversion"/>
  </si>
  <si>
    <t>买减速</t>
    <phoneticPr fontId="4" type="noConversion"/>
  </si>
  <si>
    <t>买龙</t>
    <phoneticPr fontId="4" type="noConversion"/>
  </si>
  <si>
    <t>买火焰</t>
    <phoneticPr fontId="4" type="noConversion"/>
  </si>
  <si>
    <t>买毒</t>
    <phoneticPr fontId="4" type="noConversion"/>
  </si>
  <si>
    <t>毒塔升级</t>
    <phoneticPr fontId="4" type="noConversion"/>
  </si>
  <si>
    <t>攻击范围+挪塔</t>
    <phoneticPr fontId="4" type="noConversion"/>
  </si>
  <si>
    <t>拖动</t>
    <phoneticPr fontId="4" type="noConversion"/>
  </si>
  <si>
    <t>放置</t>
    <phoneticPr fontId="4" type="noConversion"/>
  </si>
  <si>
    <t>买雷电</t>
    <phoneticPr fontId="4" type="noConversion"/>
  </si>
  <si>
    <t>线下模式</t>
    <phoneticPr fontId="4" type="noConversion"/>
  </si>
  <si>
    <t>MonsterWaveCallRule_Offline</t>
  </si>
  <si>
    <t>Monster_Offline_1_1</t>
  </si>
  <si>
    <t>Monster_Offline_2_1</t>
  </si>
  <si>
    <t>Monster_Offline_2_2</t>
  </si>
  <si>
    <t>Monster_Offline_3_1</t>
  </si>
  <si>
    <t>Monster_Offline_3_2</t>
  </si>
  <si>
    <t>Monster_Offline_4_1</t>
  </si>
  <si>
    <t>Monster_Offline_4_2</t>
  </si>
  <si>
    <t>Monster_Offline_5_1</t>
  </si>
  <si>
    <t>Monster_Offline_5_2</t>
  </si>
  <si>
    <t>Monster_Offline_6_1</t>
  </si>
  <si>
    <t>Monster_Offline_6_2</t>
  </si>
  <si>
    <t>Monster_Offline_7_1</t>
  </si>
  <si>
    <t>Monster_Offline_7_2</t>
  </si>
  <si>
    <t>Monster_Offline_8_1</t>
  </si>
  <si>
    <t>Monster_Offline_8_2</t>
  </si>
  <si>
    <t>Monster_Offline_9_1</t>
  </si>
  <si>
    <t>Monster_Offline_9_2</t>
  </si>
  <si>
    <t>Monster_Offline_10_1</t>
  </si>
  <si>
    <t>Monster_Offline_10_2</t>
  </si>
  <si>
    <t>Monster_Offline_11_1</t>
  </si>
  <si>
    <t>Monster_Offline_11_2</t>
  </si>
  <si>
    <t>Monster_Offline_12_1</t>
  </si>
  <si>
    <t>Monster_Offline_13_1</t>
  </si>
  <si>
    <t>Monster_Offline_13_2</t>
  </si>
  <si>
    <t>Monster_Offline_14_1</t>
  </si>
  <si>
    <t>Monster_Offline_14_2</t>
  </si>
  <si>
    <t>Monster_Offline_15_1</t>
  </si>
  <si>
    <t>Monster_Offline_15_2</t>
  </si>
  <si>
    <t>Monster_Offline_15_3</t>
  </si>
  <si>
    <t>Monster_Offline_16_1</t>
  </si>
  <si>
    <t>Monster_Offline_16_2</t>
  </si>
  <si>
    <t>Monster_Offline_17_1</t>
  </si>
  <si>
    <t>Monster_Offline_17_2</t>
  </si>
  <si>
    <t>Monster_Offline_18_1</t>
  </si>
  <si>
    <t>Monster_Offline_18_2</t>
  </si>
  <si>
    <t>Monster_Offline_18_3</t>
  </si>
  <si>
    <t>Monster_Offline_19_1</t>
  </si>
  <si>
    <t>Monster_Offline_19_2</t>
  </si>
  <si>
    <t>Monster_Offline_19_3</t>
  </si>
  <si>
    <t>Monster_Offline_20_1</t>
  </si>
  <si>
    <t>Monster_Offline_20_2</t>
  </si>
  <si>
    <t>Monster_Offline_20_3</t>
  </si>
  <si>
    <t>Unit_Monster_Offline_1_1</t>
  </si>
  <si>
    <t>Unit_Monster_Offline_2_1</t>
  </si>
  <si>
    <t>Unit_Monster_Offline_2_2</t>
  </si>
  <si>
    <t>Unit_Monster_Offline_3_1</t>
  </si>
  <si>
    <t>Unit_Monster_Offline_3_2</t>
  </si>
  <si>
    <t>Unit_Monster_Offline_4_1</t>
  </si>
  <si>
    <t>Unit_Monster_Offline_4_2</t>
  </si>
  <si>
    <t>Unit_Monster_Offline_5_1</t>
  </si>
  <si>
    <t>Unit_Monster_Offline_5_2</t>
  </si>
  <si>
    <t>Unit_Monster_Offline_6_1</t>
  </si>
  <si>
    <t>Unit_Monster_Offline_6_2</t>
  </si>
  <si>
    <t>Unit_Monster_Offline_7_1</t>
  </si>
  <si>
    <t>Unit_Monster_Offline_7_2</t>
  </si>
  <si>
    <t>Unit_Monster_Offline_8_1</t>
  </si>
  <si>
    <t>Unit_Monster_Offline_8_2</t>
  </si>
  <si>
    <t>Unit_Monster_Offline_9_1</t>
  </si>
  <si>
    <t>Unit_Monster_Offline_9_2</t>
  </si>
  <si>
    <t>Unit_Monster_Offline_10_1</t>
  </si>
  <si>
    <t>Unit_Monster_Offline_10_2</t>
  </si>
  <si>
    <t>Unit_Monster_Offline_11_1</t>
  </si>
  <si>
    <t>Unit_Monster_Offline_11_2</t>
  </si>
  <si>
    <t>Unit_Monster_Offline_12_1</t>
  </si>
  <si>
    <t>Unit_Monster_Offline_13_1</t>
  </si>
  <si>
    <t>Unit_Monster_Offline_13_2</t>
  </si>
  <si>
    <t>Unit_Monster_Offline_14_1</t>
  </si>
  <si>
    <t>Unit_Monster_Offline_14_2</t>
  </si>
  <si>
    <t>Unit_Monster_Offline_15_1</t>
  </si>
  <si>
    <t>Unit_Monster_Offline_15_2</t>
  </si>
  <si>
    <t>Unit_Monster_Offline_15_3</t>
  </si>
  <si>
    <t>Unit_Monster_Offline_16_1</t>
  </si>
  <si>
    <t>Unit_Monster_Offline_16_2</t>
  </si>
  <si>
    <t>Unit_Monster_Offline_17_1</t>
  </si>
  <si>
    <t>Unit_Monster_Offline_17_2</t>
  </si>
  <si>
    <t>Unit_Monster_Offline_18_1</t>
  </si>
  <si>
    <t>Unit_Monster_Offline_18_2</t>
  </si>
  <si>
    <t>Unit_Monster_Offline_18_3</t>
  </si>
  <si>
    <t>Unit_Monster_Offline_19_1</t>
  </si>
  <si>
    <t>Unit_Monster_Offline_19_2</t>
  </si>
  <si>
    <t>Unit_Monster_Offline_19_3</t>
  </si>
  <si>
    <t>Unit_Monster_Offline_20_1</t>
  </si>
  <si>
    <t>Unit_Monster_Offline_20_2</t>
  </si>
  <si>
    <t>Unit_Monster_Offline_20_3</t>
  </si>
  <si>
    <t>线下模式怪物1_1</t>
  </si>
  <si>
    <t>线下模式怪物2_1</t>
  </si>
  <si>
    <t>线下模式怪物2_2</t>
  </si>
  <si>
    <t>线下模式怪物3_1</t>
  </si>
  <si>
    <t>线下模式怪物3_2</t>
  </si>
  <si>
    <t>线下模式怪物4_1</t>
  </si>
  <si>
    <t>线下模式怪物4_2</t>
  </si>
  <si>
    <t>线下模式怪物5_1</t>
  </si>
  <si>
    <t>线下模式怪物5_2</t>
  </si>
  <si>
    <t>线下模式怪物6_1</t>
  </si>
  <si>
    <t>线下模式怪物6_2</t>
  </si>
  <si>
    <t>线下模式怪物7_1</t>
  </si>
  <si>
    <t>线下模式怪物7_2</t>
  </si>
  <si>
    <t>线下模式怪物8_1</t>
  </si>
  <si>
    <t>线下模式怪物8_2</t>
  </si>
  <si>
    <t>线下模式怪物9_1</t>
  </si>
  <si>
    <t>线下模式怪物9_2</t>
  </si>
  <si>
    <t>线下模式怪物10_1</t>
  </si>
  <si>
    <t>线下模式怪物10_2</t>
  </si>
  <si>
    <t>线下模式怪物11_1</t>
  </si>
  <si>
    <t>线下模式怪物11_2</t>
  </si>
  <si>
    <t>线下模式怪物12_1</t>
  </si>
  <si>
    <t>线下模式怪物13_1</t>
  </si>
  <si>
    <t>线下模式怪物13_2</t>
  </si>
  <si>
    <t>线下模式怪物14_1</t>
  </si>
  <si>
    <t>线下模式怪物14_2</t>
  </si>
  <si>
    <t>线下模式怪物15_1</t>
  </si>
  <si>
    <t>线下模式怪物15_2</t>
  </si>
  <si>
    <t>线下模式怪物15_3</t>
  </si>
  <si>
    <t>线下模式怪物16_1</t>
  </si>
  <si>
    <t>线下模式怪物16_2</t>
  </si>
  <si>
    <t>线下模式怪物17_1</t>
  </si>
  <si>
    <t>线下模式怪物17_2</t>
  </si>
  <si>
    <t>线下模式怪物18_1</t>
  </si>
  <si>
    <t>线下模式怪物18_2</t>
  </si>
  <si>
    <t>线下模式怪物18_3</t>
  </si>
  <si>
    <t>线下模式怪物19_1</t>
  </si>
  <si>
    <t>线下模式怪物19_2</t>
  </si>
  <si>
    <t>线下模式怪物19_3</t>
  </si>
  <si>
    <t>线下模式怪物20_1</t>
  </si>
  <si>
    <t>线下模式怪物20_2</t>
  </si>
  <si>
    <t>线下模式怪物20_3</t>
  </si>
  <si>
    <t>挑战关卡怪物技能_弱化</t>
    <phoneticPr fontId="4" type="noConversion"/>
  </si>
  <si>
    <t>BuffAdd_Monster_Challenge5_1_1</t>
  </si>
  <si>
    <t>BuffAdd_Monster_Challenge5_2_1</t>
  </si>
  <si>
    <t>BuffAdd_Monster_Challenge5_3_1</t>
  </si>
  <si>
    <t>BuffAdd_Monster_Challenge5_4_1</t>
  </si>
  <si>
    <t>BuffAdd_Monster_Challenge5_5_1</t>
  </si>
  <si>
    <t>BuffAdd_Monster_Challenge5_5_4</t>
  </si>
  <si>
    <t>无限模式怪物技能</t>
  </si>
  <si>
    <t>BuffAdd_Infinite_9_2_ZhongZi</t>
  </si>
  <si>
    <t>BuffAdd_Infinite_10_2_ZhongZi</t>
  </si>
  <si>
    <t>BuffAdd_Infinite_11_1_ZhongZi</t>
  </si>
  <si>
    <t>BuffAdd_Infinite_12_2_ZhongZi</t>
  </si>
  <si>
    <t>BuffAdd_Infinite_12_3_ZhongZi</t>
  </si>
  <si>
    <t>BuffAdd_Infinite_13_1_Gui</t>
  </si>
  <si>
    <t>BuffAdd_Infinite_14_1_Gui</t>
  </si>
  <si>
    <t>BuffAdd_Infinite_15_1_Gui</t>
  </si>
  <si>
    <t>BuffAdd_Infinite_15_2_ZhongZi</t>
  </si>
  <si>
    <t>BuffAdd_Infinite_16_2_Gui</t>
  </si>
  <si>
    <t>BuffAdd_Infinite_17_2_Dan</t>
  </si>
  <si>
    <t>BuffAdd_Infinite_18_1_Dan</t>
  </si>
  <si>
    <r>
      <t>Skill_Monster_Infinite_1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_1_Dan</t>
    </r>
    <phoneticPr fontId="4" type="noConversion"/>
  </si>
  <si>
    <r>
      <t>BuffAdd_Infinite_1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_1_Dan</t>
    </r>
    <phoneticPr fontId="4" type="noConversion"/>
  </si>
  <si>
    <t>BuffAdd_Infinite_19_3_ZhongZi</t>
  </si>
  <si>
    <t>BuffAdd_Infinite_20_1_Dan</t>
  </si>
  <si>
    <t>BuffAdd_Infinite_20_2_Gui</t>
  </si>
  <si>
    <t>BuffAdd_Infinite_20_3_ZhongZi</t>
  </si>
  <si>
    <t>BuffAdd_Infinite_20_4_Dan</t>
  </si>
  <si>
    <r>
      <t>Skill</t>
    </r>
    <r>
      <rPr>
        <sz val="11"/>
        <color theme="1"/>
        <rFont val="等线"/>
        <family val="3"/>
        <charset val="134"/>
        <scheme val="minor"/>
      </rPr>
      <t>_Monster_Infinite_Boss</t>
    </r>
    <phoneticPr fontId="4" type="noConversion"/>
  </si>
  <si>
    <t>Boss出场技能</t>
    <phoneticPr fontId="4" type="noConversion"/>
  </si>
  <si>
    <t>PlayAudio_BossAppear</t>
  </si>
  <si>
    <t>通用技能_回复</t>
    <phoneticPr fontId="4" type="noConversion"/>
  </si>
  <si>
    <t>通用技能_隐身</t>
    <phoneticPr fontId="4" type="noConversion"/>
  </si>
  <si>
    <t>通用技能_弱化</t>
    <phoneticPr fontId="4" type="noConversion"/>
  </si>
  <si>
    <t>通用技能_加速</t>
    <phoneticPr fontId="4" type="noConversion"/>
  </si>
  <si>
    <t>BuyTowerRefreshRule_Infinite</t>
  </si>
  <si>
    <t>TowerDefenseCfg_Offline</t>
    <phoneticPr fontId="4" type="noConversion"/>
  </si>
  <si>
    <t>难度递增</t>
    <phoneticPr fontId="4" type="noConversion"/>
  </si>
  <si>
    <t>boss关递增</t>
    <phoneticPr fontId="4" type="noConversion"/>
  </si>
  <si>
    <t>0-5波</t>
    <phoneticPr fontId="4" type="noConversion"/>
  </si>
  <si>
    <t>5-10波</t>
    <phoneticPr fontId="4" type="noConversion"/>
  </si>
  <si>
    <t>10-15波</t>
    <phoneticPr fontId="4" type="noConversion"/>
  </si>
  <si>
    <t>15-20波</t>
    <phoneticPr fontId="4" type="noConversion"/>
  </si>
  <si>
    <t>Skill_Monster_Challenge3_1_1,NormalAttack</t>
  </si>
  <si>
    <t>Skill_Monster_Challenge4_1_1,NormalAttack</t>
  </si>
  <si>
    <t>Skill_Monster_Challenge5_1_1,NormalAttack</t>
  </si>
  <si>
    <t>0-4波</t>
    <phoneticPr fontId="4" type="noConversion"/>
  </si>
  <si>
    <t>5-8波</t>
    <phoneticPr fontId="4" type="noConversion"/>
  </si>
  <si>
    <t>9-12波</t>
    <phoneticPr fontId="4" type="noConversion"/>
  </si>
  <si>
    <t>13-16波</t>
    <phoneticPr fontId="4" type="noConversion"/>
  </si>
  <si>
    <t>17-20波</t>
    <phoneticPr fontId="4" type="noConversion"/>
  </si>
  <si>
    <t>玩家水平</t>
    <phoneticPr fontId="4" type="noConversion"/>
  </si>
  <si>
    <t>2级塔</t>
    <phoneticPr fontId="4" type="noConversion"/>
  </si>
  <si>
    <t>合理搭配或3级塔</t>
    <phoneticPr fontId="4" type="noConversion"/>
  </si>
  <si>
    <t>长路线+应对怪物</t>
    <phoneticPr fontId="4" type="noConversion"/>
  </si>
  <si>
    <t>长路线+应对怪物+高效输出</t>
    <phoneticPr fontId="4" type="noConversion"/>
  </si>
  <si>
    <t>长路线/发挥塔特性</t>
    <phoneticPr fontId="4" type="noConversion"/>
  </si>
  <si>
    <t>地形设计的趣味性/耐玩性</t>
    <phoneticPr fontId="4" type="noConversion"/>
  </si>
  <si>
    <t>设计直线、转弯、斜坡、交叉等的组合</t>
    <phoneticPr fontId="4" type="noConversion"/>
  </si>
  <si>
    <t>因为这些地形能然塔、怪物产生不同的效果？</t>
    <phoneticPr fontId="4" type="noConversion"/>
  </si>
  <si>
    <t>直线弩炮，扇形塔，轨道炮、加入陷阱</t>
    <phoneticPr fontId="4" type="noConversion"/>
  </si>
  <si>
    <t>关卡名称</t>
    <phoneticPr fontId="4" type="noConversion"/>
  </si>
  <si>
    <t>功能诉求</t>
    <phoneticPr fontId="4" type="noConversion"/>
  </si>
  <si>
    <t>表现形式</t>
    <phoneticPr fontId="4" type="noConversion"/>
  </si>
  <si>
    <t>体验测评</t>
    <phoneticPr fontId="4" type="noConversion"/>
  </si>
  <si>
    <t>兴趣曲线</t>
    <phoneticPr fontId="4" type="noConversion"/>
  </si>
  <si>
    <t>学习曲线</t>
    <phoneticPr fontId="4" type="noConversion"/>
  </si>
  <si>
    <t>难度曲线</t>
    <phoneticPr fontId="4" type="noConversion"/>
  </si>
  <si>
    <t>学习曲线诉求</t>
    <phoneticPr fontId="4" type="noConversion"/>
  </si>
  <si>
    <t>难度曲线诉求</t>
    <phoneticPr fontId="4" type="noConversion"/>
  </si>
  <si>
    <t>玩家反馈诉求</t>
    <phoneticPr fontId="4" type="noConversion"/>
  </si>
  <si>
    <t>新手关卡1</t>
    <phoneticPr fontId="4" type="noConversion"/>
  </si>
  <si>
    <t>感到新鲜和惊喜</t>
    <phoneticPr fontId="4" type="noConversion"/>
  </si>
  <si>
    <t>掌握单局流程和基本操作</t>
    <phoneticPr fontId="4" type="noConversion"/>
  </si>
  <si>
    <t>所有人都能过关</t>
    <phoneticPr fontId="4" type="noConversion"/>
  </si>
  <si>
    <t>竞品情况诉求</t>
    <phoneticPr fontId="4" type="noConversion"/>
  </si>
  <si>
    <t>能够买多个特色塔，出现多种怪物，体验一段激烈的战斗</t>
    <phoneticPr fontId="4" type="noConversion"/>
  </si>
  <si>
    <t>教学买塔、放置和开始，1波怪物</t>
    <phoneticPr fontId="4" type="noConversion"/>
  </si>
  <si>
    <t>大本营血量高，但怪物保持一定的强度</t>
    <phoneticPr fontId="4" type="noConversion"/>
  </si>
  <si>
    <t>峰终定律</t>
    <phoneticPr fontId="4" type="noConversion"/>
  </si>
  <si>
    <t>技巧持续上升没有尽头</t>
    <phoneticPr fontId="4" type="noConversion"/>
  </si>
  <si>
    <t>增量挑战-组合挑战-技巧领悟-自主实验-中场休息</t>
    <phoneticPr fontId="4" type="noConversion"/>
  </si>
  <si>
    <t>波浪</t>
    <phoneticPr fontId="4" type="noConversion"/>
  </si>
  <si>
    <t>接近成功时失败</t>
    <phoneticPr fontId="4" type="noConversion"/>
  </si>
  <si>
    <t>难度体现在玩家行为失误上</t>
    <phoneticPr fontId="4" type="noConversion"/>
  </si>
  <si>
    <t>目标设立</t>
    <phoneticPr fontId="4" type="noConversion"/>
  </si>
  <si>
    <t>短中长，由多到少</t>
    <phoneticPr fontId="4" type="noConversion"/>
  </si>
  <si>
    <t>首日</t>
    <phoneticPr fontId="4" type="noConversion"/>
  </si>
  <si>
    <t>无限关卡</t>
    <phoneticPr fontId="4" type="noConversion"/>
  </si>
  <si>
    <t>期望</t>
    <phoneticPr fontId="4" type="noConversion"/>
  </si>
  <si>
    <t>当前</t>
    <phoneticPr fontId="4" type="noConversion"/>
  </si>
  <si>
    <t>改进方案</t>
    <phoneticPr fontId="4" type="noConversion"/>
  </si>
  <si>
    <t>初始</t>
    <phoneticPr fontId="4" type="noConversion"/>
  </si>
  <si>
    <t>展现更多塔和怪</t>
    <phoneticPr fontId="4" type="noConversion"/>
  </si>
  <si>
    <t>最少的塔和怪物</t>
    <phoneticPr fontId="4" type="noConversion"/>
  </si>
  <si>
    <t>仅多出现1个新塔</t>
    <phoneticPr fontId="4" type="noConversion"/>
  </si>
  <si>
    <t>可用8个塔/金币更多/插入引导</t>
    <phoneticPr fontId="4" type="noConversion"/>
  </si>
  <si>
    <t>教学基本操作</t>
    <phoneticPr fontId="4" type="noConversion"/>
  </si>
  <si>
    <t>教学基本塔</t>
    <phoneticPr fontId="4" type="noConversion"/>
  </si>
  <si>
    <t>教学升级</t>
    <phoneticPr fontId="4" type="noConversion"/>
  </si>
  <si>
    <t>使玩家容易达到塔上限</t>
    <phoneticPr fontId="4" type="noConversion"/>
  </si>
  <si>
    <t>（2关1教学 ）教学拖动</t>
    <phoneticPr fontId="4" type="noConversion"/>
  </si>
  <si>
    <t>（2关1教学 ）教学高低地形</t>
    <phoneticPr fontId="4" type="noConversion"/>
  </si>
  <si>
    <t>（2关1教学 ）教学设计路线</t>
    <phoneticPr fontId="4" type="noConversion"/>
  </si>
  <si>
    <t>难度提升</t>
    <phoneticPr fontId="4" type="noConversion"/>
  </si>
  <si>
    <t>需要利用升级解决困难</t>
    <phoneticPr fontId="4" type="noConversion"/>
  </si>
  <si>
    <t>难度降低</t>
    <phoneticPr fontId="4" type="noConversion"/>
  </si>
  <si>
    <t>学会基本技巧</t>
    <phoneticPr fontId="4" type="noConversion"/>
  </si>
  <si>
    <t>最少的初始内容，使后续解锁产生落差</t>
    <phoneticPr fontId="4" type="noConversion"/>
  </si>
  <si>
    <t>比新手关难，但正常玩都能过</t>
    <phoneticPr fontId="4" type="noConversion"/>
  </si>
  <si>
    <t>为升级技能产生需求</t>
    <phoneticPr fontId="4" type="noConversion"/>
  </si>
  <si>
    <t>比上一关难</t>
    <phoneticPr fontId="4" type="noConversion"/>
  </si>
  <si>
    <t>学习新技巧：升级</t>
    <phoneticPr fontId="4" type="noConversion"/>
  </si>
  <si>
    <t>利用升级较为简单</t>
    <phoneticPr fontId="4" type="noConversion"/>
  </si>
  <si>
    <t>接触新塔</t>
    <phoneticPr fontId="4" type="noConversion"/>
  </si>
  <si>
    <t>练习并掌握升级</t>
    <phoneticPr fontId="4" type="noConversion"/>
  </si>
  <si>
    <t>新模式，新体验</t>
    <phoneticPr fontId="4" type="noConversion"/>
  </si>
  <si>
    <t>了解模式玩法</t>
    <phoneticPr fontId="4" type="noConversion"/>
  </si>
  <si>
    <t>有一定体验，但较快遇到阻碍</t>
    <phoneticPr fontId="4" type="noConversion"/>
  </si>
  <si>
    <t>接触新怪物</t>
    <phoneticPr fontId="4" type="noConversion"/>
  </si>
  <si>
    <t>加农弩箭</t>
    <phoneticPr fontId="4" type="noConversion"/>
  </si>
  <si>
    <t>组合1级塔可过</t>
    <phoneticPr fontId="4" type="noConversion"/>
  </si>
  <si>
    <t>使用基本塔</t>
    <phoneticPr fontId="4" type="noConversion"/>
  </si>
  <si>
    <t>钱多，位置少</t>
    <phoneticPr fontId="4" type="noConversion"/>
  </si>
  <si>
    <t>上一关奖励塔</t>
    <phoneticPr fontId="4" type="noConversion"/>
  </si>
  <si>
    <t>2级塔可过</t>
    <phoneticPr fontId="4" type="noConversion"/>
  </si>
  <si>
    <t>多个2级塔可过</t>
    <phoneticPr fontId="4" type="noConversion"/>
  </si>
  <si>
    <t>前期无新内容</t>
    <phoneticPr fontId="4" type="noConversion"/>
  </si>
  <si>
    <t>简单过3波</t>
    <phoneticPr fontId="4" type="noConversion"/>
  </si>
  <si>
    <t>塔多位置多出boss</t>
    <phoneticPr fontId="4" type="noConversion"/>
  </si>
  <si>
    <t>用户特点</t>
    <phoneticPr fontId="4" type="noConversion"/>
  </si>
  <si>
    <t>玩法配合</t>
    <phoneticPr fontId="4" type="noConversion"/>
  </si>
  <si>
    <t>获得新卡</t>
    <phoneticPr fontId="4" type="noConversion"/>
  </si>
  <si>
    <t>第2天</t>
  </si>
  <si>
    <t>学习新卡用法</t>
    <phoneticPr fontId="4" type="noConversion"/>
  </si>
  <si>
    <t>学习新怪物对策</t>
    <phoneticPr fontId="4" type="noConversion"/>
  </si>
  <si>
    <t>技巧深度</t>
    <phoneticPr fontId="4" type="noConversion"/>
  </si>
  <si>
    <t>阵容组合</t>
    <phoneticPr fontId="4" type="noConversion"/>
  </si>
  <si>
    <t>临场选择</t>
    <phoneticPr fontId="4" type="noConversion"/>
  </si>
  <si>
    <t>资源分配</t>
    <phoneticPr fontId="4" type="noConversion"/>
  </si>
  <si>
    <t>地形设计技巧</t>
    <phoneticPr fontId="4" type="noConversion"/>
  </si>
  <si>
    <t>设计虚拟陷阱与地形结合</t>
    <phoneticPr fontId="4" type="noConversion"/>
  </si>
  <si>
    <t>毒蝎</t>
    <phoneticPr fontId="4" type="noConversion"/>
  </si>
  <si>
    <t>闪电链</t>
    <phoneticPr fontId="4" type="noConversion"/>
  </si>
  <si>
    <t>远处特攻/抛物线</t>
    <phoneticPr fontId="4" type="noConversion"/>
  </si>
  <si>
    <t>散弹枪手</t>
    <phoneticPr fontId="4" type="noConversion"/>
  </si>
  <si>
    <t>近处特攻/扇形击退</t>
    <phoneticPr fontId="4" type="noConversion"/>
  </si>
  <si>
    <t>塔</t>
    <phoneticPr fontId="4" type="noConversion"/>
  </si>
  <si>
    <t>地形</t>
    <phoneticPr fontId="4" type="noConversion"/>
  </si>
  <si>
    <t>道具</t>
    <phoneticPr fontId="4" type="noConversion"/>
  </si>
  <si>
    <t>养成</t>
    <phoneticPr fontId="4" type="noConversion"/>
  </si>
  <si>
    <t>远</t>
    <phoneticPr fontId="4" type="noConversion"/>
  </si>
  <si>
    <t>近</t>
    <phoneticPr fontId="4" type="noConversion"/>
  </si>
  <si>
    <t>高</t>
    <phoneticPr fontId="4" type="noConversion"/>
  </si>
  <si>
    <t>低</t>
    <phoneticPr fontId="4" type="noConversion"/>
  </si>
  <si>
    <t>直</t>
    <phoneticPr fontId="4" type="noConversion"/>
  </si>
  <si>
    <t>曲</t>
    <phoneticPr fontId="4" type="noConversion"/>
  </si>
  <si>
    <t>怪</t>
    <phoneticPr fontId="4" type="noConversion"/>
  </si>
  <si>
    <t>单个</t>
    <phoneticPr fontId="4" type="noConversion"/>
  </si>
  <si>
    <t>群体</t>
    <phoneticPr fontId="4" type="noConversion"/>
  </si>
  <si>
    <t>肉</t>
    <phoneticPr fontId="4" type="noConversion"/>
  </si>
  <si>
    <t>隐身</t>
    <phoneticPr fontId="4" type="noConversion"/>
  </si>
  <si>
    <t>治疗</t>
    <phoneticPr fontId="4" type="noConversion"/>
  </si>
  <si>
    <t>弱化</t>
    <phoneticPr fontId="4" type="noConversion"/>
  </si>
  <si>
    <t>沉默破甲</t>
    <phoneticPr fontId="4" type="noConversion"/>
  </si>
  <si>
    <t>精灵弓手</t>
    <phoneticPr fontId="4" type="noConversion"/>
  </si>
  <si>
    <t>爆炸</t>
    <phoneticPr fontId="4" type="noConversion"/>
  </si>
  <si>
    <t>偷金币</t>
    <phoneticPr fontId="4" type="noConversion"/>
  </si>
  <si>
    <t>扣除最大生命</t>
    <phoneticPr fontId="4" type="noConversion"/>
  </si>
  <si>
    <t>活动怪</t>
    <phoneticPr fontId="4" type="noConversion"/>
  </si>
  <si>
    <t>融化雪人</t>
    <phoneticPr fontId="4" type="noConversion"/>
  </si>
  <si>
    <t>无敌乌龟</t>
    <phoneticPr fontId="4" type="noConversion"/>
  </si>
  <si>
    <t>高伤大块头</t>
    <phoneticPr fontId="4" type="noConversion"/>
  </si>
  <si>
    <t>净化护盾</t>
    <phoneticPr fontId="4" type="noConversion"/>
  </si>
  <si>
    <t>进攻号角</t>
    <phoneticPr fontId="4" type="noConversion"/>
  </si>
  <si>
    <t>加速鸟</t>
    <phoneticPr fontId="4" type="noConversion"/>
  </si>
  <si>
    <t>融化雪人</t>
    <phoneticPr fontId="4" type="noConversion"/>
  </si>
  <si>
    <t>无敌乌龟</t>
    <phoneticPr fontId="4" type="noConversion"/>
  </si>
  <si>
    <t>小概率斩杀</t>
    <phoneticPr fontId="4" type="noConversion"/>
  </si>
  <si>
    <t>圣剑</t>
    <phoneticPr fontId="4" type="noConversion"/>
  </si>
  <si>
    <t>随机金币袋</t>
    <phoneticPr fontId="4" type="noConversion"/>
  </si>
  <si>
    <t>激光塔</t>
    <phoneticPr fontId="4" type="noConversion"/>
  </si>
  <si>
    <t>直线特攻</t>
    <phoneticPr fontId="4" type="noConversion"/>
  </si>
  <si>
    <t>攻击+</t>
    <phoneticPr fontId="4" type="noConversion"/>
  </si>
  <si>
    <t>圣战旗帜</t>
    <phoneticPr fontId="4" type="noConversion"/>
  </si>
  <si>
    <t>单体</t>
    <phoneticPr fontId="4" type="noConversion"/>
  </si>
  <si>
    <t>增益</t>
    <phoneticPr fontId="4" type="noConversion"/>
  </si>
  <si>
    <t>减益</t>
    <phoneticPr fontId="4" type="noConversion"/>
  </si>
  <si>
    <t>消耗</t>
    <phoneticPr fontId="4" type="noConversion"/>
  </si>
  <si>
    <t>电磁</t>
    <phoneticPr fontId="4" type="noConversion"/>
  </si>
  <si>
    <t>持续电击强化</t>
    <phoneticPr fontId="4" type="noConversion"/>
  </si>
  <si>
    <t>奥术飞弹</t>
    <phoneticPr fontId="4" type="noConversion"/>
  </si>
  <si>
    <t>可单可群/攻击低/价格低</t>
    <phoneticPr fontId="4" type="noConversion"/>
  </si>
  <si>
    <t>远处抛物线</t>
    <phoneticPr fontId="4" type="noConversion"/>
  </si>
  <si>
    <t>2连发</t>
    <phoneticPr fontId="4" type="noConversion"/>
  </si>
  <si>
    <t>近处扇形击退</t>
    <phoneticPr fontId="4" type="noConversion"/>
  </si>
  <si>
    <t>可单可群</t>
    <phoneticPr fontId="4" type="noConversion"/>
  </si>
  <si>
    <t>击退带眩晕</t>
    <phoneticPr fontId="4" type="noConversion"/>
  </si>
  <si>
    <t>子弹增加</t>
    <phoneticPr fontId="4" type="noConversion"/>
  </si>
  <si>
    <t>范围扩大</t>
    <phoneticPr fontId="4" type="noConversion"/>
  </si>
  <si>
    <t>近处增伤率lv1/2/3；击退距离；眩晕时间</t>
    <phoneticPr fontId="4" type="noConversion"/>
  </si>
  <si>
    <t>3级射程</t>
    <phoneticPr fontId="4" type="noConversion"/>
  </si>
  <si>
    <t>详情里显示最大伤害</t>
    <phoneticPr fontId="4" type="noConversion"/>
  </si>
  <si>
    <t>赛季活动关卡</t>
    <phoneticPr fontId="4" type="noConversion"/>
  </si>
  <si>
    <t>赛季1关卡</t>
    <phoneticPr fontId="4" type="noConversion"/>
  </si>
  <si>
    <t>赛季2关卡</t>
    <phoneticPr fontId="4" type="noConversion"/>
  </si>
  <si>
    <t>赛季3关卡</t>
    <phoneticPr fontId="4" type="noConversion"/>
  </si>
  <si>
    <t>赛季4关卡</t>
    <phoneticPr fontId="4" type="noConversion"/>
  </si>
  <si>
    <t>学习</t>
    <phoneticPr fontId="4" type="noConversion"/>
  </si>
  <si>
    <t>兴趣</t>
    <phoneticPr fontId="4" type="noConversion"/>
  </si>
  <si>
    <t>波次6</t>
  </si>
  <si>
    <t>波次7</t>
  </si>
  <si>
    <t>波次8</t>
  </si>
  <si>
    <t>波次9</t>
  </si>
  <si>
    <t>波次10</t>
  </si>
  <si>
    <t>20%过关率</t>
    <phoneticPr fontId="4" type="noConversion"/>
  </si>
  <si>
    <t>50%过关率</t>
    <phoneticPr fontId="4" type="noConversion"/>
  </si>
  <si>
    <t>怪升级</t>
    <phoneticPr fontId="4" type="noConversion"/>
  </si>
  <si>
    <t>新怪</t>
    <phoneticPr fontId="4" type="noConversion"/>
  </si>
  <si>
    <t>怪升级/新卡</t>
    <phoneticPr fontId="4" type="noConversion"/>
  </si>
  <si>
    <t>90%过关率</t>
    <phoneticPr fontId="4" type="noConversion"/>
  </si>
  <si>
    <t>70%过关率</t>
    <phoneticPr fontId="4" type="noConversion"/>
  </si>
  <si>
    <t>加速怪1+普通</t>
    <phoneticPr fontId="4" type="noConversion"/>
  </si>
  <si>
    <t>加速怪1+治疗</t>
    <phoneticPr fontId="4" type="noConversion"/>
  </si>
  <si>
    <t>加速怪2+普通</t>
    <phoneticPr fontId="4" type="noConversion"/>
  </si>
  <si>
    <t>加速怪2+隐身</t>
    <phoneticPr fontId="4" type="noConversion"/>
  </si>
  <si>
    <t>普通</t>
  </si>
  <si>
    <t>集群怪</t>
  </si>
  <si>
    <t>混合</t>
  </si>
  <si>
    <t>混合++</t>
  </si>
  <si>
    <t>快速</t>
  </si>
  <si>
    <t>普通+快速</t>
  </si>
  <si>
    <t>集群+快速</t>
  </si>
  <si>
    <t>治疗</t>
  </si>
  <si>
    <t>普通+治疗</t>
  </si>
  <si>
    <t>集群+治疗</t>
  </si>
  <si>
    <t>隐身</t>
  </si>
  <si>
    <t>隐身+普通</t>
  </si>
  <si>
    <t>隐身+快速</t>
  </si>
  <si>
    <t>隐身+集群</t>
  </si>
  <si>
    <t>隐身+治疗</t>
  </si>
  <si>
    <t>弱化</t>
  </si>
  <si>
    <t>弱化+快速</t>
  </si>
  <si>
    <t>弱化+治疗</t>
  </si>
  <si>
    <t>弱化+隐身</t>
  </si>
  <si>
    <t>混合+BOSS</t>
    <phoneticPr fontId="4" type="noConversion"/>
  </si>
  <si>
    <t>混合++</t>
    <phoneticPr fontId="4" type="noConversion"/>
  </si>
  <si>
    <t>混合</t>
    <phoneticPr fontId="4" type="noConversion"/>
  </si>
  <si>
    <t>混合+</t>
    <phoneticPr fontId="4" type="noConversion"/>
  </si>
  <si>
    <t>加速怪2/3+全部</t>
    <phoneticPr fontId="4" type="noConversion"/>
  </si>
  <si>
    <t>肉怪1+普通</t>
    <phoneticPr fontId="4" type="noConversion"/>
  </si>
  <si>
    <t>肉怪1+治疗</t>
    <phoneticPr fontId="4" type="noConversion"/>
  </si>
  <si>
    <t>肉怪2+普通</t>
    <phoneticPr fontId="4" type="noConversion"/>
  </si>
  <si>
    <t>肉怪2+隐身</t>
    <phoneticPr fontId="4" type="noConversion"/>
  </si>
  <si>
    <t>肉怪2/3+全部</t>
    <phoneticPr fontId="4" type="noConversion"/>
  </si>
  <si>
    <t>雪人怪1+普通</t>
  </si>
  <si>
    <t>雪人怪1+治疗</t>
  </si>
  <si>
    <t>雪人怪2+普通</t>
  </si>
  <si>
    <t>雪人怪2+隐身</t>
  </si>
  <si>
    <t>雪人怪2/3+全部</t>
  </si>
  <si>
    <t>乌龟怪1+普通</t>
  </si>
  <si>
    <t>乌龟怪1+治疗</t>
  </si>
  <si>
    <t>乌龟怪2+普通</t>
  </si>
  <si>
    <t>乌龟怪2+隐身</t>
  </si>
  <si>
    <t>乌龟怪2/3+全部</t>
  </si>
  <si>
    <t>赛季1</t>
    <phoneticPr fontId="4" type="noConversion"/>
  </si>
  <si>
    <t>鸟1</t>
  </si>
  <si>
    <t>肉1</t>
  </si>
  <si>
    <t>肉2</t>
  </si>
  <si>
    <t>肉3</t>
  </si>
  <si>
    <t>雪人1</t>
  </si>
  <si>
    <t>雪人2</t>
  </si>
  <si>
    <t>雪人3</t>
  </si>
  <si>
    <t>乌龟1</t>
  </si>
  <si>
    <t>乌龟2</t>
  </si>
  <si>
    <t>乌龟3</t>
  </si>
  <si>
    <t>赛季2</t>
    <phoneticPr fontId="4" type="noConversion"/>
  </si>
  <si>
    <t>赛季3</t>
    <phoneticPr fontId="4" type="noConversion"/>
  </si>
  <si>
    <t>赛季4</t>
    <phoneticPr fontId="4" type="noConversion"/>
  </si>
  <si>
    <t>肉1</t>
    <phoneticPr fontId="4" type="noConversion"/>
  </si>
  <si>
    <t>肉2</t>
    <phoneticPr fontId="4" type="noConversion"/>
  </si>
  <si>
    <t>肉3</t>
    <phoneticPr fontId="4" type="noConversion"/>
  </si>
  <si>
    <t>ResUnit_Rou1</t>
  </si>
  <si>
    <t>ResUnit_Rou2</t>
  </si>
  <si>
    <t>ResUnit_Rou3</t>
  </si>
  <si>
    <t>ResUnit_XueRen1</t>
  </si>
  <si>
    <t>ResUnit_XueRen2</t>
  </si>
  <si>
    <t>ResUnit_XueRen3</t>
  </si>
  <si>
    <t>ResUnit_WuGui1</t>
  </si>
  <si>
    <t>ResUnit_WuGui2</t>
  </si>
  <si>
    <t>ResUnit_WuGui3</t>
  </si>
  <si>
    <t>高生命攻击</t>
    <phoneticPr fontId="4" type="noConversion"/>
  </si>
  <si>
    <t>持续变弱</t>
    <phoneticPr fontId="4" type="noConversion"/>
  </si>
  <si>
    <t>无敌技</t>
    <phoneticPr fontId="4" type="noConversion"/>
  </si>
  <si>
    <t>活动关</t>
    <phoneticPr fontId="4" type="noConversion"/>
  </si>
  <si>
    <t>赛季内可养满</t>
    <phoneticPr fontId="4" type="noConversion"/>
  </si>
  <si>
    <t>每项养成最大性价比相同</t>
    <phoneticPr fontId="4" type="noConversion"/>
  </si>
  <si>
    <t>占比</t>
    <phoneticPr fontId="4" type="noConversion"/>
  </si>
  <si>
    <t>具体数量</t>
    <phoneticPr fontId="4" type="noConversion"/>
  </si>
  <si>
    <t>钻石产出</t>
    <phoneticPr fontId="4" type="noConversion"/>
  </si>
  <si>
    <t>赛季周期</t>
    <phoneticPr fontId="4" type="noConversion"/>
  </si>
  <si>
    <t>每日局数：</t>
    <phoneticPr fontId="4" type="noConversion"/>
  </si>
  <si>
    <t>挑战产出</t>
    <phoneticPr fontId="4" type="noConversion"/>
  </si>
  <si>
    <t>挑战1</t>
    <phoneticPr fontId="4" type="noConversion"/>
  </si>
  <si>
    <t>挑战2</t>
  </si>
  <si>
    <t>挑战3</t>
  </si>
  <si>
    <t>挑战4</t>
  </si>
  <si>
    <t>挑战5</t>
  </si>
  <si>
    <t>挑战6</t>
  </si>
  <si>
    <t>挑战7</t>
  </si>
  <si>
    <t>挑战8</t>
  </si>
  <si>
    <t>挑战9</t>
  </si>
  <si>
    <t>挑战10</t>
  </si>
  <si>
    <t>权重</t>
    <phoneticPr fontId="4" type="noConversion"/>
  </si>
  <si>
    <t>首次挑战</t>
    <phoneticPr fontId="4" type="noConversion"/>
  </si>
  <si>
    <t>重复挑战</t>
    <phoneticPr fontId="4" type="noConversion"/>
  </si>
  <si>
    <t>首次奖励</t>
    <phoneticPr fontId="4" type="noConversion"/>
  </si>
  <si>
    <t>重复奖励</t>
    <phoneticPr fontId="4" type="noConversion"/>
  </si>
  <si>
    <t>无限产出</t>
    <phoneticPr fontId="4" type="noConversion"/>
  </si>
  <si>
    <t xml:space="preserve">挑战 </t>
    <phoneticPr fontId="4" type="noConversion"/>
  </si>
  <si>
    <t>首次产出</t>
    <phoneticPr fontId="4" type="noConversion"/>
  </si>
  <si>
    <t>实际产出</t>
    <phoneticPr fontId="4" type="noConversion"/>
  </si>
  <si>
    <t>钻石投放</t>
    <phoneticPr fontId="4" type="noConversion"/>
  </si>
  <si>
    <t>目标：</t>
    <phoneticPr fontId="4" type="noConversion"/>
  </si>
  <si>
    <t>手痛活动优先</t>
    <phoneticPr fontId="4" type="noConversion"/>
  </si>
  <si>
    <t>降低刷取的可能性</t>
    <phoneticPr fontId="4" type="noConversion"/>
  </si>
  <si>
    <t>养满加成：</t>
    <phoneticPr fontId="4" type="noConversion"/>
  </si>
  <si>
    <t>所需天数：</t>
    <phoneticPr fontId="4" type="noConversion"/>
  </si>
  <si>
    <t>各关卡具体产出</t>
    <phoneticPr fontId="4" type="noConversion"/>
  </si>
  <si>
    <t>产出概览</t>
    <phoneticPr fontId="4" type="noConversion"/>
  </si>
  <si>
    <t>加成</t>
    <phoneticPr fontId="4" type="noConversion"/>
  </si>
  <si>
    <t xml:space="preserve"> 塔最大数量+</t>
  </si>
  <si>
    <t xml:space="preserve"> 初始金币+</t>
  </si>
  <si>
    <t xml:space="preserve"> 伤害+</t>
  </si>
  <si>
    <t xml:space="preserve"> 塔价格-</t>
  </si>
  <si>
    <t xml:space="preserve"> 基地生命+</t>
  </si>
  <si>
    <t xml:space="preserve"> 基地恢复+</t>
  </si>
  <si>
    <t xml:space="preserve"> 攻击范围+</t>
  </si>
  <si>
    <t xml:space="preserve"> 攻击间隔-</t>
  </si>
  <si>
    <t xml:space="preserve"> 金币奖励+%</t>
  </si>
  <si>
    <t xml:space="preserve"> 复活+</t>
  </si>
  <si>
    <t xml:space="preserve"> 钻石奖励+%</t>
  </si>
  <si>
    <t>加成权重</t>
    <phoneticPr fontId="4" type="noConversion"/>
  </si>
  <si>
    <t>消耗权重</t>
    <phoneticPr fontId="4" type="noConversion"/>
  </si>
  <si>
    <t>LV1</t>
    <phoneticPr fontId="4" type="noConversion"/>
  </si>
  <si>
    <t>各项加成</t>
    <phoneticPr fontId="4" type="noConversion"/>
  </si>
  <si>
    <t>数值</t>
    <phoneticPr fontId="4" type="noConversion"/>
  </si>
  <si>
    <t>LV2</t>
  </si>
  <si>
    <t>LV3</t>
  </si>
  <si>
    <t>属性等价表</t>
    <phoneticPr fontId="4" type="noConversion"/>
  </si>
  <si>
    <t>塔数量</t>
    <phoneticPr fontId="4" type="noConversion"/>
  </si>
  <si>
    <t>基地生命</t>
    <phoneticPr fontId="4" type="noConversion"/>
  </si>
  <si>
    <t>攻击范围</t>
    <phoneticPr fontId="4" type="noConversion"/>
  </si>
  <si>
    <t>复活机会</t>
    <phoneticPr fontId="4" type="noConversion"/>
  </si>
  <si>
    <t xml:space="preserve"> 攻击间隔-%</t>
    <phoneticPr fontId="4" type="noConversion"/>
  </si>
  <si>
    <t>攻击间隔-</t>
    <phoneticPr fontId="4" type="noConversion"/>
  </si>
  <si>
    <t>局内金币</t>
    <phoneticPr fontId="4" type="noConversion"/>
  </si>
  <si>
    <t>对应属性</t>
    <phoneticPr fontId="4" type="noConversion"/>
  </si>
  <si>
    <t>价值</t>
    <phoneticPr fontId="4" type="noConversion"/>
  </si>
  <si>
    <t>换算关系</t>
    <phoneticPr fontId="4" type="noConversion"/>
  </si>
  <si>
    <t>加成选项</t>
    <phoneticPr fontId="4" type="noConversion"/>
  </si>
  <si>
    <t>总价值</t>
    <phoneticPr fontId="4" type="noConversion"/>
  </si>
  <si>
    <t>初始值</t>
    <phoneticPr fontId="4" type="noConversion"/>
  </si>
  <si>
    <t>增加战斗力</t>
    <phoneticPr fontId="4" type="noConversion"/>
  </si>
  <si>
    <t>养满数值</t>
    <phoneticPr fontId="4" type="noConversion"/>
  </si>
  <si>
    <t>初始战斗力</t>
    <phoneticPr fontId="4" type="noConversion"/>
  </si>
  <si>
    <t>养满战斗力</t>
    <phoneticPr fontId="4" type="noConversion"/>
  </si>
  <si>
    <t>增加比例</t>
    <phoneticPr fontId="4" type="noConversion"/>
  </si>
  <si>
    <t xml:space="preserve"> 钻石奖励+%</t>
    <phoneticPr fontId="4" type="noConversion"/>
  </si>
  <si>
    <t>局外钻石</t>
    <phoneticPr fontId="4" type="noConversion"/>
  </si>
  <si>
    <t xml:space="preserve"> 塔价格-</t>
    <phoneticPr fontId="4" type="noConversion"/>
  </si>
  <si>
    <t xml:space="preserve"> 伤害+%</t>
    <phoneticPr fontId="4" type="noConversion"/>
  </si>
  <si>
    <t>LV4</t>
    <phoneticPr fontId="4" type="noConversion"/>
  </si>
  <si>
    <t>详细加成</t>
    <phoneticPr fontId="4" type="noConversion"/>
  </si>
  <si>
    <t>各级加成消耗</t>
    <phoneticPr fontId="4" type="noConversion"/>
  </si>
  <si>
    <t>LV2</t>
    <phoneticPr fontId="4" type="noConversion"/>
  </si>
  <si>
    <t>LV3</t>
    <phoneticPr fontId="4" type="noConversion"/>
  </si>
  <si>
    <t>LV5</t>
    <phoneticPr fontId="4" type="noConversion"/>
  </si>
  <si>
    <t>等级</t>
    <phoneticPr fontId="4" type="noConversion"/>
  </si>
  <si>
    <t>总数</t>
    <phoneticPr fontId="4" type="noConversion"/>
  </si>
  <si>
    <t>实际消耗</t>
    <phoneticPr fontId="4" type="noConversion"/>
  </si>
  <si>
    <t>火箭</t>
    <phoneticPr fontId="4" type="noConversion"/>
  </si>
  <si>
    <t>展示怪1</t>
    <phoneticPr fontId="4" type="noConversion"/>
  </si>
  <si>
    <t>展示怪2</t>
    <phoneticPr fontId="4" type="noConversion"/>
  </si>
  <si>
    <t>展示怪3</t>
    <phoneticPr fontId="4" type="noConversion"/>
  </si>
  <si>
    <t>鸟3</t>
    <phoneticPr fontId="4" type="noConversion"/>
  </si>
  <si>
    <t>Monster_Season1_Challenge1_1_1</t>
  </si>
  <si>
    <t>Monster_Season1_Challenge1_1_2</t>
  </si>
  <si>
    <t>Monster_Season1_Challenge1_2_1</t>
  </si>
  <si>
    <t>Monster_Season1_Challenge1_2_2</t>
  </si>
  <si>
    <t>Monster_Season1_Challenge1_3_1</t>
  </si>
  <si>
    <t>Monster_Season1_Challenge1_3_2</t>
  </si>
  <si>
    <t>Monster_Season1_Challenge1_3_3</t>
  </si>
  <si>
    <t>Monster_Season1_Challenge2_1_1</t>
  </si>
  <si>
    <t>Monster_Season1_Challenge2_1_2</t>
  </si>
  <si>
    <t>Monster_Season1_Challenge2_2_1</t>
  </si>
  <si>
    <t>Monster_Season1_Challenge2_2_2</t>
  </si>
  <si>
    <t>Monster_Season1_Challenge2_2_3</t>
  </si>
  <si>
    <t>Monster_Season1_Challenge2_3_1</t>
  </si>
  <si>
    <t>Monster_Season1_Challenge2_3_2</t>
  </si>
  <si>
    <t>Monster_Season1_Challenge2_3_3</t>
  </si>
  <si>
    <t>Monster_Season1_Challenge2_4_1</t>
  </si>
  <si>
    <t>Monster_Season1_Challenge2_4_2</t>
  </si>
  <si>
    <t>Monster_Season1_Challenge2_4_3</t>
  </si>
  <si>
    <t>Monster_Season1_Challenge2_4_4</t>
  </si>
  <si>
    <t>Monster_Season1_Challenge2_5_1</t>
  </si>
  <si>
    <t>Monster_Season1_Challenge2_5_2</t>
  </si>
  <si>
    <t>Monster_Season1_Challenge2_5_3</t>
  </si>
  <si>
    <t>Monster_Season1_Challenge2_5_4</t>
  </si>
  <si>
    <t>Monster_Season1_Challenge3_1_1</t>
  </si>
  <si>
    <t>Monster_Season1_Challenge3_1_2</t>
  </si>
  <si>
    <t>Monster_Season1_Challenge3_2_1</t>
  </si>
  <si>
    <t>Monster_Season1_Challenge3_2_2</t>
  </si>
  <si>
    <t>Monster_Season1_Challenge3_2_3</t>
  </si>
  <si>
    <t>Monster_Season1_Challenge3_3_1</t>
  </si>
  <si>
    <t>Monster_Season1_Challenge3_3_2</t>
  </si>
  <si>
    <t>Monster_Season1_Challenge3_3_3</t>
  </si>
  <si>
    <t>Monster_Season1_Challenge4_1_1</t>
  </si>
  <si>
    <t>Monster_Season1_Challenge4_1_2</t>
  </si>
  <si>
    <t>Monster_Season1_Challenge4_2_1</t>
  </si>
  <si>
    <t>Monster_Season1_Challenge4_2_2</t>
  </si>
  <si>
    <t>Monster_Season1_Challenge4_2_3</t>
  </si>
  <si>
    <t>Monster_Season1_Challenge4_3_1</t>
  </si>
  <si>
    <t>Monster_Season1_Challenge4_3_2</t>
  </si>
  <si>
    <t>Monster_Season1_Challenge4_3_3</t>
  </si>
  <si>
    <t>Monster_Season1_Challenge4_4_1</t>
  </si>
  <si>
    <t>Monster_Season1_Challenge4_4_2</t>
  </si>
  <si>
    <t>Monster_Season1_Challenge4_4_3</t>
  </si>
  <si>
    <t>Monster_Season1_Challenge4_5_1</t>
  </si>
  <si>
    <t>Monster_Season1_Challenge4_5_2</t>
  </si>
  <si>
    <t>Monster_Season1_Challenge4_5_3</t>
  </si>
  <si>
    <t>Monster_Season1_Challenge5_1_1</t>
  </si>
  <si>
    <t>Monster_Season1_Challenge5_1_2</t>
  </si>
  <si>
    <t>Monster_Season1_Challenge5_2_1</t>
  </si>
  <si>
    <t>Monster_Season1_Challenge5_2_2</t>
  </si>
  <si>
    <t>Monster_Season1_Challenge5_2_3</t>
  </si>
  <si>
    <t>Monster_Season1_Challenge5_3_1</t>
  </si>
  <si>
    <t>Monster_Season1_Challenge5_3_2</t>
  </si>
  <si>
    <t>Monster_Season1_Challenge5_3_3</t>
  </si>
  <si>
    <t>Monster_Season1_Challenge5_3_4</t>
  </si>
  <si>
    <t>Monster_Season1_Challenge5_4_1</t>
  </si>
  <si>
    <t>Monster_Season1_Challenge5_4_2</t>
  </si>
  <si>
    <t>Monster_Season1_Challenge5_4_3</t>
  </si>
  <si>
    <t>Monster_Season1_Challenge5_5_1</t>
  </si>
  <si>
    <t>Monster_Season1_Challenge5_5_2</t>
  </si>
  <si>
    <t>Monster_Season1_Challenge5_5_3</t>
  </si>
  <si>
    <t>Monster_Season1_Challenge5_5_4</t>
  </si>
  <si>
    <t>Monster_Season1_Challenge5_6_1</t>
  </si>
  <si>
    <t>Monster_Season1_Challenge5_6_2</t>
  </si>
  <si>
    <t>Monster_Season1_Challenge5_6_3</t>
  </si>
  <si>
    <t>Monster_Season1_Challenge5_6_4</t>
  </si>
  <si>
    <t>Monster_Season1_Challenge5_7_1</t>
  </si>
  <si>
    <t>Monster_Season1_Challenge5_7_2</t>
  </si>
  <si>
    <t>Monster_Season1_Challenge5_7_3</t>
  </si>
  <si>
    <t>Monster_Season1_Challenge5_7_4</t>
  </si>
  <si>
    <t>Monster_Season1_Challenge5_8_1</t>
  </si>
  <si>
    <t>Monster_Season1_Challenge5_8_2</t>
  </si>
  <si>
    <t>Monster_Season1_Challenge5_8_3</t>
  </si>
  <si>
    <t>Monster_Season1_Challenge5_8_4</t>
  </si>
  <si>
    <t>Monster_Season2_Challenge1_1_1</t>
  </si>
  <si>
    <t>Monster_Season2_Challenge1_1_2</t>
  </si>
  <si>
    <t>Monster_Season2_Challenge1_2_1</t>
  </si>
  <si>
    <t>Monster_Season2_Challenge1_2_2</t>
  </si>
  <si>
    <t>Monster_Season2_Challenge1_3_1</t>
  </si>
  <si>
    <t>Monster_Season2_Challenge1_3_2</t>
  </si>
  <si>
    <t>Monster_Season2_Challenge1_3_3</t>
  </si>
  <si>
    <t>Monster_Season2_Challenge2_1_1</t>
  </si>
  <si>
    <t>Monster_Season2_Challenge2_1_2</t>
  </si>
  <si>
    <t>Monster_Season2_Challenge2_2_1</t>
  </si>
  <si>
    <t>Monster_Season2_Challenge2_2_2</t>
  </si>
  <si>
    <t>Monster_Season2_Challenge2_2_3</t>
  </si>
  <si>
    <t>Monster_Season2_Challenge2_3_1</t>
  </si>
  <si>
    <t>Monster_Season2_Challenge2_3_2</t>
  </si>
  <si>
    <t>Monster_Season2_Challenge2_3_3</t>
  </si>
  <si>
    <t>Monster_Season2_Challenge2_4_1</t>
  </si>
  <si>
    <t>Monster_Season2_Challenge2_4_2</t>
  </si>
  <si>
    <t>Monster_Season2_Challenge2_4_3</t>
  </si>
  <si>
    <t>Monster_Season2_Challenge2_4_4</t>
  </si>
  <si>
    <t>Monster_Season2_Challenge2_5_1</t>
  </si>
  <si>
    <t>Monster_Season2_Challenge2_5_2</t>
  </si>
  <si>
    <t>Monster_Season2_Challenge2_5_3</t>
  </si>
  <si>
    <t>Monster_Season2_Challenge2_5_4</t>
  </si>
  <si>
    <t>Monster_Season2_Challenge3_1_1</t>
  </si>
  <si>
    <t>Monster_Season2_Challenge3_1_2</t>
  </si>
  <si>
    <t>Monster_Season2_Challenge3_2_1</t>
  </si>
  <si>
    <t>Monster_Season2_Challenge3_2_2</t>
  </si>
  <si>
    <t>Monster_Season2_Challenge3_2_3</t>
  </si>
  <si>
    <t>Monster_Season2_Challenge3_3_1</t>
  </si>
  <si>
    <t>Monster_Season2_Challenge3_3_2</t>
  </si>
  <si>
    <t>Monster_Season2_Challenge3_3_3</t>
  </si>
  <si>
    <t>Monster_Season2_Challenge4_1_1</t>
  </si>
  <si>
    <t>Monster_Season2_Challenge4_1_2</t>
  </si>
  <si>
    <t>Monster_Season2_Challenge4_2_1</t>
  </si>
  <si>
    <t>Monster_Season2_Challenge4_2_2</t>
  </si>
  <si>
    <t>Monster_Season2_Challenge4_2_3</t>
  </si>
  <si>
    <t>Monster_Season2_Challenge4_3_1</t>
  </si>
  <si>
    <t>Monster_Season2_Challenge4_3_2</t>
  </si>
  <si>
    <t>Monster_Season2_Challenge4_3_3</t>
  </si>
  <si>
    <t>Monster_Season2_Challenge4_4_1</t>
  </si>
  <si>
    <t>Monster_Season2_Challenge4_4_2</t>
  </si>
  <si>
    <t>Monster_Season2_Challenge4_4_3</t>
  </si>
  <si>
    <t>Monster_Season2_Challenge4_5_1</t>
  </si>
  <si>
    <t>Monster_Season2_Challenge4_5_2</t>
  </si>
  <si>
    <t>Monster_Season2_Challenge4_5_3</t>
  </si>
  <si>
    <t>Monster_Season2_Challenge5_1_1</t>
  </si>
  <si>
    <t>Monster_Season2_Challenge5_1_2</t>
  </si>
  <si>
    <t>Monster_Season2_Challenge5_2_1</t>
  </si>
  <si>
    <t>Monster_Season2_Challenge5_2_2</t>
  </si>
  <si>
    <t>Monster_Season2_Challenge5_2_3</t>
  </si>
  <si>
    <t>Monster_Season2_Challenge5_3_1</t>
  </si>
  <si>
    <t>Monster_Season2_Challenge5_3_2</t>
  </si>
  <si>
    <t>Monster_Season2_Challenge5_3_3</t>
  </si>
  <si>
    <t>Monster_Season2_Challenge5_3_4</t>
  </si>
  <si>
    <t>Monster_Season2_Challenge5_4_1</t>
  </si>
  <si>
    <t>Monster_Season2_Challenge5_4_2</t>
  </si>
  <si>
    <t>Monster_Season2_Challenge5_4_3</t>
  </si>
  <si>
    <t>Monster_Season2_Challenge5_5_1</t>
  </si>
  <si>
    <t>Monster_Season2_Challenge5_5_2</t>
  </si>
  <si>
    <t>Monster_Season2_Challenge5_5_3</t>
  </si>
  <si>
    <t>Monster_Season2_Challenge5_5_4</t>
  </si>
  <si>
    <t>Monster_Season2_Challenge5_6_1</t>
  </si>
  <si>
    <t>Monster_Season2_Challenge5_6_2</t>
  </si>
  <si>
    <t>Monster_Season2_Challenge5_6_3</t>
  </si>
  <si>
    <t>Monster_Season2_Challenge5_6_4</t>
  </si>
  <si>
    <t>Monster_Season2_Challenge5_7_1</t>
  </si>
  <si>
    <t>Monster_Season2_Challenge5_7_2</t>
  </si>
  <si>
    <t>Monster_Season2_Challenge5_7_3</t>
  </si>
  <si>
    <t>Monster_Season2_Challenge5_7_4</t>
  </si>
  <si>
    <t>Monster_Season2_Challenge5_8_1</t>
  </si>
  <si>
    <t>Monster_Season2_Challenge5_8_2</t>
  </si>
  <si>
    <t>Monster_Season2_Challenge5_8_3</t>
  </si>
  <si>
    <t>Monster_Season2_Challenge5_8_4</t>
  </si>
  <si>
    <t>Monster_Season3_Challenge1_1_1</t>
  </si>
  <si>
    <t>Monster_Season3_Challenge1_1_2</t>
  </si>
  <si>
    <t>Monster_Season3_Challenge1_2_1</t>
  </si>
  <si>
    <t>Monster_Season3_Challenge1_2_2</t>
  </si>
  <si>
    <t>Monster_Season3_Challenge1_3_1</t>
  </si>
  <si>
    <t>Monster_Season3_Challenge1_3_2</t>
  </si>
  <si>
    <t>Monster_Season3_Challenge1_3_3</t>
  </si>
  <si>
    <t>Monster_Season3_Challenge2_1_1</t>
  </si>
  <si>
    <t>Monster_Season3_Challenge2_1_2</t>
  </si>
  <si>
    <t>Monster_Season3_Challenge2_2_1</t>
  </si>
  <si>
    <t>Monster_Season3_Challenge2_2_2</t>
  </si>
  <si>
    <t>Monster_Season3_Challenge2_2_3</t>
  </si>
  <si>
    <t>Monster_Season3_Challenge2_3_1</t>
  </si>
  <si>
    <t>Monster_Season3_Challenge2_3_2</t>
  </si>
  <si>
    <t>Monster_Season3_Challenge2_3_3</t>
  </si>
  <si>
    <t>Monster_Season3_Challenge2_4_1</t>
  </si>
  <si>
    <t>Monster_Season3_Challenge2_4_2</t>
  </si>
  <si>
    <t>Monster_Season3_Challenge2_4_3</t>
  </si>
  <si>
    <t>Monster_Season3_Challenge2_4_4</t>
  </si>
  <si>
    <t>Monster_Season3_Challenge2_5_1</t>
  </si>
  <si>
    <t>Monster_Season3_Challenge2_5_2</t>
  </si>
  <si>
    <t>Monster_Season3_Challenge2_5_3</t>
  </si>
  <si>
    <t>Monster_Season3_Challenge2_5_4</t>
  </si>
  <si>
    <t>Monster_Season3_Challenge3_1_1</t>
  </si>
  <si>
    <t>Monster_Season3_Challenge3_1_2</t>
  </si>
  <si>
    <t>Monster_Season3_Challenge3_2_1</t>
  </si>
  <si>
    <t>Monster_Season3_Challenge3_2_2</t>
  </si>
  <si>
    <t>Monster_Season3_Challenge3_2_3</t>
  </si>
  <si>
    <t>Monster_Season3_Challenge3_3_1</t>
  </si>
  <si>
    <t>Monster_Season3_Challenge3_3_2</t>
  </si>
  <si>
    <t>Monster_Season3_Challenge3_3_3</t>
  </si>
  <si>
    <t>Monster_Season3_Challenge4_1_1</t>
  </si>
  <si>
    <t>Monster_Season3_Challenge4_1_2</t>
  </si>
  <si>
    <t>Monster_Season3_Challenge4_2_1</t>
  </si>
  <si>
    <t>Monster_Season3_Challenge4_2_2</t>
  </si>
  <si>
    <t>Monster_Season3_Challenge4_2_3</t>
  </si>
  <si>
    <t>Monster_Season3_Challenge4_3_1</t>
  </si>
  <si>
    <t>Monster_Season3_Challenge4_3_2</t>
  </si>
  <si>
    <t>Monster_Season3_Challenge4_3_3</t>
  </si>
  <si>
    <t>Monster_Season3_Challenge4_4_1</t>
  </si>
  <si>
    <t>Monster_Season3_Challenge4_4_2</t>
  </si>
  <si>
    <t>Monster_Season3_Challenge4_4_3</t>
  </si>
  <si>
    <t>Monster_Season3_Challenge4_5_1</t>
  </si>
  <si>
    <t>Monster_Season3_Challenge4_5_2</t>
  </si>
  <si>
    <t>Monster_Season3_Challenge4_5_3</t>
  </si>
  <si>
    <t>Monster_Season3_Challenge5_1_1</t>
  </si>
  <si>
    <t>Monster_Season3_Challenge5_1_2</t>
  </si>
  <si>
    <t>Monster_Season3_Challenge5_2_1</t>
  </si>
  <si>
    <t>Monster_Season3_Challenge5_2_2</t>
  </si>
  <si>
    <t>Monster_Season3_Challenge5_2_3</t>
  </si>
  <si>
    <t>Monster_Season3_Challenge5_3_1</t>
  </si>
  <si>
    <t>Monster_Season3_Challenge5_3_2</t>
  </si>
  <si>
    <t>Monster_Season3_Challenge5_3_3</t>
  </si>
  <si>
    <t>Monster_Season3_Challenge5_3_4</t>
  </si>
  <si>
    <t>Monster_Season3_Challenge5_4_1</t>
  </si>
  <si>
    <t>Monster_Season3_Challenge5_4_2</t>
  </si>
  <si>
    <t>Monster_Season3_Challenge5_4_3</t>
  </si>
  <si>
    <t>Monster_Season3_Challenge5_5_1</t>
  </si>
  <si>
    <t>Monster_Season3_Challenge5_5_2</t>
  </si>
  <si>
    <t>Monster_Season3_Challenge5_5_3</t>
  </si>
  <si>
    <t>Monster_Season3_Challenge5_5_4</t>
  </si>
  <si>
    <t>Monster_Season3_Challenge5_6_1</t>
  </si>
  <si>
    <t>Monster_Season3_Challenge5_6_2</t>
  </si>
  <si>
    <t>Monster_Season3_Challenge5_6_3</t>
  </si>
  <si>
    <t>Monster_Season3_Challenge5_6_4</t>
  </si>
  <si>
    <t>Monster_Season3_Challenge5_7_1</t>
  </si>
  <si>
    <t>Monster_Season3_Challenge5_7_2</t>
  </si>
  <si>
    <t>Monster_Season3_Challenge5_7_3</t>
  </si>
  <si>
    <t>Monster_Season3_Challenge5_7_4</t>
  </si>
  <si>
    <t>Monster_Season3_Challenge5_8_1</t>
  </si>
  <si>
    <t>Monster_Season3_Challenge5_8_2</t>
  </si>
  <si>
    <t>Monster_Season3_Challenge5_8_3</t>
  </si>
  <si>
    <t>Monster_Season3_Challenge5_8_4</t>
  </si>
  <si>
    <t>Monster_Season4_Challenge1_1_1</t>
  </si>
  <si>
    <t>Monster_Season4_Challenge1_1_2</t>
  </si>
  <si>
    <t>Monster_Season4_Challenge1_2_1</t>
  </si>
  <si>
    <t>Monster_Season4_Challenge1_2_2</t>
  </si>
  <si>
    <t>Monster_Season4_Challenge1_3_1</t>
  </si>
  <si>
    <t>Monster_Season4_Challenge1_3_2</t>
  </si>
  <si>
    <t>Monster_Season4_Challenge1_3_3</t>
  </si>
  <si>
    <t>Monster_Season4_Challenge2_1_1</t>
  </si>
  <si>
    <t>Monster_Season4_Challenge2_1_2</t>
  </si>
  <si>
    <t>Monster_Season4_Challenge2_2_1</t>
  </si>
  <si>
    <t>Monster_Season4_Challenge2_2_2</t>
  </si>
  <si>
    <t>Monster_Season4_Challenge2_2_3</t>
  </si>
  <si>
    <t>Monster_Season4_Challenge2_3_1</t>
  </si>
  <si>
    <t>Monster_Season4_Challenge2_3_2</t>
  </si>
  <si>
    <t>Monster_Season4_Challenge2_3_3</t>
  </si>
  <si>
    <t>Monster_Season4_Challenge2_4_1</t>
  </si>
  <si>
    <t>Monster_Season4_Challenge2_4_2</t>
  </si>
  <si>
    <t>Monster_Season4_Challenge2_4_3</t>
  </si>
  <si>
    <t>Monster_Season4_Challenge2_4_4</t>
  </si>
  <si>
    <t>Monster_Season4_Challenge2_5_1</t>
  </si>
  <si>
    <t>Monster_Season4_Challenge2_5_2</t>
  </si>
  <si>
    <t>Monster_Season4_Challenge2_5_3</t>
  </si>
  <si>
    <t>Monster_Season4_Challenge2_5_4</t>
  </si>
  <si>
    <t>Monster_Season4_Challenge3_1_1</t>
  </si>
  <si>
    <t>Monster_Season4_Challenge3_1_2</t>
  </si>
  <si>
    <t>Monster_Season4_Challenge3_2_1</t>
  </si>
  <si>
    <t>Monster_Season4_Challenge3_2_2</t>
  </si>
  <si>
    <t>Monster_Season4_Challenge3_2_3</t>
  </si>
  <si>
    <t>Monster_Season4_Challenge3_3_1</t>
  </si>
  <si>
    <t>Monster_Season4_Challenge3_3_2</t>
  </si>
  <si>
    <t>Monster_Season4_Challenge3_3_3</t>
  </si>
  <si>
    <t>Monster_Season4_Challenge4_1_1</t>
  </si>
  <si>
    <t>Monster_Season4_Challenge4_1_2</t>
  </si>
  <si>
    <t>Monster_Season4_Challenge4_2_1</t>
  </si>
  <si>
    <t>Monster_Season4_Challenge4_2_2</t>
  </si>
  <si>
    <t>Monster_Season4_Challenge4_2_3</t>
  </si>
  <si>
    <t>Monster_Season4_Challenge4_3_1</t>
  </si>
  <si>
    <t>Monster_Season4_Challenge4_3_2</t>
  </si>
  <si>
    <t>Monster_Season4_Challenge4_3_3</t>
  </si>
  <si>
    <t>Monster_Season4_Challenge4_4_1</t>
  </si>
  <si>
    <t>Monster_Season4_Challenge4_4_2</t>
  </si>
  <si>
    <t>Monster_Season4_Challenge4_4_3</t>
  </si>
  <si>
    <t>Monster_Season4_Challenge4_5_1</t>
  </si>
  <si>
    <t>Monster_Season4_Challenge4_5_2</t>
  </si>
  <si>
    <t>Monster_Season4_Challenge4_5_3</t>
  </si>
  <si>
    <t>Monster_Season4_Challenge5_1_1</t>
  </si>
  <si>
    <t>Monster_Season4_Challenge5_1_2</t>
  </si>
  <si>
    <t>Monster_Season4_Challenge5_2_1</t>
  </si>
  <si>
    <t>Monster_Season4_Challenge5_2_2</t>
  </si>
  <si>
    <t>Monster_Season4_Challenge5_2_3</t>
  </si>
  <si>
    <t>Monster_Season4_Challenge5_3_1</t>
  </si>
  <si>
    <t>Monster_Season4_Challenge5_3_2</t>
  </si>
  <si>
    <t>Monster_Season4_Challenge5_3_3</t>
  </si>
  <si>
    <t>Monster_Season4_Challenge5_3_4</t>
  </si>
  <si>
    <t>Monster_Season4_Challenge5_4_1</t>
  </si>
  <si>
    <t>Monster_Season4_Challenge5_4_2</t>
  </si>
  <si>
    <t>Monster_Season4_Challenge5_4_3</t>
  </si>
  <si>
    <t>Monster_Season4_Challenge5_5_1</t>
  </si>
  <si>
    <t>Monster_Season4_Challenge5_5_2</t>
  </si>
  <si>
    <t>Monster_Season4_Challenge5_5_3</t>
  </si>
  <si>
    <t>Monster_Season4_Challenge5_5_4</t>
  </si>
  <si>
    <t>Monster_Season4_Challenge5_6_1</t>
  </si>
  <si>
    <t>Monster_Season4_Challenge5_6_2</t>
  </si>
  <si>
    <t>Monster_Season4_Challenge5_6_3</t>
  </si>
  <si>
    <t>Monster_Season4_Challenge5_6_4</t>
  </si>
  <si>
    <t>Monster_Season4_Challenge5_7_1</t>
  </si>
  <si>
    <t>Monster_Season4_Challenge5_7_2</t>
  </si>
  <si>
    <t>Monster_Season4_Challenge5_7_3</t>
  </si>
  <si>
    <t>Monster_Season4_Challenge5_7_4</t>
  </si>
  <si>
    <t>Monster_Season4_Challenge5_8_1</t>
  </si>
  <si>
    <t>Monster_Season4_Challenge5_8_2</t>
  </si>
  <si>
    <t>Monster_Season4_Challenge5_8_3</t>
  </si>
  <si>
    <t>Monster_Season4_Challenge5_8_4</t>
  </si>
  <si>
    <t>Unit_Monster_Season1_Challenge1_1_1</t>
  </si>
  <si>
    <t>Unit_Monster_Season1_Challenge1_1_2</t>
  </si>
  <si>
    <t>Unit_Monster_Season1_Challenge1_2_1</t>
  </si>
  <si>
    <t>Unit_Monster_Season1_Challenge1_2_2</t>
  </si>
  <si>
    <t>Unit_Monster_Season1_Challenge1_3_1</t>
  </si>
  <si>
    <t>Unit_Monster_Season1_Challenge1_3_2</t>
  </si>
  <si>
    <t>Unit_Monster_Season1_Challenge1_3_3</t>
  </si>
  <si>
    <t>Unit_Monster_Season1_Challenge2_1_1</t>
  </si>
  <si>
    <t>Unit_Monster_Season1_Challenge2_1_2</t>
  </si>
  <si>
    <t>Unit_Monster_Season1_Challenge2_2_1</t>
  </si>
  <si>
    <t>Unit_Monster_Season1_Challenge2_2_2</t>
  </si>
  <si>
    <t>Unit_Monster_Season1_Challenge2_2_3</t>
  </si>
  <si>
    <t>Unit_Monster_Season1_Challenge2_3_1</t>
  </si>
  <si>
    <t>Unit_Monster_Season1_Challenge2_3_2</t>
  </si>
  <si>
    <t>Unit_Monster_Season1_Challenge2_3_3</t>
  </si>
  <si>
    <t>Unit_Monster_Season1_Challenge2_4_1</t>
  </si>
  <si>
    <t>Unit_Monster_Season1_Challenge2_4_2</t>
  </si>
  <si>
    <t>Unit_Monster_Season1_Challenge2_4_3</t>
  </si>
  <si>
    <t>Unit_Monster_Season1_Challenge2_4_4</t>
  </si>
  <si>
    <t>Unit_Monster_Season1_Challenge2_5_1</t>
  </si>
  <si>
    <t>Unit_Monster_Season1_Challenge2_5_2</t>
  </si>
  <si>
    <t>Unit_Monster_Season1_Challenge2_5_3</t>
  </si>
  <si>
    <t>Unit_Monster_Season1_Challenge2_5_4</t>
  </si>
  <si>
    <t>Unit_Monster_Season1_Challenge3_1_1</t>
  </si>
  <si>
    <t>Unit_Monster_Season1_Challenge3_1_2</t>
  </si>
  <si>
    <t>Unit_Monster_Season1_Challenge3_2_1</t>
  </si>
  <si>
    <t>Unit_Monster_Season1_Challenge3_2_2</t>
  </si>
  <si>
    <t>Unit_Monster_Season1_Challenge3_2_3</t>
  </si>
  <si>
    <t>Unit_Monster_Season1_Challenge3_3_1</t>
  </si>
  <si>
    <t>Unit_Monster_Season1_Challenge3_3_2</t>
  </si>
  <si>
    <t>Unit_Monster_Season1_Challenge3_3_3</t>
  </si>
  <si>
    <t>Unit_Monster_Season1_Challenge4_1_1</t>
  </si>
  <si>
    <t>Unit_Monster_Season1_Challenge4_1_2</t>
  </si>
  <si>
    <t>Unit_Monster_Season1_Challenge4_2_1</t>
  </si>
  <si>
    <t>Unit_Monster_Season1_Challenge4_2_2</t>
  </si>
  <si>
    <t>Unit_Monster_Season1_Challenge4_2_3</t>
  </si>
  <si>
    <t>Unit_Monster_Season1_Challenge4_3_1</t>
  </si>
  <si>
    <t>Unit_Monster_Season1_Challenge4_3_2</t>
  </si>
  <si>
    <t>Unit_Monster_Season1_Challenge4_3_3</t>
  </si>
  <si>
    <t>Unit_Monster_Season1_Challenge4_4_1</t>
  </si>
  <si>
    <t>Unit_Monster_Season1_Challenge4_4_2</t>
  </si>
  <si>
    <t>Unit_Monster_Season1_Challenge4_4_3</t>
  </si>
  <si>
    <t>Unit_Monster_Season1_Challenge4_5_1</t>
  </si>
  <si>
    <t>Unit_Monster_Season1_Challenge4_5_2</t>
  </si>
  <si>
    <t>Unit_Monster_Season1_Challenge4_5_3</t>
  </si>
  <si>
    <t>Unit_Monster_Season1_Challenge5_1_1</t>
  </si>
  <si>
    <t>Unit_Monster_Season1_Challenge5_1_2</t>
  </si>
  <si>
    <t>Unit_Monster_Season1_Challenge5_2_1</t>
  </si>
  <si>
    <t>Unit_Monster_Season1_Challenge5_2_2</t>
  </si>
  <si>
    <t>Unit_Monster_Season1_Challenge5_2_3</t>
  </si>
  <si>
    <t>Unit_Monster_Season1_Challenge5_3_1</t>
  </si>
  <si>
    <t>Unit_Monster_Season1_Challenge5_3_2</t>
  </si>
  <si>
    <t>Unit_Monster_Season1_Challenge5_3_3</t>
  </si>
  <si>
    <t>Unit_Monster_Season1_Challenge5_3_4</t>
  </si>
  <si>
    <t>Unit_Monster_Season1_Challenge5_4_1</t>
  </si>
  <si>
    <t>Unit_Monster_Season1_Challenge5_4_2</t>
  </si>
  <si>
    <t>Unit_Monster_Season1_Challenge5_4_3</t>
  </si>
  <si>
    <t>Unit_Monster_Season1_Challenge5_5_1</t>
  </si>
  <si>
    <t>Unit_Monster_Season1_Challenge5_5_2</t>
  </si>
  <si>
    <t>Unit_Monster_Season1_Challenge5_5_3</t>
  </si>
  <si>
    <t>Unit_Monster_Season1_Challenge5_5_4</t>
  </si>
  <si>
    <t>Unit_Monster_Season1_Challenge5_6_1</t>
  </si>
  <si>
    <t>Unit_Monster_Season1_Challenge5_6_2</t>
  </si>
  <si>
    <t>Unit_Monster_Season1_Challenge5_6_3</t>
  </si>
  <si>
    <t>Unit_Monster_Season1_Challenge5_6_4</t>
  </si>
  <si>
    <t>Unit_Monster_Season1_Challenge5_7_1</t>
  </si>
  <si>
    <t>Unit_Monster_Season1_Challenge5_7_2</t>
  </si>
  <si>
    <t>Unit_Monster_Season1_Challenge5_7_3</t>
  </si>
  <si>
    <t>Unit_Monster_Season1_Challenge5_7_4</t>
  </si>
  <si>
    <t>Unit_Monster_Season1_Challenge5_8_1</t>
  </si>
  <si>
    <t>Unit_Monster_Season1_Challenge5_8_2</t>
  </si>
  <si>
    <t>Unit_Monster_Season1_Challenge5_8_3</t>
  </si>
  <si>
    <t>Unit_Monster_Season1_Challenge5_8_4</t>
  </si>
  <si>
    <t>Unit_Monster_Season2_Challenge1_1_1</t>
  </si>
  <si>
    <t>Unit_Monster_Season2_Challenge1_1_2</t>
  </si>
  <si>
    <t>Unit_Monster_Season2_Challenge1_2_1</t>
  </si>
  <si>
    <t>Unit_Monster_Season2_Challenge1_2_2</t>
  </si>
  <si>
    <t>Unit_Monster_Season2_Challenge1_3_1</t>
  </si>
  <si>
    <t>Unit_Monster_Season2_Challenge1_3_2</t>
  </si>
  <si>
    <t>Unit_Monster_Season2_Challenge1_3_3</t>
  </si>
  <si>
    <t>Unit_Monster_Season2_Challenge2_1_1</t>
  </si>
  <si>
    <t>Unit_Monster_Season2_Challenge2_1_2</t>
  </si>
  <si>
    <t>Unit_Monster_Season2_Challenge2_2_1</t>
  </si>
  <si>
    <t>Unit_Monster_Season2_Challenge2_2_2</t>
  </si>
  <si>
    <t>Unit_Monster_Season2_Challenge2_2_3</t>
  </si>
  <si>
    <t>Unit_Monster_Season2_Challenge2_3_1</t>
  </si>
  <si>
    <t>Unit_Monster_Season2_Challenge2_3_2</t>
  </si>
  <si>
    <t>Unit_Monster_Season2_Challenge2_3_3</t>
  </si>
  <si>
    <t>Unit_Monster_Season2_Challenge2_4_1</t>
  </si>
  <si>
    <t>Unit_Monster_Season2_Challenge2_4_2</t>
  </si>
  <si>
    <t>Unit_Monster_Season2_Challenge2_4_3</t>
  </si>
  <si>
    <t>Unit_Monster_Season2_Challenge2_4_4</t>
  </si>
  <si>
    <t>Unit_Monster_Season2_Challenge2_5_1</t>
  </si>
  <si>
    <t>Unit_Monster_Season2_Challenge2_5_2</t>
  </si>
  <si>
    <t>Unit_Monster_Season2_Challenge2_5_3</t>
  </si>
  <si>
    <t>Unit_Monster_Season2_Challenge2_5_4</t>
  </si>
  <si>
    <t>Unit_Monster_Season2_Challenge3_1_1</t>
  </si>
  <si>
    <t>Unit_Monster_Season2_Challenge3_1_2</t>
  </si>
  <si>
    <t>Unit_Monster_Season2_Challenge3_2_1</t>
  </si>
  <si>
    <t>Unit_Monster_Season2_Challenge3_2_2</t>
  </si>
  <si>
    <t>Unit_Monster_Season2_Challenge3_2_3</t>
  </si>
  <si>
    <t>Unit_Monster_Season2_Challenge3_3_1</t>
  </si>
  <si>
    <t>Unit_Monster_Season2_Challenge3_3_2</t>
  </si>
  <si>
    <t>Unit_Monster_Season2_Challenge3_3_3</t>
  </si>
  <si>
    <t>Unit_Monster_Season2_Challenge4_1_1</t>
  </si>
  <si>
    <t>Unit_Monster_Season2_Challenge4_1_2</t>
  </si>
  <si>
    <t>Unit_Monster_Season2_Challenge4_2_1</t>
  </si>
  <si>
    <t>Unit_Monster_Season2_Challenge4_2_2</t>
  </si>
  <si>
    <t>Unit_Monster_Season2_Challenge4_2_3</t>
  </si>
  <si>
    <t>Unit_Monster_Season2_Challenge4_3_1</t>
  </si>
  <si>
    <t>Unit_Monster_Season2_Challenge4_3_2</t>
  </si>
  <si>
    <t>Unit_Monster_Season2_Challenge4_3_3</t>
  </si>
  <si>
    <t>Unit_Monster_Season2_Challenge4_4_1</t>
  </si>
  <si>
    <t>Unit_Monster_Season2_Challenge4_4_2</t>
  </si>
  <si>
    <t>Unit_Monster_Season2_Challenge4_4_3</t>
  </si>
  <si>
    <t>Unit_Monster_Season2_Challenge4_5_1</t>
  </si>
  <si>
    <t>Unit_Monster_Season2_Challenge4_5_2</t>
  </si>
  <si>
    <t>Unit_Monster_Season2_Challenge4_5_3</t>
  </si>
  <si>
    <t>Unit_Monster_Season2_Challenge5_1_1</t>
  </si>
  <si>
    <t>Unit_Monster_Season2_Challenge5_1_2</t>
  </si>
  <si>
    <t>Unit_Monster_Season2_Challenge5_2_1</t>
  </si>
  <si>
    <t>Unit_Monster_Season2_Challenge5_2_2</t>
  </si>
  <si>
    <t>Unit_Monster_Season2_Challenge5_2_3</t>
  </si>
  <si>
    <t>Unit_Monster_Season2_Challenge5_3_1</t>
  </si>
  <si>
    <t>Unit_Monster_Season2_Challenge5_3_2</t>
  </si>
  <si>
    <t>Unit_Monster_Season2_Challenge5_3_3</t>
  </si>
  <si>
    <t>Unit_Monster_Season2_Challenge5_3_4</t>
  </si>
  <si>
    <t>Unit_Monster_Season2_Challenge5_4_1</t>
  </si>
  <si>
    <t>Unit_Monster_Season2_Challenge5_4_2</t>
  </si>
  <si>
    <t>Unit_Monster_Season2_Challenge5_4_3</t>
  </si>
  <si>
    <t>Unit_Monster_Season2_Challenge5_5_1</t>
  </si>
  <si>
    <t>Unit_Monster_Season2_Challenge5_5_2</t>
  </si>
  <si>
    <t>Unit_Monster_Season2_Challenge5_5_3</t>
  </si>
  <si>
    <t>Unit_Monster_Season2_Challenge5_5_4</t>
  </si>
  <si>
    <t>Unit_Monster_Season2_Challenge5_6_1</t>
  </si>
  <si>
    <t>Unit_Monster_Season2_Challenge5_6_2</t>
  </si>
  <si>
    <t>Unit_Monster_Season2_Challenge5_6_3</t>
  </si>
  <si>
    <t>Unit_Monster_Season2_Challenge5_6_4</t>
  </si>
  <si>
    <t>Unit_Monster_Season2_Challenge5_7_1</t>
  </si>
  <si>
    <t>Unit_Monster_Season2_Challenge5_7_2</t>
  </si>
  <si>
    <t>Unit_Monster_Season2_Challenge5_7_3</t>
  </si>
  <si>
    <t>Unit_Monster_Season2_Challenge5_7_4</t>
  </si>
  <si>
    <t>Unit_Monster_Season2_Challenge5_8_1</t>
  </si>
  <si>
    <t>Unit_Monster_Season2_Challenge5_8_2</t>
  </si>
  <si>
    <t>Unit_Monster_Season2_Challenge5_8_3</t>
  </si>
  <si>
    <t>Unit_Monster_Season2_Challenge5_8_4</t>
  </si>
  <si>
    <t>Unit_Monster_Season3_Challenge1_1_1</t>
  </si>
  <si>
    <t>Unit_Monster_Season3_Challenge1_1_2</t>
  </si>
  <si>
    <t>Unit_Monster_Season3_Challenge1_2_1</t>
  </si>
  <si>
    <t>Unit_Monster_Season3_Challenge1_2_2</t>
  </si>
  <si>
    <t>Unit_Monster_Season3_Challenge1_3_1</t>
  </si>
  <si>
    <t>Unit_Monster_Season3_Challenge1_3_2</t>
  </si>
  <si>
    <t>Unit_Monster_Season3_Challenge1_3_3</t>
  </si>
  <si>
    <t>Unit_Monster_Season3_Challenge2_1_1</t>
  </si>
  <si>
    <t>Unit_Monster_Season3_Challenge2_1_2</t>
  </si>
  <si>
    <t>Unit_Monster_Season3_Challenge2_2_1</t>
  </si>
  <si>
    <t>Unit_Monster_Season3_Challenge2_2_2</t>
  </si>
  <si>
    <t>Unit_Monster_Season3_Challenge2_2_3</t>
  </si>
  <si>
    <t>Unit_Monster_Season3_Challenge2_3_1</t>
  </si>
  <si>
    <t>Unit_Monster_Season3_Challenge2_3_2</t>
  </si>
  <si>
    <t>Unit_Monster_Season3_Challenge2_3_3</t>
  </si>
  <si>
    <t>Unit_Monster_Season3_Challenge2_4_1</t>
  </si>
  <si>
    <t>Unit_Monster_Season3_Challenge2_4_2</t>
  </si>
  <si>
    <t>Unit_Monster_Season3_Challenge2_4_3</t>
  </si>
  <si>
    <t>Unit_Monster_Season3_Challenge2_4_4</t>
  </si>
  <si>
    <t>Unit_Monster_Season3_Challenge2_5_1</t>
  </si>
  <si>
    <t>Unit_Monster_Season3_Challenge2_5_2</t>
  </si>
  <si>
    <t>Unit_Monster_Season3_Challenge2_5_3</t>
  </si>
  <si>
    <t>Unit_Monster_Season3_Challenge2_5_4</t>
  </si>
  <si>
    <t>Unit_Monster_Season3_Challenge3_1_1</t>
  </si>
  <si>
    <t>Unit_Monster_Season3_Challenge3_1_2</t>
  </si>
  <si>
    <t>Unit_Monster_Season3_Challenge3_2_1</t>
  </si>
  <si>
    <t>Unit_Monster_Season3_Challenge3_2_2</t>
  </si>
  <si>
    <t>Unit_Monster_Season3_Challenge3_2_3</t>
  </si>
  <si>
    <t>Unit_Monster_Season3_Challenge3_3_1</t>
  </si>
  <si>
    <t>Unit_Monster_Season3_Challenge3_3_2</t>
  </si>
  <si>
    <t>Unit_Monster_Season3_Challenge3_3_3</t>
  </si>
  <si>
    <t>Unit_Monster_Season3_Challenge4_1_1</t>
  </si>
  <si>
    <t>Unit_Monster_Season3_Challenge4_1_2</t>
  </si>
  <si>
    <t>Unit_Monster_Season3_Challenge4_2_1</t>
  </si>
  <si>
    <t>Unit_Monster_Season3_Challenge4_2_2</t>
  </si>
  <si>
    <t>Unit_Monster_Season3_Challenge4_2_3</t>
  </si>
  <si>
    <t>Unit_Monster_Season3_Challenge4_3_1</t>
  </si>
  <si>
    <t>Unit_Monster_Season3_Challenge4_3_2</t>
  </si>
  <si>
    <t>Unit_Monster_Season3_Challenge4_3_3</t>
  </si>
  <si>
    <t>Unit_Monster_Season3_Challenge4_4_1</t>
  </si>
  <si>
    <t>Unit_Monster_Season3_Challenge4_4_2</t>
  </si>
  <si>
    <t>Unit_Monster_Season3_Challenge4_4_3</t>
  </si>
  <si>
    <t>Unit_Monster_Season3_Challenge4_5_1</t>
  </si>
  <si>
    <t>Unit_Monster_Season3_Challenge4_5_2</t>
  </si>
  <si>
    <t>Unit_Monster_Season3_Challenge4_5_3</t>
  </si>
  <si>
    <t>Unit_Monster_Season3_Challenge5_1_1</t>
  </si>
  <si>
    <t>Unit_Monster_Season3_Challenge5_1_2</t>
  </si>
  <si>
    <t>Unit_Monster_Season3_Challenge5_2_1</t>
  </si>
  <si>
    <t>Unit_Monster_Season3_Challenge5_2_2</t>
  </si>
  <si>
    <t>Unit_Monster_Season3_Challenge5_2_3</t>
  </si>
  <si>
    <t>Unit_Monster_Season3_Challenge5_3_1</t>
  </si>
  <si>
    <t>Unit_Monster_Season3_Challenge5_3_2</t>
  </si>
  <si>
    <t>Unit_Monster_Season3_Challenge5_3_3</t>
  </si>
  <si>
    <t>Unit_Monster_Season3_Challenge5_3_4</t>
  </si>
  <si>
    <t>Unit_Monster_Season3_Challenge5_4_1</t>
  </si>
  <si>
    <t>Unit_Monster_Season3_Challenge5_4_2</t>
  </si>
  <si>
    <t>Unit_Monster_Season3_Challenge5_4_3</t>
  </si>
  <si>
    <t>Unit_Monster_Season3_Challenge5_5_1</t>
  </si>
  <si>
    <t>Unit_Monster_Season3_Challenge5_5_2</t>
  </si>
  <si>
    <t>Unit_Monster_Season3_Challenge5_5_3</t>
  </si>
  <si>
    <t>Unit_Monster_Season3_Challenge5_5_4</t>
  </si>
  <si>
    <t>Unit_Monster_Season3_Challenge5_6_1</t>
  </si>
  <si>
    <t>Unit_Monster_Season3_Challenge5_6_2</t>
  </si>
  <si>
    <t>Unit_Monster_Season3_Challenge5_6_3</t>
  </si>
  <si>
    <t>Unit_Monster_Season3_Challenge5_6_4</t>
  </si>
  <si>
    <t>Unit_Monster_Season3_Challenge5_7_1</t>
  </si>
  <si>
    <t>Unit_Monster_Season3_Challenge5_7_2</t>
  </si>
  <si>
    <t>Unit_Monster_Season3_Challenge5_7_3</t>
  </si>
  <si>
    <t>Unit_Monster_Season3_Challenge5_7_4</t>
  </si>
  <si>
    <t>Unit_Monster_Season3_Challenge5_8_1</t>
  </si>
  <si>
    <t>Unit_Monster_Season3_Challenge5_8_2</t>
  </si>
  <si>
    <t>Unit_Monster_Season3_Challenge5_8_3</t>
  </si>
  <si>
    <t>Unit_Monster_Season3_Challenge5_8_4</t>
  </si>
  <si>
    <t>Unit_Monster_Season4_Challenge1_1_1</t>
  </si>
  <si>
    <t>Unit_Monster_Season4_Challenge1_1_2</t>
  </si>
  <si>
    <t>Unit_Monster_Season4_Challenge1_2_1</t>
  </si>
  <si>
    <t>Unit_Monster_Season4_Challenge1_2_2</t>
  </si>
  <si>
    <t>Unit_Monster_Season4_Challenge1_3_1</t>
  </si>
  <si>
    <t>Unit_Monster_Season4_Challenge1_3_2</t>
  </si>
  <si>
    <t>Unit_Monster_Season4_Challenge1_3_3</t>
  </si>
  <si>
    <t>Unit_Monster_Season4_Challenge2_1_1</t>
  </si>
  <si>
    <t>Unit_Monster_Season4_Challenge2_1_2</t>
  </si>
  <si>
    <t>Unit_Monster_Season4_Challenge2_2_1</t>
  </si>
  <si>
    <t>Unit_Monster_Season4_Challenge2_2_2</t>
  </si>
  <si>
    <t>Unit_Monster_Season4_Challenge2_2_3</t>
  </si>
  <si>
    <t>Unit_Monster_Season4_Challenge2_3_1</t>
  </si>
  <si>
    <t>Unit_Monster_Season4_Challenge2_3_2</t>
  </si>
  <si>
    <t>Unit_Monster_Season4_Challenge2_3_3</t>
  </si>
  <si>
    <t>Unit_Monster_Season4_Challenge2_4_1</t>
  </si>
  <si>
    <t>Unit_Monster_Season4_Challenge2_4_2</t>
  </si>
  <si>
    <t>Unit_Monster_Season4_Challenge2_4_3</t>
  </si>
  <si>
    <t>Unit_Monster_Season4_Challenge2_4_4</t>
  </si>
  <si>
    <t>Unit_Monster_Season4_Challenge2_5_1</t>
  </si>
  <si>
    <t>Unit_Monster_Season4_Challenge2_5_2</t>
  </si>
  <si>
    <t>Unit_Monster_Season4_Challenge2_5_3</t>
  </si>
  <si>
    <t>Unit_Monster_Season4_Challenge2_5_4</t>
  </si>
  <si>
    <t>Unit_Monster_Season4_Challenge3_1_1</t>
  </si>
  <si>
    <t>Unit_Monster_Season4_Challenge3_1_2</t>
  </si>
  <si>
    <t>Unit_Monster_Season4_Challenge3_2_1</t>
  </si>
  <si>
    <t>Unit_Monster_Season4_Challenge3_2_2</t>
  </si>
  <si>
    <t>Unit_Monster_Season4_Challenge3_2_3</t>
  </si>
  <si>
    <t>Unit_Monster_Season4_Challenge3_3_1</t>
  </si>
  <si>
    <t>Unit_Monster_Season4_Challenge3_3_2</t>
  </si>
  <si>
    <t>Unit_Monster_Season4_Challenge3_3_3</t>
  </si>
  <si>
    <t>Unit_Monster_Season4_Challenge4_1_1</t>
  </si>
  <si>
    <t>Unit_Monster_Season4_Challenge4_1_2</t>
  </si>
  <si>
    <t>Unit_Monster_Season4_Challenge4_2_1</t>
  </si>
  <si>
    <t>Unit_Monster_Season4_Challenge4_2_2</t>
  </si>
  <si>
    <t>Unit_Monster_Season4_Challenge4_2_3</t>
  </si>
  <si>
    <t>Unit_Monster_Season4_Challenge4_3_1</t>
  </si>
  <si>
    <t>Unit_Monster_Season4_Challenge4_3_2</t>
  </si>
  <si>
    <t>Unit_Monster_Season4_Challenge4_3_3</t>
  </si>
  <si>
    <t>Unit_Monster_Season4_Challenge4_4_1</t>
  </si>
  <si>
    <t>Unit_Monster_Season4_Challenge4_4_2</t>
  </si>
  <si>
    <t>Unit_Monster_Season4_Challenge4_4_3</t>
  </si>
  <si>
    <t>Unit_Monster_Season4_Challenge4_5_1</t>
  </si>
  <si>
    <t>Unit_Monster_Season4_Challenge4_5_2</t>
  </si>
  <si>
    <t>Unit_Monster_Season4_Challenge4_5_3</t>
  </si>
  <si>
    <t>Unit_Monster_Season4_Challenge5_1_1</t>
  </si>
  <si>
    <t>Unit_Monster_Season4_Challenge5_1_2</t>
  </si>
  <si>
    <t>Unit_Monster_Season4_Challenge5_2_1</t>
  </si>
  <si>
    <t>Unit_Monster_Season4_Challenge5_2_2</t>
  </si>
  <si>
    <t>Unit_Monster_Season4_Challenge5_2_3</t>
  </si>
  <si>
    <t>Unit_Monster_Season4_Challenge5_3_1</t>
  </si>
  <si>
    <t>Unit_Monster_Season4_Challenge5_3_2</t>
  </si>
  <si>
    <t>Unit_Monster_Season4_Challenge5_3_3</t>
  </si>
  <si>
    <t>Unit_Monster_Season4_Challenge5_3_4</t>
  </si>
  <si>
    <t>Unit_Monster_Season4_Challenge5_4_1</t>
  </si>
  <si>
    <t>Unit_Monster_Season4_Challenge5_4_2</t>
  </si>
  <si>
    <t>Unit_Monster_Season4_Challenge5_4_3</t>
  </si>
  <si>
    <t>Unit_Monster_Season4_Challenge5_5_1</t>
  </si>
  <si>
    <t>Unit_Monster_Season4_Challenge5_5_2</t>
  </si>
  <si>
    <t>Unit_Monster_Season4_Challenge5_5_3</t>
  </si>
  <si>
    <t>Unit_Monster_Season4_Challenge5_5_4</t>
  </si>
  <si>
    <t>Unit_Monster_Season4_Challenge5_6_1</t>
  </si>
  <si>
    <t>Unit_Monster_Season4_Challenge5_6_2</t>
  </si>
  <si>
    <t>Unit_Monster_Season4_Challenge5_6_3</t>
  </si>
  <si>
    <t>Unit_Monster_Season4_Challenge5_6_4</t>
  </si>
  <si>
    <t>Unit_Monster_Season4_Challenge5_7_1</t>
  </si>
  <si>
    <t>Unit_Monster_Season4_Challenge5_7_2</t>
  </si>
  <si>
    <t>Unit_Monster_Season4_Challenge5_7_3</t>
  </si>
  <si>
    <t>Unit_Monster_Season4_Challenge5_7_4</t>
  </si>
  <si>
    <t>Unit_Monster_Season4_Challenge5_8_1</t>
  </si>
  <si>
    <t>Unit_Monster_Season4_Challenge5_8_2</t>
  </si>
  <si>
    <t>Unit_Monster_Season4_Challenge5_8_3</t>
  </si>
  <si>
    <t>Unit_Monster_Season4_Challenge5_8_4</t>
  </si>
  <si>
    <t>赛季1_挑战怪物1_1_1</t>
  </si>
  <si>
    <t>赛季1_挑战怪物1_1_2</t>
  </si>
  <si>
    <t>赛季1_挑战怪物1_2_1</t>
  </si>
  <si>
    <t>赛季1_挑战怪物1_2_2</t>
  </si>
  <si>
    <t>赛季1_挑战怪物1_3_1</t>
  </si>
  <si>
    <t>赛季1_挑战怪物1_3_2</t>
  </si>
  <si>
    <t>赛季1_挑战怪物1_3_3</t>
  </si>
  <si>
    <t>赛季1_挑战怪物2_1_1</t>
  </si>
  <si>
    <t>赛季1_挑战怪物2_1_2</t>
  </si>
  <si>
    <t>赛季1_挑战怪物2_2_1</t>
  </si>
  <si>
    <t>赛季1_挑战怪物2_2_2</t>
  </si>
  <si>
    <t>赛季1_挑战怪物2_2_3</t>
  </si>
  <si>
    <t>赛季1_挑战怪物2_3_1</t>
  </si>
  <si>
    <t>赛季1_挑战怪物2_3_2</t>
  </si>
  <si>
    <t>赛季1_挑战怪物2_3_3</t>
  </si>
  <si>
    <t>赛季1_挑战怪物2_4_1</t>
  </si>
  <si>
    <t>赛季1_挑战怪物2_4_2</t>
  </si>
  <si>
    <t>赛季1_挑战怪物2_4_3</t>
  </si>
  <si>
    <t>赛季1_挑战怪物2_4_4</t>
  </si>
  <si>
    <t>赛季1_挑战怪物2_5_1</t>
  </si>
  <si>
    <t>赛季1_挑战怪物2_5_2</t>
  </si>
  <si>
    <t>赛季1_挑战怪物2_5_3</t>
  </si>
  <si>
    <t>赛季1_挑战怪物2_5_4</t>
  </si>
  <si>
    <t>赛季1_挑战怪物3_1_1</t>
  </si>
  <si>
    <t>赛季1_挑战怪物3_1_2</t>
  </si>
  <si>
    <t>赛季1_挑战怪物3_2_1</t>
  </si>
  <si>
    <t>赛季1_挑战怪物3_2_2</t>
  </si>
  <si>
    <t>赛季1_挑战怪物3_2_3</t>
  </si>
  <si>
    <t>赛季1_挑战怪物3_3_1</t>
  </si>
  <si>
    <t>赛季1_挑战怪物3_3_2</t>
  </si>
  <si>
    <t>赛季1_挑战怪物3_3_3</t>
  </si>
  <si>
    <t>赛季1_挑战怪物4_1_1</t>
  </si>
  <si>
    <t>赛季1_挑战怪物4_1_2</t>
  </si>
  <si>
    <t>赛季1_挑战怪物4_2_1</t>
  </si>
  <si>
    <t>赛季1_挑战怪物4_2_2</t>
  </si>
  <si>
    <t>赛季1_挑战怪物4_2_3</t>
  </si>
  <si>
    <t>赛季1_挑战怪物4_3_1</t>
  </si>
  <si>
    <t>赛季1_挑战怪物4_3_2</t>
  </si>
  <si>
    <t>赛季1_挑战怪物4_3_3</t>
  </si>
  <si>
    <t>赛季1_挑战怪物4_4_1</t>
  </si>
  <si>
    <t>赛季1_挑战怪物4_4_2</t>
  </si>
  <si>
    <t>赛季1_挑战怪物4_4_3</t>
  </si>
  <si>
    <t>赛季1_挑战怪物4_5_1</t>
  </si>
  <si>
    <t>赛季1_挑战怪物4_5_2</t>
  </si>
  <si>
    <t>赛季1_挑战怪物4_5_3</t>
  </si>
  <si>
    <t>赛季1_挑战怪物5_1_1</t>
  </si>
  <si>
    <t>赛季1_挑战怪物5_1_2</t>
  </si>
  <si>
    <t>赛季1_挑战怪物5_2_1</t>
  </si>
  <si>
    <t>赛季1_挑战怪物5_2_2</t>
  </si>
  <si>
    <t>赛季1_挑战怪物5_2_3</t>
  </si>
  <si>
    <t>赛季1_挑战怪物5_3_1</t>
  </si>
  <si>
    <t>赛季1_挑战怪物5_3_2</t>
  </si>
  <si>
    <t>赛季1_挑战怪物5_3_3</t>
  </si>
  <si>
    <t>赛季1_挑战怪物5_3_4</t>
  </si>
  <si>
    <t>赛季1_挑战怪物5_4_1</t>
  </si>
  <si>
    <t>赛季1_挑战怪物5_4_2</t>
  </si>
  <si>
    <t>赛季1_挑战怪物5_4_3</t>
  </si>
  <si>
    <t>赛季1_挑战怪物5_5_1</t>
  </si>
  <si>
    <t>赛季1_挑战怪物5_5_2</t>
  </si>
  <si>
    <t>赛季1_挑战怪物5_5_3</t>
  </si>
  <si>
    <t>赛季1_挑战怪物5_5_4</t>
  </si>
  <si>
    <t>赛季1_挑战怪物5_6_1</t>
  </si>
  <si>
    <t>赛季1_挑战怪物5_6_2</t>
  </si>
  <si>
    <t>赛季1_挑战怪物5_6_3</t>
  </si>
  <si>
    <t>赛季1_挑战怪物5_6_4</t>
  </si>
  <si>
    <t>赛季1_挑战怪物5_7_1</t>
  </si>
  <si>
    <t>赛季1_挑战怪物5_7_2</t>
  </si>
  <si>
    <t>赛季1_挑战怪物5_7_3</t>
  </si>
  <si>
    <t>赛季1_挑战怪物5_7_4</t>
  </si>
  <si>
    <t>赛季1_挑战怪物5_8_1</t>
  </si>
  <si>
    <t>赛季1_挑战怪物5_8_2</t>
  </si>
  <si>
    <t>赛季1_挑战怪物5_8_3</t>
  </si>
  <si>
    <t>赛季1_挑战怪物5_8_4</t>
  </si>
  <si>
    <t>赛季2_挑战怪物1_1_1</t>
  </si>
  <si>
    <t>赛季2_挑战怪物1_1_2</t>
  </si>
  <si>
    <t>赛季2_挑战怪物1_2_1</t>
  </si>
  <si>
    <t>赛季2_挑战怪物1_2_2</t>
  </si>
  <si>
    <t>赛季2_挑战怪物1_3_1</t>
  </si>
  <si>
    <t>赛季2_挑战怪物1_3_2</t>
  </si>
  <si>
    <t>赛季2_挑战怪物1_3_3</t>
  </si>
  <si>
    <t>赛季2_挑战怪物2_1_1</t>
  </si>
  <si>
    <t>赛季2_挑战怪物2_1_2</t>
  </si>
  <si>
    <t>赛季2_挑战怪物2_2_1</t>
  </si>
  <si>
    <t>赛季2_挑战怪物2_2_2</t>
  </si>
  <si>
    <t>赛季2_挑战怪物2_2_3</t>
  </si>
  <si>
    <t>赛季2_挑战怪物2_3_1</t>
  </si>
  <si>
    <t>赛季2_挑战怪物2_3_2</t>
  </si>
  <si>
    <t>赛季2_挑战怪物2_3_3</t>
  </si>
  <si>
    <t>赛季2_挑战怪物2_4_1</t>
  </si>
  <si>
    <t>赛季2_挑战怪物2_4_2</t>
  </si>
  <si>
    <t>赛季2_挑战怪物2_4_3</t>
  </si>
  <si>
    <t>赛季2_挑战怪物2_4_4</t>
  </si>
  <si>
    <t>赛季2_挑战怪物2_5_1</t>
  </si>
  <si>
    <t>赛季2_挑战怪物2_5_2</t>
  </si>
  <si>
    <t>赛季2_挑战怪物2_5_3</t>
  </si>
  <si>
    <t>赛季2_挑战怪物2_5_4</t>
  </si>
  <si>
    <t>赛季2_挑战怪物3_1_1</t>
  </si>
  <si>
    <t>赛季2_挑战怪物3_1_2</t>
  </si>
  <si>
    <t>赛季2_挑战怪物3_2_1</t>
  </si>
  <si>
    <t>赛季2_挑战怪物3_2_2</t>
  </si>
  <si>
    <t>赛季2_挑战怪物3_2_3</t>
  </si>
  <si>
    <t>赛季2_挑战怪物3_3_1</t>
  </si>
  <si>
    <t>赛季2_挑战怪物3_3_2</t>
  </si>
  <si>
    <t>赛季2_挑战怪物3_3_3</t>
  </si>
  <si>
    <t>赛季2_挑战怪物4_1_1</t>
  </si>
  <si>
    <t>赛季2_挑战怪物4_1_2</t>
  </si>
  <si>
    <t>赛季2_挑战怪物4_2_1</t>
  </si>
  <si>
    <t>赛季2_挑战怪物4_2_2</t>
  </si>
  <si>
    <t>赛季2_挑战怪物4_2_3</t>
  </si>
  <si>
    <t>赛季2_挑战怪物4_3_1</t>
  </si>
  <si>
    <t>赛季2_挑战怪物4_3_2</t>
  </si>
  <si>
    <t>赛季2_挑战怪物4_3_3</t>
  </si>
  <si>
    <t>赛季2_挑战怪物4_4_1</t>
  </si>
  <si>
    <t>赛季2_挑战怪物4_4_2</t>
  </si>
  <si>
    <t>赛季2_挑战怪物4_4_3</t>
  </si>
  <si>
    <t>赛季2_挑战怪物4_5_1</t>
  </si>
  <si>
    <t>赛季2_挑战怪物4_5_2</t>
  </si>
  <si>
    <t>赛季2_挑战怪物4_5_3</t>
  </si>
  <si>
    <t>赛季2_挑战怪物5_1_1</t>
  </si>
  <si>
    <t>赛季2_挑战怪物5_1_2</t>
  </si>
  <si>
    <t>赛季2_挑战怪物5_2_1</t>
  </si>
  <si>
    <t>赛季2_挑战怪物5_2_2</t>
  </si>
  <si>
    <t>赛季2_挑战怪物5_2_3</t>
  </si>
  <si>
    <t>赛季2_挑战怪物5_3_1</t>
  </si>
  <si>
    <t>赛季2_挑战怪物5_3_2</t>
  </si>
  <si>
    <t>赛季2_挑战怪物5_3_3</t>
  </si>
  <si>
    <t>赛季2_挑战怪物5_3_4</t>
  </si>
  <si>
    <t>赛季2_挑战怪物5_4_1</t>
  </si>
  <si>
    <t>赛季2_挑战怪物5_4_2</t>
  </si>
  <si>
    <t>赛季2_挑战怪物5_4_3</t>
  </si>
  <si>
    <t>赛季2_挑战怪物5_5_1</t>
  </si>
  <si>
    <t>赛季2_挑战怪物5_5_2</t>
  </si>
  <si>
    <t>赛季2_挑战怪物5_5_3</t>
  </si>
  <si>
    <t>赛季2_挑战怪物5_5_4</t>
  </si>
  <si>
    <t>赛季2_挑战怪物5_6_1</t>
  </si>
  <si>
    <t>赛季2_挑战怪物5_6_2</t>
  </si>
  <si>
    <t>赛季2_挑战怪物5_6_3</t>
  </si>
  <si>
    <t>赛季2_挑战怪物5_6_4</t>
  </si>
  <si>
    <t>赛季2_挑战怪物5_7_1</t>
  </si>
  <si>
    <t>赛季2_挑战怪物5_7_2</t>
  </si>
  <si>
    <t>赛季2_挑战怪物5_7_3</t>
  </si>
  <si>
    <t>赛季2_挑战怪物5_7_4</t>
  </si>
  <si>
    <t>赛季2_挑战怪物5_8_1</t>
  </si>
  <si>
    <t>赛季2_挑战怪物5_8_2</t>
  </si>
  <si>
    <t>赛季2_挑战怪物5_8_3</t>
  </si>
  <si>
    <t>赛季2_挑战怪物5_8_4</t>
  </si>
  <si>
    <t>赛季3_挑战怪物1_1_1</t>
  </si>
  <si>
    <t>赛季3_挑战怪物1_1_2</t>
  </si>
  <si>
    <t>赛季3_挑战怪物1_2_1</t>
  </si>
  <si>
    <t>赛季3_挑战怪物1_2_2</t>
  </si>
  <si>
    <t>赛季3_挑战怪物1_3_1</t>
  </si>
  <si>
    <t>赛季3_挑战怪物1_3_2</t>
  </si>
  <si>
    <t>赛季3_挑战怪物1_3_3</t>
  </si>
  <si>
    <t>赛季3_挑战怪物2_1_1</t>
  </si>
  <si>
    <t>赛季3_挑战怪物2_1_2</t>
  </si>
  <si>
    <t>赛季3_挑战怪物2_2_1</t>
  </si>
  <si>
    <t>赛季3_挑战怪物2_2_2</t>
  </si>
  <si>
    <t>赛季3_挑战怪物2_2_3</t>
  </si>
  <si>
    <t>赛季3_挑战怪物2_3_1</t>
  </si>
  <si>
    <t>赛季3_挑战怪物2_3_2</t>
  </si>
  <si>
    <t>赛季3_挑战怪物2_3_3</t>
  </si>
  <si>
    <t>赛季3_挑战怪物2_4_1</t>
  </si>
  <si>
    <t>赛季3_挑战怪物2_4_2</t>
  </si>
  <si>
    <t>赛季3_挑战怪物2_4_3</t>
  </si>
  <si>
    <t>赛季3_挑战怪物2_4_4</t>
  </si>
  <si>
    <t>赛季3_挑战怪物2_5_1</t>
  </si>
  <si>
    <t>赛季3_挑战怪物2_5_2</t>
  </si>
  <si>
    <t>赛季3_挑战怪物2_5_3</t>
  </si>
  <si>
    <t>赛季3_挑战怪物2_5_4</t>
  </si>
  <si>
    <t>赛季3_挑战怪物3_1_1</t>
  </si>
  <si>
    <t>赛季3_挑战怪物3_1_2</t>
  </si>
  <si>
    <t>赛季3_挑战怪物3_2_1</t>
  </si>
  <si>
    <t>赛季3_挑战怪物3_2_2</t>
  </si>
  <si>
    <t>赛季3_挑战怪物3_2_3</t>
  </si>
  <si>
    <t>赛季3_挑战怪物3_3_1</t>
  </si>
  <si>
    <t>赛季3_挑战怪物3_3_2</t>
  </si>
  <si>
    <t>赛季3_挑战怪物3_3_3</t>
  </si>
  <si>
    <t>赛季3_挑战怪物4_1_1</t>
  </si>
  <si>
    <t>赛季3_挑战怪物4_1_2</t>
  </si>
  <si>
    <t>赛季3_挑战怪物4_2_1</t>
  </si>
  <si>
    <t>赛季3_挑战怪物4_2_2</t>
  </si>
  <si>
    <t>赛季3_挑战怪物4_2_3</t>
  </si>
  <si>
    <t>赛季3_挑战怪物4_3_1</t>
  </si>
  <si>
    <t>赛季3_挑战怪物4_3_2</t>
  </si>
  <si>
    <t>赛季3_挑战怪物4_3_3</t>
  </si>
  <si>
    <t>赛季3_挑战怪物4_4_1</t>
  </si>
  <si>
    <t>赛季3_挑战怪物4_4_2</t>
  </si>
  <si>
    <t>赛季3_挑战怪物4_4_3</t>
  </si>
  <si>
    <t>赛季3_挑战怪物4_5_1</t>
  </si>
  <si>
    <t>赛季3_挑战怪物4_5_2</t>
  </si>
  <si>
    <t>赛季3_挑战怪物4_5_3</t>
  </si>
  <si>
    <t>赛季3_挑战怪物5_1_1</t>
  </si>
  <si>
    <t>赛季3_挑战怪物5_1_2</t>
  </si>
  <si>
    <t>赛季3_挑战怪物5_2_1</t>
  </si>
  <si>
    <t>赛季3_挑战怪物5_2_2</t>
  </si>
  <si>
    <t>赛季3_挑战怪物5_2_3</t>
  </si>
  <si>
    <t>赛季3_挑战怪物5_3_1</t>
  </si>
  <si>
    <t>赛季3_挑战怪物5_3_2</t>
  </si>
  <si>
    <t>赛季3_挑战怪物5_3_3</t>
  </si>
  <si>
    <t>赛季3_挑战怪物5_3_4</t>
  </si>
  <si>
    <t>赛季3_挑战怪物5_4_1</t>
  </si>
  <si>
    <t>赛季3_挑战怪物5_4_2</t>
  </si>
  <si>
    <t>赛季3_挑战怪物5_4_3</t>
  </si>
  <si>
    <t>赛季3_挑战怪物5_5_1</t>
  </si>
  <si>
    <t>赛季3_挑战怪物5_5_2</t>
  </si>
  <si>
    <t>赛季3_挑战怪物5_5_3</t>
  </si>
  <si>
    <t>赛季3_挑战怪物5_5_4</t>
  </si>
  <si>
    <t>赛季3_挑战怪物5_6_1</t>
  </si>
  <si>
    <t>赛季3_挑战怪物5_6_2</t>
  </si>
  <si>
    <t>赛季3_挑战怪物5_6_3</t>
  </si>
  <si>
    <t>赛季3_挑战怪物5_6_4</t>
  </si>
  <si>
    <t>赛季3_挑战怪物5_7_1</t>
  </si>
  <si>
    <t>赛季3_挑战怪物5_7_2</t>
  </si>
  <si>
    <t>赛季3_挑战怪物5_7_3</t>
  </si>
  <si>
    <t>赛季3_挑战怪物5_7_4</t>
  </si>
  <si>
    <t>赛季3_挑战怪物5_8_1</t>
  </si>
  <si>
    <t>赛季3_挑战怪物5_8_2</t>
  </si>
  <si>
    <t>赛季3_挑战怪物5_8_3</t>
  </si>
  <si>
    <t>赛季3_挑战怪物5_8_4</t>
  </si>
  <si>
    <t>赛季4_挑战怪物1_1_1</t>
  </si>
  <si>
    <t>赛季4_挑战怪物1_1_2</t>
  </si>
  <si>
    <t>赛季4_挑战怪物1_2_1</t>
  </si>
  <si>
    <t>赛季4_挑战怪物1_2_2</t>
  </si>
  <si>
    <t>赛季4_挑战怪物1_3_1</t>
  </si>
  <si>
    <t>赛季4_挑战怪物1_3_2</t>
  </si>
  <si>
    <t>赛季4_挑战怪物1_3_3</t>
  </si>
  <si>
    <t>赛季4_挑战怪物2_1_1</t>
  </si>
  <si>
    <t>赛季4_挑战怪物2_1_2</t>
  </si>
  <si>
    <t>赛季4_挑战怪物2_2_1</t>
  </si>
  <si>
    <t>赛季4_挑战怪物2_2_2</t>
  </si>
  <si>
    <t>赛季4_挑战怪物2_2_3</t>
  </si>
  <si>
    <t>赛季4_挑战怪物2_3_1</t>
  </si>
  <si>
    <t>赛季4_挑战怪物2_3_2</t>
  </si>
  <si>
    <t>赛季4_挑战怪物2_3_3</t>
  </si>
  <si>
    <t>赛季4_挑战怪物2_4_1</t>
  </si>
  <si>
    <t>赛季4_挑战怪物2_4_2</t>
  </si>
  <si>
    <t>赛季4_挑战怪物2_4_3</t>
  </si>
  <si>
    <t>赛季4_挑战怪物2_4_4</t>
  </si>
  <si>
    <t>赛季4_挑战怪物2_5_1</t>
  </si>
  <si>
    <t>赛季4_挑战怪物2_5_2</t>
  </si>
  <si>
    <t>赛季4_挑战怪物2_5_3</t>
  </si>
  <si>
    <t>赛季4_挑战怪物2_5_4</t>
  </si>
  <si>
    <t>赛季4_挑战怪物3_1_1</t>
  </si>
  <si>
    <t>赛季4_挑战怪物3_1_2</t>
  </si>
  <si>
    <t>赛季4_挑战怪物3_2_1</t>
  </si>
  <si>
    <t>赛季4_挑战怪物3_2_2</t>
  </si>
  <si>
    <t>赛季4_挑战怪物3_2_3</t>
  </si>
  <si>
    <t>赛季4_挑战怪物3_3_1</t>
  </si>
  <si>
    <t>赛季4_挑战怪物3_3_2</t>
  </si>
  <si>
    <t>赛季4_挑战怪物3_3_3</t>
  </si>
  <si>
    <t>赛季4_挑战怪物4_1_1</t>
  </si>
  <si>
    <t>赛季4_挑战怪物4_1_2</t>
  </si>
  <si>
    <t>赛季4_挑战怪物4_2_1</t>
  </si>
  <si>
    <t>赛季4_挑战怪物4_2_2</t>
  </si>
  <si>
    <t>赛季4_挑战怪物4_2_3</t>
  </si>
  <si>
    <t>赛季4_挑战怪物4_3_1</t>
  </si>
  <si>
    <t>赛季4_挑战怪物4_3_2</t>
  </si>
  <si>
    <t>赛季4_挑战怪物4_3_3</t>
  </si>
  <si>
    <t>赛季4_挑战怪物4_4_1</t>
  </si>
  <si>
    <t>赛季4_挑战怪物4_4_2</t>
  </si>
  <si>
    <t>赛季4_挑战怪物4_4_3</t>
  </si>
  <si>
    <t>赛季4_挑战怪物4_5_1</t>
  </si>
  <si>
    <t>赛季4_挑战怪物4_5_2</t>
  </si>
  <si>
    <t>赛季4_挑战怪物4_5_3</t>
  </si>
  <si>
    <t>赛季4_挑战怪物5_1_1</t>
  </si>
  <si>
    <t>赛季4_挑战怪物5_1_2</t>
  </si>
  <si>
    <t>赛季4_挑战怪物5_2_1</t>
  </si>
  <si>
    <t>赛季4_挑战怪物5_2_2</t>
  </si>
  <si>
    <t>赛季4_挑战怪物5_2_3</t>
  </si>
  <si>
    <t>赛季4_挑战怪物5_3_1</t>
  </si>
  <si>
    <t>赛季4_挑战怪物5_3_2</t>
  </si>
  <si>
    <t>赛季4_挑战怪物5_3_3</t>
  </si>
  <si>
    <t>赛季4_挑战怪物5_3_4</t>
  </si>
  <si>
    <t>赛季4_挑战怪物5_4_1</t>
  </si>
  <si>
    <t>赛季4_挑战怪物5_4_2</t>
  </si>
  <si>
    <t>赛季4_挑战怪物5_4_3</t>
  </si>
  <si>
    <t>赛季4_挑战怪物5_5_1</t>
  </si>
  <si>
    <t>赛季4_挑战怪物5_5_2</t>
  </si>
  <si>
    <t>赛季4_挑战怪物5_5_3</t>
  </si>
  <si>
    <t>赛季4_挑战怪物5_5_4</t>
  </si>
  <si>
    <t>赛季4_挑战怪物5_6_1</t>
  </si>
  <si>
    <t>赛季4_挑战怪物5_6_2</t>
  </si>
  <si>
    <t>赛季4_挑战怪物5_6_3</t>
  </si>
  <si>
    <t>赛季4_挑战怪物5_6_4</t>
  </si>
  <si>
    <t>赛季4_挑战怪物5_7_1</t>
  </si>
  <si>
    <t>赛季4_挑战怪物5_7_2</t>
  </si>
  <si>
    <t>赛季4_挑战怪物5_7_3</t>
  </si>
  <si>
    <t>赛季4_挑战怪物5_7_4</t>
  </si>
  <si>
    <t>赛季4_挑战怪物5_8_1</t>
  </si>
  <si>
    <t>赛季4_挑战怪物5_8_2</t>
  </si>
  <si>
    <t>赛季4_挑战怪物5_8_3</t>
  </si>
  <si>
    <t>赛季4_挑战怪物5_8_4</t>
  </si>
  <si>
    <t>通用技能</t>
    <phoneticPr fontId="4" type="noConversion"/>
  </si>
  <si>
    <t>子弹穿透</t>
    <phoneticPr fontId="4" type="noConversion"/>
  </si>
  <si>
    <t>Tow26_1</t>
  </si>
  <si>
    <t>Tow26_2</t>
  </si>
  <si>
    <t>Tow26_3</t>
  </si>
  <si>
    <t>魔像</t>
  </si>
  <si>
    <t>魔像</t>
    <phoneticPr fontId="4" type="noConversion"/>
  </si>
  <si>
    <t>火箭塔</t>
  </si>
  <si>
    <t>Tow23_1</t>
  </si>
  <si>
    <t>Tow23_2</t>
  </si>
  <si>
    <t>Tow23_3</t>
  </si>
  <si>
    <t>奥术天球</t>
  </si>
  <si>
    <t>Tow9_1</t>
  </si>
  <si>
    <t>Tow9_2</t>
  </si>
  <si>
    <t>Tow9_3</t>
  </si>
  <si>
    <t>水晶</t>
    <phoneticPr fontId="25" type="noConversion"/>
  </si>
  <si>
    <t>Tow17_1</t>
  </si>
  <si>
    <t>Tow17_2</t>
  </si>
  <si>
    <t>Tow17_3</t>
  </si>
  <si>
    <t>Unit_TowerFire1</t>
  </si>
  <si>
    <t>Unit_TowerFire2</t>
  </si>
  <si>
    <t>Unit_TowerFire3</t>
  </si>
  <si>
    <t>Unit_TowerMagicBall1</t>
  </si>
  <si>
    <t>Unit_TowerMagicBall2</t>
  </si>
  <si>
    <t>Unit_TowerMagicBall3</t>
  </si>
  <si>
    <t>Unit_TowerRocket1</t>
  </si>
  <si>
    <t>Unit_TowerRocket2</t>
  </si>
  <si>
    <t>Unit_TowerRocket3</t>
  </si>
  <si>
    <t>Unit_TowerGolem1</t>
  </si>
  <si>
    <t>Unit_TowerGolem2</t>
  </si>
  <si>
    <t>Unit_TowerGolem3</t>
  </si>
  <si>
    <t>Tow9_2</t>
    <phoneticPr fontId="4" type="noConversion"/>
  </si>
  <si>
    <t>Tow9_3</t>
    <phoneticPr fontId="4" type="noConversion"/>
  </si>
  <si>
    <t>Tow17_2</t>
    <phoneticPr fontId="4" type="noConversion"/>
  </si>
  <si>
    <t>Tow17_3</t>
    <phoneticPr fontId="4" type="noConversion"/>
  </si>
  <si>
    <t>Tow23_2</t>
    <phoneticPr fontId="4" type="noConversion"/>
  </si>
  <si>
    <t>Tow23_3</t>
    <phoneticPr fontId="4" type="noConversion"/>
  </si>
  <si>
    <t>Tow26_2</t>
    <phoneticPr fontId="4" type="noConversion"/>
  </si>
  <si>
    <t>Tow26_3</t>
    <phoneticPr fontId="4" type="noConversion"/>
  </si>
  <si>
    <t>火箭塔</t>
    <phoneticPr fontId="4" type="noConversion"/>
  </si>
  <si>
    <t>水晶</t>
    <phoneticPr fontId="4" type="noConversion"/>
  </si>
  <si>
    <t>奥术天球</t>
    <phoneticPr fontId="4" type="noConversion"/>
  </si>
  <si>
    <t>水晶</t>
  </si>
  <si>
    <r>
      <t>Text_Key_TowerLabel_Aoe</t>
    </r>
    <r>
      <rPr>
        <sz val="11"/>
        <color rgb="FF000000"/>
        <rFont val="等线"/>
        <family val="3"/>
        <charset val="134"/>
      </rPr>
      <t>;Text_Key_TowerLabel_Solo</t>
    </r>
    <phoneticPr fontId="25" type="noConversion"/>
  </si>
  <si>
    <t>Text_Key_TowerLabel_Aoe</t>
    <phoneticPr fontId="25" type="noConversion"/>
  </si>
  <si>
    <t>Tow26</t>
  </si>
  <si>
    <t>Tow9</t>
  </si>
  <si>
    <t>Tow17</t>
  </si>
  <si>
    <t>Tow23</t>
  </si>
  <si>
    <t>1/2级弹药/3级弹药</t>
    <phoneticPr fontId="4" type="noConversion"/>
  </si>
  <si>
    <t>问题</t>
    <phoneticPr fontId="4" type="noConversion"/>
  </si>
  <si>
    <t>一下子接受的信息过多，没有循序渐进</t>
    <phoneticPr fontId="4" type="noConversion"/>
  </si>
  <si>
    <t>切出去会频繁扫图让人烦躁</t>
    <phoneticPr fontId="4" type="noConversion"/>
  </si>
  <si>
    <t>优化方案</t>
    <phoneticPr fontId="4" type="noConversion"/>
  </si>
  <si>
    <t>优先指引挑战关卡</t>
    <phoneticPr fontId="4" type="noConversion"/>
  </si>
  <si>
    <t>挑战关卡逐步解锁新塔，加大难度和时长</t>
    <phoneticPr fontId="4" type="noConversion"/>
  </si>
  <si>
    <t>无限早期解锁，但不跳出功能引导中断结算</t>
    <phoneticPr fontId="4" type="noConversion"/>
  </si>
  <si>
    <t>新手关卡短/</t>
    <phoneticPr fontId="4" type="noConversion"/>
  </si>
  <si>
    <t>挑战文案说明用特定卡/强制点击挑战/不强制load</t>
    <phoneticPr fontId="4" type="noConversion"/>
  </si>
  <si>
    <t>只给输出卡，必胜，2波，怪种类多，有boss</t>
    <phoneticPr fontId="4" type="noConversion"/>
  </si>
  <si>
    <t>全体输出</t>
    <phoneticPr fontId="4" type="noConversion"/>
  </si>
  <si>
    <t>Monster_Tutorial_2_2</t>
  </si>
  <si>
    <t>Monster_Tutorial_2_3</t>
  </si>
  <si>
    <t>Unit_Monster_Tutorial_2_2</t>
  </si>
  <si>
    <t>Unit_Monster_Tutorial_2_3</t>
  </si>
  <si>
    <t>新手关卡怪物2_3</t>
    <phoneticPr fontId="4" type="noConversion"/>
  </si>
  <si>
    <t>背包引导</t>
    <phoneticPr fontId="4" type="noConversion"/>
  </si>
  <si>
    <t>改为1局挑战后解锁，只出引导不出功能界面，同时引导排行榜</t>
    <phoneticPr fontId="4" type="noConversion"/>
  </si>
  <si>
    <t>Unit_Monster_Challenge1_2_2</t>
  </si>
  <si>
    <t>挑战关卡怪物1_2_2</t>
  </si>
  <si>
    <t>挑战关卡怪物1_2_3</t>
  </si>
  <si>
    <t>Monster_Challenge1_2_2</t>
  </si>
  <si>
    <t>Monster_Challenge1_2_3</t>
  </si>
  <si>
    <t>卡池：4，8，…；可放塔：4，4，6，6，8，8…；波次：2，3（难），3（治疗），3（治疗难），5（治疗隐身），5（治疗隐身难），5（隐身破坏），5（隐身破坏难），5（所有怪），8（所有怪+boss）</t>
    <phoneticPr fontId="4" type="noConversion"/>
  </si>
  <si>
    <t>回复怪（难)</t>
    <phoneticPr fontId="4" type="noConversion"/>
  </si>
  <si>
    <t>治疗+隐身</t>
    <phoneticPr fontId="4" type="noConversion"/>
  </si>
  <si>
    <t>治疗+隐身（难)</t>
    <phoneticPr fontId="4" type="noConversion"/>
  </si>
  <si>
    <t>虚弱+隐身</t>
    <phoneticPr fontId="4" type="noConversion"/>
  </si>
  <si>
    <t>虚弱+隐身（难）</t>
    <phoneticPr fontId="4" type="noConversion"/>
  </si>
  <si>
    <t>所有怪</t>
    <phoneticPr fontId="4" type="noConversion"/>
  </si>
  <si>
    <t>所有怪+boss</t>
    <phoneticPr fontId="4" type="noConversion"/>
  </si>
  <si>
    <t>Monster_Challenge2_3_3</t>
  </si>
  <si>
    <t>Monster_Challenge3_1_1</t>
  </si>
  <si>
    <t>Monster_Challenge3_3_3</t>
  </si>
  <si>
    <t>Monster_Challenge4_1_2</t>
  </si>
  <si>
    <t>Monster_Challenge4_2_3</t>
  </si>
  <si>
    <t>Monster_Challenge4_3_3</t>
  </si>
  <si>
    <t>Monster_Challenge4_3_4</t>
  </si>
  <si>
    <t>Monster_Challenge5_4_3</t>
  </si>
  <si>
    <t>Monster_Challenge6_2_3</t>
  </si>
  <si>
    <t>Monster_Challenge6_3_4</t>
  </si>
  <si>
    <t>Monster_Challenge6_5_4</t>
  </si>
  <si>
    <t>Monster_Challenge9_5_4</t>
  </si>
  <si>
    <t>Monster_Challenge10_6_1</t>
  </si>
  <si>
    <t>Monster_Challenge10_6_2</t>
  </si>
  <si>
    <t>Monster_Challenge10_6_3</t>
  </si>
  <si>
    <t>Monster_Challenge10_7_1</t>
  </si>
  <si>
    <t>Monster_Challenge10_7_2</t>
  </si>
  <si>
    <t>Monster_Challenge10_7_3</t>
  </si>
  <si>
    <t>Monster_Challenge10_7_4</t>
  </si>
  <si>
    <t>Monster_Challenge10_8_1</t>
  </si>
  <si>
    <t>Monster_Challenge10_8_2</t>
  </si>
  <si>
    <t>Monster_Challenge10_8_3</t>
  </si>
  <si>
    <t>Monster_Challenge10_8_4</t>
  </si>
  <si>
    <t>Unit_Monster_Challenge2_3_3</t>
  </si>
  <si>
    <t>Unit_Monster_Challenge3_1_1</t>
  </si>
  <si>
    <t>Unit_Monster_Challenge3_3_3</t>
  </si>
  <si>
    <t>Unit_Monster_Challenge4_1_2</t>
  </si>
  <si>
    <t>Unit_Monster_Challenge4_2_3</t>
  </si>
  <si>
    <t>Unit_Monster_Challenge4_3_3</t>
  </si>
  <si>
    <t>Unit_Monster_Challenge4_3_4</t>
  </si>
  <si>
    <t>Unit_Monster_Challenge5_1_1</t>
  </si>
  <si>
    <t>Unit_Monster_Challenge5_4_3</t>
  </si>
  <si>
    <t>Unit_Monster_Challenge6_2_3</t>
  </si>
  <si>
    <t>Unit_Monster_Challenge6_3_4</t>
  </si>
  <si>
    <t>Unit_Monster_Challenge6_5_4</t>
  </si>
  <si>
    <t>Unit_Monster_Challenge9_5_4</t>
  </si>
  <si>
    <t>Unit_Monster_Challenge10_6_1</t>
  </si>
  <si>
    <t>Unit_Monster_Challenge10_6_2</t>
  </si>
  <si>
    <t>Unit_Monster_Challenge10_6_3</t>
  </si>
  <si>
    <t>Unit_Monster_Challenge10_7_1</t>
  </si>
  <si>
    <t>Unit_Monster_Challenge10_7_2</t>
  </si>
  <si>
    <t>Unit_Monster_Challenge10_7_3</t>
  </si>
  <si>
    <t>Unit_Monster_Challenge10_7_4</t>
  </si>
  <si>
    <t>Unit_Monster_Challenge10_8_1</t>
  </si>
  <si>
    <t>Unit_Monster_Challenge10_8_2</t>
  </si>
  <si>
    <t>Unit_Monster_Challenge10_8_3</t>
  </si>
  <si>
    <t>Unit_Monster_Challenge10_8_4</t>
  </si>
  <si>
    <t>挑战关卡怪物2_3_3</t>
  </si>
  <si>
    <t>挑战关卡怪物3_1_1</t>
  </si>
  <si>
    <t>挑战关卡怪物3_3_3</t>
  </si>
  <si>
    <t>挑战关卡怪物4_1_2</t>
  </si>
  <si>
    <t>挑战关卡怪物4_2_3</t>
  </si>
  <si>
    <t>挑战关卡怪物4_3_3</t>
  </si>
  <si>
    <t>挑战关卡怪物4_3_4</t>
  </si>
  <si>
    <t>挑战关卡怪物5_4_3</t>
  </si>
  <si>
    <t>挑战关卡怪物6_2_3</t>
  </si>
  <si>
    <t>挑战关卡怪物6_3_4</t>
  </si>
  <si>
    <t>挑战关卡怪物6_5_4</t>
  </si>
  <si>
    <t>挑战关卡怪物9_5_4</t>
  </si>
  <si>
    <t>挑战关卡怪物10_6_1</t>
  </si>
  <si>
    <t>挑战关卡怪物10_6_2</t>
  </si>
  <si>
    <t>挑战关卡怪物10_6_3</t>
  </si>
  <si>
    <t>挑战关卡怪物10_7_1</t>
  </si>
  <si>
    <t>挑战关卡怪物10_7_2</t>
  </si>
  <si>
    <t>挑战关卡怪物10_7_3</t>
  </si>
  <si>
    <t>挑战关卡怪物10_7_4</t>
  </si>
  <si>
    <t>挑战关卡怪物10_8_1</t>
  </si>
  <si>
    <t>挑战关卡怪物10_8_2</t>
  </si>
  <si>
    <t>挑战关卡怪物10_8_3</t>
  </si>
  <si>
    <t>挑战关卡怪物10_8_4</t>
  </si>
  <si>
    <t>1</t>
  </si>
  <si>
    <t>2</t>
  </si>
  <si>
    <t>3</t>
  </si>
  <si>
    <t>4</t>
  </si>
  <si>
    <t>5</t>
  </si>
  <si>
    <t>6</t>
  </si>
  <si>
    <t>7</t>
  </si>
  <si>
    <t>8</t>
  </si>
  <si>
    <t>9</t>
  </si>
  <si>
    <t>引导顺序</t>
    <phoneticPr fontId="4" type="noConversion"/>
  </si>
  <si>
    <t>单局操作</t>
    <phoneticPr fontId="4" type="noConversion"/>
  </si>
  <si>
    <t>过3关</t>
    <phoneticPr fontId="4" type="noConversion"/>
  </si>
  <si>
    <t>是否跳出</t>
    <phoneticPr fontId="4" type="noConversion"/>
  </si>
  <si>
    <t>背包上阵</t>
    <phoneticPr fontId="4" type="noConversion"/>
  </si>
  <si>
    <t>是</t>
    <phoneticPr fontId="4" type="noConversion"/>
  </si>
  <si>
    <t>挑战介绍/无限介绍/赛季</t>
    <phoneticPr fontId="4" type="noConversion"/>
  </si>
  <si>
    <t>过了新手</t>
    <phoneticPr fontId="4" type="noConversion"/>
  </si>
  <si>
    <t>否</t>
    <phoneticPr fontId="4" type="noConversion"/>
  </si>
  <si>
    <t>多人介绍</t>
    <phoneticPr fontId="4" type="noConversion"/>
  </si>
  <si>
    <t>赛季养成介绍</t>
    <phoneticPr fontId="4" type="noConversion"/>
  </si>
  <si>
    <t>完成1关</t>
    <phoneticPr fontId="4" type="noConversion"/>
  </si>
  <si>
    <t>开场</t>
    <phoneticPr fontId="4" type="noConversion"/>
  </si>
  <si>
    <t>load介绍</t>
    <phoneticPr fontId="4" type="noConversion"/>
  </si>
  <si>
    <t>默认版本 波次敌人（难度≈杀光怪所需时间）：</t>
    <phoneticPr fontId="4" type="noConversion"/>
  </si>
  <si>
    <t>鸟2</t>
    <phoneticPr fontId="4" type="noConversion"/>
  </si>
  <si>
    <t>出怪间隔</t>
    <phoneticPr fontId="4" type="noConversion"/>
  </si>
  <si>
    <t>MonsterWaveCallRule_Season1_Infinite</t>
  </si>
  <si>
    <t>MonsterWaveCallRule_Season2_Infinite</t>
  </si>
  <si>
    <t>MonsterWaveCallRule_Season3_Infinite</t>
  </si>
  <si>
    <t>MonsterWaveCallRule_Season4_Infinite</t>
  </si>
  <si>
    <t>赛季1无限模式怪物1_1</t>
  </si>
  <si>
    <t>赛季1无限模式怪物2_1</t>
  </si>
  <si>
    <t>赛季1无限模式怪物2_2</t>
  </si>
  <si>
    <t>赛季1无限模式怪物3_1</t>
  </si>
  <si>
    <t>赛季1无限模式怪物3_2</t>
  </si>
  <si>
    <t>赛季1无限模式怪物4_1</t>
  </si>
  <si>
    <t>赛季1无限模式怪物4_2</t>
  </si>
  <si>
    <t>赛季1无限模式怪物5_1</t>
  </si>
  <si>
    <t>赛季1无限模式怪物5_2</t>
  </si>
  <si>
    <t>赛季1无限模式怪物6_1</t>
  </si>
  <si>
    <t>赛季1无限模式怪物6_2</t>
  </si>
  <si>
    <t>赛季1无限模式怪物7_1</t>
  </si>
  <si>
    <t>赛季1无限模式怪物7_2</t>
  </si>
  <si>
    <t>赛季1无限模式怪物8_1</t>
  </si>
  <si>
    <t>赛季1无限模式怪物8_2</t>
  </si>
  <si>
    <t>赛季1无限模式怪物9_1</t>
  </si>
  <si>
    <t>赛季1无限模式怪物9_2</t>
  </si>
  <si>
    <t>赛季1无限模式怪物10_1</t>
  </si>
  <si>
    <t>赛季1无限模式怪物10_2</t>
  </si>
  <si>
    <t>赛季1无限模式怪物11_1</t>
  </si>
  <si>
    <t>赛季1无限模式怪物11_2</t>
  </si>
  <si>
    <t>赛季1无限模式怪物12_1</t>
  </si>
  <si>
    <t>赛季1无限模式怪物12_2</t>
  </si>
  <si>
    <t>赛季1无限模式怪物12_3</t>
  </si>
  <si>
    <t>赛季1无限模式怪物13_1</t>
  </si>
  <si>
    <t>赛季1无限模式怪物14_1</t>
  </si>
  <si>
    <t>赛季1无限模式怪物14_2</t>
  </si>
  <si>
    <t>赛季1无限模式怪物15_1</t>
  </si>
  <si>
    <t>赛季1无限模式怪物15_2</t>
  </si>
  <si>
    <t>赛季1无限模式怪物16_1</t>
  </si>
  <si>
    <t>赛季1无限模式怪物16_2</t>
  </si>
  <si>
    <t>赛季1无限模式怪物17_1</t>
  </si>
  <si>
    <t>赛季1无限模式怪物17_2</t>
  </si>
  <si>
    <t>赛季1无限模式怪物18_1</t>
  </si>
  <si>
    <t>赛季1无限模式怪物18_2</t>
  </si>
  <si>
    <t>赛季1无限模式怪物19_1</t>
  </si>
  <si>
    <t>赛季1无限模式怪物19_2</t>
  </si>
  <si>
    <t>赛季1无限模式怪物19_3</t>
  </si>
  <si>
    <t>赛季1无限模式怪物20_1</t>
  </si>
  <si>
    <t>赛季1无限模式怪物20_2</t>
  </si>
  <si>
    <t>赛季1无限模式怪物20_3</t>
  </si>
  <si>
    <t>赛季1无限模式怪物20_4</t>
  </si>
  <si>
    <t>Unit_Monster_Season1_Infinite_1_1</t>
  </si>
  <si>
    <t>Monster_Season1_Infinite_1_1</t>
  </si>
  <si>
    <t>Unit_Monster_Season1_Infinite_2_1</t>
  </si>
  <si>
    <t>Monster_Season1_Infinite_2_1</t>
  </si>
  <si>
    <t>Unit_Monster_Season1_Infinite_2_2</t>
  </si>
  <si>
    <t>Monster_Season1_Infinite_2_2</t>
  </si>
  <si>
    <t>Unit_Monster_Season1_Infinite_3_1</t>
  </si>
  <si>
    <t>Monster_Season1_Infinite_3_1</t>
  </si>
  <si>
    <t>Unit_Monster_Season1_Infinite_3_2</t>
  </si>
  <si>
    <t>Monster_Season1_Infinite_3_2</t>
  </si>
  <si>
    <t>Unit_Monster_Season1_Infinite_4_1</t>
  </si>
  <si>
    <t>Monster_Season1_Infinite_4_1</t>
  </si>
  <si>
    <t>Unit_Monster_Season1_Infinite_4_2</t>
  </si>
  <si>
    <t>Monster_Season1_Infinite_4_2</t>
  </si>
  <si>
    <t>Unit_Monster_Season1_Infinite_5_1</t>
  </si>
  <si>
    <t>Monster_Season1_Infinite_5_1</t>
  </si>
  <si>
    <t>Unit_Monster_Season1_Infinite_5_2</t>
  </si>
  <si>
    <t>Monster_Season1_Infinite_5_2</t>
  </si>
  <si>
    <t>Unit_Monster_Season1_Infinite_6_1</t>
  </si>
  <si>
    <t>Monster_Season1_Infinite_6_1</t>
  </si>
  <si>
    <t>Unit_Monster_Season1_Infinite_6_2</t>
  </si>
  <si>
    <t>Monster_Season1_Infinite_6_2</t>
  </si>
  <si>
    <t>Unit_Monster_Season1_Infinite_7_1</t>
  </si>
  <si>
    <t>Monster_Season1_Infinite_7_1</t>
  </si>
  <si>
    <t>Unit_Monster_Season1_Infinite_7_2</t>
  </si>
  <si>
    <t>Monster_Season1_Infinite_7_2</t>
  </si>
  <si>
    <t>Unit_Monster_Season1_Infinite_8_1</t>
  </si>
  <si>
    <t>Monster_Season1_Infinite_8_1</t>
  </si>
  <si>
    <t>Unit_Monster_Season1_Infinite_8_2</t>
  </si>
  <si>
    <t>Monster_Season1_Infinite_8_2</t>
  </si>
  <si>
    <t>Unit_Monster_Season1_Infinite_9_1</t>
  </si>
  <si>
    <t>Monster_Season1_Infinite_9_1</t>
  </si>
  <si>
    <t>Unit_Monster_Season1_Infinite_9_2</t>
  </si>
  <si>
    <t>Monster_Season1_Infinite_9_2</t>
  </si>
  <si>
    <t>Unit_Monster_Season1_Infinite_10_1</t>
  </si>
  <si>
    <t>Monster_Season1_Infinite_10_1</t>
  </si>
  <si>
    <t>Unit_Monster_Season1_Infinite_10_2</t>
  </si>
  <si>
    <t>Monster_Season1_Infinite_10_2</t>
  </si>
  <si>
    <t>Unit_Monster_Season1_Infinite_11_1</t>
  </si>
  <si>
    <t>Monster_Season1_Infinite_11_1</t>
  </si>
  <si>
    <t>Unit_Monster_Season1_Infinite_11_2</t>
  </si>
  <si>
    <t>Monster_Season1_Infinite_11_2</t>
  </si>
  <si>
    <t>Unit_Monster_Season1_Infinite_12_1</t>
  </si>
  <si>
    <t>Monster_Season1_Infinite_12_1</t>
  </si>
  <si>
    <t>Unit_Monster_Season1_Infinite_12_2</t>
  </si>
  <si>
    <t>Monster_Season1_Infinite_12_2</t>
  </si>
  <si>
    <t>Unit_Monster_Season1_Infinite_12_3</t>
  </si>
  <si>
    <t>Monster_Season1_Infinite_12_3</t>
  </si>
  <si>
    <t>Unit_Monster_Season1_Infinite_13_1</t>
  </si>
  <si>
    <t>Monster_Season1_Infinite_13_1</t>
  </si>
  <si>
    <t>Unit_Monster_Season1_Infinite_14_1</t>
  </si>
  <si>
    <t>Monster_Season1_Infinite_14_1</t>
  </si>
  <si>
    <t>Unit_Monster_Season1_Infinite_14_2</t>
  </si>
  <si>
    <t>Monster_Season1_Infinite_14_2</t>
  </si>
  <si>
    <t>Unit_Monster_Season1_Infinite_15_1</t>
  </si>
  <si>
    <t>Monster_Season1_Infinite_15_1</t>
  </si>
  <si>
    <t>Unit_Monster_Season1_Infinite_15_2</t>
  </si>
  <si>
    <t>Monster_Season1_Infinite_15_2</t>
  </si>
  <si>
    <t>Unit_Monster_Season1_Infinite_16_1</t>
  </si>
  <si>
    <t>Monster_Season1_Infinite_16_1</t>
  </si>
  <si>
    <t>Unit_Monster_Season1_Infinite_16_2</t>
  </si>
  <si>
    <t>Monster_Season1_Infinite_16_2</t>
  </si>
  <si>
    <t>Unit_Monster_Season1_Infinite_17_1</t>
  </si>
  <si>
    <t>Monster_Season1_Infinite_17_1</t>
  </si>
  <si>
    <t>Unit_Monster_Season1_Infinite_17_2</t>
  </si>
  <si>
    <t>Monster_Season1_Infinite_17_2</t>
  </si>
  <si>
    <t>Unit_Monster_Season1_Infinite_18_1</t>
  </si>
  <si>
    <t>Monster_Season1_Infinite_18_1</t>
  </si>
  <si>
    <t>Unit_Monster_Season1_Infinite_18_2</t>
  </si>
  <si>
    <t>Monster_Season1_Infinite_18_2</t>
  </si>
  <si>
    <t>Unit_Monster_Season1_Infinite_19_1</t>
  </si>
  <si>
    <t>Monster_Season1_Infinite_19_1</t>
  </si>
  <si>
    <t>Unit_Monster_Season1_Infinite_19_2</t>
  </si>
  <si>
    <t>Monster_Season1_Infinite_19_2</t>
  </si>
  <si>
    <t>Unit_Monster_Season1_Infinite_19_3</t>
  </si>
  <si>
    <t>Monster_Season1_Infinite_19_3</t>
  </si>
  <si>
    <t>Unit_Monster_Season1_Infinite_20_1</t>
  </si>
  <si>
    <t>Monster_Season1_Infinite_20_1</t>
  </si>
  <si>
    <t>Unit_Monster_Season1_Infinite_20_2</t>
  </si>
  <si>
    <t>Monster_Season1_Infinite_20_2</t>
  </si>
  <si>
    <t>Unit_Monster_Season1_Infinite_20_3</t>
  </si>
  <si>
    <t>Monster_Season1_Infinite_20_3</t>
  </si>
  <si>
    <t>Unit_Monster_Season1_Infinite_20_4</t>
  </si>
  <si>
    <t>Monster_Season1_Infinite_20_4</t>
  </si>
  <si>
    <t>Skill_Monster_Heal,NormalAttack</t>
    <phoneticPr fontId="4" type="noConversion"/>
  </si>
  <si>
    <t>Skill_Monster_Invisible,NormalAttack</t>
    <phoneticPr fontId="4" type="noConversion"/>
  </si>
  <si>
    <t>Skill_Monster_Weaken,NormalAttack</t>
    <phoneticPr fontId="4" type="noConversion"/>
  </si>
  <si>
    <t>Skill_Monster_Niao1,NormalAttack</t>
    <phoneticPr fontId="4" type="noConversion"/>
  </si>
  <si>
    <t>Skill_Monster_XueRen1,NormalAttack</t>
  </si>
  <si>
    <t>Skill_Monster_WuGui1,NormalAttack</t>
  </si>
  <si>
    <t>Skill_Monster_Niao2,NormalAttack</t>
  </si>
  <si>
    <t>Skill_Monster_Niao3,NormalAttack</t>
  </si>
  <si>
    <t>Skill_Monster_XueRen2,NormalAttack</t>
  </si>
  <si>
    <t>Skill_Monster_XueRen3,NormalAttack</t>
  </si>
  <si>
    <t>Skill_Monster_WuGui2,NormalAttack</t>
  </si>
  <si>
    <t>Skill_Monster_WuGui3,NormalAttack</t>
  </si>
  <si>
    <t>赛季2无限模式怪物1_1</t>
  </si>
  <si>
    <t>赛季2无限模式怪物2_1</t>
  </si>
  <si>
    <t>赛季2无限模式怪物2_2</t>
  </si>
  <si>
    <t>赛季2无限模式怪物3_1</t>
  </si>
  <si>
    <t>赛季2无限模式怪物3_2</t>
  </si>
  <si>
    <t>赛季2无限模式怪物4_1</t>
  </si>
  <si>
    <t>赛季2无限模式怪物4_2</t>
  </si>
  <si>
    <t>赛季2无限模式怪物5_1</t>
  </si>
  <si>
    <t>赛季2无限模式怪物5_2</t>
  </si>
  <si>
    <t>赛季2无限模式怪物6_1</t>
  </si>
  <si>
    <t>赛季2无限模式怪物6_2</t>
  </si>
  <si>
    <t>赛季2无限模式怪物7_1</t>
  </si>
  <si>
    <t>赛季2无限模式怪物7_2</t>
  </si>
  <si>
    <t>赛季2无限模式怪物8_1</t>
  </si>
  <si>
    <t>赛季2无限模式怪物8_2</t>
  </si>
  <si>
    <t>赛季2无限模式怪物9_1</t>
  </si>
  <si>
    <t>赛季2无限模式怪物9_2</t>
  </si>
  <si>
    <t>赛季2无限模式怪物10_1</t>
  </si>
  <si>
    <t>赛季2无限模式怪物10_2</t>
  </si>
  <si>
    <t>赛季2无限模式怪物11_1</t>
  </si>
  <si>
    <t>赛季2无限模式怪物11_2</t>
  </si>
  <si>
    <t>赛季2无限模式怪物12_1</t>
  </si>
  <si>
    <t>赛季2无限模式怪物12_2</t>
  </si>
  <si>
    <t>赛季2无限模式怪物12_3</t>
  </si>
  <si>
    <t>赛季2无限模式怪物13_1</t>
  </si>
  <si>
    <t>赛季2无限模式怪物14_1</t>
  </si>
  <si>
    <t>赛季2无限模式怪物14_2</t>
  </si>
  <si>
    <t>赛季2无限模式怪物15_1</t>
  </si>
  <si>
    <t>赛季2无限模式怪物15_2</t>
  </si>
  <si>
    <t>赛季2无限模式怪物16_1</t>
  </si>
  <si>
    <t>赛季2无限模式怪物16_2</t>
  </si>
  <si>
    <t>赛季2无限模式怪物17_1</t>
  </si>
  <si>
    <t>赛季2无限模式怪物17_2</t>
  </si>
  <si>
    <t>赛季2无限模式怪物18_1</t>
  </si>
  <si>
    <t>赛季2无限模式怪物18_2</t>
  </si>
  <si>
    <t>赛季2无限模式怪物19_1</t>
  </si>
  <si>
    <t>赛季2无限模式怪物19_2</t>
  </si>
  <si>
    <t>赛季2无限模式怪物19_3</t>
  </si>
  <si>
    <t>赛季2无限模式怪物20_1</t>
  </si>
  <si>
    <t>赛季2无限模式怪物20_2</t>
  </si>
  <si>
    <t>赛季2无限模式怪物20_3</t>
  </si>
  <si>
    <t>赛季2无限模式怪物20_4</t>
  </si>
  <si>
    <t>赛季3无限模式怪物1_1</t>
  </si>
  <si>
    <t>赛季3无限模式怪物2_1</t>
  </si>
  <si>
    <t>赛季3无限模式怪物2_2</t>
  </si>
  <si>
    <t>赛季3无限模式怪物3_1</t>
  </si>
  <si>
    <t>赛季3无限模式怪物3_2</t>
  </si>
  <si>
    <t>赛季3无限模式怪物4_1</t>
  </si>
  <si>
    <t>赛季3无限模式怪物4_2</t>
  </si>
  <si>
    <t>赛季3无限模式怪物5_1</t>
  </si>
  <si>
    <t>赛季3无限模式怪物5_2</t>
  </si>
  <si>
    <t>赛季3无限模式怪物6_1</t>
  </si>
  <si>
    <t>赛季3无限模式怪物6_2</t>
  </si>
  <si>
    <t>赛季3无限模式怪物7_1</t>
  </si>
  <si>
    <t>赛季3无限模式怪物7_2</t>
  </si>
  <si>
    <t>赛季3无限模式怪物8_1</t>
  </si>
  <si>
    <t>赛季3无限模式怪物8_2</t>
  </si>
  <si>
    <t>赛季3无限模式怪物9_1</t>
  </si>
  <si>
    <t>赛季3无限模式怪物9_2</t>
  </si>
  <si>
    <t>赛季3无限模式怪物10_1</t>
  </si>
  <si>
    <t>赛季3无限模式怪物10_2</t>
  </si>
  <si>
    <t>赛季3无限模式怪物11_1</t>
  </si>
  <si>
    <t>赛季3无限模式怪物11_2</t>
  </si>
  <si>
    <t>赛季3无限模式怪物12_1</t>
  </si>
  <si>
    <t>赛季3无限模式怪物12_2</t>
  </si>
  <si>
    <t>赛季3无限模式怪物12_3</t>
  </si>
  <si>
    <t>赛季3无限模式怪物13_1</t>
  </si>
  <si>
    <t>赛季3无限模式怪物14_1</t>
  </si>
  <si>
    <t>赛季3无限模式怪物14_2</t>
  </si>
  <si>
    <t>赛季3无限模式怪物15_1</t>
  </si>
  <si>
    <t>赛季3无限模式怪物15_2</t>
  </si>
  <si>
    <t>赛季3无限模式怪物16_1</t>
  </si>
  <si>
    <t>赛季3无限模式怪物16_2</t>
  </si>
  <si>
    <t>赛季3无限模式怪物17_1</t>
  </si>
  <si>
    <t>赛季3无限模式怪物17_2</t>
  </si>
  <si>
    <t>赛季3无限模式怪物18_1</t>
  </si>
  <si>
    <t>赛季3无限模式怪物18_2</t>
  </si>
  <si>
    <t>赛季3无限模式怪物19_1</t>
  </si>
  <si>
    <t>赛季3无限模式怪物19_2</t>
  </si>
  <si>
    <t>赛季3无限模式怪物19_3</t>
  </si>
  <si>
    <t>赛季3无限模式怪物20_1</t>
  </si>
  <si>
    <t>赛季3无限模式怪物20_2</t>
  </si>
  <si>
    <t>赛季3无限模式怪物20_3</t>
  </si>
  <si>
    <t>赛季3无限模式怪物20_4</t>
  </si>
  <si>
    <t>赛季4无限模式怪物1_1</t>
  </si>
  <si>
    <t>赛季4无限模式怪物2_1</t>
  </si>
  <si>
    <t>赛季4无限模式怪物2_2</t>
  </si>
  <si>
    <t>赛季4无限模式怪物3_1</t>
  </si>
  <si>
    <t>赛季4无限模式怪物3_2</t>
  </si>
  <si>
    <t>赛季4无限模式怪物4_1</t>
  </si>
  <si>
    <t>赛季4无限模式怪物4_2</t>
  </si>
  <si>
    <t>赛季4无限模式怪物5_1</t>
  </si>
  <si>
    <t>赛季4无限模式怪物5_2</t>
  </si>
  <si>
    <t>赛季4无限模式怪物6_1</t>
  </si>
  <si>
    <t>赛季4无限模式怪物6_2</t>
  </si>
  <si>
    <t>赛季4无限模式怪物7_1</t>
  </si>
  <si>
    <t>赛季4无限模式怪物7_2</t>
  </si>
  <si>
    <t>赛季4无限模式怪物8_1</t>
  </si>
  <si>
    <t>赛季4无限模式怪物8_2</t>
  </si>
  <si>
    <t>赛季4无限模式怪物9_1</t>
  </si>
  <si>
    <t>赛季4无限模式怪物9_2</t>
  </si>
  <si>
    <t>赛季4无限模式怪物10_1</t>
  </si>
  <si>
    <t>赛季4无限模式怪物10_2</t>
  </si>
  <si>
    <t>赛季4无限模式怪物11_1</t>
  </si>
  <si>
    <t>赛季4无限模式怪物11_2</t>
  </si>
  <si>
    <t>赛季4无限模式怪物12_1</t>
  </si>
  <si>
    <t>赛季4无限模式怪物12_2</t>
  </si>
  <si>
    <t>赛季4无限模式怪物12_3</t>
  </si>
  <si>
    <t>赛季4无限模式怪物13_1</t>
  </si>
  <si>
    <t>赛季4无限模式怪物14_1</t>
  </si>
  <si>
    <t>赛季4无限模式怪物14_2</t>
  </si>
  <si>
    <t>赛季4无限模式怪物15_1</t>
  </si>
  <si>
    <t>赛季4无限模式怪物15_2</t>
  </si>
  <si>
    <t>赛季4无限模式怪物16_1</t>
  </si>
  <si>
    <t>赛季4无限模式怪物16_2</t>
  </si>
  <si>
    <t>赛季4无限模式怪物17_1</t>
  </si>
  <si>
    <t>赛季4无限模式怪物17_2</t>
  </si>
  <si>
    <t>赛季4无限模式怪物18_1</t>
  </si>
  <si>
    <t>赛季4无限模式怪物18_2</t>
  </si>
  <si>
    <t>赛季4无限模式怪物19_1</t>
  </si>
  <si>
    <t>赛季4无限模式怪物19_2</t>
  </si>
  <si>
    <t>赛季4无限模式怪物19_3</t>
  </si>
  <si>
    <t>赛季4无限模式怪物20_1</t>
  </si>
  <si>
    <t>赛季4无限模式怪物20_2</t>
  </si>
  <si>
    <t>赛季4无限模式怪物20_3</t>
  </si>
  <si>
    <t>赛季4无限模式怪物20_4</t>
  </si>
  <si>
    <t>Unit_Monster_Season2_Infinite_1_1</t>
  </si>
  <si>
    <t>Monster_Season2_Infinite_1_1</t>
  </si>
  <si>
    <t>Unit_Monster_Season2_Infinite_2_1</t>
  </si>
  <si>
    <t>Monster_Season2_Infinite_2_1</t>
  </si>
  <si>
    <t>Unit_Monster_Season2_Infinite_2_2</t>
  </si>
  <si>
    <t>Monster_Season2_Infinite_2_2</t>
  </si>
  <si>
    <t>Unit_Monster_Season2_Infinite_3_1</t>
  </si>
  <si>
    <t>Monster_Season2_Infinite_3_1</t>
  </si>
  <si>
    <t>Unit_Monster_Season2_Infinite_3_2</t>
  </si>
  <si>
    <t>Monster_Season2_Infinite_3_2</t>
  </si>
  <si>
    <t>Unit_Monster_Season2_Infinite_4_1</t>
  </si>
  <si>
    <t>Monster_Season2_Infinite_4_1</t>
  </si>
  <si>
    <t>Unit_Monster_Season2_Infinite_4_2</t>
  </si>
  <si>
    <t>Monster_Season2_Infinite_4_2</t>
  </si>
  <si>
    <t>Unit_Monster_Season2_Infinite_5_1</t>
  </si>
  <si>
    <t>Monster_Season2_Infinite_5_1</t>
  </si>
  <si>
    <t>Unit_Monster_Season2_Infinite_5_2</t>
  </si>
  <si>
    <t>Monster_Season2_Infinite_5_2</t>
  </si>
  <si>
    <t>Unit_Monster_Season2_Infinite_6_1</t>
  </si>
  <si>
    <t>Monster_Season2_Infinite_6_1</t>
  </si>
  <si>
    <t>Unit_Monster_Season2_Infinite_6_2</t>
  </si>
  <si>
    <t>Monster_Season2_Infinite_6_2</t>
  </si>
  <si>
    <t>Unit_Monster_Season2_Infinite_7_1</t>
  </si>
  <si>
    <t>Monster_Season2_Infinite_7_1</t>
  </si>
  <si>
    <t>Unit_Monster_Season2_Infinite_7_2</t>
  </si>
  <si>
    <t>Monster_Season2_Infinite_7_2</t>
  </si>
  <si>
    <t>Unit_Monster_Season2_Infinite_8_1</t>
  </si>
  <si>
    <t>Monster_Season2_Infinite_8_1</t>
  </si>
  <si>
    <t>Unit_Monster_Season2_Infinite_8_2</t>
  </si>
  <si>
    <t>Monster_Season2_Infinite_8_2</t>
  </si>
  <si>
    <t>Unit_Monster_Season2_Infinite_9_1</t>
  </si>
  <si>
    <t>Monster_Season2_Infinite_9_1</t>
  </si>
  <si>
    <t>Unit_Monster_Season2_Infinite_9_2</t>
  </si>
  <si>
    <t>Monster_Season2_Infinite_9_2</t>
  </si>
  <si>
    <t>Unit_Monster_Season2_Infinite_10_1</t>
  </si>
  <si>
    <t>Monster_Season2_Infinite_10_1</t>
  </si>
  <si>
    <t>Unit_Monster_Season2_Infinite_10_2</t>
  </si>
  <si>
    <t>Monster_Season2_Infinite_10_2</t>
  </si>
  <si>
    <t>Unit_Monster_Season2_Infinite_11_1</t>
  </si>
  <si>
    <t>Monster_Season2_Infinite_11_1</t>
  </si>
  <si>
    <t>Unit_Monster_Season2_Infinite_11_2</t>
  </si>
  <si>
    <t>Monster_Season2_Infinite_11_2</t>
  </si>
  <si>
    <t>Unit_Monster_Season2_Infinite_12_1</t>
  </si>
  <si>
    <t>Monster_Season2_Infinite_12_1</t>
  </si>
  <si>
    <t>Unit_Monster_Season2_Infinite_12_2</t>
  </si>
  <si>
    <t>Monster_Season2_Infinite_12_2</t>
  </si>
  <si>
    <t>Unit_Monster_Season2_Infinite_12_3</t>
  </si>
  <si>
    <t>Monster_Season2_Infinite_12_3</t>
  </si>
  <si>
    <t>Unit_Monster_Season2_Infinite_13_1</t>
  </si>
  <si>
    <t>Monster_Season2_Infinite_13_1</t>
  </si>
  <si>
    <t>Unit_Monster_Season2_Infinite_14_1</t>
  </si>
  <si>
    <t>Monster_Season2_Infinite_14_1</t>
  </si>
  <si>
    <t>Unit_Monster_Season2_Infinite_14_2</t>
  </si>
  <si>
    <t>Monster_Season2_Infinite_14_2</t>
  </si>
  <si>
    <t>Unit_Monster_Season2_Infinite_15_1</t>
  </si>
  <si>
    <t>Monster_Season2_Infinite_15_1</t>
  </si>
  <si>
    <t>Unit_Monster_Season2_Infinite_15_2</t>
  </si>
  <si>
    <t>Monster_Season2_Infinite_15_2</t>
  </si>
  <si>
    <t>Unit_Monster_Season2_Infinite_16_1</t>
  </si>
  <si>
    <t>Monster_Season2_Infinite_16_1</t>
  </si>
  <si>
    <t>Unit_Monster_Season2_Infinite_16_2</t>
  </si>
  <si>
    <t>Monster_Season2_Infinite_16_2</t>
  </si>
  <si>
    <t>Unit_Monster_Season2_Infinite_17_1</t>
  </si>
  <si>
    <t>Monster_Season2_Infinite_17_1</t>
  </si>
  <si>
    <t>Unit_Monster_Season2_Infinite_17_2</t>
  </si>
  <si>
    <t>Monster_Season2_Infinite_17_2</t>
  </si>
  <si>
    <t>Unit_Monster_Season2_Infinite_18_1</t>
  </si>
  <si>
    <t>Monster_Season2_Infinite_18_1</t>
  </si>
  <si>
    <t>Unit_Monster_Season2_Infinite_18_2</t>
  </si>
  <si>
    <t>Monster_Season2_Infinite_18_2</t>
  </si>
  <si>
    <t>Unit_Monster_Season2_Infinite_19_1</t>
  </si>
  <si>
    <t>Monster_Season2_Infinite_19_1</t>
  </si>
  <si>
    <t>Unit_Monster_Season2_Infinite_19_2</t>
  </si>
  <si>
    <t>Monster_Season2_Infinite_19_2</t>
  </si>
  <si>
    <t>Unit_Monster_Season2_Infinite_19_3</t>
  </si>
  <si>
    <t>Monster_Season2_Infinite_19_3</t>
  </si>
  <si>
    <t>Unit_Monster_Season2_Infinite_20_1</t>
  </si>
  <si>
    <t>Monster_Season2_Infinite_20_1</t>
  </si>
  <si>
    <t>Unit_Monster_Season2_Infinite_20_2</t>
  </si>
  <si>
    <t>Monster_Season2_Infinite_20_2</t>
  </si>
  <si>
    <t>Unit_Monster_Season2_Infinite_20_3</t>
  </si>
  <si>
    <t>Monster_Season2_Infinite_20_3</t>
  </si>
  <si>
    <t>Unit_Monster_Season2_Infinite_20_4</t>
  </si>
  <si>
    <t>Monster_Season2_Infinite_20_4</t>
  </si>
  <si>
    <t>Unit_Monster_Season3_Infinite_1_1</t>
  </si>
  <si>
    <t>Monster_Season3_Infinite_1_1</t>
  </si>
  <si>
    <t>Unit_Monster_Season3_Infinite_2_1</t>
  </si>
  <si>
    <t>Monster_Season3_Infinite_2_1</t>
  </si>
  <si>
    <t>Unit_Monster_Season3_Infinite_2_2</t>
  </si>
  <si>
    <t>Monster_Season3_Infinite_2_2</t>
  </si>
  <si>
    <t>Unit_Monster_Season3_Infinite_3_1</t>
  </si>
  <si>
    <t>Monster_Season3_Infinite_3_1</t>
  </si>
  <si>
    <t>Unit_Monster_Season3_Infinite_3_2</t>
  </si>
  <si>
    <t>Monster_Season3_Infinite_3_2</t>
  </si>
  <si>
    <t>Unit_Monster_Season3_Infinite_4_1</t>
  </si>
  <si>
    <t>Monster_Season3_Infinite_4_1</t>
  </si>
  <si>
    <t>Unit_Monster_Season3_Infinite_4_2</t>
  </si>
  <si>
    <t>Monster_Season3_Infinite_4_2</t>
  </si>
  <si>
    <t>Unit_Monster_Season3_Infinite_5_1</t>
  </si>
  <si>
    <t>Monster_Season3_Infinite_5_1</t>
  </si>
  <si>
    <t>Unit_Monster_Season3_Infinite_5_2</t>
  </si>
  <si>
    <t>Monster_Season3_Infinite_5_2</t>
  </si>
  <si>
    <t>Unit_Monster_Season3_Infinite_6_1</t>
  </si>
  <si>
    <t>Monster_Season3_Infinite_6_1</t>
  </si>
  <si>
    <t>Unit_Monster_Season3_Infinite_6_2</t>
  </si>
  <si>
    <t>Monster_Season3_Infinite_6_2</t>
  </si>
  <si>
    <t>Unit_Monster_Season3_Infinite_7_1</t>
  </si>
  <si>
    <t>Monster_Season3_Infinite_7_1</t>
  </si>
  <si>
    <t>Unit_Monster_Season3_Infinite_7_2</t>
  </si>
  <si>
    <t>Monster_Season3_Infinite_7_2</t>
  </si>
  <si>
    <t>Unit_Monster_Season3_Infinite_8_1</t>
  </si>
  <si>
    <t>Monster_Season3_Infinite_8_1</t>
  </si>
  <si>
    <t>Unit_Monster_Season3_Infinite_8_2</t>
  </si>
  <si>
    <t>Monster_Season3_Infinite_8_2</t>
  </si>
  <si>
    <t>Unit_Monster_Season3_Infinite_9_1</t>
  </si>
  <si>
    <t>Monster_Season3_Infinite_9_1</t>
  </si>
  <si>
    <t>Unit_Monster_Season3_Infinite_9_2</t>
  </si>
  <si>
    <t>Monster_Season3_Infinite_9_2</t>
  </si>
  <si>
    <t>Unit_Monster_Season3_Infinite_10_1</t>
  </si>
  <si>
    <t>Monster_Season3_Infinite_10_1</t>
  </si>
  <si>
    <t>Unit_Monster_Season3_Infinite_10_2</t>
  </si>
  <si>
    <t>Monster_Season3_Infinite_10_2</t>
  </si>
  <si>
    <t>Unit_Monster_Season3_Infinite_11_1</t>
  </si>
  <si>
    <t>Monster_Season3_Infinite_11_1</t>
  </si>
  <si>
    <t>Unit_Monster_Season3_Infinite_11_2</t>
  </si>
  <si>
    <t>Monster_Season3_Infinite_11_2</t>
  </si>
  <si>
    <t>Unit_Monster_Season3_Infinite_12_1</t>
  </si>
  <si>
    <t>Monster_Season3_Infinite_12_1</t>
  </si>
  <si>
    <t>Unit_Monster_Season3_Infinite_12_2</t>
  </si>
  <si>
    <t>Monster_Season3_Infinite_12_2</t>
  </si>
  <si>
    <t>Unit_Monster_Season3_Infinite_12_3</t>
  </si>
  <si>
    <t>Monster_Season3_Infinite_12_3</t>
  </si>
  <si>
    <t>Unit_Monster_Season3_Infinite_13_1</t>
  </si>
  <si>
    <t>Monster_Season3_Infinite_13_1</t>
  </si>
  <si>
    <t>Unit_Monster_Season3_Infinite_14_1</t>
  </si>
  <si>
    <t>Monster_Season3_Infinite_14_1</t>
  </si>
  <si>
    <t>Unit_Monster_Season3_Infinite_14_2</t>
  </si>
  <si>
    <t>Monster_Season3_Infinite_14_2</t>
  </si>
  <si>
    <t>Unit_Monster_Season3_Infinite_15_1</t>
  </si>
  <si>
    <t>Monster_Season3_Infinite_15_1</t>
  </si>
  <si>
    <t>Unit_Monster_Season3_Infinite_15_2</t>
  </si>
  <si>
    <t>Monster_Season3_Infinite_15_2</t>
  </si>
  <si>
    <t>Unit_Monster_Season3_Infinite_16_1</t>
  </si>
  <si>
    <t>Monster_Season3_Infinite_16_1</t>
  </si>
  <si>
    <t>Unit_Monster_Season3_Infinite_16_2</t>
  </si>
  <si>
    <t>Monster_Season3_Infinite_16_2</t>
  </si>
  <si>
    <t>Unit_Monster_Season3_Infinite_17_1</t>
  </si>
  <si>
    <t>Monster_Season3_Infinite_17_1</t>
  </si>
  <si>
    <t>Unit_Monster_Season3_Infinite_17_2</t>
  </si>
  <si>
    <t>Monster_Season3_Infinite_17_2</t>
  </si>
  <si>
    <t>Unit_Monster_Season3_Infinite_18_1</t>
  </si>
  <si>
    <t>Monster_Season3_Infinite_18_1</t>
  </si>
  <si>
    <t>Unit_Monster_Season3_Infinite_18_2</t>
  </si>
  <si>
    <t>Monster_Season3_Infinite_18_2</t>
  </si>
  <si>
    <t>Unit_Monster_Season3_Infinite_19_1</t>
  </si>
  <si>
    <t>Monster_Season3_Infinite_19_1</t>
  </si>
  <si>
    <t>Unit_Monster_Season3_Infinite_19_2</t>
  </si>
  <si>
    <t>Monster_Season3_Infinite_19_2</t>
  </si>
  <si>
    <t>Unit_Monster_Season3_Infinite_19_3</t>
  </si>
  <si>
    <t>Monster_Season3_Infinite_19_3</t>
  </si>
  <si>
    <t>Unit_Monster_Season3_Infinite_20_1</t>
  </si>
  <si>
    <t>Monster_Season3_Infinite_20_1</t>
  </si>
  <si>
    <t>Unit_Monster_Season3_Infinite_20_2</t>
  </si>
  <si>
    <t>Monster_Season3_Infinite_20_2</t>
  </si>
  <si>
    <t>Unit_Monster_Season3_Infinite_20_3</t>
  </si>
  <si>
    <t>Monster_Season3_Infinite_20_3</t>
  </si>
  <si>
    <t>Unit_Monster_Season3_Infinite_20_4</t>
  </si>
  <si>
    <t>Monster_Season3_Infinite_20_4</t>
  </si>
  <si>
    <t>Unit_Monster_Season4_Infinite_1_1</t>
  </si>
  <si>
    <t>Monster_Season4_Infinite_1_1</t>
  </si>
  <si>
    <t>Unit_Monster_Season4_Infinite_2_1</t>
  </si>
  <si>
    <t>Monster_Season4_Infinite_2_1</t>
  </si>
  <si>
    <t>Unit_Monster_Season4_Infinite_2_2</t>
  </si>
  <si>
    <t>Monster_Season4_Infinite_2_2</t>
  </si>
  <si>
    <t>Unit_Monster_Season4_Infinite_3_1</t>
  </si>
  <si>
    <t>Monster_Season4_Infinite_3_1</t>
  </si>
  <si>
    <t>Unit_Monster_Season4_Infinite_3_2</t>
  </si>
  <si>
    <t>Monster_Season4_Infinite_3_2</t>
  </si>
  <si>
    <t>Unit_Monster_Season4_Infinite_4_1</t>
  </si>
  <si>
    <t>Monster_Season4_Infinite_4_1</t>
  </si>
  <si>
    <t>Unit_Monster_Season4_Infinite_4_2</t>
  </si>
  <si>
    <t>Monster_Season4_Infinite_4_2</t>
  </si>
  <si>
    <t>Unit_Monster_Season4_Infinite_5_1</t>
  </si>
  <si>
    <t>Monster_Season4_Infinite_5_1</t>
  </si>
  <si>
    <t>Unit_Monster_Season4_Infinite_5_2</t>
  </si>
  <si>
    <t>Monster_Season4_Infinite_5_2</t>
  </si>
  <si>
    <t>Unit_Monster_Season4_Infinite_6_1</t>
  </si>
  <si>
    <t>Monster_Season4_Infinite_6_1</t>
  </si>
  <si>
    <t>Unit_Monster_Season4_Infinite_6_2</t>
  </si>
  <si>
    <t>Monster_Season4_Infinite_6_2</t>
  </si>
  <si>
    <t>Unit_Monster_Season4_Infinite_7_1</t>
  </si>
  <si>
    <t>Monster_Season4_Infinite_7_1</t>
  </si>
  <si>
    <t>Unit_Monster_Season4_Infinite_7_2</t>
  </si>
  <si>
    <t>Monster_Season4_Infinite_7_2</t>
  </si>
  <si>
    <t>Unit_Monster_Season4_Infinite_8_1</t>
  </si>
  <si>
    <t>Monster_Season4_Infinite_8_1</t>
  </si>
  <si>
    <t>Unit_Monster_Season4_Infinite_8_2</t>
  </si>
  <si>
    <t>Monster_Season4_Infinite_8_2</t>
  </si>
  <si>
    <t>Unit_Monster_Season4_Infinite_9_1</t>
  </si>
  <si>
    <t>Monster_Season4_Infinite_9_1</t>
  </si>
  <si>
    <t>Unit_Monster_Season4_Infinite_9_2</t>
  </si>
  <si>
    <t>Monster_Season4_Infinite_9_2</t>
  </si>
  <si>
    <t>Unit_Monster_Season4_Infinite_10_1</t>
  </si>
  <si>
    <t>Monster_Season4_Infinite_10_1</t>
  </si>
  <si>
    <t>Unit_Monster_Season4_Infinite_10_2</t>
  </si>
  <si>
    <t>Monster_Season4_Infinite_10_2</t>
  </si>
  <si>
    <t>Unit_Monster_Season4_Infinite_11_1</t>
  </si>
  <si>
    <t>Monster_Season4_Infinite_11_1</t>
  </si>
  <si>
    <t>Unit_Monster_Season4_Infinite_11_2</t>
  </si>
  <si>
    <t>Monster_Season4_Infinite_11_2</t>
  </si>
  <si>
    <t>Unit_Monster_Season4_Infinite_12_1</t>
  </si>
  <si>
    <t>Monster_Season4_Infinite_12_1</t>
  </si>
  <si>
    <t>Unit_Monster_Season4_Infinite_12_2</t>
  </si>
  <si>
    <t>Monster_Season4_Infinite_12_2</t>
  </si>
  <si>
    <t>Unit_Monster_Season4_Infinite_12_3</t>
  </si>
  <si>
    <t>Monster_Season4_Infinite_12_3</t>
  </si>
  <si>
    <t>Unit_Monster_Season4_Infinite_13_1</t>
  </si>
  <si>
    <t>Monster_Season4_Infinite_13_1</t>
  </si>
  <si>
    <t>Unit_Monster_Season4_Infinite_14_1</t>
  </si>
  <si>
    <t>Monster_Season4_Infinite_14_1</t>
  </si>
  <si>
    <t>Unit_Monster_Season4_Infinite_14_2</t>
  </si>
  <si>
    <t>Monster_Season4_Infinite_14_2</t>
  </si>
  <si>
    <t>Unit_Monster_Season4_Infinite_15_1</t>
  </si>
  <si>
    <t>Monster_Season4_Infinite_15_1</t>
  </si>
  <si>
    <t>Unit_Monster_Season4_Infinite_15_2</t>
  </si>
  <si>
    <t>Monster_Season4_Infinite_15_2</t>
  </si>
  <si>
    <t>Unit_Monster_Season4_Infinite_16_1</t>
  </si>
  <si>
    <t>Monster_Season4_Infinite_16_1</t>
  </si>
  <si>
    <t>Unit_Monster_Season4_Infinite_16_2</t>
  </si>
  <si>
    <t>Monster_Season4_Infinite_16_2</t>
  </si>
  <si>
    <t>Unit_Monster_Season4_Infinite_17_1</t>
  </si>
  <si>
    <t>Monster_Season4_Infinite_17_1</t>
  </si>
  <si>
    <t>Unit_Monster_Season4_Infinite_17_2</t>
  </si>
  <si>
    <t>Monster_Season4_Infinite_17_2</t>
  </si>
  <si>
    <t>Unit_Monster_Season4_Infinite_18_1</t>
  </si>
  <si>
    <t>Monster_Season4_Infinite_18_1</t>
  </si>
  <si>
    <t>Unit_Monster_Season4_Infinite_18_2</t>
  </si>
  <si>
    <t>Monster_Season4_Infinite_18_2</t>
  </si>
  <si>
    <t>Unit_Monster_Season4_Infinite_19_1</t>
  </si>
  <si>
    <t>Monster_Season4_Infinite_19_1</t>
  </si>
  <si>
    <t>Unit_Monster_Season4_Infinite_19_2</t>
  </si>
  <si>
    <t>Monster_Season4_Infinite_19_2</t>
  </si>
  <si>
    <t>Unit_Monster_Season4_Infinite_19_3</t>
  </si>
  <si>
    <t>Monster_Season4_Infinite_19_3</t>
  </si>
  <si>
    <t>Unit_Monster_Season4_Infinite_20_1</t>
  </si>
  <si>
    <t>Monster_Season4_Infinite_20_1</t>
  </si>
  <si>
    <t>Unit_Monster_Season4_Infinite_20_2</t>
  </si>
  <si>
    <t>Monster_Season4_Infinite_20_2</t>
  </si>
  <si>
    <t>Unit_Monster_Season4_Infinite_20_3</t>
  </si>
  <si>
    <t>Monster_Season4_Infinite_20_3</t>
  </si>
  <si>
    <t>Unit_Monster_Season4_Infinite_20_4</t>
  </si>
  <si>
    <t>Monster_Season4_Infinite_20_4</t>
  </si>
  <si>
    <t>赛季1无限模式怪物</t>
  </si>
  <si>
    <t>赛季2无限模式怪物</t>
  </si>
  <si>
    <t>赛季3无限模式怪物</t>
  </si>
  <si>
    <t>赛季4无限模式怪物</t>
  </si>
  <si>
    <t xml:space="preserve"> </t>
    <phoneticPr fontId="4" type="noConversion"/>
  </si>
  <si>
    <t>难度</t>
  </si>
  <si>
    <t>DamageUnit_Attribute_TowerGolem1</t>
    <phoneticPr fontId="4" type="noConversion"/>
  </si>
  <si>
    <r>
      <t>按照属性进行计算（距离递减）_魔像LV</t>
    </r>
    <r>
      <rPr>
        <sz val="11"/>
        <color theme="1"/>
        <rFont val="等线"/>
        <family val="3"/>
        <charset val="134"/>
        <scheme val="minor"/>
      </rPr>
      <t>1</t>
    </r>
  </si>
  <si>
    <t>DamageUnit_Attribute_TowerGolem2</t>
  </si>
  <si>
    <r>
      <t>按照属性进行计算（距离递减）_魔像LV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/>
    </r>
  </si>
  <si>
    <t>DamageUnit_Attribute_TowerGolem3</t>
  </si>
  <si>
    <r>
      <t>按照属性进行计算（距离递减）_魔像LV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</si>
  <si>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t>稀有度</t>
    <phoneticPr fontId="4" type="noConversion"/>
  </si>
  <si>
    <t>DamageUnit_TowerRocket1</t>
  </si>
  <si>
    <t>按照属性进行计算（距离递增）_火箭塔LV1</t>
  </si>
  <si>
    <t>PropertyBlood</t>
  </si>
  <si>
    <t>DamageUnit_TowerRocket2</t>
  </si>
  <si>
    <t>按照属性进行计算（距离递增）_火箭塔LV2</t>
  </si>
  <si>
    <t>DamageUnit_TowerRocket3</t>
  </si>
  <si>
    <t>按照属性进行计算（距离递增）_火箭塔LV3</t>
  </si>
  <si>
    <t>DamageUnit_HitterCurHpPercent_TowerScorpio1</t>
    <phoneticPr fontId="4" type="noConversion"/>
  </si>
  <si>
    <t>固定受击者的总血量的系数</t>
  </si>
  <si>
    <t>PercentCurBloodBeHurter</t>
  </si>
  <si>
    <t>DamageUnit_HitterCurHpPercent_TowerScorpio2</t>
  </si>
  <si>
    <t>DamageUnit_HitterCurHpPercent_TowerScorpio3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</si>
</sst>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1"/>
      <color theme="1"/>
      <name val="等线"/>
      <family val="2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5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rgb="FFFA7D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000000"/>
      <name val="等线"/>
      <family val="3"/>
      <charset val="134"/>
    </font>
    <font>
      <sz val="11"/>
      <color rgb="FF006100"/>
      <name val="等线"/>
      <family val="3"/>
      <charset val="134"/>
    </font>
    <font>
      <sz val="11"/>
      <color rgb="FF9C0006"/>
      <name val="等线"/>
      <family val="3"/>
      <charset val="134"/>
    </font>
    <font>
      <u/>
      <sz val="11"/>
      <color rgb="FF0563C1"/>
      <name val="等线"/>
      <family val="3"/>
      <charset val="134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4"/>
      <charset val="134"/>
      <scheme val="minor"/>
    </font>
    <font>
      <sz val="11"/>
      <color rgb="FF9C0006"/>
      <name val="等线"/>
      <family val="4"/>
      <charset val="134"/>
      <scheme val="minor"/>
    </font>
    <font>
      <i/>
      <sz val="11"/>
      <color rgb="FF7F7F7F"/>
      <name val="等线"/>
      <family val="3"/>
      <charset val="134"/>
      <scheme val="minor"/>
    </font>
    <font>
      <sz val="11"/>
      <color rgb="FF3F3F76"/>
      <name val="等线"/>
      <family val="3"/>
      <charset val="134"/>
      <scheme val="minor"/>
    </font>
    <font>
      <b/>
      <sz val="11"/>
      <color rgb="FF3F3F3F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u/>
      <sz val="11"/>
      <color rgb="FFFA7D0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3F3F3F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rgb="FFFFC000"/>
      <name val="等线"/>
      <family val="3"/>
      <charset val="134"/>
      <scheme val="minor"/>
    </font>
    <font>
      <b/>
      <sz val="11"/>
      <color rgb="FF3F3F76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sz val="11"/>
      <color theme="8" tint="-0.499984740745262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indexed="64"/>
      </right>
      <top style="thin">
        <color rgb="FF3F3F3F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5">
    <xf numFmtId="0" fontId="0" fillId="0" borderId="0"/>
    <xf numFmtId="0" fontId="1" fillId="2" borderId="1" applyNumberFormat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7" fillId="0" borderId="0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10" fillId="0" borderId="0"/>
    <xf numFmtId="0" fontId="13" fillId="0" borderId="0" applyBorder="0" applyProtection="0"/>
    <xf numFmtId="0" fontId="12" fillId="6" borderId="0" applyBorder="0" applyProtection="0"/>
    <xf numFmtId="0" fontId="11" fillId="5" borderId="0" applyBorder="0" applyProtection="0"/>
    <xf numFmtId="0" fontId="12" fillId="6" borderId="0" applyBorder="0" applyProtection="0"/>
    <xf numFmtId="0" fontId="10" fillId="0" borderId="0"/>
    <xf numFmtId="0" fontId="11" fillId="5" borderId="0" applyBorder="0" applyProtection="0"/>
    <xf numFmtId="0" fontId="8" fillId="0" borderId="0"/>
    <xf numFmtId="0" fontId="14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5" borderId="0" applyBorder="0" applyProtection="0"/>
    <xf numFmtId="0" fontId="8" fillId="0" borderId="0"/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/>
    <xf numFmtId="0" fontId="29" fillId="0" borderId="0"/>
    <xf numFmtId="0" fontId="32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</cellStyleXfs>
  <cellXfs count="206">
    <xf numFmtId="0" fontId="0" fillId="0" borderId="0" xfId="0"/>
    <xf numFmtId="0" fontId="5" fillId="0" borderId="0" xfId="0" applyFont="1"/>
    <xf numFmtId="0" fontId="8" fillId="0" borderId="3" xfId="0" applyFont="1" applyBorder="1" applyAlignment="1">
      <alignment horizontal="center" vertical="center"/>
    </xf>
    <xf numFmtId="0" fontId="6" fillId="0" borderId="0" xfId="0" applyFont="1"/>
    <xf numFmtId="0" fontId="6" fillId="9" borderId="0" xfId="0" applyFont="1" applyFill="1"/>
    <xf numFmtId="0" fontId="18" fillId="0" borderId="0" xfId="4" applyFont="1" applyAlignment="1"/>
    <xf numFmtId="0" fontId="8" fillId="0" borderId="0" xfId="0" applyFont="1"/>
    <xf numFmtId="0" fontId="19" fillId="2" borderId="3" xfId="1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19" fillId="2" borderId="1" xfId="1" applyNumberFormat="1" applyFont="1" applyAlignment="1">
      <alignment horizontal="center"/>
    </xf>
    <xf numFmtId="0" fontId="19" fillId="2" borderId="1" xfId="1" applyFont="1" applyAlignment="1">
      <alignment horizontal="center" vertical="center"/>
    </xf>
    <xf numFmtId="0" fontId="20" fillId="3" borderId="2" xfId="2" applyNumberFormat="1" applyFont="1" applyAlignment="1">
      <alignment horizontal="center"/>
    </xf>
    <xf numFmtId="0" fontId="8" fillId="0" borderId="12" xfId="0" applyFont="1" applyBorder="1"/>
    <xf numFmtId="0" fontId="8" fillId="0" borderId="13" xfId="0" applyFont="1" applyBorder="1"/>
    <xf numFmtId="0" fontId="8" fillId="0" borderId="14" xfId="0" applyFont="1" applyBorder="1"/>
    <xf numFmtId="0" fontId="19" fillId="2" borderId="11" xfId="1" applyFont="1" applyBorder="1" applyAlignment="1"/>
    <xf numFmtId="0" fontId="19" fillId="2" borderId="5" xfId="1" applyFont="1" applyBorder="1" applyAlignment="1"/>
    <xf numFmtId="0" fontId="19" fillId="2" borderId="6" xfId="1" applyFont="1" applyBorder="1" applyAlignment="1"/>
    <xf numFmtId="0" fontId="20" fillId="3" borderId="18" xfId="2" applyFont="1" applyBorder="1" applyAlignment="1"/>
    <xf numFmtId="0" fontId="20" fillId="3" borderId="19" xfId="2" applyFont="1" applyBorder="1" applyAlignment="1"/>
    <xf numFmtId="0" fontId="20" fillId="3" borderId="20" xfId="2" applyFont="1" applyBorder="1" applyAlignment="1"/>
    <xf numFmtId="0" fontId="21" fillId="4" borderId="12" xfId="5" applyFont="1" applyFill="1" applyBorder="1" applyAlignment="1"/>
    <xf numFmtId="0" fontId="22" fillId="4" borderId="13" xfId="3" applyFont="1" applyFill="1" applyBorder="1" applyAlignment="1"/>
    <xf numFmtId="0" fontId="22" fillId="4" borderId="14" xfId="3" applyFont="1" applyFill="1" applyBorder="1" applyAlignment="1"/>
    <xf numFmtId="0" fontId="18" fillId="0" borderId="8" xfId="4" applyFont="1" applyBorder="1" applyAlignment="1"/>
    <xf numFmtId="0" fontId="18" fillId="0" borderId="9" xfId="4" applyFont="1" applyBorder="1" applyAlignment="1"/>
    <xf numFmtId="0" fontId="18" fillId="0" borderId="10" xfId="4" applyFont="1" applyBorder="1" applyAlignment="1"/>
    <xf numFmtId="0" fontId="22" fillId="0" borderId="3" xfId="3" applyFont="1" applyBorder="1" applyAlignment="1">
      <alignment horizontal="center" vertical="center"/>
    </xf>
    <xf numFmtId="0" fontId="23" fillId="0" borderId="0" xfId="0" applyFont="1"/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9" fillId="2" borderId="24" xfId="1" applyFont="1" applyBorder="1" applyAlignment="1">
      <alignment horizontal="center" vertical="center"/>
    </xf>
    <xf numFmtId="0" fontId="19" fillId="2" borderId="26" xfId="1" applyFont="1" applyBorder="1" applyAlignment="1">
      <alignment horizontal="center" vertical="center"/>
    </xf>
    <xf numFmtId="0" fontId="19" fillId="2" borderId="27" xfId="1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9" fillId="2" borderId="25" xfId="1" applyFont="1" applyBorder="1" applyAlignment="1">
      <alignment horizontal="center" vertical="center"/>
    </xf>
    <xf numFmtId="0" fontId="19" fillId="2" borderId="28" xfId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3" borderId="3" xfId="2" applyBorder="1" applyAlignment="1">
      <alignment horizontal="center"/>
    </xf>
    <xf numFmtId="0" fontId="9" fillId="0" borderId="3" xfId="5" applyBorder="1" applyAlignment="1">
      <alignment horizontal="center" vertical="center"/>
    </xf>
    <xf numFmtId="0" fontId="14" fillId="7" borderId="0" xfId="14" applyAlignment="1"/>
    <xf numFmtId="0" fontId="15" fillId="8" borderId="0" xfId="15" applyAlignment="1"/>
    <xf numFmtId="0" fontId="14" fillId="7" borderId="3" xfId="14" applyBorder="1" applyAlignment="1"/>
    <xf numFmtId="0" fontId="15" fillId="8" borderId="3" xfId="15" applyBorder="1" applyAlignment="1"/>
    <xf numFmtId="0" fontId="10" fillId="0" borderId="0" xfId="11"/>
    <xf numFmtId="0" fontId="11" fillId="5" borderId="3" xfId="9" applyBorder="1" applyProtection="1"/>
    <xf numFmtId="0" fontId="12" fillId="6" borderId="3" xfId="8" applyBorder="1" applyProtection="1"/>
    <xf numFmtId="0" fontId="0" fillId="0" borderId="3" xfId="0" applyBorder="1"/>
    <xf numFmtId="0" fontId="18" fillId="0" borderId="0" xfId="4" applyFont="1" applyAlignment="1">
      <alignment horizontal="left"/>
    </xf>
    <xf numFmtId="9" fontId="19" fillId="2" borderId="3" xfId="20" applyFont="1" applyFill="1" applyBorder="1" applyAlignment="1">
      <alignment horizontal="center" vertical="center"/>
    </xf>
    <xf numFmtId="9" fontId="19" fillId="2" borderId="3" xfId="1" applyNumberFormat="1" applyFont="1" applyBorder="1" applyAlignment="1">
      <alignment horizontal="center" vertical="center"/>
    </xf>
    <xf numFmtId="0" fontId="8" fillId="0" borderId="0" xfId="13"/>
    <xf numFmtId="0" fontId="2" fillId="3" borderId="2" xfId="2" applyAlignment="1"/>
    <xf numFmtId="0" fontId="14" fillId="7" borderId="3" xfId="14" applyBorder="1" applyAlignment="1">
      <alignment horizontal="left" vertical="center"/>
    </xf>
    <xf numFmtId="0" fontId="0" fillId="0" borderId="0" xfId="0" applyAlignment="1">
      <alignment horizontal="left"/>
    </xf>
    <xf numFmtId="0" fontId="15" fillId="8" borderId="3" xfId="15" applyBorder="1" applyAlignment="1">
      <alignment horizontal="left" vertical="center"/>
    </xf>
    <xf numFmtId="0" fontId="8" fillId="0" borderId="0" xfId="13" applyAlignment="1">
      <alignment horizontal="left" vertical="center"/>
    </xf>
    <xf numFmtId="0" fontId="26" fillId="0" borderId="0" xfId="13" applyFont="1" applyAlignment="1">
      <alignment horizontal="left"/>
    </xf>
    <xf numFmtId="0" fontId="27" fillId="0" borderId="0" xfId="13" applyFont="1" applyAlignment="1">
      <alignment horizontal="left"/>
    </xf>
    <xf numFmtId="0" fontId="8" fillId="0" borderId="0" xfId="13" applyAlignment="1">
      <alignment horizontal="left"/>
    </xf>
    <xf numFmtId="0" fontId="14" fillId="7" borderId="3" xfId="14" applyBorder="1" applyAlignment="1">
      <alignment horizontal="left"/>
    </xf>
    <xf numFmtId="0" fontId="15" fillId="8" borderId="3" xfId="15" applyBorder="1" applyAlignment="1">
      <alignment horizontal="left"/>
    </xf>
    <xf numFmtId="0" fontId="2" fillId="3" borderId="3" xfId="2" applyBorder="1" applyAlignment="1">
      <alignment horizontal="left"/>
    </xf>
    <xf numFmtId="0" fontId="0" fillId="0" borderId="0" xfId="0" applyAlignment="1">
      <alignment vertical="center"/>
    </xf>
    <xf numFmtId="0" fontId="14" fillId="7" borderId="15" xfId="14" applyBorder="1" applyAlignment="1">
      <alignment horizontal="left"/>
    </xf>
    <xf numFmtId="0" fontId="8" fillId="0" borderId="0" xfId="0" applyFont="1" applyAlignment="1">
      <alignment horizontal="left"/>
    </xf>
    <xf numFmtId="0" fontId="14" fillId="7" borderId="15" xfId="14" applyBorder="1" applyAlignment="1">
      <alignment horizontal="left" vertical="center"/>
    </xf>
    <xf numFmtId="0" fontId="14" fillId="7" borderId="15" xfId="14" applyBorder="1" applyAlignment="1">
      <alignment horizontal="left" vertical="center" wrapText="1"/>
    </xf>
    <xf numFmtId="0" fontId="2" fillId="3" borderId="2" xfId="2" applyAlignment="1">
      <alignment horizontal="left" vertical="center"/>
    </xf>
    <xf numFmtId="0" fontId="11" fillId="5" borderId="14" xfId="9" applyBorder="1" applyAlignment="1" applyProtection="1">
      <alignment horizontal="center"/>
    </xf>
    <xf numFmtId="0" fontId="12" fillId="6" borderId="14" xfId="8" applyBorder="1" applyAlignment="1" applyProtection="1">
      <alignment horizontal="center"/>
    </xf>
    <xf numFmtId="0" fontId="13" fillId="6" borderId="3" xfId="7" applyFill="1" applyBorder="1" applyProtection="1"/>
    <xf numFmtId="0" fontId="11" fillId="5" borderId="15" xfId="9" applyBorder="1" applyProtection="1"/>
    <xf numFmtId="0" fontId="28" fillId="0" borderId="0" xfId="0" applyFont="1"/>
    <xf numFmtId="0" fontId="10" fillId="0" borderId="0" xfId="0" applyFont="1"/>
    <xf numFmtId="0" fontId="28" fillId="0" borderId="0" xfId="9" applyFont="1" applyFill="1" applyBorder="1" applyProtection="1"/>
    <xf numFmtId="0" fontId="8" fillId="0" borderId="0" xfId="17"/>
    <xf numFmtId="0" fontId="2" fillId="3" borderId="2" xfId="2" applyAlignment="1">
      <alignment horizontal="center" vertical="center"/>
    </xf>
    <xf numFmtId="0" fontId="21" fillId="8" borderId="3" xfId="21" applyFill="1" applyBorder="1" applyAlignment="1"/>
    <xf numFmtId="0" fontId="19" fillId="2" borderId="12" xfId="1" applyFont="1" applyBorder="1" applyAlignment="1">
      <alignment horizontal="center" vertical="center"/>
    </xf>
    <xf numFmtId="0" fontId="8" fillId="0" borderId="15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2" xfId="2" applyAlignment="1">
      <alignment vertical="center"/>
    </xf>
    <xf numFmtId="0" fontId="8" fillId="0" borderId="3" xfId="0" applyFont="1" applyBorder="1" applyAlignment="1">
      <alignment horizontal="left" vertical="center"/>
    </xf>
    <xf numFmtId="0" fontId="3" fillId="0" borderId="0" xfId="4" applyAlignment="1"/>
    <xf numFmtId="0" fontId="14" fillId="7" borderId="14" xfId="14" applyBorder="1" applyAlignment="1">
      <alignment horizontal="center"/>
    </xf>
    <xf numFmtId="0" fontId="15" fillId="8" borderId="14" xfId="15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1" xfId="1" applyAlignment="1">
      <alignment horizontal="left" vertical="center"/>
    </xf>
    <xf numFmtId="0" fontId="0" fillId="0" borderId="0" xfId="0" applyAlignment="1">
      <alignment horizontal="center"/>
    </xf>
    <xf numFmtId="0" fontId="2" fillId="3" borderId="2" xfId="2" applyAlignment="1">
      <alignment horizontal="center"/>
    </xf>
    <xf numFmtId="0" fontId="1" fillId="2" borderId="1" xfId="1" applyAlignment="1">
      <alignment horizontal="center"/>
    </xf>
    <xf numFmtId="0" fontId="14" fillId="7" borderId="0" xfId="14" applyAlignment="1">
      <alignment horizontal="left"/>
    </xf>
    <xf numFmtId="0" fontId="21" fillId="8" borderId="3" xfId="21" applyFill="1" applyBorder="1" applyAlignment="1">
      <alignment horizontal="left"/>
    </xf>
    <xf numFmtId="0" fontId="15" fillId="8" borderId="0" xfId="15" applyAlignment="1">
      <alignment horizontal="left"/>
    </xf>
    <xf numFmtId="0" fontId="2" fillId="3" borderId="2" xfId="2" applyAlignment="1">
      <alignment horizontal="left"/>
    </xf>
    <xf numFmtId="0" fontId="29" fillId="0" borderId="0" xfId="22" applyAlignment="1">
      <alignment horizontal="left"/>
    </xf>
    <xf numFmtId="0" fontId="14" fillId="7" borderId="12" xfId="14" applyBorder="1" applyAlignment="1">
      <alignment horizontal="left"/>
    </xf>
    <xf numFmtId="0" fontId="14" fillId="7" borderId="13" xfId="14" applyBorder="1" applyAlignment="1">
      <alignment horizontal="left"/>
    </xf>
    <xf numFmtId="0" fontId="14" fillId="7" borderId="0" xfId="14" applyBorder="1" applyAlignment="1">
      <alignment horizontal="left"/>
    </xf>
    <xf numFmtId="0" fontId="15" fillId="8" borderId="12" xfId="15" applyBorder="1" applyAlignment="1">
      <alignment horizontal="left"/>
    </xf>
    <xf numFmtId="0" fontId="15" fillId="8" borderId="0" xfId="15" applyBorder="1" applyAlignment="1">
      <alignment horizontal="left"/>
    </xf>
    <xf numFmtId="0" fontId="14" fillId="7" borderId="4" xfId="14" applyBorder="1" applyAlignment="1">
      <alignment horizontal="left"/>
    </xf>
    <xf numFmtId="0" fontId="3" fillId="0" borderId="0" xfId="4" applyAlignment="1">
      <alignment horizontal="left"/>
    </xf>
    <xf numFmtId="0" fontId="3" fillId="0" borderId="0" xfId="4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4" borderId="7" xfId="4" applyFill="1" applyBorder="1" applyAlignment="1">
      <alignment horizontal="left" vertical="center"/>
    </xf>
    <xf numFmtId="0" fontId="30" fillId="0" borderId="0" xfId="0" applyFont="1"/>
    <xf numFmtId="0" fontId="19" fillId="2" borderId="17" xfId="1" applyFont="1" applyBorder="1" applyAlignment="1">
      <alignment horizontal="center" vertical="center"/>
    </xf>
    <xf numFmtId="0" fontId="19" fillId="2" borderId="3" xfId="1" applyNumberFormat="1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31" fillId="0" borderId="0" xfId="2" applyFont="1" applyFill="1" applyBorder="1" applyAlignment="1">
      <alignment horizontal="left"/>
    </xf>
    <xf numFmtId="0" fontId="30" fillId="0" borderId="0" xfId="2" applyFont="1" applyFill="1" applyBorder="1" applyAlignment="1">
      <alignment horizontal="left"/>
    </xf>
    <xf numFmtId="9" fontId="19" fillId="2" borderId="12" xfId="1" applyNumberFormat="1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9" fontId="0" fillId="0" borderId="3" xfId="0" applyNumberFormat="1" applyBorder="1"/>
    <xf numFmtId="0" fontId="2" fillId="3" borderId="3" xfId="2" applyNumberFormat="1" applyBorder="1" applyAlignment="1">
      <alignment horizontal="left"/>
    </xf>
    <xf numFmtId="0" fontId="19" fillId="2" borderId="3" xfId="20" applyNumberFormat="1" applyFont="1" applyFill="1" applyBorder="1" applyAlignment="1">
      <alignment horizontal="center" vertical="center"/>
    </xf>
    <xf numFmtId="0" fontId="32" fillId="10" borderId="0" xfId="23" applyAlignme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19" fillId="2" borderId="16" xfId="1" applyFont="1" applyBorder="1" applyAlignment="1">
      <alignment horizontal="center" vertical="center"/>
    </xf>
    <xf numFmtId="0" fontId="19" fillId="2" borderId="7" xfId="1" applyFont="1" applyBorder="1" applyAlignment="1">
      <alignment horizontal="center" vertical="center"/>
    </xf>
    <xf numFmtId="0" fontId="1" fillId="2" borderId="1" xfId="1" applyAlignment="1">
      <alignment horizontal="left"/>
    </xf>
    <xf numFmtId="0" fontId="34" fillId="0" borderId="3" xfId="0" applyFont="1" applyBorder="1" applyAlignment="1">
      <alignment horizontal="center" vertical="center"/>
    </xf>
    <xf numFmtId="0" fontId="34" fillId="2" borderId="12" xfId="1" applyFont="1" applyBorder="1" applyAlignment="1">
      <alignment horizontal="center" vertical="center"/>
    </xf>
    <xf numFmtId="0" fontId="34" fillId="2" borderId="3" xfId="1" applyFont="1" applyBorder="1" applyAlignment="1">
      <alignment horizontal="center" vertical="center"/>
    </xf>
    <xf numFmtId="0" fontId="8" fillId="0" borderId="3" xfId="0" applyFont="1" applyBorder="1"/>
    <xf numFmtId="0" fontId="8" fillId="0" borderId="0" xfId="0" applyFont="1" applyAlignment="1">
      <alignment horizontal="center"/>
    </xf>
    <xf numFmtId="0" fontId="34" fillId="0" borderId="3" xfId="0" applyFont="1" applyBorder="1" applyAlignment="1">
      <alignment horizontal="center"/>
    </xf>
    <xf numFmtId="0" fontId="37" fillId="2" borderId="3" xfId="1" applyFont="1" applyBorder="1" applyAlignment="1">
      <alignment horizontal="center" vertical="center"/>
    </xf>
    <xf numFmtId="0" fontId="34" fillId="0" borderId="0" xfId="0" applyFont="1" applyAlignment="1">
      <alignment horizontal="center"/>
    </xf>
    <xf numFmtId="0" fontId="3" fillId="0" borderId="0" xfId="4" applyBorder="1" applyAlignment="1">
      <alignment horizontal="center"/>
    </xf>
    <xf numFmtId="0" fontId="34" fillId="0" borderId="27" xfId="0" applyFont="1" applyBorder="1" applyAlignment="1">
      <alignment horizontal="center" vertical="center"/>
    </xf>
    <xf numFmtId="0" fontId="34" fillId="2" borderId="27" xfId="1" applyFont="1" applyBorder="1" applyAlignment="1">
      <alignment horizontal="center" vertical="center"/>
    </xf>
    <xf numFmtId="0" fontId="19" fillId="2" borderId="0" xfId="1" applyFont="1" applyBorder="1" applyAlignment="1">
      <alignment horizontal="center" vertical="center"/>
    </xf>
    <xf numFmtId="0" fontId="3" fillId="4" borderId="0" xfId="4" applyFill="1" applyBorder="1" applyAlignment="1">
      <alignment horizontal="left" vertical="center"/>
    </xf>
    <xf numFmtId="0" fontId="38" fillId="11" borderId="0" xfId="24" applyAlignment="1"/>
    <xf numFmtId="0" fontId="6" fillId="0" borderId="3" xfId="0" applyFont="1" applyBorder="1" applyAlignment="1">
      <alignment horizontal="center" vertical="center"/>
    </xf>
    <xf numFmtId="0" fontId="37" fillId="2" borderId="12" xfId="1" applyFont="1" applyBorder="1" applyAlignment="1">
      <alignment horizontal="center" vertical="center"/>
    </xf>
    <xf numFmtId="58" fontId="8" fillId="0" borderId="0" xfId="0" applyNumberFormat="1" applyFont="1"/>
    <xf numFmtId="58" fontId="8" fillId="0" borderId="0" xfId="0" applyNumberFormat="1" applyFont="1" applyAlignment="1">
      <alignment horizontal="center"/>
    </xf>
    <xf numFmtId="0" fontId="0" fillId="1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6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3" fillId="0" borderId="0" xfId="4" applyAlignment="1">
      <alignment horizontal="center"/>
    </xf>
    <xf numFmtId="9" fontId="8" fillId="0" borderId="0" xfId="0" applyNumberFormat="1" applyFont="1"/>
    <xf numFmtId="9" fontId="8" fillId="0" borderId="0" xfId="20" applyFont="1" applyAlignment="1"/>
    <xf numFmtId="9" fontId="8" fillId="0" borderId="3" xfId="20" applyFont="1" applyBorder="1" applyAlignment="1"/>
    <xf numFmtId="0" fontId="8" fillId="0" borderId="16" xfId="0" applyFont="1" applyBorder="1"/>
    <xf numFmtId="0" fontId="32" fillId="10" borderId="0" xfId="23" applyAlignment="1">
      <alignment horizontal="left"/>
    </xf>
    <xf numFmtId="0" fontId="11" fillId="5" borderId="0" xfId="12"/>
    <xf numFmtId="0" fontId="34" fillId="2" borderId="17" xfId="1" applyFont="1" applyBorder="1" applyAlignment="1">
      <alignment horizontal="center" vertical="center"/>
    </xf>
    <xf numFmtId="0" fontId="40" fillId="2" borderId="3" xfId="1" applyFont="1" applyBorder="1" applyAlignment="1">
      <alignment horizontal="center" vertical="center"/>
    </xf>
    <xf numFmtId="0" fontId="40" fillId="2" borderId="27" xfId="1" applyFon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9" fillId="2" borderId="3" xfId="1" applyFont="1" applyBorder="1" applyAlignment="1">
      <alignment horizontal="left" vertical="center"/>
    </xf>
    <xf numFmtId="0" fontId="32" fillId="10" borderId="2" xfId="23" applyBorder="1" applyAlignment="1">
      <alignment horizontal="left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21" fillId="0" borderId="3" xfId="5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5" fillId="8" borderId="3" xfId="15" applyBorder="1" applyAlignment="1">
      <alignment horizontal="left"/>
    </xf>
    <xf numFmtId="0" fontId="14" fillId="7" borderId="3" xfId="14" applyBorder="1" applyAlignment="1">
      <alignment horizontal="left"/>
    </xf>
    <xf numFmtId="0" fontId="14" fillId="7" borderId="12" xfId="14" applyBorder="1" applyAlignment="1">
      <alignment horizontal="left"/>
    </xf>
    <xf numFmtId="0" fontId="14" fillId="7" borderId="13" xfId="14" applyBorder="1" applyAlignment="1">
      <alignment horizontal="left"/>
    </xf>
    <xf numFmtId="0" fontId="15" fillId="8" borderId="12" xfId="15" applyBorder="1" applyAlignment="1">
      <alignment horizontal="left"/>
    </xf>
    <xf numFmtId="0" fontId="15" fillId="8" borderId="13" xfId="15" applyBorder="1" applyAlignment="1">
      <alignment horizontal="left"/>
    </xf>
  </cellXfs>
  <cellStyles count="25">
    <cellStyle name="Excel Built-in Bad" xfId="8" xr:uid="{7D38EF3C-172A-4414-B8A5-B92F4C72B4C0}"/>
    <cellStyle name="Excel Built-in Good" xfId="9" xr:uid="{4CDBBC32-E410-4602-AD4A-80D2AD3FB56A}"/>
    <cellStyle name="Excel Built-in Good 2" xfId="16" xr:uid="{B0E36362-8D56-42DA-9BD3-B79029939869}"/>
    <cellStyle name="百分比" xfId="20" builtinId="5"/>
    <cellStyle name="差" xfId="24" builtinId="27"/>
    <cellStyle name="差 2" xfId="10" xr:uid="{582BC748-F6A5-4901-B69A-B32076D7D4BB}"/>
    <cellStyle name="差 3" xfId="15" xr:uid="{43D58D40-7D9E-41DE-8AFD-40B6922D776D}"/>
    <cellStyle name="差 4" xfId="19" xr:uid="{FFDEFA15-76AD-4992-AD8D-27D0BC098897}"/>
    <cellStyle name="常规" xfId="0" builtinId="0"/>
    <cellStyle name="常规 2" xfId="11" xr:uid="{9D37C24E-A191-4528-89BB-1AEF46CA8F38}"/>
    <cellStyle name="常规 3" xfId="13" xr:uid="{31C79F39-1757-481B-9B21-1933C3F8CF60}"/>
    <cellStyle name="常规 4" xfId="17" xr:uid="{4306D6F9-78E6-48D8-99FC-F238CD1F0CAE}"/>
    <cellStyle name="常规 5" xfId="6" xr:uid="{607DA45A-57AE-4AA9-BA85-8BC2671D50FE}"/>
    <cellStyle name="常规 6" xfId="22" xr:uid="{5548426F-E1A4-4D61-88F7-1FBDB27632E6}"/>
    <cellStyle name="超链接" xfId="5" builtinId="8"/>
    <cellStyle name="超链接 2" xfId="7" xr:uid="{7A06C4F7-52C1-4978-8533-A2BEA7B46778}"/>
    <cellStyle name="超链接 3" xfId="21" xr:uid="{2179B1AB-1A2D-4178-9985-CE9007745124}"/>
    <cellStyle name="好" xfId="23" builtinId="26"/>
    <cellStyle name="好 2" xfId="12" xr:uid="{1AB8A16A-C1D9-4FC9-80A3-C5AC8A62F580}"/>
    <cellStyle name="好 3" xfId="14" xr:uid="{8D7838B8-2026-4982-8A6A-2791AC5906A5}"/>
    <cellStyle name="好 4" xfId="18" xr:uid="{99391301-1134-4A51-95CC-88383CAB5312}"/>
    <cellStyle name="解释性文本" xfId="4" builtinId="53"/>
    <cellStyle name="链接单元格" xfId="3" builtinId="24" customBuiltin="1"/>
    <cellStyle name="输出" xfId="2" builtinId="21"/>
    <cellStyle name="输入" xfId="1" builtinId="2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首日理想曲线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'⚪关卡设计'!$H$18</c:f>
              <c:strCache>
                <c:ptCount val="1"/>
                <c:pt idx="0">
                  <c:v>兴趣曲线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'⚪关卡设计'!$G$19:$G$26</c:f>
              <c:strCache>
                <c:ptCount val="8"/>
                <c:pt idx="0">
                  <c:v>初始</c:v>
                </c:pt>
                <c:pt idx="1">
                  <c:v>新手引导</c:v>
                </c:pt>
                <c:pt idx="2">
                  <c:v>挑战关卡1</c:v>
                </c:pt>
                <c:pt idx="3">
                  <c:v>挑战关卡2</c:v>
                </c:pt>
                <c:pt idx="4">
                  <c:v>挑战关卡3</c:v>
                </c:pt>
                <c:pt idx="5">
                  <c:v>挑战关卡4</c:v>
                </c:pt>
                <c:pt idx="6">
                  <c:v>无限关卡</c:v>
                </c:pt>
                <c:pt idx="7">
                  <c:v>无限关卡</c:v>
                </c:pt>
              </c:strCache>
            </c:strRef>
          </c:cat>
          <c:val>
            <c:numRef>
              <c:f>'⚪关卡设计'!$H$19:$H$26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10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F-4D31-A291-CF237AD191C6}"/>
            </c:ext>
          </c:extLst>
        </c:ser>
        <c:ser>
          <c:idx val="1"/>
          <c:order val="1"/>
          <c:tx>
            <c:strRef>
              <c:f>'⚪关卡设计'!$I$18</c:f>
              <c:strCache>
                <c:ptCount val="1"/>
                <c:pt idx="0">
                  <c:v>学习曲线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'⚪关卡设计'!$G$19:$G$26</c:f>
              <c:strCache>
                <c:ptCount val="8"/>
                <c:pt idx="0">
                  <c:v>初始</c:v>
                </c:pt>
                <c:pt idx="1">
                  <c:v>新手引导</c:v>
                </c:pt>
                <c:pt idx="2">
                  <c:v>挑战关卡1</c:v>
                </c:pt>
                <c:pt idx="3">
                  <c:v>挑战关卡2</c:v>
                </c:pt>
                <c:pt idx="4">
                  <c:v>挑战关卡3</c:v>
                </c:pt>
                <c:pt idx="5">
                  <c:v>挑战关卡4</c:v>
                </c:pt>
                <c:pt idx="6">
                  <c:v>无限关卡</c:v>
                </c:pt>
                <c:pt idx="7">
                  <c:v>无限关卡</c:v>
                </c:pt>
              </c:strCache>
            </c:strRef>
          </c:cat>
          <c:val>
            <c:numRef>
              <c:f>'⚪关卡设计'!$I$19:$I$26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F-4D31-A291-CF237AD191C6}"/>
            </c:ext>
          </c:extLst>
        </c:ser>
        <c:ser>
          <c:idx val="2"/>
          <c:order val="2"/>
          <c:tx>
            <c:strRef>
              <c:f>'⚪关卡设计'!$J$18</c:f>
              <c:strCache>
                <c:ptCount val="1"/>
                <c:pt idx="0">
                  <c:v>难度曲线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'⚪关卡设计'!$G$19:$G$26</c:f>
              <c:strCache>
                <c:ptCount val="8"/>
                <c:pt idx="0">
                  <c:v>初始</c:v>
                </c:pt>
                <c:pt idx="1">
                  <c:v>新手引导</c:v>
                </c:pt>
                <c:pt idx="2">
                  <c:v>挑战关卡1</c:v>
                </c:pt>
                <c:pt idx="3">
                  <c:v>挑战关卡2</c:v>
                </c:pt>
                <c:pt idx="4">
                  <c:v>挑战关卡3</c:v>
                </c:pt>
                <c:pt idx="5">
                  <c:v>挑战关卡4</c:v>
                </c:pt>
                <c:pt idx="6">
                  <c:v>无限关卡</c:v>
                </c:pt>
                <c:pt idx="7">
                  <c:v>无限关卡</c:v>
                </c:pt>
              </c:strCache>
            </c:strRef>
          </c:cat>
          <c:val>
            <c:numRef>
              <c:f>'⚪关卡设计'!$J$19:$J$26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F-4D31-A291-CF237AD19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81984"/>
        <c:axId val="70282464"/>
      </c:lineChart>
      <c:catAx>
        <c:axId val="702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82464"/>
        <c:crosses val="autoZero"/>
        <c:auto val="1"/>
        <c:lblAlgn val="ctr"/>
        <c:lblOffset val="100"/>
        <c:noMultiLvlLbl val="0"/>
      </c:catAx>
      <c:valAx>
        <c:axId val="7028246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首日实际曲线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'⚪关卡设计'!$N$18</c:f>
              <c:strCache>
                <c:ptCount val="1"/>
                <c:pt idx="0">
                  <c:v>兴趣曲线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'⚪关卡设计'!$M$19:$M$26</c:f>
              <c:strCache>
                <c:ptCount val="8"/>
                <c:pt idx="0">
                  <c:v>初始</c:v>
                </c:pt>
                <c:pt idx="1">
                  <c:v>新手引导</c:v>
                </c:pt>
                <c:pt idx="2">
                  <c:v>挑战关卡1</c:v>
                </c:pt>
                <c:pt idx="3">
                  <c:v>挑战关卡2</c:v>
                </c:pt>
                <c:pt idx="4">
                  <c:v>挑战关卡3</c:v>
                </c:pt>
                <c:pt idx="5">
                  <c:v>挑战关卡4</c:v>
                </c:pt>
                <c:pt idx="6">
                  <c:v>无限关卡</c:v>
                </c:pt>
                <c:pt idx="7">
                  <c:v>无限关卡</c:v>
                </c:pt>
              </c:strCache>
            </c:strRef>
          </c:cat>
          <c:val>
            <c:numRef>
              <c:f>'⚪关卡设计'!$N$19:$N$26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8-458F-B58B-5A0F3260DD50}"/>
            </c:ext>
          </c:extLst>
        </c:ser>
        <c:ser>
          <c:idx val="1"/>
          <c:order val="1"/>
          <c:tx>
            <c:strRef>
              <c:f>'⚪关卡设计'!$O$18</c:f>
              <c:strCache>
                <c:ptCount val="1"/>
                <c:pt idx="0">
                  <c:v>学习曲线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'⚪关卡设计'!$M$19:$M$26</c:f>
              <c:strCache>
                <c:ptCount val="8"/>
                <c:pt idx="0">
                  <c:v>初始</c:v>
                </c:pt>
                <c:pt idx="1">
                  <c:v>新手引导</c:v>
                </c:pt>
                <c:pt idx="2">
                  <c:v>挑战关卡1</c:v>
                </c:pt>
                <c:pt idx="3">
                  <c:v>挑战关卡2</c:v>
                </c:pt>
                <c:pt idx="4">
                  <c:v>挑战关卡3</c:v>
                </c:pt>
                <c:pt idx="5">
                  <c:v>挑战关卡4</c:v>
                </c:pt>
                <c:pt idx="6">
                  <c:v>无限关卡</c:v>
                </c:pt>
                <c:pt idx="7">
                  <c:v>无限关卡</c:v>
                </c:pt>
              </c:strCache>
            </c:strRef>
          </c:cat>
          <c:val>
            <c:numRef>
              <c:f>'⚪关卡设计'!$O$19:$O$26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8-458F-B58B-5A0F3260DD50}"/>
            </c:ext>
          </c:extLst>
        </c:ser>
        <c:ser>
          <c:idx val="2"/>
          <c:order val="2"/>
          <c:tx>
            <c:strRef>
              <c:f>'⚪关卡设计'!$P$18</c:f>
              <c:strCache>
                <c:ptCount val="1"/>
                <c:pt idx="0">
                  <c:v>难度曲线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'⚪关卡设计'!$M$19:$M$26</c:f>
              <c:strCache>
                <c:ptCount val="8"/>
                <c:pt idx="0">
                  <c:v>初始</c:v>
                </c:pt>
                <c:pt idx="1">
                  <c:v>新手引导</c:v>
                </c:pt>
                <c:pt idx="2">
                  <c:v>挑战关卡1</c:v>
                </c:pt>
                <c:pt idx="3">
                  <c:v>挑战关卡2</c:v>
                </c:pt>
                <c:pt idx="4">
                  <c:v>挑战关卡3</c:v>
                </c:pt>
                <c:pt idx="5">
                  <c:v>挑战关卡4</c:v>
                </c:pt>
                <c:pt idx="6">
                  <c:v>无限关卡</c:v>
                </c:pt>
                <c:pt idx="7">
                  <c:v>无限关卡</c:v>
                </c:pt>
              </c:strCache>
            </c:strRef>
          </c:cat>
          <c:val>
            <c:numRef>
              <c:f>'⚪关卡设计'!$P$19:$P$26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B8-458F-B58B-5A0F3260D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608256"/>
        <c:axId val="1201609216"/>
      </c:lineChart>
      <c:catAx>
        <c:axId val="120160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1609216"/>
        <c:crosses val="autoZero"/>
        <c:auto val="1"/>
        <c:lblAlgn val="ctr"/>
        <c:lblOffset val="100"/>
        <c:noMultiLvlLbl val="0"/>
      </c:catAx>
      <c:valAx>
        <c:axId val="120160921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160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赛季理想曲线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'⚪关卡设计'!$H$30</c:f>
              <c:strCache>
                <c:ptCount val="1"/>
                <c:pt idx="0">
                  <c:v>兴趣曲线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'⚪关卡设计'!$G$31:$G$38</c:f>
              <c:strCache>
                <c:ptCount val="8"/>
                <c:pt idx="0">
                  <c:v>初始</c:v>
                </c:pt>
                <c:pt idx="1">
                  <c:v>第1天</c:v>
                </c:pt>
                <c:pt idx="2">
                  <c:v>第2天</c:v>
                </c:pt>
                <c:pt idx="3">
                  <c:v>第3天</c:v>
                </c:pt>
                <c:pt idx="4">
                  <c:v>第4天</c:v>
                </c:pt>
                <c:pt idx="5">
                  <c:v>第5天</c:v>
                </c:pt>
                <c:pt idx="6">
                  <c:v>第6天</c:v>
                </c:pt>
                <c:pt idx="7">
                  <c:v>第7天</c:v>
                </c:pt>
              </c:strCache>
            </c:strRef>
          </c:cat>
          <c:val>
            <c:numRef>
              <c:f>'⚪关卡设计'!$H$31:$H$38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C-489C-92C3-6F17AB883B9B}"/>
            </c:ext>
          </c:extLst>
        </c:ser>
        <c:ser>
          <c:idx val="1"/>
          <c:order val="1"/>
          <c:tx>
            <c:strRef>
              <c:f>'⚪关卡设计'!$I$30</c:f>
              <c:strCache>
                <c:ptCount val="1"/>
                <c:pt idx="0">
                  <c:v>学习曲线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'⚪关卡设计'!$G$31:$G$38</c:f>
              <c:strCache>
                <c:ptCount val="8"/>
                <c:pt idx="0">
                  <c:v>初始</c:v>
                </c:pt>
                <c:pt idx="1">
                  <c:v>第1天</c:v>
                </c:pt>
                <c:pt idx="2">
                  <c:v>第2天</c:v>
                </c:pt>
                <c:pt idx="3">
                  <c:v>第3天</c:v>
                </c:pt>
                <c:pt idx="4">
                  <c:v>第4天</c:v>
                </c:pt>
                <c:pt idx="5">
                  <c:v>第5天</c:v>
                </c:pt>
                <c:pt idx="6">
                  <c:v>第6天</c:v>
                </c:pt>
                <c:pt idx="7">
                  <c:v>第7天</c:v>
                </c:pt>
              </c:strCache>
            </c:strRef>
          </c:cat>
          <c:val>
            <c:numRef>
              <c:f>'⚪关卡设计'!$I$31:$I$38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C-489C-92C3-6F17AB883B9B}"/>
            </c:ext>
          </c:extLst>
        </c:ser>
        <c:ser>
          <c:idx val="2"/>
          <c:order val="2"/>
          <c:tx>
            <c:strRef>
              <c:f>'⚪关卡设计'!$J$30</c:f>
              <c:strCache>
                <c:ptCount val="1"/>
                <c:pt idx="0">
                  <c:v>难度曲线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'⚪关卡设计'!$G$31:$G$38</c:f>
              <c:strCache>
                <c:ptCount val="8"/>
                <c:pt idx="0">
                  <c:v>初始</c:v>
                </c:pt>
                <c:pt idx="1">
                  <c:v>第1天</c:v>
                </c:pt>
                <c:pt idx="2">
                  <c:v>第2天</c:v>
                </c:pt>
                <c:pt idx="3">
                  <c:v>第3天</c:v>
                </c:pt>
                <c:pt idx="4">
                  <c:v>第4天</c:v>
                </c:pt>
                <c:pt idx="5">
                  <c:v>第5天</c:v>
                </c:pt>
                <c:pt idx="6">
                  <c:v>第6天</c:v>
                </c:pt>
                <c:pt idx="7">
                  <c:v>第7天</c:v>
                </c:pt>
              </c:strCache>
            </c:strRef>
          </c:cat>
          <c:val>
            <c:numRef>
              <c:f>'⚪关卡设计'!$J$31:$J$38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7C-489C-92C3-6F17AB883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80704"/>
        <c:axId val="122084544"/>
      </c:lineChart>
      <c:catAx>
        <c:axId val="12208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084544"/>
        <c:crosses val="autoZero"/>
        <c:auto val="1"/>
        <c:lblAlgn val="ctr"/>
        <c:lblOffset val="100"/>
        <c:noMultiLvlLbl val="0"/>
      </c:catAx>
      <c:valAx>
        <c:axId val="1220845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08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赛季实际曲线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'⚪关卡设计'!$N$30</c:f>
              <c:strCache>
                <c:ptCount val="1"/>
                <c:pt idx="0">
                  <c:v>兴趣曲线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'⚪关卡设计'!$M$31:$M$38</c:f>
              <c:strCache>
                <c:ptCount val="8"/>
                <c:pt idx="0">
                  <c:v>第1天</c:v>
                </c:pt>
                <c:pt idx="1">
                  <c:v>第2天</c:v>
                </c:pt>
                <c:pt idx="2">
                  <c:v>第3天</c:v>
                </c:pt>
                <c:pt idx="3">
                  <c:v>第4天</c:v>
                </c:pt>
                <c:pt idx="4">
                  <c:v>第5天</c:v>
                </c:pt>
                <c:pt idx="5">
                  <c:v>第6天</c:v>
                </c:pt>
                <c:pt idx="6">
                  <c:v>第7天</c:v>
                </c:pt>
                <c:pt idx="7">
                  <c:v>第13天</c:v>
                </c:pt>
              </c:strCache>
            </c:strRef>
          </c:cat>
          <c:val>
            <c:numRef>
              <c:f>'⚪关卡设计'!$N$31:$N$38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5-432D-8D9A-1D791374E74F}"/>
            </c:ext>
          </c:extLst>
        </c:ser>
        <c:ser>
          <c:idx val="1"/>
          <c:order val="1"/>
          <c:tx>
            <c:strRef>
              <c:f>'⚪关卡设计'!$O$30</c:f>
              <c:strCache>
                <c:ptCount val="1"/>
                <c:pt idx="0">
                  <c:v>学习曲线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'⚪关卡设计'!$M$31:$M$38</c:f>
              <c:strCache>
                <c:ptCount val="8"/>
                <c:pt idx="0">
                  <c:v>第1天</c:v>
                </c:pt>
                <c:pt idx="1">
                  <c:v>第2天</c:v>
                </c:pt>
                <c:pt idx="2">
                  <c:v>第3天</c:v>
                </c:pt>
                <c:pt idx="3">
                  <c:v>第4天</c:v>
                </c:pt>
                <c:pt idx="4">
                  <c:v>第5天</c:v>
                </c:pt>
                <c:pt idx="5">
                  <c:v>第6天</c:v>
                </c:pt>
                <c:pt idx="6">
                  <c:v>第7天</c:v>
                </c:pt>
                <c:pt idx="7">
                  <c:v>第13天</c:v>
                </c:pt>
              </c:strCache>
            </c:strRef>
          </c:cat>
          <c:val>
            <c:numRef>
              <c:f>'⚪关卡设计'!$O$31:$O$38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5-432D-8D9A-1D791374E74F}"/>
            </c:ext>
          </c:extLst>
        </c:ser>
        <c:ser>
          <c:idx val="2"/>
          <c:order val="2"/>
          <c:tx>
            <c:strRef>
              <c:f>'⚪关卡设计'!$P$30</c:f>
              <c:strCache>
                <c:ptCount val="1"/>
                <c:pt idx="0">
                  <c:v>难度曲线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'⚪关卡设计'!$M$31:$M$38</c:f>
              <c:strCache>
                <c:ptCount val="8"/>
                <c:pt idx="0">
                  <c:v>第1天</c:v>
                </c:pt>
                <c:pt idx="1">
                  <c:v>第2天</c:v>
                </c:pt>
                <c:pt idx="2">
                  <c:v>第3天</c:v>
                </c:pt>
                <c:pt idx="3">
                  <c:v>第4天</c:v>
                </c:pt>
                <c:pt idx="4">
                  <c:v>第5天</c:v>
                </c:pt>
                <c:pt idx="5">
                  <c:v>第6天</c:v>
                </c:pt>
                <c:pt idx="6">
                  <c:v>第7天</c:v>
                </c:pt>
                <c:pt idx="7">
                  <c:v>第13天</c:v>
                </c:pt>
              </c:strCache>
            </c:strRef>
          </c:cat>
          <c:val>
            <c:numRef>
              <c:f>'⚪关卡设计'!$P$31:$P$38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C5-432D-8D9A-1D791374E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95088"/>
        <c:axId val="122195568"/>
      </c:lineChart>
      <c:catAx>
        <c:axId val="12219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95568"/>
        <c:crosses val="autoZero"/>
        <c:auto val="1"/>
        <c:lblAlgn val="ctr"/>
        <c:lblOffset val="100"/>
        <c:noMultiLvlLbl val="0"/>
      </c:catAx>
      <c:valAx>
        <c:axId val="12219556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9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666750</xdr:colOff>
      <xdr:row>46</xdr:row>
      <xdr:rowOff>19051</xdr:rowOff>
    </xdr:from>
    <xdr:to>
      <xdr:col>25</xdr:col>
      <xdr:colOff>216843</xdr:colOff>
      <xdr:row>67</xdr:row>
      <xdr:rowOff>85726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1777DAC-4F1E-3A6D-1EE0-35BCE4E34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96950" y="8543926"/>
          <a:ext cx="3664893" cy="3867150"/>
        </a:xfrm>
        <a:prstGeom prst="rect">
          <a:avLst/>
        </a:prstGeom>
      </xdr:spPr>
    </xdr:pic>
    <xdr:clientData/>
  </xdr:twoCellAnchor>
  <xdr:twoCellAnchor editAs="oneCell">
    <xdr:from>
      <xdr:col>13</xdr:col>
      <xdr:colOff>542925</xdr:colOff>
      <xdr:row>46</xdr:row>
      <xdr:rowOff>1</xdr:rowOff>
    </xdr:from>
    <xdr:to>
      <xdr:col>19</xdr:col>
      <xdr:colOff>584347</xdr:colOff>
      <xdr:row>67</xdr:row>
      <xdr:rowOff>47626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FA155A0-FD9D-02E7-F122-ACE687D0E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58325" y="8524876"/>
          <a:ext cx="4156222" cy="38481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361950</xdr:colOff>
      <xdr:row>45</xdr:row>
      <xdr:rowOff>171450</xdr:rowOff>
    </xdr:from>
    <xdr:to>
      <xdr:col>31</xdr:col>
      <xdr:colOff>170729</xdr:colOff>
      <xdr:row>66</xdr:row>
      <xdr:rowOff>158588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89BE616F-B49B-C78D-2DC4-1F3A2BE17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06950" y="8515350"/>
          <a:ext cx="3923579" cy="3787613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45</xdr:row>
      <xdr:rowOff>171450</xdr:rowOff>
    </xdr:from>
    <xdr:to>
      <xdr:col>13</xdr:col>
      <xdr:colOff>540408</xdr:colOff>
      <xdr:row>81</xdr:row>
      <xdr:rowOff>119979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7A6B6770-FF92-8486-09A3-9CFCB8E32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76975" y="8515350"/>
          <a:ext cx="3178833" cy="64636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182657</xdr:colOff>
      <xdr:row>42</xdr:row>
      <xdr:rowOff>121864</xdr:rowOff>
    </xdr:from>
    <xdr:to>
      <xdr:col>11</xdr:col>
      <xdr:colOff>569820</xdr:colOff>
      <xdr:row>57</xdr:row>
      <xdr:rowOff>148758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546F813-282F-4650-D513-E517CBA3D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117102</xdr:colOff>
      <xdr:row>42</xdr:row>
      <xdr:rowOff>133070</xdr:rowOff>
    </xdr:from>
    <xdr:to>
      <xdr:col>17</xdr:col>
      <xdr:colOff>1257861</xdr:colOff>
      <xdr:row>57</xdr:row>
      <xdr:rowOff>159964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9A684A7-CB34-7184-9C98-ED10DD997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151279</xdr:colOff>
      <xdr:row>59</xdr:row>
      <xdr:rowOff>73959</xdr:rowOff>
    </xdr:from>
    <xdr:to>
      <xdr:col>11</xdr:col>
      <xdr:colOff>621926</xdr:colOff>
      <xdr:row>74</xdr:row>
      <xdr:rowOff>127747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E306D01-AC41-2732-0CA5-B4F26D6E5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117662</xdr:colOff>
      <xdr:row>59</xdr:row>
      <xdr:rowOff>73959</xdr:rowOff>
    </xdr:from>
    <xdr:to>
      <xdr:col>17</xdr:col>
      <xdr:colOff>1271868</xdr:colOff>
      <xdr:row>74</xdr:row>
      <xdr:rowOff>127747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6FC08BA-271B-7BB3-EAC5-F601C7643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#ref=propertyType@UnitPropertyCfgCategory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mailto:string#ref=waveRule@TowerDefense_MonsterWaveCallRuleCfgCategory" TargetMode="External"/><Relationship Id="rId1" Type="http://schemas.openxmlformats.org/officeDocument/2006/relationships/hyperlink" Target="mailto:string#ref=waveRule@TowerDefense_MonsterWaveCallRuleCfgCategory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5"/>
  <sheetViews>
    <sheetView showGridLines="0" workbookViewId="0">
      <selection activeCell="C87" sqref="C87"/>
    </sheetView>
  </sheetViews>
  <sheetFormatPr defaultColWidth="9" defaultRowHeight="14.25" x14ac:dyDescent="0.2"/>
  <cols>
    <col min="1" max="16384" width="9" style="6"/>
  </cols>
  <sheetData>
    <row r="1" spans="1:6" ht="19.5" x14ac:dyDescent="0.3">
      <c r="A1" s="1" t="s">
        <v>0</v>
      </c>
    </row>
    <row r="2" spans="1:6" x14ac:dyDescent="0.2">
      <c r="A2" s="179" t="s">
        <v>8</v>
      </c>
      <c r="B2" s="12" t="s">
        <v>5</v>
      </c>
      <c r="C2" s="13"/>
      <c r="D2" s="13"/>
      <c r="E2" s="13"/>
      <c r="F2" s="14"/>
    </row>
    <row r="3" spans="1:6" x14ac:dyDescent="0.2">
      <c r="A3" s="180"/>
      <c r="B3" s="12" t="s">
        <v>6</v>
      </c>
      <c r="C3" s="13"/>
      <c r="D3" s="13"/>
      <c r="E3" s="13"/>
      <c r="F3" s="14"/>
    </row>
    <row r="5" spans="1:6" x14ac:dyDescent="0.2">
      <c r="A5" s="179" t="s">
        <v>7</v>
      </c>
      <c r="B5" s="15" t="s">
        <v>2</v>
      </c>
      <c r="C5" s="16"/>
      <c r="D5" s="17"/>
    </row>
    <row r="6" spans="1:6" x14ac:dyDescent="0.2">
      <c r="A6" s="181"/>
      <c r="B6" s="18" t="s">
        <v>3</v>
      </c>
      <c r="C6" s="19"/>
      <c r="D6" s="20"/>
    </row>
    <row r="7" spans="1:6" x14ac:dyDescent="0.2">
      <c r="A7" s="181"/>
      <c r="B7" s="21" t="s">
        <v>19</v>
      </c>
      <c r="C7" s="22"/>
      <c r="D7" s="23"/>
    </row>
    <row r="8" spans="1:6" x14ac:dyDescent="0.2">
      <c r="A8" s="180"/>
      <c r="B8" s="24" t="s">
        <v>4</v>
      </c>
      <c r="C8" s="25"/>
      <c r="D8" s="26"/>
    </row>
    <row r="10" spans="1:6" ht="19.5" x14ac:dyDescent="0.3">
      <c r="A10" s="1" t="s">
        <v>1</v>
      </c>
    </row>
    <row r="11" spans="1:6" x14ac:dyDescent="0.2">
      <c r="A11" s="2" t="s">
        <v>20</v>
      </c>
      <c r="B11" s="2" t="s">
        <v>21</v>
      </c>
      <c r="C11" s="2" t="s">
        <v>22</v>
      </c>
      <c r="D11" s="2" t="s">
        <v>23</v>
      </c>
    </row>
    <row r="12" spans="1:6" x14ac:dyDescent="0.2">
      <c r="A12" s="178" t="s">
        <v>9</v>
      </c>
      <c r="B12" s="175" t="s">
        <v>10</v>
      </c>
      <c r="C12" s="2" t="s">
        <v>25</v>
      </c>
      <c r="D12" s="42" t="s">
        <v>81</v>
      </c>
    </row>
    <row r="13" spans="1:6" x14ac:dyDescent="0.2">
      <c r="A13" s="178"/>
      <c r="B13" s="176"/>
      <c r="C13" s="2" t="s">
        <v>18</v>
      </c>
      <c r="D13" s="42" t="s">
        <v>18</v>
      </c>
    </row>
    <row r="14" spans="1:6" x14ac:dyDescent="0.2">
      <c r="A14" s="178"/>
      <c r="B14" s="176"/>
      <c r="C14" s="175" t="s">
        <v>16</v>
      </c>
      <c r="D14" s="27" t="s">
        <v>17</v>
      </c>
    </row>
    <row r="15" spans="1:6" x14ac:dyDescent="0.2">
      <c r="A15" s="178"/>
      <c r="B15" s="176"/>
      <c r="C15" s="176"/>
      <c r="D15" s="27" t="s">
        <v>12</v>
      </c>
    </row>
    <row r="16" spans="1:6" x14ac:dyDescent="0.2">
      <c r="A16" s="178"/>
      <c r="B16" s="176"/>
      <c r="C16" s="176"/>
      <c r="D16" s="42" t="s">
        <v>13</v>
      </c>
    </row>
    <row r="17" spans="1:20" x14ac:dyDescent="0.2">
      <c r="A17" s="178"/>
      <c r="B17" s="177"/>
      <c r="C17" s="177"/>
      <c r="D17" s="27" t="s">
        <v>14</v>
      </c>
    </row>
    <row r="18" spans="1:20" x14ac:dyDescent="0.2">
      <c r="A18" s="178"/>
      <c r="B18" s="2" t="s">
        <v>11</v>
      </c>
      <c r="C18" s="2"/>
      <c r="D18" s="27" t="s">
        <v>15</v>
      </c>
    </row>
    <row r="19" spans="1:20" x14ac:dyDescent="0.2">
      <c r="A19" s="178"/>
      <c r="B19" s="2" t="s">
        <v>866</v>
      </c>
      <c r="C19" s="2" t="s">
        <v>865</v>
      </c>
      <c r="D19" s="27"/>
    </row>
    <row r="21" spans="1:20" ht="19.5" x14ac:dyDescent="0.3">
      <c r="A21" s="1" t="s">
        <v>1211</v>
      </c>
    </row>
    <row r="22" spans="1:20" x14ac:dyDescent="0.2">
      <c r="A22" s="3" t="s">
        <v>1212</v>
      </c>
    </row>
    <row r="23" spans="1:20" x14ac:dyDescent="0.2">
      <c r="A23" s="6" t="s">
        <v>1213</v>
      </c>
      <c r="B23" s="6" t="s">
        <v>1229</v>
      </c>
      <c r="C23" s="6" t="s">
        <v>1216</v>
      </c>
      <c r="D23" s="6" t="s">
        <v>1249</v>
      </c>
      <c r="K23" s="6" t="s">
        <v>1755</v>
      </c>
    </row>
    <row r="24" spans="1:20" x14ac:dyDescent="0.2">
      <c r="A24" s="6" t="s">
        <v>1217</v>
      </c>
      <c r="B24" s="6" t="s">
        <v>1218</v>
      </c>
      <c r="C24" s="129" t="s">
        <v>1219</v>
      </c>
      <c r="D24" s="129"/>
      <c r="E24" s="129"/>
      <c r="K24" s="6" t="s">
        <v>1756</v>
      </c>
    </row>
    <row r="25" spans="1:20" s="127" customFormat="1" x14ac:dyDescent="0.2">
      <c r="A25" s="114" t="s">
        <v>1220</v>
      </c>
      <c r="B25" s="114" t="s">
        <v>1221</v>
      </c>
      <c r="C25" s="127" t="s">
        <v>1222</v>
      </c>
      <c r="L25" s="127" t="s">
        <v>1757</v>
      </c>
    </row>
    <row r="26" spans="1:20" x14ac:dyDescent="0.2">
      <c r="A26" s="114"/>
      <c r="B26" s="114"/>
      <c r="D26" s="127" t="s">
        <v>1251</v>
      </c>
      <c r="L26" s="6" t="s">
        <v>1758</v>
      </c>
    </row>
    <row r="27" spans="1:20" x14ac:dyDescent="0.2">
      <c r="D27" s="127" t="s">
        <v>1250</v>
      </c>
    </row>
    <row r="28" spans="1:20" x14ac:dyDescent="0.2">
      <c r="D28" s="127" t="s">
        <v>1257</v>
      </c>
    </row>
    <row r="30" spans="1:20" x14ac:dyDescent="0.2">
      <c r="A30" s="114" t="s">
        <v>1214</v>
      </c>
      <c r="B30" s="114" t="s">
        <v>1229</v>
      </c>
      <c r="C30" s="6" t="s">
        <v>1216</v>
      </c>
      <c r="D30" s="114" t="s">
        <v>1249</v>
      </c>
    </row>
    <row r="31" spans="1:20" x14ac:dyDescent="0.2">
      <c r="A31" s="114" t="s">
        <v>1225</v>
      </c>
      <c r="B31" s="114" t="s">
        <v>1223</v>
      </c>
      <c r="C31" s="129" t="s">
        <v>1224</v>
      </c>
      <c r="D31" s="129"/>
    </row>
    <row r="32" spans="1:20" x14ac:dyDescent="0.2">
      <c r="A32" s="114"/>
      <c r="B32" s="114"/>
      <c r="C32" s="127"/>
      <c r="D32" s="6" t="s">
        <v>1252</v>
      </c>
      <c r="T32" s="3" t="s">
        <v>1278</v>
      </c>
    </row>
    <row r="33" spans="1:20" x14ac:dyDescent="0.2">
      <c r="A33" s="114"/>
      <c r="B33" s="114"/>
      <c r="C33" s="127"/>
      <c r="D33" s="6" t="s">
        <v>1253</v>
      </c>
      <c r="K33" s="6" t="s">
        <v>1261</v>
      </c>
      <c r="L33" s="6" t="s">
        <v>1262</v>
      </c>
      <c r="M33" s="6" t="s">
        <v>1263</v>
      </c>
      <c r="O33" s="6" t="s">
        <v>1271</v>
      </c>
      <c r="P33" s="6" t="s">
        <v>1269</v>
      </c>
      <c r="T33" s="6" t="s">
        <v>1306</v>
      </c>
    </row>
    <row r="34" spans="1:20" x14ac:dyDescent="0.2">
      <c r="A34" s="114"/>
      <c r="B34" s="114"/>
      <c r="C34" s="127"/>
      <c r="D34" s="6" t="s">
        <v>1255</v>
      </c>
      <c r="E34" s="6" t="s">
        <v>1254</v>
      </c>
      <c r="K34" s="6" t="s">
        <v>1270</v>
      </c>
      <c r="L34" s="6" t="s">
        <v>1268</v>
      </c>
      <c r="M34" s="6" t="s">
        <v>1104</v>
      </c>
      <c r="O34" s="6" t="s">
        <v>1272</v>
      </c>
      <c r="P34" s="6" t="s">
        <v>1104</v>
      </c>
      <c r="Q34" s="6" t="s">
        <v>1267</v>
      </c>
      <c r="T34" s="6" t="s">
        <v>1303</v>
      </c>
    </row>
    <row r="35" spans="1:20" x14ac:dyDescent="0.2">
      <c r="A35" s="114"/>
      <c r="B35" s="114"/>
      <c r="C35" s="127"/>
      <c r="D35" s="6" t="s">
        <v>1258</v>
      </c>
      <c r="K35" s="6" t="s">
        <v>1264</v>
      </c>
      <c r="L35" s="6" t="s">
        <v>1267</v>
      </c>
      <c r="M35" s="6" t="s">
        <v>1269</v>
      </c>
      <c r="O35" s="6" t="s">
        <v>1273</v>
      </c>
      <c r="P35" s="6" t="s">
        <v>1262</v>
      </c>
      <c r="Q35" s="6" t="s">
        <v>1263</v>
      </c>
      <c r="R35" s="6" t="s">
        <v>1267</v>
      </c>
      <c r="S35" s="6" t="s">
        <v>1269</v>
      </c>
      <c r="T35" s="6" t="s">
        <v>1300</v>
      </c>
    </row>
    <row r="36" spans="1:20" x14ac:dyDescent="0.2">
      <c r="A36" s="114"/>
      <c r="B36" s="114"/>
      <c r="C36" s="127"/>
      <c r="K36" s="6" t="s">
        <v>1265</v>
      </c>
      <c r="L36" s="6" t="s">
        <v>1266</v>
      </c>
      <c r="M36" s="6" t="s">
        <v>875</v>
      </c>
      <c r="O36" s="6" t="s">
        <v>1274</v>
      </c>
      <c r="P36" s="6" t="s">
        <v>1275</v>
      </c>
      <c r="Q36" s="6" t="s">
        <v>1268</v>
      </c>
      <c r="T36" s="3" t="s">
        <v>1301</v>
      </c>
    </row>
    <row r="37" spans="1:20" x14ac:dyDescent="0.2">
      <c r="A37" s="114" t="s">
        <v>1226</v>
      </c>
      <c r="B37" s="114" t="s">
        <v>1227</v>
      </c>
      <c r="C37" s="114" t="s">
        <v>1228</v>
      </c>
      <c r="O37" s="6" t="s">
        <v>1276</v>
      </c>
      <c r="T37" s="6" t="s">
        <v>1302</v>
      </c>
    </row>
    <row r="38" spans="1:20" x14ac:dyDescent="0.2">
      <c r="A38" s="114"/>
      <c r="B38" s="114" t="s">
        <v>1230</v>
      </c>
      <c r="C38" s="127" t="s">
        <v>1231</v>
      </c>
      <c r="O38" s="6" t="s">
        <v>1277</v>
      </c>
      <c r="T38" s="6" t="s">
        <v>1304</v>
      </c>
    </row>
    <row r="39" spans="1:20" x14ac:dyDescent="0.2">
      <c r="A39" s="114"/>
      <c r="B39" s="114"/>
      <c r="C39" s="127"/>
      <c r="T39" s="6" t="s">
        <v>1305</v>
      </c>
    </row>
    <row r="40" spans="1:20" x14ac:dyDescent="0.2">
      <c r="A40" s="114"/>
      <c r="B40" s="114" t="s">
        <v>1232</v>
      </c>
      <c r="C40" s="127" t="s">
        <v>1233</v>
      </c>
      <c r="T40" s="6" t="s">
        <v>1307</v>
      </c>
    </row>
    <row r="41" spans="1:20" x14ac:dyDescent="0.2">
      <c r="A41" s="114"/>
      <c r="B41" s="114"/>
      <c r="C41" s="127" t="s">
        <v>1256</v>
      </c>
      <c r="T41" s="3" t="s">
        <v>1309</v>
      </c>
    </row>
    <row r="42" spans="1:20" x14ac:dyDescent="0.2">
      <c r="A42" s="114"/>
      <c r="B42" s="114"/>
      <c r="C42" s="127"/>
      <c r="T42" s="3" t="s">
        <v>1310</v>
      </c>
    </row>
    <row r="43" spans="1:20" x14ac:dyDescent="0.2">
      <c r="A43" s="114"/>
      <c r="B43" s="114"/>
      <c r="T43" s="6" t="s">
        <v>1308</v>
      </c>
    </row>
    <row r="44" spans="1:20" x14ac:dyDescent="0.2">
      <c r="A44" s="114" t="s">
        <v>1215</v>
      </c>
      <c r="B44" s="114" t="s">
        <v>1229</v>
      </c>
      <c r="C44" s="6" t="s">
        <v>1216</v>
      </c>
    </row>
    <row r="45" spans="1:20" x14ac:dyDescent="0.2">
      <c r="A45" s="114" t="s">
        <v>1234</v>
      </c>
      <c r="B45" s="114" t="s">
        <v>1235</v>
      </c>
      <c r="C45" s="127" t="s">
        <v>1239</v>
      </c>
    </row>
    <row r="46" spans="1:20" x14ac:dyDescent="0.2">
      <c r="A46" s="114" t="s">
        <v>1236</v>
      </c>
      <c r="B46" s="114" t="s">
        <v>1237</v>
      </c>
      <c r="C46" s="127" t="s">
        <v>1238</v>
      </c>
    </row>
    <row r="48" spans="1:20" x14ac:dyDescent="0.2">
      <c r="C48" s="6" t="s">
        <v>9</v>
      </c>
    </row>
    <row r="49" spans="3:9" x14ac:dyDescent="0.2">
      <c r="C49" s="6" t="s">
        <v>1105</v>
      </c>
      <c r="D49" s="6" t="s">
        <v>1281</v>
      </c>
      <c r="I49" s="6" t="s">
        <v>1279</v>
      </c>
    </row>
    <row r="50" spans="3:9" x14ac:dyDescent="0.2">
      <c r="D50" s="6" t="s">
        <v>1282</v>
      </c>
    </row>
    <row r="51" spans="3:9" x14ac:dyDescent="0.2">
      <c r="D51" s="6" t="s">
        <v>1283</v>
      </c>
    </row>
    <row r="53" spans="3:9" x14ac:dyDescent="0.2">
      <c r="C53" s="6" t="s">
        <v>1280</v>
      </c>
      <c r="D53" s="6" t="s">
        <v>1284</v>
      </c>
    </row>
    <row r="54" spans="3:9" x14ac:dyDescent="0.2">
      <c r="D54" s="6" t="s">
        <v>1285</v>
      </c>
    </row>
    <row r="55" spans="3:9" x14ac:dyDescent="0.2">
      <c r="D55" s="6" t="s">
        <v>1288</v>
      </c>
    </row>
    <row r="56" spans="3:9" x14ac:dyDescent="0.2">
      <c r="D56" s="6" t="s">
        <v>1287</v>
      </c>
    </row>
    <row r="59" spans="3:9" x14ac:dyDescent="0.2">
      <c r="C59" s="6" t="s">
        <v>1291</v>
      </c>
      <c r="D59" s="6" t="s">
        <v>1294</v>
      </c>
    </row>
    <row r="60" spans="3:9" x14ac:dyDescent="0.2">
      <c r="D60" s="6" t="s">
        <v>1289</v>
      </c>
    </row>
    <row r="61" spans="3:9" x14ac:dyDescent="0.2">
      <c r="D61" s="6" t="s">
        <v>1295</v>
      </c>
    </row>
    <row r="62" spans="3:9" x14ac:dyDescent="0.2">
      <c r="C62" s="6" t="s">
        <v>1292</v>
      </c>
      <c r="D62" s="6" t="s">
        <v>1286</v>
      </c>
    </row>
    <row r="63" spans="3:9" x14ac:dyDescent="0.2">
      <c r="D63" s="6" t="s">
        <v>1290</v>
      </c>
    </row>
    <row r="64" spans="3:9" x14ac:dyDescent="0.2">
      <c r="D64" s="6" t="s">
        <v>1296</v>
      </c>
    </row>
    <row r="65" spans="3:4" x14ac:dyDescent="0.2">
      <c r="C65" s="6" t="s">
        <v>1293</v>
      </c>
      <c r="D65" s="6" t="s">
        <v>1297</v>
      </c>
    </row>
    <row r="66" spans="3:4" x14ac:dyDescent="0.2">
      <c r="D66" s="6" t="s">
        <v>1298</v>
      </c>
    </row>
    <row r="67" spans="3:4" x14ac:dyDescent="0.2">
      <c r="D67" s="6" t="s">
        <v>1299</v>
      </c>
    </row>
    <row r="81" spans="1:3" x14ac:dyDescent="0.2">
      <c r="A81" s="128" t="s">
        <v>1240</v>
      </c>
    </row>
    <row r="82" spans="1:3" x14ac:dyDescent="0.2">
      <c r="A82" s="114" t="s">
        <v>1241</v>
      </c>
      <c r="B82" s="114" t="s">
        <v>1242</v>
      </c>
      <c r="C82" s="6" t="s">
        <v>1243</v>
      </c>
    </row>
    <row r="83" spans="1:3" x14ac:dyDescent="0.2">
      <c r="A83" s="114" t="s">
        <v>1244</v>
      </c>
      <c r="B83" s="114" t="s">
        <v>1245</v>
      </c>
      <c r="C83" s="127" t="s">
        <v>1246</v>
      </c>
    </row>
    <row r="84" spans="1:3" x14ac:dyDescent="0.2">
      <c r="A84" s="114" t="s">
        <v>1247</v>
      </c>
      <c r="B84" s="114" t="s">
        <v>865</v>
      </c>
      <c r="C84" s="127" t="s">
        <v>1248</v>
      </c>
    </row>
    <row r="85" spans="1:3" x14ac:dyDescent="0.2">
      <c r="A85" s="114" t="s">
        <v>1259</v>
      </c>
      <c r="B85" s="114" t="s">
        <v>1260</v>
      </c>
    </row>
  </sheetData>
  <mergeCells count="5">
    <mergeCell ref="C14:C17"/>
    <mergeCell ref="A12:A19"/>
    <mergeCell ref="A2:A3"/>
    <mergeCell ref="A5:A8"/>
    <mergeCell ref="B12:B17"/>
  </mergeCells>
  <phoneticPr fontId="4" type="noConversion"/>
  <hyperlinks>
    <hyperlink ref="A12:A19" location="设计!A1" display="设计" xr:uid="{9065A2BB-1888-44EA-99DB-471ED5F70E19}"/>
    <hyperlink ref="B7" location="概述!A1" display="此为链接" xr:uid="{AE3C07BB-78D3-422E-81B2-2EC613EA13A2}"/>
    <hyperlink ref="A13" location="设计!A1" display="设计" xr:uid="{9551BCA8-2975-43F1-8C4E-C58E710BFEF7}"/>
    <hyperlink ref="D12" location="战斗节奏!A1" display="战斗节奏" xr:uid="{4A920A39-9F2B-42B0-99EE-C82644AAE68A}"/>
    <hyperlink ref="D13" location="防御塔!A1" display="防御塔" xr:uid="{C0287701-1C83-4392-9EA9-D8783FC798A4}"/>
    <hyperlink ref="D16" location="无限模式!A1" display="无限模式" xr:uid="{9589CF3D-FADF-4BF7-A82A-0BF21CE6771E}"/>
    <hyperlink ref="A18" location="设计!A1" display="设计" xr:uid="{21248C4B-18BA-4499-8A28-9AE59511C028}"/>
  </hyperlink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632A0-D707-4FA2-9EF7-6D9F93A96B32}">
  <dimension ref="A1:X22"/>
  <sheetViews>
    <sheetView zoomScale="85" zoomScaleNormal="85" workbookViewId="0">
      <selection activeCell="B3" sqref="B3"/>
    </sheetView>
  </sheetViews>
  <sheetFormatPr defaultColWidth="9" defaultRowHeight="14.25" x14ac:dyDescent="0.2"/>
  <cols>
    <col min="1" max="4" width="9" style="66"/>
    <col min="5" max="5" width="17.75" style="94" bestFit="1" customWidth="1"/>
    <col min="6" max="9" width="9" style="66"/>
    <col min="10" max="10" width="17.75" style="66" bestFit="1" customWidth="1"/>
    <col min="11" max="14" width="9" style="66"/>
    <col min="15" max="15" width="17.75" style="94" bestFit="1" customWidth="1"/>
    <col min="16" max="16384" width="9" style="66"/>
  </cols>
  <sheetData>
    <row r="1" spans="1:24" x14ac:dyDescent="0.2">
      <c r="A1" s="190" t="s">
        <v>380</v>
      </c>
      <c r="B1" s="190" t="s">
        <v>428</v>
      </c>
      <c r="C1" s="192" t="s">
        <v>430</v>
      </c>
      <c r="D1" s="192" t="s">
        <v>396</v>
      </c>
      <c r="E1" s="190" t="s">
        <v>400</v>
      </c>
      <c r="F1" s="191"/>
      <c r="G1" s="191"/>
      <c r="H1" s="191"/>
      <c r="I1" s="191"/>
      <c r="J1" s="190" t="s">
        <v>401</v>
      </c>
      <c r="K1" s="191"/>
      <c r="L1" s="191"/>
      <c r="M1" s="191"/>
      <c r="N1" s="191"/>
      <c r="O1" s="190" t="s">
        <v>402</v>
      </c>
      <c r="P1" s="191"/>
      <c r="Q1" s="191"/>
      <c r="R1" s="191"/>
      <c r="S1" s="191"/>
      <c r="T1" s="190" t="s">
        <v>403</v>
      </c>
      <c r="U1" s="191"/>
      <c r="V1" s="191"/>
      <c r="W1" s="191"/>
      <c r="X1" s="192"/>
    </row>
    <row r="2" spans="1:24" x14ac:dyDescent="0.2">
      <c r="A2" s="193"/>
      <c r="B2" s="193"/>
      <c r="C2" s="194"/>
      <c r="D2" s="194"/>
      <c r="E2" s="93" t="s">
        <v>397</v>
      </c>
      <c r="F2" s="87" t="s">
        <v>283</v>
      </c>
      <c r="G2" s="87" t="s">
        <v>404</v>
      </c>
      <c r="H2" s="87" t="s">
        <v>398</v>
      </c>
      <c r="I2" s="87" t="s">
        <v>399</v>
      </c>
      <c r="J2" s="85" t="s">
        <v>397</v>
      </c>
      <c r="K2" s="87" t="s">
        <v>283</v>
      </c>
      <c r="L2" s="87" t="s">
        <v>404</v>
      </c>
      <c r="M2" s="87" t="s">
        <v>398</v>
      </c>
      <c r="N2" s="87" t="s">
        <v>399</v>
      </c>
      <c r="O2" s="93" t="s">
        <v>397</v>
      </c>
      <c r="P2" s="87" t="s">
        <v>283</v>
      </c>
      <c r="Q2" s="87" t="s">
        <v>404</v>
      </c>
      <c r="R2" s="87" t="s">
        <v>398</v>
      </c>
      <c r="S2" s="87" t="s">
        <v>399</v>
      </c>
      <c r="T2" s="85" t="s">
        <v>397</v>
      </c>
      <c r="U2" s="87" t="s">
        <v>283</v>
      </c>
      <c r="V2" s="87" t="s">
        <v>404</v>
      </c>
      <c r="W2" s="87" t="s">
        <v>398</v>
      </c>
      <c r="X2" s="86" t="s">
        <v>399</v>
      </c>
    </row>
    <row r="3" spans="1:24" x14ac:dyDescent="0.2">
      <c r="A3" s="84">
        <v>1</v>
      </c>
      <c r="B3" s="88">
        <f>MAX(MIN(战斗节奏!$C$3-INT(A3/'⚪设计'!$C$55),MOD(A3,'⚪设计'!$C$55)),0)*'⚪设计'!$C$79*防御塔!$C$2+MIN(INT(A3/'⚪设计'!$C$55),战斗节奏!$C$3)*'⚪设计'!$C$80*防御塔!$C$2</f>
        <v>540</v>
      </c>
      <c r="C3" s="7">
        <v>1</v>
      </c>
      <c r="D3" s="7">
        <v>10</v>
      </c>
      <c r="E3" s="71" t="str">
        <f>IF(VLOOKUP(A3,'⚪设计'!$A$327:$G$346,4,FALSE)="","",VLOOKUP(VLOOKUP(A3,'⚪设计'!$A$327:$G$346,4,FALSE),'⚪设计'!$B$85:$D$101,2,FALSE))</f>
        <v>ResUnit_MiFeng1</v>
      </c>
      <c r="F3" s="88">
        <f>IF(E3="",0,IF(G3=0,1,ROUND($D3/G3,0)))</f>
        <v>13</v>
      </c>
      <c r="G3" s="7">
        <f>'⚪设计'!H327</f>
        <v>0.75</v>
      </c>
      <c r="H3" s="88">
        <f>IF(E3="",0,ROUND(VLOOKUP($A3,'⚪设计'!$A$327:$B$346,2,FALSE)*$B3/SUM(IF($E3="",0,VLOOKUP($E3,'⚪设计'!$C$85:$E$101,3,FALSE))*$F3,IF($J3="",0,VLOOKUP($J3,'⚪设计'!$C$85:$E$101,3,FALSE))*$K3,IF($O3="",0,VLOOKUP($O3,'⚪设计'!$C$85:$E$101,3,FALSE))*$P3,IF($T3="",0,VLOOKUP($T3,'⚪设计'!$C$85:$E$101,3,FALSE))*$U3)*VLOOKUP(E3,'⚪设计'!$C$85:$E$101,3,FALSE),0))</f>
        <v>208</v>
      </c>
      <c r="I3" s="88">
        <f>ROUND(战斗节奏!$B$3/SUM(IF(线下模式!$E3="",0,VLOOKUP(线下模式!$E3,'⚪设计'!$C$85:$G$101,4,FALSE)*线下模式!$F3),IF(线下模式!$J3="",0,VLOOKUP(线下模式!$J3,'⚪设计'!$C$85:$G$101,4,FALSE)*线下模式!$K3),IF(线下模式!$O3="",0,VLOOKUP(线下模式!$O3,'⚪设计'!$C$85:$G$101,4,FALSE)*线下模式!$P3),IF(线下模式!$T3="",0,VLOOKUP(线下模式!$T3,'⚪设计'!$C$85:$G$101,4,FALSE)*线下模式!$U3))*IF(E3="",0,VLOOKUP(E3,'⚪设计'!$C$85:$G$101,4,FALSE)),0)</f>
        <v>23</v>
      </c>
      <c r="J3" s="88" t="str">
        <f>IF(VLOOKUP(A3,'⚪设计'!$A$327:$G$346,5,FALSE)="","",VLOOKUP(VLOOKUP(A3,'⚪设计'!$A$327:$G$346,5,FALSE),'⚪设计'!$B$85:$D$101,2,FALSE))</f>
        <v/>
      </c>
      <c r="K3" s="88">
        <f>IF(J3="",0,IF(L3=0,1,ROUND($D3/L3,0)))</f>
        <v>0</v>
      </c>
      <c r="L3" s="7">
        <f>'⚪设计'!I327</f>
        <v>0</v>
      </c>
      <c r="M3" s="88">
        <f>IF(J3="",0,ROUND(VLOOKUP($A3,'⚪设计'!$A$327:$B$346,2,FALSE)*$B3/SUM(IF($E3="",0,VLOOKUP($E3,'⚪设计'!$C$85:$E$101,3,FALSE))*$F3,IF($J3="",0,VLOOKUP($J3,'⚪设计'!$C$85:$E$101,3,FALSE))*$K3,IF($O3="",0,VLOOKUP($O3,'⚪设计'!$C$85:$E$101,3,FALSE))*$P3,IF($T3="",0,VLOOKUP($T3,'⚪设计'!$C$85:$E$101,3,FALSE))*$U3)*VLOOKUP(J3,'⚪设计'!$C$85:$E$101,3,FALSE),0))</f>
        <v>0</v>
      </c>
      <c r="N3" s="88">
        <f>ROUND(战斗节奏!$B$3/SUM(IF(线下模式!$E3="",0,VLOOKUP(线下模式!$E3,'⚪设计'!$C$85:$G$101,4,FALSE)*线下模式!$F3),IF(线下模式!$J3="",0,VLOOKUP(线下模式!$J3,'⚪设计'!$C$85:$G$101,4,FALSE)*线下模式!$K3),IF(线下模式!$O3="",0,VLOOKUP(线下模式!$O3,'⚪设计'!$C$85:$G$101,4,FALSE)*线下模式!$P3),IF(线下模式!$T3="",0,VLOOKUP(线下模式!$T3,'⚪设计'!$C$85:$G$101,4,FALSE)*线下模式!$U3))*IF(J3="",0,VLOOKUP(J3,'⚪设计'!$C$85:$G$101,4,FALSE)),0)</f>
        <v>0</v>
      </c>
      <c r="O3" s="71" t="str">
        <f>IF(VLOOKUP(A3,'⚪设计'!$A$327:$G$346,6,FALSE)="","",VLOOKUP(VLOOKUP(A3,'⚪设计'!$A$327:$G$346,6,FALSE),'⚪设计'!$B$85:$D$101,2,FALSE))</f>
        <v/>
      </c>
      <c r="P3" s="88">
        <f>IF(O3="",0,IF(Q3=0,1,ROUND($D3/Q3,0)))</f>
        <v>0</v>
      </c>
      <c r="Q3" s="7">
        <f>'⚪设计'!J327</f>
        <v>0</v>
      </c>
      <c r="R3" s="88">
        <f>IF(O3="",0,ROUND(VLOOKUP($A3,'⚪设计'!$A$327:$B$346,2,FALSE)*$B3/SUM(IF($E3="",0,VLOOKUP($E3,'⚪设计'!$C$85:$E$101,3,FALSE))*$F3,IF($J3="",0,VLOOKUP($J3,'⚪设计'!$C$85:$E$101,3,FALSE))*$K3,IF($O3="",0,VLOOKUP($O3,'⚪设计'!$C$85:$E$101,3,FALSE))*$P3,IF($T3="",0,VLOOKUP($T3,'⚪设计'!$C$85:$E$101,3,FALSE))*$U3)*VLOOKUP(O3,'⚪设计'!$C$85:$E$101,3,FALSE),0))</f>
        <v>0</v>
      </c>
      <c r="S3" s="88">
        <f>ROUND(战斗节奏!$B$3/SUM(IF(线下模式!$E3="",0,VLOOKUP(线下模式!$E3,'⚪设计'!$C$85:$G$101,4,FALSE)*线下模式!$F3),IF(线下模式!$J3="",0,VLOOKUP(线下模式!$J3,'⚪设计'!$C$85:$G$101,4,FALSE)*线下模式!$K3),IF(线下模式!$O3="",0,VLOOKUP(线下模式!$O3,'⚪设计'!$C$85:$G$101,4,FALSE)*线下模式!$P3),IF(线下模式!$T3="",0,VLOOKUP(线下模式!$T3,'⚪设计'!$C$85:$G$101,4,FALSE)*线下模式!$U3))*IF(O3="",0,VLOOKUP(O3,'⚪设计'!$C$85:$G$101,4,FALSE)),0)</f>
        <v>0</v>
      </c>
      <c r="T3" s="88" t="str">
        <f>IF(VLOOKUP(A3,'⚪设计'!$A$327:$G$346,7,FALSE)="","",VLOOKUP(VLOOKUP(A3,'⚪设计'!$A$327:$G$346,7,FALSE),'⚪设计'!$B$85:$D$101,2,FALSE))</f>
        <v/>
      </c>
      <c r="U3" s="88">
        <f>IF(T3="",0,IF(V3=0,1,ROUND($D3/V3,0)))</f>
        <v>0</v>
      </c>
      <c r="V3" s="7">
        <f>'⚪设计'!K327</f>
        <v>0</v>
      </c>
      <c r="W3" s="88">
        <f>IF(T3="",0,ROUND(VLOOKUP($A3,'⚪设计'!$A$327:$B$346,2,FALSE)*$B3/SUM(IF($E3="",0,VLOOKUP($E3,'⚪设计'!$C$85:$E$101,3,FALSE))*$F3,IF($J3="",0,VLOOKUP($J3,'⚪设计'!$C$85:$E$101,3,FALSE))*$K3,IF($O3="",0,VLOOKUP($O3,'⚪设计'!$C$85:$E$101,3,FALSE))*$P3,IF($T3="",0,VLOOKUP($T3,'⚪设计'!$C$85:$E$101,3,FALSE))*$U3)*VLOOKUP(T3,'⚪设计'!$C$85:$E$101,3,FALSE),0))</f>
        <v>0</v>
      </c>
      <c r="X3" s="88">
        <f>ROUND(战斗节奏!$B$3/SUM(IF(线下模式!$E3="",0,VLOOKUP(线下模式!$E3,'⚪设计'!$C$85:$G$101,4,FALSE)*线下模式!$F3),IF(线下模式!$J3="",0,VLOOKUP(线下模式!$J3,'⚪设计'!$C$85:$G$101,4,FALSE)*线下模式!$K3),IF(线下模式!$O3="",0,VLOOKUP(线下模式!$O3,'⚪设计'!$C$85:$G$101,4,FALSE)*线下模式!$P3),IF(线下模式!$T3="",0,VLOOKUP(线下模式!$T3,'⚪设计'!$C$85:$G$101,4,FALSE)*线下模式!$U3))*IF(T3="",0,VLOOKUP(T3,'⚪设计'!$C$85:$G$101,4,FALSE)),0)</f>
        <v>0</v>
      </c>
    </row>
    <row r="4" spans="1:24" x14ac:dyDescent="0.2">
      <c r="A4" s="84">
        <v>2</v>
      </c>
      <c r="B4" s="88">
        <f>MAX(MIN(战斗节奏!$C$3-INT(A4/'⚪设计'!$C$55),MOD(A4,'⚪设计'!$C$55)),0)*'⚪设计'!$C$79*防御塔!$C$2+MIN(INT(A4/'⚪设计'!$C$55),战斗节奏!$C$3)*'⚪设计'!$C$80*防御塔!$C$2</f>
        <v>1080</v>
      </c>
      <c r="C4" s="7">
        <v>1.05</v>
      </c>
      <c r="D4" s="7">
        <v>11</v>
      </c>
      <c r="E4" s="71" t="str">
        <f>IF(VLOOKUP(A4,'⚪设计'!$A$327:$G$346,4,FALSE)="","",VLOOKUP(VLOOKUP(A4,'⚪设计'!$A$327:$G$346,4,FALSE),'⚪设计'!$B$85:$D$101,2,FALSE))</f>
        <v>ResUnit_MiFeng1</v>
      </c>
      <c r="F4" s="88">
        <f t="shared" ref="F4:F22" si="0">IF(E4="",0,IF(G4=0,1,ROUND($D4/G4,0)))</f>
        <v>15</v>
      </c>
      <c r="G4" s="7">
        <f>'⚪设计'!H328</f>
        <v>0.75</v>
      </c>
      <c r="H4" s="88">
        <f>IF(E4="",0,ROUND(VLOOKUP($A4,'⚪设计'!$A$327:$B$346,2,FALSE)*$B4/SUM(IF($E4="",0,VLOOKUP($E4,'⚪设计'!$C$85:$E$101,3,FALSE))*$F4,IF($J4="",0,VLOOKUP($J4,'⚪设计'!$C$85:$E$101,3,FALSE))*$K4,IF($O4="",0,VLOOKUP($O4,'⚪设计'!$C$85:$E$101,3,FALSE))*$P4,IF($T4="",0,VLOOKUP($T4,'⚪设计'!$C$85:$E$101,3,FALSE))*$U4)*VLOOKUP(E4,'⚪设计'!$C$85:$E$101,3,FALSE),0))</f>
        <v>193</v>
      </c>
      <c r="I4" s="88">
        <f>ROUND(战斗节奏!$B$3/SUM(IF(线下模式!$E4="",0,VLOOKUP(线下模式!$E4,'⚪设计'!$C$85:$G$101,4,FALSE)*线下模式!$F4),IF(线下模式!$J4="",0,VLOOKUP(线下模式!$J4,'⚪设计'!$C$85:$G$101,4,FALSE)*线下模式!$K4),IF(线下模式!$O4="",0,VLOOKUP(线下模式!$O4,'⚪设计'!$C$85:$G$101,4,FALSE)*线下模式!$P4),IF(线下模式!$T4="",0,VLOOKUP(线下模式!$T4,'⚪设计'!$C$85:$G$101,4,FALSE)*线下模式!$U4))*IF(E4="",0,VLOOKUP(E4,'⚪设计'!$C$85:$G$101,4,FALSE)),0)</f>
        <v>7</v>
      </c>
      <c r="J4" s="88" t="str">
        <f>IF(VLOOKUP(A4,'⚪设计'!$A$327:$G$346,5,FALSE)="","",VLOOKUP(VLOOKUP(A4,'⚪设计'!$A$327:$G$346,5,FALSE),'⚪设计'!$B$85:$D$101,2,FALSE))</f>
        <v>ResUnit_MiFeng2</v>
      </c>
      <c r="K4" s="88">
        <f t="shared" ref="K4:K22" si="1">IF(J4="",0,IF(L4=0,1,ROUND($D4/L4,0)))</f>
        <v>7</v>
      </c>
      <c r="L4" s="7">
        <f>'⚪设计'!I328</f>
        <v>1.5</v>
      </c>
      <c r="M4" s="88">
        <f>IF(J4="",0,ROUND(VLOOKUP($A4,'⚪设计'!$A$327:$B$346,2,FALSE)*$B4/SUM(IF($E4="",0,VLOOKUP($E4,'⚪设计'!$C$85:$E$101,3,FALSE))*$F4,IF($J4="",0,VLOOKUP($J4,'⚪设计'!$C$85:$E$101,3,FALSE))*$K4,IF($O4="",0,VLOOKUP($O4,'⚪设计'!$C$85:$E$101,3,FALSE))*$P4,IF($T4="",0,VLOOKUP($T4,'⚪设计'!$C$85:$E$101,3,FALSE))*$U4)*VLOOKUP(J4,'⚪设计'!$C$85:$E$101,3,FALSE),0))</f>
        <v>774</v>
      </c>
      <c r="N4" s="88">
        <f>ROUND(战斗节奏!$B$3/SUM(IF(线下模式!$E4="",0,VLOOKUP(线下模式!$E4,'⚪设计'!$C$85:$G$101,4,FALSE)*线下模式!$F4),IF(线下模式!$J4="",0,VLOOKUP(线下模式!$J4,'⚪设计'!$C$85:$G$101,4,FALSE)*线下模式!$K4),IF(线下模式!$O4="",0,VLOOKUP(线下模式!$O4,'⚪设计'!$C$85:$G$101,4,FALSE)*线下模式!$P4),IF(线下模式!$T4="",0,VLOOKUP(线下模式!$T4,'⚪设计'!$C$85:$G$101,4,FALSE)*线下模式!$U4))*IF(J4="",0,VLOOKUP(J4,'⚪设计'!$C$85:$G$101,4,FALSE)),0)</f>
        <v>28</v>
      </c>
      <c r="O4" s="71" t="str">
        <f>IF(VLOOKUP(A4,'⚪设计'!$A$327:$G$346,6,FALSE)="","",VLOOKUP(VLOOKUP(A4,'⚪设计'!$A$327:$G$346,6,FALSE),'⚪设计'!$B$85:$D$101,2,FALSE))</f>
        <v/>
      </c>
      <c r="P4" s="88">
        <f t="shared" ref="P4:P22" si="2">IF(O4="",0,IF(Q4=0,1,ROUND($D4/Q4,0)))</f>
        <v>0</v>
      </c>
      <c r="Q4" s="7">
        <f>'⚪设计'!J328</f>
        <v>0</v>
      </c>
      <c r="R4" s="88">
        <f>IF(O4="",0,ROUND(VLOOKUP($A4,'⚪设计'!$A$327:$B$346,2,FALSE)*$B4/SUM(IF($E4="",0,VLOOKUP($E4,'⚪设计'!$C$85:$E$101,3,FALSE))*$F4,IF($J4="",0,VLOOKUP($J4,'⚪设计'!$C$85:$E$101,3,FALSE))*$K4,IF($O4="",0,VLOOKUP($O4,'⚪设计'!$C$85:$E$101,3,FALSE))*$P4,IF($T4="",0,VLOOKUP($T4,'⚪设计'!$C$85:$E$101,3,FALSE))*$U4)*VLOOKUP(O4,'⚪设计'!$C$85:$E$101,3,FALSE),0))</f>
        <v>0</v>
      </c>
      <c r="S4" s="88">
        <f>ROUND(战斗节奏!$B$3/SUM(IF(线下模式!$E4="",0,VLOOKUP(线下模式!$E4,'⚪设计'!$C$85:$G$101,4,FALSE)*线下模式!$F4),IF(线下模式!$J4="",0,VLOOKUP(线下模式!$J4,'⚪设计'!$C$85:$G$101,4,FALSE)*线下模式!$K4),IF(线下模式!$O4="",0,VLOOKUP(线下模式!$O4,'⚪设计'!$C$85:$G$101,4,FALSE)*线下模式!$P4),IF(线下模式!$T4="",0,VLOOKUP(线下模式!$T4,'⚪设计'!$C$85:$G$101,4,FALSE)*线下模式!$U4))*IF(O4="",0,VLOOKUP(O4,'⚪设计'!$C$85:$G$101,4,FALSE)),0)</f>
        <v>0</v>
      </c>
      <c r="T4" s="88" t="str">
        <f>IF(VLOOKUP(A4,'⚪设计'!$A$327:$G$346,7,FALSE)="","",VLOOKUP(VLOOKUP(A4,'⚪设计'!$A$327:$G$346,7,FALSE),'⚪设计'!$B$85:$D$101,2,FALSE))</f>
        <v/>
      </c>
      <c r="U4" s="88">
        <f t="shared" ref="U4:U22" si="3">IF(T4="",0,IF(V4=0,1,ROUND($D4/V4,0)))</f>
        <v>0</v>
      </c>
      <c r="V4" s="7">
        <f>'⚪设计'!K328</f>
        <v>0</v>
      </c>
      <c r="W4" s="88">
        <f>IF(T4="",0,ROUND(VLOOKUP($A4,'⚪设计'!$A$327:$B$346,2,FALSE)*$B4/SUM(IF($E4="",0,VLOOKUP($E4,'⚪设计'!$C$85:$E$101,3,FALSE))*$F4,IF($J4="",0,VLOOKUP($J4,'⚪设计'!$C$85:$E$101,3,FALSE))*$K4,IF($O4="",0,VLOOKUP($O4,'⚪设计'!$C$85:$E$101,3,FALSE))*$P4,IF($T4="",0,VLOOKUP($T4,'⚪设计'!$C$85:$E$101,3,FALSE))*$U4)*VLOOKUP(T4,'⚪设计'!$C$85:$E$101,3,FALSE),0))</f>
        <v>0</v>
      </c>
      <c r="X4" s="88">
        <f>ROUND(战斗节奏!$B$3/SUM(IF(线下模式!$E4="",0,VLOOKUP(线下模式!$E4,'⚪设计'!$C$85:$G$101,4,FALSE)*线下模式!$F4),IF(线下模式!$J4="",0,VLOOKUP(线下模式!$J4,'⚪设计'!$C$85:$G$101,4,FALSE)*线下模式!$K4),IF(线下模式!$O4="",0,VLOOKUP(线下模式!$O4,'⚪设计'!$C$85:$G$101,4,FALSE)*线下模式!$P4),IF(线下模式!$T4="",0,VLOOKUP(线下模式!$T4,'⚪设计'!$C$85:$G$101,4,FALSE)*线下模式!$U4))*IF(T4="",0,VLOOKUP(T4,'⚪设计'!$C$85:$G$101,4,FALSE)),0)</f>
        <v>0</v>
      </c>
    </row>
    <row r="5" spans="1:24" x14ac:dyDescent="0.2">
      <c r="A5" s="84">
        <v>3</v>
      </c>
      <c r="B5" s="88">
        <f>MAX(MIN(战斗节奏!$C$3-INT(A5/'⚪设计'!$C$55),MOD(A5,'⚪设计'!$C$55)),0)*'⚪设计'!$C$79*防御塔!$C$2+MIN(INT(A5/'⚪设计'!$C$55),战斗节奏!$C$3)*'⚪设计'!$C$80*防御塔!$C$2</f>
        <v>1620</v>
      </c>
      <c r="C5" s="7">
        <v>1.1000000000000001</v>
      </c>
      <c r="D5" s="7">
        <v>12</v>
      </c>
      <c r="E5" s="71" t="str">
        <f>IF(VLOOKUP(A5,'⚪设计'!$A$327:$G$346,4,FALSE)="","",VLOOKUP(VLOOKUP(A5,'⚪设计'!$A$327:$G$346,4,FALSE),'⚪设计'!$B$85:$D$101,2,FALSE))</f>
        <v>ResUnit_MiFeng2</v>
      </c>
      <c r="F5" s="88">
        <f t="shared" si="0"/>
        <v>8</v>
      </c>
      <c r="G5" s="7">
        <f>'⚪设计'!H329</f>
        <v>1.5</v>
      </c>
      <c r="H5" s="88">
        <f>IF(E5="",0,ROUND(VLOOKUP($A5,'⚪设计'!$A$327:$B$346,2,FALSE)*$B5/SUM(IF($E5="",0,VLOOKUP($E5,'⚪设计'!$C$85:$E$101,3,FALSE))*$F5,IF($J5="",0,VLOOKUP($J5,'⚪设计'!$C$85:$E$101,3,FALSE))*$K5,IF($O5="",0,VLOOKUP($O5,'⚪设计'!$C$85:$E$101,3,FALSE))*$P5,IF($T5="",0,VLOOKUP($T5,'⚪设计'!$C$85:$E$101,3,FALSE))*$U5)*VLOOKUP(E5,'⚪设计'!$C$85:$E$101,3,FALSE),0))</f>
        <v>733</v>
      </c>
      <c r="I5" s="88">
        <f>ROUND(战斗节奏!$B$3/SUM(IF(线下模式!$E5="",0,VLOOKUP(线下模式!$E5,'⚪设计'!$C$85:$G$101,4,FALSE)*线下模式!$F5),IF(线下模式!$J5="",0,VLOOKUP(线下模式!$J5,'⚪设计'!$C$85:$G$101,4,FALSE)*线下模式!$K5),IF(线下模式!$O5="",0,VLOOKUP(线下模式!$O5,'⚪设计'!$C$85:$G$101,4,FALSE)*线下模式!$P5),IF(线下模式!$T5="",0,VLOOKUP(线下模式!$T5,'⚪设计'!$C$85:$G$101,4,FALSE)*线下模式!$U5))*IF(E5="",0,VLOOKUP(E5,'⚪设计'!$C$85:$G$101,4,FALSE)),0)</f>
        <v>13</v>
      </c>
      <c r="J5" s="88" t="str">
        <f>IF(VLOOKUP(A5,'⚪设计'!$A$327:$G$346,5,FALSE)="","",VLOOKUP(VLOOKUP(A5,'⚪设计'!$A$327:$G$346,5,FALSE),'⚪设计'!$B$85:$D$101,2,FALSE))</f>
        <v>ResUnit_BianFu1</v>
      </c>
      <c r="K5" s="88">
        <f t="shared" si="1"/>
        <v>60</v>
      </c>
      <c r="L5" s="7">
        <f>'⚪设计'!I329</f>
        <v>0.2</v>
      </c>
      <c r="M5" s="88">
        <f>IF(J5="",0,ROUND(VLOOKUP($A5,'⚪设计'!$A$327:$B$346,2,FALSE)*$B5/SUM(IF($E5="",0,VLOOKUP($E5,'⚪设计'!$C$85:$E$101,3,FALSE))*$F5,IF($J5="",0,VLOOKUP($J5,'⚪设计'!$C$85:$E$101,3,FALSE))*$K5,IF($O5="",0,VLOOKUP($O5,'⚪设计'!$C$85:$E$101,3,FALSE))*$P5,IF($T5="",0,VLOOKUP($T5,'⚪设计'!$C$85:$E$101,3,FALSE))*$U5)*VLOOKUP(J5,'⚪设计'!$C$85:$E$101,3,FALSE),0))</f>
        <v>183</v>
      </c>
      <c r="N5" s="88">
        <f>ROUND(战斗节奏!$B$3/SUM(IF(线下模式!$E5="",0,VLOOKUP(线下模式!$E5,'⚪设计'!$C$85:$G$101,4,FALSE)*线下模式!$F5),IF(线下模式!$J5="",0,VLOOKUP(线下模式!$J5,'⚪设计'!$C$85:$G$101,4,FALSE)*线下模式!$K5),IF(线下模式!$O5="",0,VLOOKUP(线下模式!$O5,'⚪设计'!$C$85:$G$101,4,FALSE)*线下模式!$P5),IF(线下模式!$T5="",0,VLOOKUP(线下模式!$T5,'⚪设计'!$C$85:$G$101,4,FALSE)*线下模式!$U5))*IF(J5="",0,VLOOKUP(J5,'⚪设计'!$C$85:$G$101,4,FALSE)),0)</f>
        <v>3</v>
      </c>
      <c r="O5" s="71" t="str">
        <f>IF(VLOOKUP(A5,'⚪设计'!$A$327:$G$346,6,FALSE)="","",VLOOKUP(VLOOKUP(A5,'⚪设计'!$A$327:$G$346,6,FALSE),'⚪设计'!$B$85:$D$101,2,FALSE))</f>
        <v/>
      </c>
      <c r="P5" s="88">
        <f t="shared" si="2"/>
        <v>0</v>
      </c>
      <c r="Q5" s="7">
        <f>'⚪设计'!J329</f>
        <v>0</v>
      </c>
      <c r="R5" s="88">
        <f>IF(O5="",0,ROUND(VLOOKUP($A5,'⚪设计'!$A$327:$B$346,2,FALSE)*$B5/SUM(IF($E5="",0,VLOOKUP($E5,'⚪设计'!$C$85:$E$101,3,FALSE))*$F5,IF($J5="",0,VLOOKUP($J5,'⚪设计'!$C$85:$E$101,3,FALSE))*$K5,IF($O5="",0,VLOOKUP($O5,'⚪设计'!$C$85:$E$101,3,FALSE))*$P5,IF($T5="",0,VLOOKUP($T5,'⚪设计'!$C$85:$E$101,3,FALSE))*$U5)*VLOOKUP(O5,'⚪设计'!$C$85:$E$101,3,FALSE),0))</f>
        <v>0</v>
      </c>
      <c r="S5" s="88">
        <f>ROUND(战斗节奏!$B$3/SUM(IF(线下模式!$E5="",0,VLOOKUP(线下模式!$E5,'⚪设计'!$C$85:$G$101,4,FALSE)*线下模式!$F5),IF(线下模式!$J5="",0,VLOOKUP(线下模式!$J5,'⚪设计'!$C$85:$G$101,4,FALSE)*线下模式!$K5),IF(线下模式!$O5="",0,VLOOKUP(线下模式!$O5,'⚪设计'!$C$85:$G$101,4,FALSE)*线下模式!$P5),IF(线下模式!$T5="",0,VLOOKUP(线下模式!$T5,'⚪设计'!$C$85:$G$101,4,FALSE)*线下模式!$U5))*IF(O5="",0,VLOOKUP(O5,'⚪设计'!$C$85:$G$101,4,FALSE)),0)</f>
        <v>0</v>
      </c>
      <c r="T5" s="88" t="str">
        <f>IF(VLOOKUP(A5,'⚪设计'!$A$327:$G$346,7,FALSE)="","",VLOOKUP(VLOOKUP(A5,'⚪设计'!$A$327:$G$346,7,FALSE),'⚪设计'!$B$85:$D$101,2,FALSE))</f>
        <v/>
      </c>
      <c r="U5" s="88">
        <f t="shared" si="3"/>
        <v>0</v>
      </c>
      <c r="V5" s="7">
        <f>'⚪设计'!K329</f>
        <v>0</v>
      </c>
      <c r="W5" s="88">
        <f>IF(T5="",0,ROUND(VLOOKUP($A5,'⚪设计'!$A$327:$B$346,2,FALSE)*$B5/SUM(IF($E5="",0,VLOOKUP($E5,'⚪设计'!$C$85:$E$101,3,FALSE))*$F5,IF($J5="",0,VLOOKUP($J5,'⚪设计'!$C$85:$E$101,3,FALSE))*$K5,IF($O5="",0,VLOOKUP($O5,'⚪设计'!$C$85:$E$101,3,FALSE))*$P5,IF($T5="",0,VLOOKUP($T5,'⚪设计'!$C$85:$E$101,3,FALSE))*$U5)*VLOOKUP(T5,'⚪设计'!$C$85:$E$101,3,FALSE),0))</f>
        <v>0</v>
      </c>
      <c r="X5" s="88">
        <f>ROUND(战斗节奏!$B$3/SUM(IF(线下模式!$E5="",0,VLOOKUP(线下模式!$E5,'⚪设计'!$C$85:$G$101,4,FALSE)*线下模式!$F5),IF(线下模式!$J5="",0,VLOOKUP(线下模式!$J5,'⚪设计'!$C$85:$G$101,4,FALSE)*线下模式!$K5),IF(线下模式!$O5="",0,VLOOKUP(线下模式!$O5,'⚪设计'!$C$85:$G$101,4,FALSE)*线下模式!$P5),IF(线下模式!$T5="",0,VLOOKUP(线下模式!$T5,'⚪设计'!$C$85:$G$101,4,FALSE)*线下模式!$U5))*IF(T5="",0,VLOOKUP(T5,'⚪设计'!$C$85:$G$101,4,FALSE)),0)</f>
        <v>0</v>
      </c>
    </row>
    <row r="6" spans="1:24" x14ac:dyDescent="0.2">
      <c r="A6" s="84">
        <v>4</v>
      </c>
      <c r="B6" s="88">
        <f>MAX(MIN(战斗节奏!$C$3-INT(A6/'⚪设计'!$C$55),MOD(A6,'⚪设计'!$C$55)),0)*'⚪设计'!$C$79*防御塔!$C$2+MIN(INT(A6/'⚪设计'!$C$55),战斗节奏!$C$3)*'⚪设计'!$C$80*防御塔!$C$2</f>
        <v>2160</v>
      </c>
      <c r="C6" s="7">
        <v>1.1499999999999999</v>
      </c>
      <c r="D6" s="7">
        <v>13</v>
      </c>
      <c r="E6" s="71" t="str">
        <f>IF(VLOOKUP(A6,'⚪设计'!$A$327:$G$346,4,FALSE)="","",VLOOKUP(VLOOKUP(A6,'⚪设计'!$A$327:$G$346,4,FALSE),'⚪设计'!$B$85:$D$101,2,FALSE))</f>
        <v>ResUnit_MiFeng1</v>
      </c>
      <c r="F6" s="88">
        <f t="shared" si="0"/>
        <v>17</v>
      </c>
      <c r="G6" s="7">
        <f>'⚪设计'!H330</f>
        <v>0.75</v>
      </c>
      <c r="H6" s="88">
        <f>IF(E6="",0,ROUND(VLOOKUP($A6,'⚪设计'!$A$327:$B$346,2,FALSE)*$B6/SUM(IF($E6="",0,VLOOKUP($E6,'⚪设计'!$C$85:$E$101,3,FALSE))*$F6,IF($J6="",0,VLOOKUP($J6,'⚪设计'!$C$85:$E$101,3,FALSE))*$K6,IF($O6="",0,VLOOKUP($O6,'⚪设计'!$C$85:$E$101,3,FALSE))*$P6,IF($T6="",0,VLOOKUP($T6,'⚪设计'!$C$85:$E$101,3,FALSE))*$U6)*VLOOKUP(E6,'⚪设计'!$C$85:$E$101,3,FALSE),0))</f>
        <v>658</v>
      </c>
      <c r="I6" s="88">
        <f>ROUND(战斗节奏!$B$3/SUM(IF(线下模式!$E6="",0,VLOOKUP(线下模式!$E6,'⚪设计'!$C$85:$G$101,4,FALSE)*线下模式!$F6),IF(线下模式!$J6="",0,VLOOKUP(线下模式!$J6,'⚪设计'!$C$85:$G$101,4,FALSE)*线下模式!$K6),IF(线下模式!$O6="",0,VLOOKUP(线下模式!$O6,'⚪设计'!$C$85:$G$101,4,FALSE)*线下模式!$P6),IF(线下模式!$T6="",0,VLOOKUP(线下模式!$T6,'⚪设计'!$C$85:$G$101,4,FALSE)*线下模式!$U6))*IF(E6="",0,VLOOKUP(E6,'⚪设计'!$C$85:$G$101,4,FALSE)),0)</f>
        <v>7</v>
      </c>
      <c r="J6" s="88" t="str">
        <f>IF(VLOOKUP(A6,'⚪设计'!$A$327:$G$346,5,FALSE)="","",VLOOKUP(VLOOKUP(A6,'⚪设计'!$A$327:$G$346,5,FALSE),'⚪设计'!$B$85:$D$101,2,FALSE))</f>
        <v>ResUnit_ZhiZhu1</v>
      </c>
      <c r="K6" s="88">
        <f t="shared" si="1"/>
        <v>13</v>
      </c>
      <c r="L6" s="7">
        <f>'⚪设计'!I330</f>
        <v>1</v>
      </c>
      <c r="M6" s="88">
        <f>IF(J6="",0,ROUND(VLOOKUP($A6,'⚪设计'!$A$327:$B$346,2,FALSE)*$B6/SUM(IF($E6="",0,VLOOKUP($E6,'⚪设计'!$C$85:$E$101,3,FALSE))*$F6,IF($J6="",0,VLOOKUP($J6,'⚪设计'!$C$85:$E$101,3,FALSE))*$K6,IF($O6="",0,VLOOKUP($O6,'⚪设计'!$C$85:$E$101,3,FALSE))*$P6,IF($T6="",0,VLOOKUP($T6,'⚪设计'!$C$85:$E$101,3,FALSE))*$U6)*VLOOKUP(J6,'⚪设计'!$C$85:$E$101,3,FALSE),0))</f>
        <v>1316</v>
      </c>
      <c r="N6" s="88">
        <f>ROUND(战斗节奏!$B$3/SUM(IF(线下模式!$E6="",0,VLOOKUP(线下模式!$E6,'⚪设计'!$C$85:$G$101,4,FALSE)*线下模式!$F6),IF(线下模式!$J6="",0,VLOOKUP(线下模式!$J6,'⚪设计'!$C$85:$G$101,4,FALSE)*线下模式!$K6),IF(线下模式!$O6="",0,VLOOKUP(线下模式!$O6,'⚪设计'!$C$85:$G$101,4,FALSE)*线下模式!$P6),IF(线下模式!$T6="",0,VLOOKUP(线下模式!$T6,'⚪设计'!$C$85:$G$101,4,FALSE)*线下模式!$U6))*IF(J6="",0,VLOOKUP(J6,'⚪设计'!$C$85:$G$101,4,FALSE)),0)</f>
        <v>14</v>
      </c>
      <c r="O6" s="71" t="str">
        <f>IF(VLOOKUP(A6,'⚪设计'!$A$327:$G$346,6,FALSE)="","",VLOOKUP(VLOOKUP(A6,'⚪设计'!$A$327:$G$346,6,FALSE),'⚪设计'!$B$85:$D$101,2,FALSE))</f>
        <v/>
      </c>
      <c r="P6" s="88">
        <f t="shared" si="2"/>
        <v>0</v>
      </c>
      <c r="Q6" s="7">
        <f>'⚪设计'!J330</f>
        <v>0</v>
      </c>
      <c r="R6" s="88">
        <f>IF(O6="",0,ROUND(VLOOKUP($A6,'⚪设计'!$A$327:$B$346,2,FALSE)*$B6/SUM(IF($E6="",0,VLOOKUP($E6,'⚪设计'!$C$85:$E$101,3,FALSE))*$F6,IF($J6="",0,VLOOKUP($J6,'⚪设计'!$C$85:$E$101,3,FALSE))*$K6,IF($O6="",0,VLOOKUP($O6,'⚪设计'!$C$85:$E$101,3,FALSE))*$P6,IF($T6="",0,VLOOKUP($T6,'⚪设计'!$C$85:$E$101,3,FALSE))*$U6)*VLOOKUP(O6,'⚪设计'!$C$85:$E$101,3,FALSE),0))</f>
        <v>0</v>
      </c>
      <c r="S6" s="88">
        <f>ROUND(战斗节奏!$B$3/SUM(IF(线下模式!$E6="",0,VLOOKUP(线下模式!$E6,'⚪设计'!$C$85:$G$101,4,FALSE)*线下模式!$F6),IF(线下模式!$J6="",0,VLOOKUP(线下模式!$J6,'⚪设计'!$C$85:$G$101,4,FALSE)*线下模式!$K6),IF(线下模式!$O6="",0,VLOOKUP(线下模式!$O6,'⚪设计'!$C$85:$G$101,4,FALSE)*线下模式!$P6),IF(线下模式!$T6="",0,VLOOKUP(线下模式!$T6,'⚪设计'!$C$85:$G$101,4,FALSE)*线下模式!$U6))*IF(O6="",0,VLOOKUP(O6,'⚪设计'!$C$85:$G$101,4,FALSE)),0)</f>
        <v>0</v>
      </c>
      <c r="T6" s="88" t="str">
        <f>IF(VLOOKUP(A6,'⚪设计'!$A$327:$G$346,7,FALSE)="","",VLOOKUP(VLOOKUP(A6,'⚪设计'!$A$327:$G$346,7,FALSE),'⚪设计'!$B$85:$D$101,2,FALSE))</f>
        <v/>
      </c>
      <c r="U6" s="88">
        <f t="shared" si="3"/>
        <v>0</v>
      </c>
      <c r="V6" s="7">
        <f>'⚪设计'!K330</f>
        <v>0</v>
      </c>
      <c r="W6" s="88">
        <f>IF(T6="",0,ROUND(VLOOKUP($A6,'⚪设计'!$A$327:$B$346,2,FALSE)*$B6/SUM(IF($E6="",0,VLOOKUP($E6,'⚪设计'!$C$85:$E$101,3,FALSE))*$F6,IF($J6="",0,VLOOKUP($J6,'⚪设计'!$C$85:$E$101,3,FALSE))*$K6,IF($O6="",0,VLOOKUP($O6,'⚪设计'!$C$85:$E$101,3,FALSE))*$P6,IF($T6="",0,VLOOKUP($T6,'⚪设计'!$C$85:$E$101,3,FALSE))*$U6)*VLOOKUP(T6,'⚪设计'!$C$85:$E$101,3,FALSE),0))</f>
        <v>0</v>
      </c>
      <c r="X6" s="88">
        <f>ROUND(战斗节奏!$B$3/SUM(IF(线下模式!$E6="",0,VLOOKUP(线下模式!$E6,'⚪设计'!$C$85:$G$101,4,FALSE)*线下模式!$F6),IF(线下模式!$J6="",0,VLOOKUP(线下模式!$J6,'⚪设计'!$C$85:$G$101,4,FALSE)*线下模式!$K6),IF(线下模式!$O6="",0,VLOOKUP(线下模式!$O6,'⚪设计'!$C$85:$G$101,4,FALSE)*线下模式!$P6),IF(线下模式!$T6="",0,VLOOKUP(线下模式!$T6,'⚪设计'!$C$85:$G$101,4,FALSE)*线下模式!$U6))*IF(T6="",0,VLOOKUP(T6,'⚪设计'!$C$85:$G$101,4,FALSE)),0)</f>
        <v>0</v>
      </c>
    </row>
    <row r="7" spans="1:24" x14ac:dyDescent="0.2">
      <c r="A7" s="84">
        <v>5</v>
      </c>
      <c r="B7" s="88">
        <f>MAX(MIN(战斗节奏!$C$3-INT(A7/'⚪设计'!$C$55),MOD(A7,'⚪设计'!$C$55)),0)*'⚪设计'!$C$79*防御塔!$C$2+MIN(INT(A7/'⚪设计'!$C$55),战斗节奏!$C$3)*'⚪设计'!$C$80*防御塔!$C$2</f>
        <v>2700</v>
      </c>
      <c r="C7" s="7">
        <v>1.2</v>
      </c>
      <c r="D7" s="7">
        <v>14</v>
      </c>
      <c r="E7" s="71" t="str">
        <f>IF(VLOOKUP(A7,'⚪设计'!$A$327:$G$346,4,FALSE)="","",VLOOKUP(VLOOKUP(A7,'⚪设计'!$A$327:$G$346,4,FALSE),'⚪设计'!$B$85:$D$101,2,FALSE))</f>
        <v>ResUnit_MiFeng3</v>
      </c>
      <c r="F7" s="88">
        <f t="shared" si="0"/>
        <v>1</v>
      </c>
      <c r="G7" s="7">
        <f>'⚪设计'!H331</f>
        <v>0</v>
      </c>
      <c r="H7" s="88">
        <f>IF(E7="",0,ROUND(VLOOKUP($A7,'⚪设计'!$A$327:$B$346,2,FALSE)*$B7/SUM(IF($E7="",0,VLOOKUP($E7,'⚪设计'!$C$85:$E$101,3,FALSE))*$F7,IF($J7="",0,VLOOKUP($J7,'⚪设计'!$C$85:$E$101,3,FALSE))*$K7,IF($O7="",0,VLOOKUP($O7,'⚪设计'!$C$85:$E$101,3,FALSE))*$P7,IF($T7="",0,VLOOKUP($T7,'⚪设计'!$C$85:$E$101,3,FALSE))*$U7)*VLOOKUP(E7,'⚪设计'!$C$85:$E$101,3,FALSE),0))</f>
        <v>80953</v>
      </c>
      <c r="I7" s="88">
        <f>ROUND(战斗节奏!$B$3/SUM(IF(线下模式!$E7="",0,VLOOKUP(线下模式!$E7,'⚪设计'!$C$85:$G$101,4,FALSE)*线下模式!$F7),IF(线下模式!$J7="",0,VLOOKUP(线下模式!$J7,'⚪设计'!$C$85:$G$101,4,FALSE)*线下模式!$K7),IF(线下模式!$O7="",0,VLOOKUP(线下模式!$O7,'⚪设计'!$C$85:$G$101,4,FALSE)*线下模式!$P7),IF(线下模式!$T7="",0,VLOOKUP(线下模式!$T7,'⚪设计'!$C$85:$G$101,4,FALSE)*线下模式!$U7))*IF(E7="",0,VLOOKUP(E7,'⚪设计'!$C$85:$G$101,4,FALSE)),0)</f>
        <v>209</v>
      </c>
      <c r="J7" s="88" t="str">
        <f>IF(VLOOKUP(A7,'⚪设计'!$A$327:$G$346,5,FALSE)="","",VLOOKUP(VLOOKUP(A7,'⚪设计'!$A$327:$G$346,5,FALSE),'⚪设计'!$B$85:$D$101,2,FALSE))</f>
        <v>ResUnit_BianFu1</v>
      </c>
      <c r="K7" s="88">
        <f t="shared" si="1"/>
        <v>35</v>
      </c>
      <c r="L7" s="7">
        <f>'⚪设计'!I331</f>
        <v>0.4</v>
      </c>
      <c r="M7" s="88">
        <f>IF(J7="",0,ROUND(VLOOKUP($A7,'⚪设计'!$A$327:$B$346,2,FALSE)*$B7/SUM(IF($E7="",0,VLOOKUP($E7,'⚪设计'!$C$85:$E$101,3,FALSE))*$F7,IF($J7="",0,VLOOKUP($J7,'⚪设计'!$C$85:$E$101,3,FALSE))*$K7,IF($O7="",0,VLOOKUP($O7,'⚪设计'!$C$85:$E$101,3,FALSE))*$P7,IF($T7="",0,VLOOKUP($T7,'⚪设计'!$C$85:$E$101,3,FALSE))*$U7)*VLOOKUP(J7,'⚪设计'!$C$85:$E$101,3,FALSE),0))</f>
        <v>1012</v>
      </c>
      <c r="N7" s="88">
        <f>ROUND(战斗节奏!$B$3/SUM(IF(线下模式!$E7="",0,VLOOKUP(线下模式!$E7,'⚪设计'!$C$85:$G$101,4,FALSE)*线下模式!$F7),IF(线下模式!$J7="",0,VLOOKUP(线下模式!$J7,'⚪设计'!$C$85:$G$101,4,FALSE)*线下模式!$K7),IF(线下模式!$O7="",0,VLOOKUP(线下模式!$O7,'⚪设计'!$C$85:$G$101,4,FALSE)*线下模式!$P7),IF(线下模式!$T7="",0,VLOOKUP(线下模式!$T7,'⚪设计'!$C$85:$G$101,4,FALSE)*线下模式!$U7))*IF(J7="",0,VLOOKUP(J7,'⚪设计'!$C$85:$G$101,4,FALSE)),0)</f>
        <v>3</v>
      </c>
      <c r="O7" s="71" t="str">
        <f>IF(VLOOKUP(A7,'⚪设计'!$A$327:$G$346,6,FALSE)="","",VLOOKUP(VLOOKUP(A7,'⚪设计'!$A$327:$G$346,6,FALSE),'⚪设计'!$B$85:$D$101,2,FALSE))</f>
        <v/>
      </c>
      <c r="P7" s="88">
        <f t="shared" si="2"/>
        <v>0</v>
      </c>
      <c r="Q7" s="7">
        <f>'⚪设计'!J331</f>
        <v>0</v>
      </c>
      <c r="R7" s="88">
        <f>IF(O7="",0,ROUND(VLOOKUP($A7,'⚪设计'!$A$327:$B$346,2,FALSE)*$B7/SUM(IF($E7="",0,VLOOKUP($E7,'⚪设计'!$C$85:$E$101,3,FALSE))*$F7,IF($J7="",0,VLOOKUP($J7,'⚪设计'!$C$85:$E$101,3,FALSE))*$K7,IF($O7="",0,VLOOKUP($O7,'⚪设计'!$C$85:$E$101,3,FALSE))*$P7,IF($T7="",0,VLOOKUP($T7,'⚪设计'!$C$85:$E$101,3,FALSE))*$U7)*VLOOKUP(O7,'⚪设计'!$C$85:$E$101,3,FALSE),0))</f>
        <v>0</v>
      </c>
      <c r="S7" s="88">
        <f>ROUND(战斗节奏!$B$3/SUM(IF(线下模式!$E7="",0,VLOOKUP(线下模式!$E7,'⚪设计'!$C$85:$G$101,4,FALSE)*线下模式!$F7),IF(线下模式!$J7="",0,VLOOKUP(线下模式!$J7,'⚪设计'!$C$85:$G$101,4,FALSE)*线下模式!$K7),IF(线下模式!$O7="",0,VLOOKUP(线下模式!$O7,'⚪设计'!$C$85:$G$101,4,FALSE)*线下模式!$P7),IF(线下模式!$T7="",0,VLOOKUP(线下模式!$T7,'⚪设计'!$C$85:$G$101,4,FALSE)*线下模式!$U7))*IF(O7="",0,VLOOKUP(O7,'⚪设计'!$C$85:$G$101,4,FALSE)),0)</f>
        <v>0</v>
      </c>
      <c r="T7" s="88" t="str">
        <f>IF(VLOOKUP(A7,'⚪设计'!$A$327:$G$346,7,FALSE)="","",VLOOKUP(VLOOKUP(A7,'⚪设计'!$A$327:$G$346,7,FALSE),'⚪设计'!$B$85:$D$101,2,FALSE))</f>
        <v/>
      </c>
      <c r="U7" s="88">
        <f t="shared" si="3"/>
        <v>0</v>
      </c>
      <c r="V7" s="7">
        <f>'⚪设计'!K331</f>
        <v>0</v>
      </c>
      <c r="W7" s="88">
        <f>IF(T7="",0,ROUND(VLOOKUP($A7,'⚪设计'!$A$327:$B$346,2,FALSE)*$B7/SUM(IF($E7="",0,VLOOKUP($E7,'⚪设计'!$C$85:$E$101,3,FALSE))*$F7,IF($J7="",0,VLOOKUP($J7,'⚪设计'!$C$85:$E$101,3,FALSE))*$K7,IF($O7="",0,VLOOKUP($O7,'⚪设计'!$C$85:$E$101,3,FALSE))*$P7,IF($T7="",0,VLOOKUP($T7,'⚪设计'!$C$85:$E$101,3,FALSE))*$U7)*VLOOKUP(T7,'⚪设计'!$C$85:$E$101,3,FALSE),0))</f>
        <v>0</v>
      </c>
      <c r="X7" s="88">
        <f>ROUND(战斗节奏!$B$3/SUM(IF(线下模式!$E7="",0,VLOOKUP(线下模式!$E7,'⚪设计'!$C$85:$G$101,4,FALSE)*线下模式!$F7),IF(线下模式!$J7="",0,VLOOKUP(线下模式!$J7,'⚪设计'!$C$85:$G$101,4,FALSE)*线下模式!$K7),IF(线下模式!$O7="",0,VLOOKUP(线下模式!$O7,'⚪设计'!$C$85:$G$101,4,FALSE)*线下模式!$P7),IF(线下模式!$T7="",0,VLOOKUP(线下模式!$T7,'⚪设计'!$C$85:$G$101,4,FALSE)*线下模式!$U7))*IF(T7="",0,VLOOKUP(T7,'⚪设计'!$C$85:$G$101,4,FALSE)),0)</f>
        <v>0</v>
      </c>
    </row>
    <row r="8" spans="1:24" x14ac:dyDescent="0.2">
      <c r="A8" s="84">
        <v>6</v>
      </c>
      <c r="B8" s="88">
        <f>MAX(MIN(战斗节奏!$C$3-INT(A8/'⚪设计'!$C$55),MOD(A8,'⚪设计'!$C$55)),0)*'⚪设计'!$C$79*防御塔!$C$2+MIN(INT(A8/'⚪设计'!$C$55),战斗节奏!$C$3)*'⚪设计'!$C$80*防御塔!$C$2</f>
        <v>3240</v>
      </c>
      <c r="C8" s="7">
        <v>1.25</v>
      </c>
      <c r="D8" s="7">
        <v>15</v>
      </c>
      <c r="E8" s="71" t="str">
        <f>IF(VLOOKUP(A8,'⚪设计'!$A$327:$G$346,4,FALSE)="","",VLOOKUP(VLOOKUP(A8,'⚪设计'!$A$327:$G$346,4,FALSE),'⚪设计'!$B$85:$D$101,2,FALSE))</f>
        <v>ResUnit_MiFeng2</v>
      </c>
      <c r="F8" s="88">
        <f t="shared" si="0"/>
        <v>20</v>
      </c>
      <c r="G8" s="7">
        <f>'⚪设计'!H332</f>
        <v>0.75</v>
      </c>
      <c r="H8" s="88">
        <f>IF(E8="",0,ROUND(VLOOKUP($A8,'⚪设计'!$A$327:$B$346,2,FALSE)*$B8/SUM(IF($E8="",0,VLOOKUP($E8,'⚪设计'!$C$85:$E$101,3,FALSE))*$F8,IF($J8="",0,VLOOKUP($J8,'⚪设计'!$C$85:$E$101,3,FALSE))*$K8,IF($O8="",0,VLOOKUP($O8,'⚪设计'!$C$85:$E$101,3,FALSE))*$P8,IF($T8="",0,VLOOKUP($T8,'⚪设计'!$C$85:$E$101,3,FALSE))*$U8)*VLOOKUP(E8,'⚪设计'!$C$85:$E$101,3,FALSE),0))</f>
        <v>1620</v>
      </c>
      <c r="I8" s="88">
        <f>ROUND(战斗节奏!$B$3/SUM(IF(线下模式!$E8="",0,VLOOKUP(线下模式!$E8,'⚪设计'!$C$85:$G$101,4,FALSE)*线下模式!$F8),IF(线下模式!$J8="",0,VLOOKUP(线下模式!$J8,'⚪设计'!$C$85:$G$101,4,FALSE)*线下模式!$K8),IF(线下模式!$O8="",0,VLOOKUP(线下模式!$O8,'⚪设计'!$C$85:$G$101,4,FALSE)*线下模式!$P8),IF(线下模式!$T8="",0,VLOOKUP(线下模式!$T8,'⚪设计'!$C$85:$G$101,4,FALSE)*线下模式!$U8))*IF(E8="",0,VLOOKUP(E8,'⚪设计'!$C$85:$G$101,4,FALSE)),0)</f>
        <v>10</v>
      </c>
      <c r="J8" s="88" t="str">
        <f>IF(VLOOKUP(A8,'⚪设计'!$A$327:$G$346,5,FALSE)="","",VLOOKUP(VLOOKUP(A8,'⚪设计'!$A$327:$G$346,5,FALSE),'⚪设计'!$B$85:$D$101,2,FALSE))</f>
        <v>ResUnit_ZhiZhu1</v>
      </c>
      <c r="K8" s="88">
        <f t="shared" si="1"/>
        <v>20</v>
      </c>
      <c r="L8" s="7">
        <f>'⚪设计'!I332</f>
        <v>0.75</v>
      </c>
      <c r="M8" s="88">
        <f>IF(J8="",0,ROUND(VLOOKUP($A8,'⚪设计'!$A$327:$B$346,2,FALSE)*$B8/SUM(IF($E8="",0,VLOOKUP($E8,'⚪设计'!$C$85:$E$101,3,FALSE))*$F8,IF($J8="",0,VLOOKUP($J8,'⚪设计'!$C$85:$E$101,3,FALSE))*$K8,IF($O8="",0,VLOOKUP($O8,'⚪设计'!$C$85:$E$101,3,FALSE))*$P8,IF($T8="",0,VLOOKUP($T8,'⚪设计'!$C$85:$E$101,3,FALSE))*$U8)*VLOOKUP(J8,'⚪设计'!$C$85:$E$101,3,FALSE),0))</f>
        <v>810</v>
      </c>
      <c r="N8" s="88">
        <f>ROUND(战斗节奏!$B$3/SUM(IF(线下模式!$E8="",0,VLOOKUP(线下模式!$E8,'⚪设计'!$C$85:$G$101,4,FALSE)*线下模式!$F8),IF(线下模式!$J8="",0,VLOOKUP(线下模式!$J8,'⚪设计'!$C$85:$G$101,4,FALSE)*线下模式!$K8),IF(线下模式!$O8="",0,VLOOKUP(线下模式!$O8,'⚪设计'!$C$85:$G$101,4,FALSE)*线下模式!$P8),IF(线下模式!$T8="",0,VLOOKUP(线下模式!$T8,'⚪设计'!$C$85:$G$101,4,FALSE)*线下模式!$U8))*IF(J8="",0,VLOOKUP(J8,'⚪设计'!$C$85:$G$101,4,FALSE)),0)</f>
        <v>5</v>
      </c>
      <c r="O8" s="71" t="str">
        <f>IF(VLOOKUP(A8,'⚪设计'!$A$327:$G$346,6,FALSE)="","",VLOOKUP(VLOOKUP(A8,'⚪设计'!$A$327:$G$346,6,FALSE),'⚪设计'!$B$85:$D$101,2,FALSE))</f>
        <v/>
      </c>
      <c r="P8" s="88">
        <f t="shared" si="2"/>
        <v>0</v>
      </c>
      <c r="Q8" s="7">
        <f>'⚪设计'!J332</f>
        <v>0</v>
      </c>
      <c r="R8" s="88">
        <f>IF(O8="",0,ROUND(VLOOKUP($A8,'⚪设计'!$A$327:$B$346,2,FALSE)*$B8/SUM(IF($E8="",0,VLOOKUP($E8,'⚪设计'!$C$85:$E$101,3,FALSE))*$F8,IF($J8="",0,VLOOKUP($J8,'⚪设计'!$C$85:$E$101,3,FALSE))*$K8,IF($O8="",0,VLOOKUP($O8,'⚪设计'!$C$85:$E$101,3,FALSE))*$P8,IF($T8="",0,VLOOKUP($T8,'⚪设计'!$C$85:$E$101,3,FALSE))*$U8)*VLOOKUP(O8,'⚪设计'!$C$85:$E$101,3,FALSE),0))</f>
        <v>0</v>
      </c>
      <c r="S8" s="88">
        <f>ROUND(战斗节奏!$B$3/SUM(IF(线下模式!$E8="",0,VLOOKUP(线下模式!$E8,'⚪设计'!$C$85:$G$101,4,FALSE)*线下模式!$F8),IF(线下模式!$J8="",0,VLOOKUP(线下模式!$J8,'⚪设计'!$C$85:$G$101,4,FALSE)*线下模式!$K8),IF(线下模式!$O8="",0,VLOOKUP(线下模式!$O8,'⚪设计'!$C$85:$G$101,4,FALSE)*线下模式!$P8),IF(线下模式!$T8="",0,VLOOKUP(线下模式!$T8,'⚪设计'!$C$85:$G$101,4,FALSE)*线下模式!$U8))*IF(O8="",0,VLOOKUP(O8,'⚪设计'!$C$85:$G$101,4,FALSE)),0)</f>
        <v>0</v>
      </c>
      <c r="T8" s="88" t="str">
        <f>IF(VLOOKUP(A8,'⚪设计'!$A$327:$G$346,7,FALSE)="","",VLOOKUP(VLOOKUP(A8,'⚪设计'!$A$327:$G$346,7,FALSE),'⚪设计'!$B$85:$D$101,2,FALSE))</f>
        <v/>
      </c>
      <c r="U8" s="88">
        <f t="shared" si="3"/>
        <v>0</v>
      </c>
      <c r="V8" s="7">
        <f>'⚪设计'!K332</f>
        <v>0</v>
      </c>
      <c r="W8" s="88">
        <f>IF(T8="",0,ROUND(VLOOKUP($A8,'⚪设计'!$A$327:$B$346,2,FALSE)*$B8/SUM(IF($E8="",0,VLOOKUP($E8,'⚪设计'!$C$85:$E$101,3,FALSE))*$F8,IF($J8="",0,VLOOKUP($J8,'⚪设计'!$C$85:$E$101,3,FALSE))*$K8,IF($O8="",0,VLOOKUP($O8,'⚪设计'!$C$85:$E$101,3,FALSE))*$P8,IF($T8="",0,VLOOKUP($T8,'⚪设计'!$C$85:$E$101,3,FALSE))*$U8)*VLOOKUP(T8,'⚪设计'!$C$85:$E$101,3,FALSE),0))</f>
        <v>0</v>
      </c>
      <c r="X8" s="88">
        <f>ROUND(战斗节奏!$B$3/SUM(IF(线下模式!$E8="",0,VLOOKUP(线下模式!$E8,'⚪设计'!$C$85:$G$101,4,FALSE)*线下模式!$F8),IF(线下模式!$J8="",0,VLOOKUP(线下模式!$J8,'⚪设计'!$C$85:$G$101,4,FALSE)*线下模式!$K8),IF(线下模式!$O8="",0,VLOOKUP(线下模式!$O8,'⚪设计'!$C$85:$G$101,4,FALSE)*线下模式!$P8),IF(线下模式!$T8="",0,VLOOKUP(线下模式!$T8,'⚪设计'!$C$85:$G$101,4,FALSE)*线下模式!$U8))*IF(T8="",0,VLOOKUP(T8,'⚪设计'!$C$85:$G$101,4,FALSE)),0)</f>
        <v>0</v>
      </c>
    </row>
    <row r="9" spans="1:24" x14ac:dyDescent="0.2">
      <c r="A9" s="84">
        <v>7</v>
      </c>
      <c r="B9" s="88">
        <f>MAX(MIN(战斗节奏!$C$3-INT(A9/'⚪设计'!$C$55),MOD(A9,'⚪设计'!$C$55)),0)*'⚪设计'!$C$79*防御塔!$C$2+MIN(INT(A9/'⚪设计'!$C$55),战斗节奏!$C$3)*'⚪设计'!$C$80*防御塔!$C$2</f>
        <v>3780</v>
      </c>
      <c r="C9" s="7">
        <v>1.3</v>
      </c>
      <c r="D9" s="7">
        <v>16</v>
      </c>
      <c r="E9" s="71" t="str">
        <f>IF(VLOOKUP(A9,'⚪设计'!$A$327:$G$346,4,FALSE)="","",VLOOKUP(VLOOKUP(A9,'⚪设计'!$A$327:$G$346,4,FALSE),'⚪设计'!$B$85:$D$101,2,FALSE))</f>
        <v>ResUnit_MiFeng2</v>
      </c>
      <c r="F9" s="88">
        <f t="shared" si="0"/>
        <v>32</v>
      </c>
      <c r="G9" s="7">
        <f>'⚪设计'!H333</f>
        <v>0.5</v>
      </c>
      <c r="H9" s="88">
        <f>IF(E9="",0,ROUND(VLOOKUP($A9,'⚪设计'!$A$327:$B$346,2,FALSE)*$B9/SUM(IF($E9="",0,VLOOKUP($E9,'⚪设计'!$C$85:$E$101,3,FALSE))*$F9,IF($J9="",0,VLOOKUP($J9,'⚪设计'!$C$85:$E$101,3,FALSE))*$K9,IF($O9="",0,VLOOKUP($O9,'⚪设计'!$C$85:$E$101,3,FALSE))*$P9,IF($T9="",0,VLOOKUP($T9,'⚪设计'!$C$85:$E$101,3,FALSE))*$U9)*VLOOKUP(E9,'⚪设计'!$C$85:$E$101,3,FALSE),0))</f>
        <v>1556</v>
      </c>
      <c r="I9" s="88">
        <f>ROUND(战斗节奏!$B$3/SUM(IF(线下模式!$E9="",0,VLOOKUP(线下模式!$E9,'⚪设计'!$C$85:$G$101,4,FALSE)*线下模式!$F9),IF(线下模式!$J9="",0,VLOOKUP(线下模式!$J9,'⚪设计'!$C$85:$G$101,4,FALSE)*线下模式!$K9),IF(线下模式!$O9="",0,VLOOKUP(线下模式!$O9,'⚪设计'!$C$85:$G$101,4,FALSE)*线下模式!$P9),IF(线下模式!$T9="",0,VLOOKUP(线下模式!$T9,'⚪设计'!$C$85:$G$101,4,FALSE)*线下模式!$U9))*IF(E9="",0,VLOOKUP(E9,'⚪设计'!$C$85:$G$101,4,FALSE)),0)</f>
        <v>7</v>
      </c>
      <c r="J9" s="88" t="str">
        <f>IF(VLOOKUP(A9,'⚪设计'!$A$327:$G$346,5,FALSE)="","",VLOOKUP(VLOOKUP(A9,'⚪设计'!$A$327:$G$346,5,FALSE),'⚪设计'!$B$85:$D$101,2,FALSE))</f>
        <v>ResUnit_ZhiZhu1</v>
      </c>
      <c r="K9" s="88">
        <f t="shared" si="1"/>
        <v>21</v>
      </c>
      <c r="L9" s="7">
        <f>'⚪设计'!I333</f>
        <v>0.75</v>
      </c>
      <c r="M9" s="88">
        <f>IF(J9="",0,ROUND(VLOOKUP($A9,'⚪设计'!$A$327:$B$346,2,FALSE)*$B9/SUM(IF($E9="",0,VLOOKUP($E9,'⚪设计'!$C$85:$E$101,3,FALSE))*$F9,IF($J9="",0,VLOOKUP($J9,'⚪设计'!$C$85:$E$101,3,FALSE))*$K9,IF($O9="",0,VLOOKUP($O9,'⚪设计'!$C$85:$E$101,3,FALSE))*$P9,IF($T9="",0,VLOOKUP($T9,'⚪设计'!$C$85:$E$101,3,FALSE))*$U9)*VLOOKUP(J9,'⚪设计'!$C$85:$E$101,3,FALSE),0))</f>
        <v>778</v>
      </c>
      <c r="N9" s="88">
        <f>ROUND(战斗节奏!$B$3/SUM(IF(线下模式!$E9="",0,VLOOKUP(线下模式!$E9,'⚪设计'!$C$85:$G$101,4,FALSE)*线下模式!$F9),IF(线下模式!$J9="",0,VLOOKUP(线下模式!$J9,'⚪设计'!$C$85:$G$101,4,FALSE)*线下模式!$K9),IF(线下模式!$O9="",0,VLOOKUP(线下模式!$O9,'⚪设计'!$C$85:$G$101,4,FALSE)*线下模式!$P9),IF(线下模式!$T9="",0,VLOOKUP(线下模式!$T9,'⚪设计'!$C$85:$G$101,4,FALSE)*线下模式!$U9))*IF(J9="",0,VLOOKUP(J9,'⚪设计'!$C$85:$G$101,4,FALSE)),0)</f>
        <v>4</v>
      </c>
      <c r="O9" s="71" t="str">
        <f>IF(VLOOKUP(A9,'⚪设计'!$A$327:$G$346,6,FALSE)="","",VLOOKUP(VLOOKUP(A9,'⚪设计'!$A$327:$G$346,6,FALSE),'⚪设计'!$B$85:$D$101,2,FALSE))</f>
        <v/>
      </c>
      <c r="P9" s="88">
        <f t="shared" si="2"/>
        <v>0</v>
      </c>
      <c r="Q9" s="7">
        <f>'⚪设计'!J333</f>
        <v>0</v>
      </c>
      <c r="R9" s="88">
        <f>IF(O9="",0,ROUND(VLOOKUP($A9,'⚪设计'!$A$327:$B$346,2,FALSE)*$B9/SUM(IF($E9="",0,VLOOKUP($E9,'⚪设计'!$C$85:$E$101,3,FALSE))*$F9,IF($J9="",0,VLOOKUP($J9,'⚪设计'!$C$85:$E$101,3,FALSE))*$K9,IF($O9="",0,VLOOKUP($O9,'⚪设计'!$C$85:$E$101,3,FALSE))*$P9,IF($T9="",0,VLOOKUP($T9,'⚪设计'!$C$85:$E$101,3,FALSE))*$U9)*VLOOKUP(O9,'⚪设计'!$C$85:$E$101,3,FALSE),0))</f>
        <v>0</v>
      </c>
      <c r="S9" s="88">
        <f>ROUND(战斗节奏!$B$3/SUM(IF(线下模式!$E9="",0,VLOOKUP(线下模式!$E9,'⚪设计'!$C$85:$G$101,4,FALSE)*线下模式!$F9),IF(线下模式!$J9="",0,VLOOKUP(线下模式!$J9,'⚪设计'!$C$85:$G$101,4,FALSE)*线下模式!$K9),IF(线下模式!$O9="",0,VLOOKUP(线下模式!$O9,'⚪设计'!$C$85:$G$101,4,FALSE)*线下模式!$P9),IF(线下模式!$T9="",0,VLOOKUP(线下模式!$T9,'⚪设计'!$C$85:$G$101,4,FALSE)*线下模式!$U9))*IF(O9="",0,VLOOKUP(O9,'⚪设计'!$C$85:$G$101,4,FALSE)),0)</f>
        <v>0</v>
      </c>
      <c r="T9" s="88" t="str">
        <f>IF(VLOOKUP(A9,'⚪设计'!$A$327:$G$346,7,FALSE)="","",VLOOKUP(VLOOKUP(A9,'⚪设计'!$A$327:$G$346,7,FALSE),'⚪设计'!$B$85:$D$101,2,FALSE))</f>
        <v/>
      </c>
      <c r="U9" s="88">
        <f t="shared" si="3"/>
        <v>0</v>
      </c>
      <c r="V9" s="7">
        <f>'⚪设计'!K333</f>
        <v>0</v>
      </c>
      <c r="W9" s="88">
        <f>IF(T9="",0,ROUND(VLOOKUP($A9,'⚪设计'!$A$327:$B$346,2,FALSE)*$B9/SUM(IF($E9="",0,VLOOKUP($E9,'⚪设计'!$C$85:$E$101,3,FALSE))*$F9,IF($J9="",0,VLOOKUP($J9,'⚪设计'!$C$85:$E$101,3,FALSE))*$K9,IF($O9="",0,VLOOKUP($O9,'⚪设计'!$C$85:$E$101,3,FALSE))*$P9,IF($T9="",0,VLOOKUP($T9,'⚪设计'!$C$85:$E$101,3,FALSE))*$U9)*VLOOKUP(T9,'⚪设计'!$C$85:$E$101,3,FALSE),0))</f>
        <v>0</v>
      </c>
      <c r="X9" s="88">
        <f>ROUND(战斗节奏!$B$3/SUM(IF(线下模式!$E9="",0,VLOOKUP(线下模式!$E9,'⚪设计'!$C$85:$G$101,4,FALSE)*线下模式!$F9),IF(线下模式!$J9="",0,VLOOKUP(线下模式!$J9,'⚪设计'!$C$85:$G$101,4,FALSE)*线下模式!$K9),IF(线下模式!$O9="",0,VLOOKUP(线下模式!$O9,'⚪设计'!$C$85:$G$101,4,FALSE)*线下模式!$P9),IF(线下模式!$T9="",0,VLOOKUP(线下模式!$T9,'⚪设计'!$C$85:$G$101,4,FALSE)*线下模式!$U9))*IF(T9="",0,VLOOKUP(T9,'⚪设计'!$C$85:$G$101,4,FALSE)),0)</f>
        <v>0</v>
      </c>
    </row>
    <row r="10" spans="1:24" x14ac:dyDescent="0.2">
      <c r="A10" s="84">
        <v>8</v>
      </c>
      <c r="B10" s="88">
        <f>MAX(MIN(战斗节奏!$C$3-INT(A10/'⚪设计'!$C$55),MOD(A10,'⚪设计'!$C$55)),0)*'⚪设计'!$C$79*防御塔!$C$2+MIN(INT(A10/'⚪设计'!$C$55),战斗节奏!$C$3)*'⚪设计'!$C$80*防御塔!$C$2</f>
        <v>4320</v>
      </c>
      <c r="C10" s="7">
        <v>1.35</v>
      </c>
      <c r="D10" s="7">
        <v>17</v>
      </c>
      <c r="E10" s="71" t="str">
        <f>IF(VLOOKUP(A10,'⚪设计'!$A$327:$G$346,4,FALSE)="","",VLOOKUP(VLOOKUP(A10,'⚪设计'!$A$327:$G$346,4,FALSE),'⚪设计'!$B$85:$D$101,2,FALSE))</f>
        <v>ResUnit_MiFeng2</v>
      </c>
      <c r="F10" s="88">
        <f t="shared" si="0"/>
        <v>17</v>
      </c>
      <c r="G10" s="7">
        <f>'⚪设计'!H334</f>
        <v>1</v>
      </c>
      <c r="H10" s="88">
        <f>IF(E10="",0,ROUND(VLOOKUP($A10,'⚪设计'!$A$327:$B$346,2,FALSE)*$B10/SUM(IF($E10="",0,VLOOKUP($E10,'⚪设计'!$C$85:$E$101,3,FALSE))*$F10,IF($J10="",0,VLOOKUP($J10,'⚪设计'!$C$85:$E$101,3,FALSE))*$K10,IF($O10="",0,VLOOKUP($O10,'⚪设计'!$C$85:$E$101,3,FALSE))*$P10,IF($T10="",0,VLOOKUP($T10,'⚪设计'!$C$85:$E$101,3,FALSE))*$U10)*VLOOKUP(E10,'⚪设计'!$C$85:$E$101,3,FALSE),0))</f>
        <v>3323</v>
      </c>
      <c r="I10" s="88">
        <f>ROUND(战斗节奏!$B$3/SUM(IF(线下模式!$E10="",0,VLOOKUP(线下模式!$E10,'⚪设计'!$C$85:$G$101,4,FALSE)*线下模式!$F10),IF(线下模式!$J10="",0,VLOOKUP(线下模式!$J10,'⚪设计'!$C$85:$G$101,4,FALSE)*线下模式!$K10),IF(线下模式!$O10="",0,VLOOKUP(线下模式!$O10,'⚪设计'!$C$85:$G$101,4,FALSE)*线下模式!$P10),IF(线下模式!$T10="",0,VLOOKUP(线下模式!$T10,'⚪设计'!$C$85:$G$101,4,FALSE)*线下模式!$U10))*IF(E10="",0,VLOOKUP(E10,'⚪设计'!$C$85:$G$101,4,FALSE)),0)</f>
        <v>13</v>
      </c>
      <c r="J10" s="88" t="str">
        <f>IF(VLOOKUP(A10,'⚪设计'!$A$327:$G$346,5,FALSE)="","",VLOOKUP(VLOOKUP(A10,'⚪设计'!$A$327:$G$346,5,FALSE),'⚪设计'!$B$85:$D$101,2,FALSE))</f>
        <v>ResUnit_ZhongZi1</v>
      </c>
      <c r="K10" s="88">
        <f t="shared" si="1"/>
        <v>6</v>
      </c>
      <c r="L10" s="7">
        <f>'⚪设计'!I334</f>
        <v>3</v>
      </c>
      <c r="M10" s="88">
        <f>IF(J10="",0,ROUND(VLOOKUP($A10,'⚪设计'!$A$327:$B$346,2,FALSE)*$B10/SUM(IF($E10="",0,VLOOKUP($E10,'⚪设计'!$C$85:$E$101,3,FALSE))*$F10,IF($J10="",0,VLOOKUP($J10,'⚪设计'!$C$85:$E$101,3,FALSE))*$K10,IF($O10="",0,VLOOKUP($O10,'⚪设计'!$C$85:$E$101,3,FALSE))*$P10,IF($T10="",0,VLOOKUP($T10,'⚪设计'!$C$85:$E$101,3,FALSE))*$U10)*VLOOKUP(J10,'⚪设计'!$C$85:$E$101,3,FALSE),0))</f>
        <v>4985</v>
      </c>
      <c r="N10" s="88">
        <f>ROUND(战斗节奏!$B$3/SUM(IF(线下模式!$E10="",0,VLOOKUP(线下模式!$E10,'⚪设计'!$C$85:$G$101,4,FALSE)*线下模式!$F10),IF(线下模式!$J10="",0,VLOOKUP(线下模式!$J10,'⚪设计'!$C$85:$G$101,4,FALSE)*线下模式!$K10),IF(线下模式!$O10="",0,VLOOKUP(线下模式!$O10,'⚪设计'!$C$85:$G$101,4,FALSE)*线下模式!$P10),IF(线下模式!$T10="",0,VLOOKUP(线下模式!$T10,'⚪设计'!$C$85:$G$101,4,FALSE)*线下模式!$U10))*IF(J10="",0,VLOOKUP(J10,'⚪设计'!$C$85:$G$101,4,FALSE)),0)</f>
        <v>13</v>
      </c>
      <c r="O10" s="71" t="str">
        <f>IF(VLOOKUP(A10,'⚪设计'!$A$327:$G$346,6,FALSE)="","",VLOOKUP(VLOOKUP(A10,'⚪设计'!$A$327:$G$346,6,FALSE),'⚪设计'!$B$85:$D$101,2,FALSE))</f>
        <v/>
      </c>
      <c r="P10" s="88">
        <f t="shared" si="2"/>
        <v>0</v>
      </c>
      <c r="Q10" s="7">
        <f>'⚪设计'!J334</f>
        <v>0</v>
      </c>
      <c r="R10" s="88">
        <f>IF(O10="",0,ROUND(VLOOKUP($A10,'⚪设计'!$A$327:$B$346,2,FALSE)*$B10/SUM(IF($E10="",0,VLOOKUP($E10,'⚪设计'!$C$85:$E$101,3,FALSE))*$F10,IF($J10="",0,VLOOKUP($J10,'⚪设计'!$C$85:$E$101,3,FALSE))*$K10,IF($O10="",0,VLOOKUP($O10,'⚪设计'!$C$85:$E$101,3,FALSE))*$P10,IF($T10="",0,VLOOKUP($T10,'⚪设计'!$C$85:$E$101,3,FALSE))*$U10)*VLOOKUP(O10,'⚪设计'!$C$85:$E$101,3,FALSE),0))</f>
        <v>0</v>
      </c>
      <c r="S10" s="88">
        <f>ROUND(战斗节奏!$B$3/SUM(IF(线下模式!$E10="",0,VLOOKUP(线下模式!$E10,'⚪设计'!$C$85:$G$101,4,FALSE)*线下模式!$F10),IF(线下模式!$J10="",0,VLOOKUP(线下模式!$J10,'⚪设计'!$C$85:$G$101,4,FALSE)*线下模式!$K10),IF(线下模式!$O10="",0,VLOOKUP(线下模式!$O10,'⚪设计'!$C$85:$G$101,4,FALSE)*线下模式!$P10),IF(线下模式!$T10="",0,VLOOKUP(线下模式!$T10,'⚪设计'!$C$85:$G$101,4,FALSE)*线下模式!$U10))*IF(O10="",0,VLOOKUP(O10,'⚪设计'!$C$85:$G$101,4,FALSE)),0)</f>
        <v>0</v>
      </c>
      <c r="T10" s="88" t="str">
        <f>IF(VLOOKUP(A10,'⚪设计'!$A$327:$G$346,7,FALSE)="","",VLOOKUP(VLOOKUP(A10,'⚪设计'!$A$327:$G$346,7,FALSE),'⚪设计'!$B$85:$D$101,2,FALSE))</f>
        <v/>
      </c>
      <c r="U10" s="88">
        <f t="shared" si="3"/>
        <v>0</v>
      </c>
      <c r="V10" s="7">
        <f>'⚪设计'!K334</f>
        <v>0</v>
      </c>
      <c r="W10" s="88">
        <f>IF(T10="",0,ROUND(VLOOKUP($A10,'⚪设计'!$A$327:$B$346,2,FALSE)*$B10/SUM(IF($E10="",0,VLOOKUP($E10,'⚪设计'!$C$85:$E$101,3,FALSE))*$F10,IF($J10="",0,VLOOKUP($J10,'⚪设计'!$C$85:$E$101,3,FALSE))*$K10,IF($O10="",0,VLOOKUP($O10,'⚪设计'!$C$85:$E$101,3,FALSE))*$P10,IF($T10="",0,VLOOKUP($T10,'⚪设计'!$C$85:$E$101,3,FALSE))*$U10)*VLOOKUP(T10,'⚪设计'!$C$85:$E$101,3,FALSE),0))</f>
        <v>0</v>
      </c>
      <c r="X10" s="88">
        <f>ROUND(战斗节奏!$B$3/SUM(IF(线下模式!$E10="",0,VLOOKUP(线下模式!$E10,'⚪设计'!$C$85:$G$101,4,FALSE)*线下模式!$F10),IF(线下模式!$J10="",0,VLOOKUP(线下模式!$J10,'⚪设计'!$C$85:$G$101,4,FALSE)*线下模式!$K10),IF(线下模式!$O10="",0,VLOOKUP(线下模式!$O10,'⚪设计'!$C$85:$G$101,4,FALSE)*线下模式!$P10),IF(线下模式!$T10="",0,VLOOKUP(线下模式!$T10,'⚪设计'!$C$85:$G$101,4,FALSE)*线下模式!$U10))*IF(T10="",0,VLOOKUP(T10,'⚪设计'!$C$85:$G$101,4,FALSE)),0)</f>
        <v>0</v>
      </c>
    </row>
    <row r="11" spans="1:24" x14ac:dyDescent="0.2">
      <c r="A11" s="84">
        <v>9</v>
      </c>
      <c r="B11" s="88">
        <f>MAX(MIN(战斗节奏!$C$3-INT(A11/'⚪设计'!$C$55),MOD(A11,'⚪设计'!$C$55)),0)*'⚪设计'!$C$79*防御塔!$C$2+MIN(INT(A11/'⚪设计'!$C$55),战斗节奏!$C$3)*'⚪设计'!$C$80*防御塔!$C$2</f>
        <v>4859.9999999999991</v>
      </c>
      <c r="C11" s="7">
        <v>1.4</v>
      </c>
      <c r="D11" s="7">
        <v>18</v>
      </c>
      <c r="E11" s="71" t="str">
        <f>IF(VLOOKUP(A11,'⚪设计'!$A$327:$G$346,4,FALSE)="","",VLOOKUP(VLOOKUP(A11,'⚪设计'!$A$327:$G$346,4,FALSE),'⚪设计'!$B$85:$D$101,2,FALSE))</f>
        <v>ResUnit_MiFeng2</v>
      </c>
      <c r="F11" s="88">
        <f t="shared" si="0"/>
        <v>90</v>
      </c>
      <c r="G11" s="7">
        <f>'⚪设计'!H335</f>
        <v>0.2</v>
      </c>
      <c r="H11" s="88">
        <f>IF(E11="",0,ROUND(VLOOKUP($A11,'⚪设计'!$A$327:$B$346,2,FALSE)*$B11/SUM(IF($E11="",0,VLOOKUP($E11,'⚪设计'!$C$85:$E$101,3,FALSE))*$F11,IF($J11="",0,VLOOKUP($J11,'⚪设计'!$C$85:$E$101,3,FALSE))*$K11,IF($O11="",0,VLOOKUP($O11,'⚪设计'!$C$85:$E$101,3,FALSE))*$P11,IF($T11="",0,VLOOKUP($T11,'⚪设计'!$C$85:$E$101,3,FALSE))*$U11)*VLOOKUP(E11,'⚪设计'!$C$85:$E$101,3,FALSE),0))</f>
        <v>1105</v>
      </c>
      <c r="I11" s="88">
        <f>ROUND(战斗节奏!$B$3/SUM(IF(线下模式!$E11="",0,VLOOKUP(线下模式!$E11,'⚪设计'!$C$85:$G$101,4,FALSE)*线下模式!$F11),IF(线下模式!$J11="",0,VLOOKUP(线下模式!$J11,'⚪设计'!$C$85:$G$101,4,FALSE)*线下模式!$K11),IF(线下模式!$O11="",0,VLOOKUP(线下模式!$O11,'⚪设计'!$C$85:$G$101,4,FALSE)*线下模式!$P11),IF(线下模式!$T11="",0,VLOOKUP(线下模式!$T11,'⚪设计'!$C$85:$G$101,4,FALSE)*线下模式!$U11))*IF(E11="",0,VLOOKUP(E11,'⚪设计'!$C$85:$G$101,4,FALSE)),0)</f>
        <v>3</v>
      </c>
      <c r="J11" s="88" t="str">
        <f>IF(VLOOKUP(A11,'⚪设计'!$A$327:$G$346,5,FALSE)="","",VLOOKUP(VLOOKUP(A11,'⚪设计'!$A$327:$G$346,5,FALSE),'⚪设计'!$B$85:$D$101,2,FALSE))</f>
        <v>ResUnit_ZhongZi1</v>
      </c>
      <c r="K11" s="88">
        <f t="shared" si="1"/>
        <v>6</v>
      </c>
      <c r="L11" s="7">
        <f>'⚪设计'!I335</f>
        <v>3</v>
      </c>
      <c r="M11" s="88">
        <f>IF(J11="",0,ROUND(VLOOKUP($A11,'⚪设计'!$A$327:$B$346,2,FALSE)*$B11/SUM(IF($E11="",0,VLOOKUP($E11,'⚪设计'!$C$85:$E$101,3,FALSE))*$F11,IF($J11="",0,VLOOKUP($J11,'⚪设计'!$C$85:$E$101,3,FALSE))*$K11,IF($O11="",0,VLOOKUP($O11,'⚪设计'!$C$85:$E$101,3,FALSE))*$P11,IF($T11="",0,VLOOKUP($T11,'⚪设计'!$C$85:$E$101,3,FALSE))*$U11)*VLOOKUP(J11,'⚪设计'!$C$85:$E$101,3,FALSE),0))</f>
        <v>1657</v>
      </c>
      <c r="N11" s="88">
        <f>ROUND(战斗节奏!$B$3/SUM(IF(线下模式!$E11="",0,VLOOKUP(线下模式!$E11,'⚪设计'!$C$85:$G$101,4,FALSE)*线下模式!$F11),IF(线下模式!$J11="",0,VLOOKUP(线下模式!$J11,'⚪设计'!$C$85:$G$101,4,FALSE)*线下模式!$K11),IF(线下模式!$O11="",0,VLOOKUP(线下模式!$O11,'⚪设计'!$C$85:$G$101,4,FALSE)*线下模式!$P11),IF(线下模式!$T11="",0,VLOOKUP(线下模式!$T11,'⚪设计'!$C$85:$G$101,4,FALSE)*线下模式!$U11))*IF(J11="",0,VLOOKUP(J11,'⚪设计'!$C$85:$G$101,4,FALSE)),0)</f>
        <v>3</v>
      </c>
      <c r="O11" s="71" t="str">
        <f>IF(VLOOKUP(A11,'⚪设计'!$A$327:$G$346,6,FALSE)="","",VLOOKUP(VLOOKUP(A11,'⚪设计'!$A$327:$G$346,6,FALSE),'⚪设计'!$B$85:$D$101,2,FALSE))</f>
        <v/>
      </c>
      <c r="P11" s="88">
        <f t="shared" si="2"/>
        <v>0</v>
      </c>
      <c r="Q11" s="7">
        <f>'⚪设计'!J335</f>
        <v>0</v>
      </c>
      <c r="R11" s="88">
        <f>IF(O11="",0,ROUND(VLOOKUP($A11,'⚪设计'!$A$327:$B$346,2,FALSE)*$B11/SUM(IF($E11="",0,VLOOKUP($E11,'⚪设计'!$C$85:$E$101,3,FALSE))*$F11,IF($J11="",0,VLOOKUP($J11,'⚪设计'!$C$85:$E$101,3,FALSE))*$K11,IF($O11="",0,VLOOKUP($O11,'⚪设计'!$C$85:$E$101,3,FALSE))*$P11,IF($T11="",0,VLOOKUP($T11,'⚪设计'!$C$85:$E$101,3,FALSE))*$U11)*VLOOKUP(O11,'⚪设计'!$C$85:$E$101,3,FALSE),0))</f>
        <v>0</v>
      </c>
      <c r="S11" s="88">
        <f>ROUND(战斗节奏!$B$3/SUM(IF(线下模式!$E11="",0,VLOOKUP(线下模式!$E11,'⚪设计'!$C$85:$G$101,4,FALSE)*线下模式!$F11),IF(线下模式!$J11="",0,VLOOKUP(线下模式!$J11,'⚪设计'!$C$85:$G$101,4,FALSE)*线下模式!$K11),IF(线下模式!$O11="",0,VLOOKUP(线下模式!$O11,'⚪设计'!$C$85:$G$101,4,FALSE)*线下模式!$P11),IF(线下模式!$T11="",0,VLOOKUP(线下模式!$T11,'⚪设计'!$C$85:$G$101,4,FALSE)*线下模式!$U11))*IF(O11="",0,VLOOKUP(O11,'⚪设计'!$C$85:$G$101,4,FALSE)),0)</f>
        <v>0</v>
      </c>
      <c r="T11" s="88" t="str">
        <f>IF(VLOOKUP(A11,'⚪设计'!$A$327:$G$346,7,FALSE)="","",VLOOKUP(VLOOKUP(A11,'⚪设计'!$A$327:$G$346,7,FALSE),'⚪设计'!$B$85:$D$101,2,FALSE))</f>
        <v/>
      </c>
      <c r="U11" s="88">
        <f t="shared" si="3"/>
        <v>0</v>
      </c>
      <c r="V11" s="7">
        <f>'⚪设计'!K335</f>
        <v>0</v>
      </c>
      <c r="W11" s="88">
        <f>IF(T11="",0,ROUND(VLOOKUP($A11,'⚪设计'!$A$327:$B$346,2,FALSE)*$B11/SUM(IF($E11="",0,VLOOKUP($E11,'⚪设计'!$C$85:$E$101,3,FALSE))*$F11,IF($J11="",0,VLOOKUP($J11,'⚪设计'!$C$85:$E$101,3,FALSE))*$K11,IF($O11="",0,VLOOKUP($O11,'⚪设计'!$C$85:$E$101,3,FALSE))*$P11,IF($T11="",0,VLOOKUP($T11,'⚪设计'!$C$85:$E$101,3,FALSE))*$U11)*VLOOKUP(T11,'⚪设计'!$C$85:$E$101,3,FALSE),0))</f>
        <v>0</v>
      </c>
      <c r="X11" s="88">
        <f>ROUND(战斗节奏!$B$3/SUM(IF(线下模式!$E11="",0,VLOOKUP(线下模式!$E11,'⚪设计'!$C$85:$G$101,4,FALSE)*线下模式!$F11),IF(线下模式!$J11="",0,VLOOKUP(线下模式!$J11,'⚪设计'!$C$85:$G$101,4,FALSE)*线下模式!$K11),IF(线下模式!$O11="",0,VLOOKUP(线下模式!$O11,'⚪设计'!$C$85:$G$101,4,FALSE)*线下模式!$P11),IF(线下模式!$T11="",0,VLOOKUP(线下模式!$T11,'⚪设计'!$C$85:$G$101,4,FALSE)*线下模式!$U11))*IF(T11="",0,VLOOKUP(T11,'⚪设计'!$C$85:$G$101,4,FALSE)),0)</f>
        <v>0</v>
      </c>
    </row>
    <row r="12" spans="1:24" x14ac:dyDescent="0.2">
      <c r="A12" s="84">
        <v>10</v>
      </c>
      <c r="B12" s="88">
        <f>MAX(MIN(战斗节奏!$C$3-INT(A12/'⚪设计'!$C$55),MOD(A12,'⚪设计'!$C$55)),0)*'⚪设计'!$C$79*防御塔!$C$2+MIN(INT(A12/'⚪设计'!$C$55),战斗节奏!$C$3)*'⚪设计'!$C$80*防御塔!$C$2</f>
        <v>5399.9999999999991</v>
      </c>
      <c r="C12" s="7">
        <v>1.45</v>
      </c>
      <c r="D12" s="7">
        <v>19</v>
      </c>
      <c r="E12" s="71" t="str">
        <f>IF(VLOOKUP(A12,'⚪设计'!$A$327:$G$346,4,FALSE)="","",VLOOKUP(VLOOKUP(A12,'⚪设计'!$A$327:$G$346,4,FALSE),'⚪设计'!$B$85:$D$101,2,FALSE))</f>
        <v>ResUnit_ZhongZi1</v>
      </c>
      <c r="F12" s="88">
        <f t="shared" si="0"/>
        <v>6</v>
      </c>
      <c r="G12" s="7">
        <f>'⚪设计'!H336</f>
        <v>3</v>
      </c>
      <c r="H12" s="88">
        <f>IF(E12="",0,ROUND(VLOOKUP($A12,'⚪设计'!$A$327:$B$346,2,FALSE)*$B12/SUM(IF($E12="",0,VLOOKUP($E12,'⚪设计'!$C$85:$E$101,3,FALSE))*$F12,IF($J12="",0,VLOOKUP($J12,'⚪设计'!$C$85:$E$101,3,FALSE))*$K12,IF($O12="",0,VLOOKUP($O12,'⚪设计'!$C$85:$E$101,3,FALSE))*$P12,IF($T12="",0,VLOOKUP($T12,'⚪设计'!$C$85:$E$101,3,FALSE))*$U12)*VLOOKUP(E12,'⚪设计'!$C$85:$E$101,3,FALSE),0))</f>
        <v>18118</v>
      </c>
      <c r="I12" s="88">
        <f>ROUND(战斗节奏!$B$3/SUM(IF(线下模式!$E12="",0,VLOOKUP(线下模式!$E12,'⚪设计'!$C$85:$G$101,4,FALSE)*线下模式!$F12),IF(线下模式!$J12="",0,VLOOKUP(线下模式!$J12,'⚪设计'!$C$85:$G$101,4,FALSE)*线下模式!$K12),IF(线下模式!$O12="",0,VLOOKUP(线下模式!$O12,'⚪设计'!$C$85:$G$101,4,FALSE)*线下模式!$P12),IF(线下模式!$T12="",0,VLOOKUP(线下模式!$T12,'⚪设计'!$C$85:$G$101,4,FALSE)*线下模式!$U12))*IF(E12="",0,VLOOKUP(E12,'⚪设计'!$C$85:$G$101,4,FALSE)),0)</f>
        <v>19</v>
      </c>
      <c r="J12" s="88" t="str">
        <f>IF(VLOOKUP(A12,'⚪设计'!$A$327:$G$346,5,FALSE)="","",VLOOKUP(VLOOKUP(A12,'⚪设计'!$A$327:$G$346,5,FALSE),'⚪设计'!$B$85:$D$101,2,FALSE))</f>
        <v>ResUnit_ZhiZhu3</v>
      </c>
      <c r="K12" s="88">
        <f t="shared" si="1"/>
        <v>1</v>
      </c>
      <c r="L12" s="7">
        <f>'⚪设计'!I336</f>
        <v>0</v>
      </c>
      <c r="M12" s="88">
        <f>IF(J12="",0,ROUND(VLOOKUP($A12,'⚪设计'!$A$327:$B$346,2,FALSE)*$B12/SUM(IF($E12="",0,VLOOKUP($E12,'⚪设计'!$C$85:$E$101,3,FALSE))*$F12,IF($J12="",0,VLOOKUP($J12,'⚪设计'!$C$85:$E$101,3,FALSE))*$K12,IF($O12="",0,VLOOKUP($O12,'⚪设计'!$C$85:$E$101,3,FALSE))*$P12,IF($T12="",0,VLOOKUP($T12,'⚪设计'!$C$85:$E$101,3,FALSE))*$U12)*VLOOKUP(J12,'⚪设计'!$C$85:$E$101,3,FALSE),0))</f>
        <v>120789</v>
      </c>
      <c r="N12" s="88">
        <f>ROUND(战斗节奏!$B$3/SUM(IF(线下模式!$E12="",0,VLOOKUP(线下模式!$E12,'⚪设计'!$C$85:$G$101,4,FALSE)*线下模式!$F12),IF(线下模式!$J12="",0,VLOOKUP(线下模式!$J12,'⚪设计'!$C$85:$G$101,4,FALSE)*线下模式!$K12),IF(线下模式!$O12="",0,VLOOKUP(线下模式!$O12,'⚪设计'!$C$85:$G$101,4,FALSE)*线下模式!$P12),IF(线下模式!$T12="",0,VLOOKUP(线下模式!$T12,'⚪设计'!$C$85:$G$101,4,FALSE)*线下模式!$U12))*IF(J12="",0,VLOOKUP(J12,'⚪设计'!$C$85:$G$101,4,FALSE)),0)</f>
        <v>188</v>
      </c>
      <c r="O12" s="71" t="str">
        <f>IF(VLOOKUP(A12,'⚪设计'!$A$327:$G$346,6,FALSE)="","",VLOOKUP(VLOOKUP(A12,'⚪设计'!$A$327:$G$346,6,FALSE),'⚪设计'!$B$85:$D$101,2,FALSE))</f>
        <v/>
      </c>
      <c r="P12" s="88">
        <f t="shared" si="2"/>
        <v>0</v>
      </c>
      <c r="Q12" s="7">
        <f>'⚪设计'!J336</f>
        <v>0</v>
      </c>
      <c r="R12" s="88">
        <f>IF(O12="",0,ROUND(VLOOKUP($A12,'⚪设计'!$A$327:$B$346,2,FALSE)*$B12/SUM(IF($E12="",0,VLOOKUP($E12,'⚪设计'!$C$85:$E$101,3,FALSE))*$F12,IF($J12="",0,VLOOKUP($J12,'⚪设计'!$C$85:$E$101,3,FALSE))*$K12,IF($O12="",0,VLOOKUP($O12,'⚪设计'!$C$85:$E$101,3,FALSE))*$P12,IF($T12="",0,VLOOKUP($T12,'⚪设计'!$C$85:$E$101,3,FALSE))*$U12)*VLOOKUP(O12,'⚪设计'!$C$85:$E$101,3,FALSE),0))</f>
        <v>0</v>
      </c>
      <c r="S12" s="88">
        <f>ROUND(战斗节奏!$B$3/SUM(IF(线下模式!$E12="",0,VLOOKUP(线下模式!$E12,'⚪设计'!$C$85:$G$101,4,FALSE)*线下模式!$F12),IF(线下模式!$J12="",0,VLOOKUP(线下模式!$J12,'⚪设计'!$C$85:$G$101,4,FALSE)*线下模式!$K12),IF(线下模式!$O12="",0,VLOOKUP(线下模式!$O12,'⚪设计'!$C$85:$G$101,4,FALSE)*线下模式!$P12),IF(线下模式!$T12="",0,VLOOKUP(线下模式!$T12,'⚪设计'!$C$85:$G$101,4,FALSE)*线下模式!$U12))*IF(O12="",0,VLOOKUP(O12,'⚪设计'!$C$85:$G$101,4,FALSE)),0)</f>
        <v>0</v>
      </c>
      <c r="T12" s="88" t="str">
        <f>IF(VLOOKUP(A12,'⚪设计'!$A$327:$G$346,7,FALSE)="","",VLOOKUP(VLOOKUP(A12,'⚪设计'!$A$327:$G$346,7,FALSE),'⚪设计'!$B$85:$D$101,2,FALSE))</f>
        <v/>
      </c>
      <c r="U12" s="88">
        <f t="shared" si="3"/>
        <v>0</v>
      </c>
      <c r="V12" s="7">
        <f>'⚪设计'!K336</f>
        <v>0</v>
      </c>
      <c r="W12" s="88">
        <f>IF(T12="",0,ROUND(VLOOKUP($A12,'⚪设计'!$A$327:$B$346,2,FALSE)*$B12/SUM(IF($E12="",0,VLOOKUP($E12,'⚪设计'!$C$85:$E$101,3,FALSE))*$F12,IF($J12="",0,VLOOKUP($J12,'⚪设计'!$C$85:$E$101,3,FALSE))*$K12,IF($O12="",0,VLOOKUP($O12,'⚪设计'!$C$85:$E$101,3,FALSE))*$P12,IF($T12="",0,VLOOKUP($T12,'⚪设计'!$C$85:$E$101,3,FALSE))*$U12)*VLOOKUP(T12,'⚪设计'!$C$85:$E$101,3,FALSE),0))</f>
        <v>0</v>
      </c>
      <c r="X12" s="88">
        <f>ROUND(战斗节奏!$B$3/SUM(IF(线下模式!$E12="",0,VLOOKUP(线下模式!$E12,'⚪设计'!$C$85:$G$101,4,FALSE)*线下模式!$F12),IF(线下模式!$J12="",0,VLOOKUP(线下模式!$J12,'⚪设计'!$C$85:$G$101,4,FALSE)*线下模式!$K12),IF(线下模式!$O12="",0,VLOOKUP(线下模式!$O12,'⚪设计'!$C$85:$G$101,4,FALSE)*线下模式!$P12),IF(线下模式!$T12="",0,VLOOKUP(线下模式!$T12,'⚪设计'!$C$85:$G$101,4,FALSE)*线下模式!$U12))*IF(T12="",0,VLOOKUP(T12,'⚪设计'!$C$85:$G$101,4,FALSE)),0)</f>
        <v>0</v>
      </c>
    </row>
    <row r="13" spans="1:24" x14ac:dyDescent="0.2">
      <c r="A13" s="84">
        <v>11</v>
      </c>
      <c r="B13" s="88">
        <f>MAX(MIN(战斗节奏!$C$3-INT(A13/'⚪设计'!$C$55),MOD(A13,'⚪设计'!$C$55)),0)*'⚪设计'!$C$79*防御塔!$C$2+MIN(INT(A13/'⚪设计'!$C$55),战斗节奏!$C$3)*'⚪设计'!$C$80*防御塔!$C$2</f>
        <v>5939.9999999999991</v>
      </c>
      <c r="C13" s="7">
        <v>1.5</v>
      </c>
      <c r="D13" s="7">
        <v>20</v>
      </c>
      <c r="E13" s="71" t="str">
        <f>IF(VLOOKUP(A13,'⚪设计'!$A$327:$G$346,4,FALSE)="","",VLOOKUP(VLOOKUP(A13,'⚪设计'!$A$327:$G$346,4,FALSE),'⚪设计'!$B$85:$D$101,2,FALSE))</f>
        <v>ResUnit_ZhongZi1</v>
      </c>
      <c r="F13" s="88">
        <f t="shared" si="0"/>
        <v>10</v>
      </c>
      <c r="G13" s="7">
        <f>'⚪设计'!H337</f>
        <v>2</v>
      </c>
      <c r="H13" s="88">
        <f>IF(E13="",0,ROUND(VLOOKUP($A13,'⚪设计'!$A$327:$B$346,2,FALSE)*$B13/SUM(IF($E13="",0,VLOOKUP($E13,'⚪设计'!$C$85:$E$101,3,FALSE))*$F13,IF($J13="",0,VLOOKUP($J13,'⚪设计'!$C$85:$E$101,3,FALSE))*$K13,IF($O13="",0,VLOOKUP($O13,'⚪设计'!$C$85:$E$101,3,FALSE))*$P13,IF($T13="",0,VLOOKUP($T13,'⚪设计'!$C$85:$E$101,3,FALSE))*$U13)*VLOOKUP(E13,'⚪设计'!$C$85:$E$101,3,FALSE),0))</f>
        <v>22275</v>
      </c>
      <c r="I13" s="88">
        <f>ROUND(战斗节奏!$B$3/SUM(IF(线下模式!$E13="",0,VLOOKUP(线下模式!$E13,'⚪设计'!$C$85:$G$101,4,FALSE)*线下模式!$F13),IF(线下模式!$J13="",0,VLOOKUP(线下模式!$J13,'⚪设计'!$C$85:$G$101,4,FALSE)*线下模式!$K13),IF(线下模式!$O13="",0,VLOOKUP(线下模式!$O13,'⚪设计'!$C$85:$G$101,4,FALSE)*线下模式!$P13),IF(线下模式!$T13="",0,VLOOKUP(线下模式!$T13,'⚪设计'!$C$85:$G$101,4,FALSE)*线下模式!$U13))*IF(E13="",0,VLOOKUP(E13,'⚪设计'!$C$85:$G$101,4,FALSE)),0)</f>
        <v>29</v>
      </c>
      <c r="J13" s="88" t="str">
        <f>IF(VLOOKUP(A13,'⚪设计'!$A$327:$G$346,5,FALSE)="","",VLOOKUP(VLOOKUP(A13,'⚪设计'!$A$327:$G$346,5,FALSE),'⚪设计'!$B$85:$D$101,2,FALSE))</f>
        <v>ResUnit_ZhiZhu2</v>
      </c>
      <c r="K13" s="88">
        <f t="shared" si="1"/>
        <v>1</v>
      </c>
      <c r="L13" s="7">
        <f>'⚪设计'!I337</f>
        <v>0</v>
      </c>
      <c r="M13" s="88">
        <f>IF(J13="",0,ROUND(VLOOKUP($A13,'⚪设计'!$A$327:$B$346,2,FALSE)*$B13/SUM(IF($E13="",0,VLOOKUP($E13,'⚪设计'!$C$85:$E$101,3,FALSE))*$F13,IF($J13="",0,VLOOKUP($J13,'⚪设计'!$C$85:$E$101,3,FALSE))*$K13,IF($O13="",0,VLOOKUP($O13,'⚪设计'!$C$85:$E$101,3,FALSE))*$P13,IF($T13="",0,VLOOKUP($T13,'⚪设计'!$C$85:$E$101,3,FALSE))*$U13)*VLOOKUP(J13,'⚪设计'!$C$85:$E$101,3,FALSE),0))</f>
        <v>14850</v>
      </c>
      <c r="N13" s="88">
        <f>ROUND(战斗节奏!$B$3/SUM(IF(线下模式!$E13="",0,VLOOKUP(线下模式!$E13,'⚪设计'!$C$85:$G$101,4,FALSE)*线下模式!$F13),IF(线下模式!$J13="",0,VLOOKUP(线下模式!$J13,'⚪设计'!$C$85:$G$101,4,FALSE)*线下模式!$K13),IF(线下模式!$O13="",0,VLOOKUP(线下模式!$O13,'⚪设计'!$C$85:$G$101,4,FALSE)*线下模式!$P13),IF(线下模式!$T13="",0,VLOOKUP(线下模式!$T13,'⚪设计'!$C$85:$G$101,4,FALSE)*线下模式!$U13))*IF(J13="",0,VLOOKUP(J13,'⚪设计'!$C$85:$G$101,4,FALSE)),0)</f>
        <v>14</v>
      </c>
      <c r="O13" s="71" t="str">
        <f>IF(VLOOKUP(A13,'⚪设计'!$A$327:$G$346,6,FALSE)="","",VLOOKUP(VLOOKUP(A13,'⚪设计'!$A$327:$G$346,6,FALSE),'⚪设计'!$B$85:$D$101,2,FALSE))</f>
        <v/>
      </c>
      <c r="P13" s="88">
        <f t="shared" si="2"/>
        <v>0</v>
      </c>
      <c r="Q13" s="7">
        <f>'⚪设计'!J337</f>
        <v>0</v>
      </c>
      <c r="R13" s="88">
        <f>IF(O13="",0,ROUND(VLOOKUP($A13,'⚪设计'!$A$327:$B$346,2,FALSE)*$B13/SUM(IF($E13="",0,VLOOKUP($E13,'⚪设计'!$C$85:$E$101,3,FALSE))*$F13,IF($J13="",0,VLOOKUP($J13,'⚪设计'!$C$85:$E$101,3,FALSE))*$K13,IF($O13="",0,VLOOKUP($O13,'⚪设计'!$C$85:$E$101,3,FALSE))*$P13,IF($T13="",0,VLOOKUP($T13,'⚪设计'!$C$85:$E$101,3,FALSE))*$U13)*VLOOKUP(O13,'⚪设计'!$C$85:$E$101,3,FALSE),0))</f>
        <v>0</v>
      </c>
      <c r="S13" s="88">
        <f>ROUND(战斗节奏!$B$3/SUM(IF(线下模式!$E13="",0,VLOOKUP(线下模式!$E13,'⚪设计'!$C$85:$G$101,4,FALSE)*线下模式!$F13),IF(线下模式!$J13="",0,VLOOKUP(线下模式!$J13,'⚪设计'!$C$85:$G$101,4,FALSE)*线下模式!$K13),IF(线下模式!$O13="",0,VLOOKUP(线下模式!$O13,'⚪设计'!$C$85:$G$101,4,FALSE)*线下模式!$P13),IF(线下模式!$T13="",0,VLOOKUP(线下模式!$T13,'⚪设计'!$C$85:$G$101,4,FALSE)*线下模式!$U13))*IF(O13="",0,VLOOKUP(O13,'⚪设计'!$C$85:$G$101,4,FALSE)),0)</f>
        <v>0</v>
      </c>
      <c r="T13" s="88" t="str">
        <f>IF(VLOOKUP(A13,'⚪设计'!$A$327:$G$346,7,FALSE)="","",VLOOKUP(VLOOKUP(A13,'⚪设计'!$A$327:$G$346,7,FALSE),'⚪设计'!$B$85:$D$101,2,FALSE))</f>
        <v/>
      </c>
      <c r="U13" s="88">
        <f t="shared" si="3"/>
        <v>0</v>
      </c>
      <c r="V13" s="7">
        <f>'⚪设计'!K337</f>
        <v>0</v>
      </c>
      <c r="W13" s="88">
        <f>IF(T13="",0,ROUND(VLOOKUP($A13,'⚪设计'!$A$327:$B$346,2,FALSE)*$B13/SUM(IF($E13="",0,VLOOKUP($E13,'⚪设计'!$C$85:$E$101,3,FALSE))*$F13,IF($J13="",0,VLOOKUP($J13,'⚪设计'!$C$85:$E$101,3,FALSE))*$K13,IF($O13="",0,VLOOKUP($O13,'⚪设计'!$C$85:$E$101,3,FALSE))*$P13,IF($T13="",0,VLOOKUP($T13,'⚪设计'!$C$85:$E$101,3,FALSE))*$U13)*VLOOKUP(T13,'⚪设计'!$C$85:$E$101,3,FALSE),0))</f>
        <v>0</v>
      </c>
      <c r="X13" s="88">
        <f>ROUND(战斗节奏!$B$3/SUM(IF(线下模式!$E13="",0,VLOOKUP(线下模式!$E13,'⚪设计'!$C$85:$G$101,4,FALSE)*线下模式!$F13),IF(线下模式!$J13="",0,VLOOKUP(线下模式!$J13,'⚪设计'!$C$85:$G$101,4,FALSE)*线下模式!$K13),IF(线下模式!$O13="",0,VLOOKUP(线下模式!$O13,'⚪设计'!$C$85:$G$101,4,FALSE)*线下模式!$P13),IF(线下模式!$T13="",0,VLOOKUP(线下模式!$T13,'⚪设计'!$C$85:$G$101,4,FALSE)*线下模式!$U13))*IF(T13="",0,VLOOKUP(T13,'⚪设计'!$C$85:$G$101,4,FALSE)),0)</f>
        <v>0</v>
      </c>
    </row>
    <row r="14" spans="1:24" x14ac:dyDescent="0.2">
      <c r="A14" s="84">
        <v>12</v>
      </c>
      <c r="B14" s="88">
        <f>MAX(MIN(战斗节奏!$C$3-INT(A14/'⚪设计'!$C$55),MOD(A14,'⚪设计'!$C$55)),0)*'⚪设计'!$C$79*防御塔!$C$2+MIN(INT(A14/'⚪设计'!$C$55),战斗节奏!$C$3)*'⚪设计'!$C$80*防御塔!$C$2</f>
        <v>6480</v>
      </c>
      <c r="C14" s="7">
        <v>1.55</v>
      </c>
      <c r="D14" s="7">
        <v>21</v>
      </c>
      <c r="E14" s="71" t="str">
        <f>IF(VLOOKUP(A14,'⚪设计'!$A$327:$G$346,4,FALSE)="","",VLOOKUP(VLOOKUP(A14,'⚪设计'!$A$327:$G$346,4,FALSE),'⚪设计'!$B$85:$D$101,2,FALSE))</f>
        <v>ResUnit_Gui1</v>
      </c>
      <c r="F14" s="88">
        <f t="shared" si="0"/>
        <v>14</v>
      </c>
      <c r="G14" s="7">
        <f>'⚪设计'!H338</f>
        <v>1.5</v>
      </c>
      <c r="H14" s="88">
        <f>IF(E14="",0,ROUND(VLOOKUP($A14,'⚪设计'!$A$327:$B$346,2,FALSE)*$B14/SUM(IF($E14="",0,VLOOKUP($E14,'⚪设计'!$C$85:$E$101,3,FALSE))*$F14,IF($J14="",0,VLOOKUP($J14,'⚪设计'!$C$85:$E$101,3,FALSE))*$K14,IF($O14="",0,VLOOKUP($O14,'⚪设计'!$C$85:$E$101,3,FALSE))*$P14,IF($T14="",0,VLOOKUP($T14,'⚪设计'!$C$85:$E$101,3,FALSE))*$U14)*VLOOKUP(E14,'⚪设计'!$C$85:$E$101,3,FALSE),0))</f>
        <v>20829</v>
      </c>
      <c r="I14" s="88">
        <f>ROUND(战斗节奏!$B$3/SUM(IF(线下模式!$E14="",0,VLOOKUP(线下模式!$E14,'⚪设计'!$C$85:$G$101,4,FALSE)*线下模式!$F14),IF(线下模式!$J14="",0,VLOOKUP(线下模式!$J14,'⚪设计'!$C$85:$G$101,4,FALSE)*线下模式!$K14),IF(线下模式!$O14="",0,VLOOKUP(线下模式!$O14,'⚪设计'!$C$85:$G$101,4,FALSE)*线下模式!$P14),IF(线下模式!$T14="",0,VLOOKUP(线下模式!$T14,'⚪设计'!$C$85:$G$101,4,FALSE)*线下模式!$U14))*IF(E14="",0,VLOOKUP(E14,'⚪设计'!$C$85:$G$101,4,FALSE)),0)</f>
        <v>21</v>
      </c>
      <c r="J14" s="88" t="str">
        <f>IF(VLOOKUP(A14,'⚪设计'!$A$327:$G$346,5,FALSE)="","",VLOOKUP(VLOOKUP(A14,'⚪设计'!$A$327:$G$346,5,FALSE),'⚪设计'!$B$85:$D$101,2,FALSE))</f>
        <v/>
      </c>
      <c r="K14" s="88">
        <f t="shared" si="1"/>
        <v>0</v>
      </c>
      <c r="L14" s="7">
        <f>'⚪设计'!I338</f>
        <v>0</v>
      </c>
      <c r="M14" s="88">
        <f>IF(J14="",0,ROUND(VLOOKUP($A14,'⚪设计'!$A$327:$B$346,2,FALSE)*$B14/SUM(IF($E14="",0,VLOOKUP($E14,'⚪设计'!$C$85:$E$101,3,FALSE))*$F14,IF($J14="",0,VLOOKUP($J14,'⚪设计'!$C$85:$E$101,3,FALSE))*$K14,IF($O14="",0,VLOOKUP($O14,'⚪设计'!$C$85:$E$101,3,FALSE))*$P14,IF($T14="",0,VLOOKUP($T14,'⚪设计'!$C$85:$E$101,3,FALSE))*$U14)*VLOOKUP(J14,'⚪设计'!$C$85:$E$101,3,FALSE),0))</f>
        <v>0</v>
      </c>
      <c r="N14" s="88">
        <f>ROUND(战斗节奏!$B$3/SUM(IF(线下模式!$E14="",0,VLOOKUP(线下模式!$E14,'⚪设计'!$C$85:$G$101,4,FALSE)*线下模式!$F14),IF(线下模式!$J14="",0,VLOOKUP(线下模式!$J14,'⚪设计'!$C$85:$G$101,4,FALSE)*线下模式!$K14),IF(线下模式!$O14="",0,VLOOKUP(线下模式!$O14,'⚪设计'!$C$85:$G$101,4,FALSE)*线下模式!$P14),IF(线下模式!$T14="",0,VLOOKUP(线下模式!$T14,'⚪设计'!$C$85:$G$101,4,FALSE)*线下模式!$U14))*IF(J14="",0,VLOOKUP(J14,'⚪设计'!$C$85:$G$101,4,FALSE)),0)</f>
        <v>0</v>
      </c>
      <c r="O14" s="71" t="str">
        <f>IF(VLOOKUP(A14,'⚪设计'!$A$327:$G$346,6,FALSE)="","",VLOOKUP(VLOOKUP(A14,'⚪设计'!$A$327:$G$346,6,FALSE),'⚪设计'!$B$85:$D$101,2,FALSE))</f>
        <v/>
      </c>
      <c r="P14" s="88">
        <f t="shared" si="2"/>
        <v>0</v>
      </c>
      <c r="Q14" s="7">
        <f>'⚪设计'!J338</f>
        <v>0</v>
      </c>
      <c r="R14" s="88">
        <f>IF(O14="",0,ROUND(VLOOKUP($A14,'⚪设计'!$A$327:$B$346,2,FALSE)*$B14/SUM(IF($E14="",0,VLOOKUP($E14,'⚪设计'!$C$85:$E$101,3,FALSE))*$F14,IF($J14="",0,VLOOKUP($J14,'⚪设计'!$C$85:$E$101,3,FALSE))*$K14,IF($O14="",0,VLOOKUP($O14,'⚪设计'!$C$85:$E$101,3,FALSE))*$P14,IF($T14="",0,VLOOKUP($T14,'⚪设计'!$C$85:$E$101,3,FALSE))*$U14)*VLOOKUP(O14,'⚪设计'!$C$85:$E$101,3,FALSE),0))</f>
        <v>0</v>
      </c>
      <c r="S14" s="88">
        <f>ROUND(战斗节奏!$B$3/SUM(IF(线下模式!$E14="",0,VLOOKUP(线下模式!$E14,'⚪设计'!$C$85:$G$101,4,FALSE)*线下模式!$F14),IF(线下模式!$J14="",0,VLOOKUP(线下模式!$J14,'⚪设计'!$C$85:$G$101,4,FALSE)*线下模式!$K14),IF(线下模式!$O14="",0,VLOOKUP(线下模式!$O14,'⚪设计'!$C$85:$G$101,4,FALSE)*线下模式!$P14),IF(线下模式!$T14="",0,VLOOKUP(线下模式!$T14,'⚪设计'!$C$85:$G$101,4,FALSE)*线下模式!$U14))*IF(O14="",0,VLOOKUP(O14,'⚪设计'!$C$85:$G$101,4,FALSE)),0)</f>
        <v>0</v>
      </c>
      <c r="T14" s="88" t="str">
        <f>IF(VLOOKUP(A14,'⚪设计'!$A$327:$G$346,7,FALSE)="","",VLOOKUP(VLOOKUP(A14,'⚪设计'!$A$327:$G$346,7,FALSE),'⚪设计'!$B$85:$D$101,2,FALSE))</f>
        <v/>
      </c>
      <c r="U14" s="88">
        <f t="shared" si="3"/>
        <v>0</v>
      </c>
      <c r="V14" s="7">
        <f>'⚪设计'!K338</f>
        <v>0</v>
      </c>
      <c r="W14" s="88">
        <f>IF(T14="",0,ROUND(VLOOKUP($A14,'⚪设计'!$A$327:$B$346,2,FALSE)*$B14/SUM(IF($E14="",0,VLOOKUP($E14,'⚪设计'!$C$85:$E$101,3,FALSE))*$F14,IF($J14="",0,VLOOKUP($J14,'⚪设计'!$C$85:$E$101,3,FALSE))*$K14,IF($O14="",0,VLOOKUP($O14,'⚪设计'!$C$85:$E$101,3,FALSE))*$P14,IF($T14="",0,VLOOKUP($T14,'⚪设计'!$C$85:$E$101,3,FALSE))*$U14)*VLOOKUP(T14,'⚪设计'!$C$85:$E$101,3,FALSE),0))</f>
        <v>0</v>
      </c>
      <c r="X14" s="88">
        <f>ROUND(战斗节奏!$B$3/SUM(IF(线下模式!$E14="",0,VLOOKUP(线下模式!$E14,'⚪设计'!$C$85:$G$101,4,FALSE)*线下模式!$F14),IF(线下模式!$J14="",0,VLOOKUP(线下模式!$J14,'⚪设计'!$C$85:$G$101,4,FALSE)*线下模式!$K14),IF(线下模式!$O14="",0,VLOOKUP(线下模式!$O14,'⚪设计'!$C$85:$G$101,4,FALSE)*线下模式!$P14),IF(线下模式!$T14="",0,VLOOKUP(线下模式!$T14,'⚪设计'!$C$85:$G$101,4,FALSE)*线下模式!$U14))*IF(T14="",0,VLOOKUP(T14,'⚪设计'!$C$85:$G$101,4,FALSE)),0)</f>
        <v>0</v>
      </c>
    </row>
    <row r="15" spans="1:24" x14ac:dyDescent="0.2">
      <c r="A15" s="84">
        <v>13</v>
      </c>
      <c r="B15" s="88">
        <f>MAX(MIN(战斗节奏!$C$3-INT(A15/'⚪设计'!$C$55),MOD(A15,'⚪设计'!$C$55)),0)*'⚪设计'!$C$79*防御塔!$C$2+MIN(INT(A15/'⚪设计'!$C$55),战斗节奏!$C$3)*'⚪设计'!$C$80*防御塔!$C$2</f>
        <v>7020</v>
      </c>
      <c r="C15" s="7">
        <v>1.6</v>
      </c>
      <c r="D15" s="7">
        <v>22</v>
      </c>
      <c r="E15" s="71" t="str">
        <f>IF(VLOOKUP(A15,'⚪设计'!$A$327:$G$346,4,FALSE)="","",VLOOKUP(VLOOKUP(A15,'⚪设计'!$A$327:$G$346,4,FALSE),'⚪设计'!$B$85:$D$101,2,FALSE))</f>
        <v>ResUnit_Gui1</v>
      </c>
      <c r="F15" s="88">
        <f t="shared" si="0"/>
        <v>15</v>
      </c>
      <c r="G15" s="7">
        <f>'⚪设计'!H339</f>
        <v>1.5</v>
      </c>
      <c r="H15" s="88">
        <f>IF(E15="",0,ROUND(VLOOKUP($A15,'⚪设计'!$A$327:$B$346,2,FALSE)*$B15/SUM(IF($E15="",0,VLOOKUP($E15,'⚪设计'!$C$85:$E$101,3,FALSE))*$F15,IF($J15="",0,VLOOKUP($J15,'⚪设计'!$C$85:$E$101,3,FALSE))*$K15,IF($O15="",0,VLOOKUP($O15,'⚪设计'!$C$85:$E$101,3,FALSE))*$P15,IF($T15="",0,VLOOKUP($T15,'⚪设计'!$C$85:$E$101,3,FALSE))*$U15)*VLOOKUP(E15,'⚪设计'!$C$85:$E$101,3,FALSE),0))</f>
        <v>7800</v>
      </c>
      <c r="I15" s="88">
        <f>ROUND(战斗节奏!$B$3/SUM(IF(线下模式!$E15="",0,VLOOKUP(线下模式!$E15,'⚪设计'!$C$85:$G$101,4,FALSE)*线下模式!$F15),IF(线下模式!$J15="",0,VLOOKUP(线下模式!$J15,'⚪设计'!$C$85:$G$101,4,FALSE)*线下模式!$K15),IF(线下模式!$O15="",0,VLOOKUP(线下模式!$O15,'⚪设计'!$C$85:$G$101,4,FALSE)*线下模式!$P15),IF(线下模式!$T15="",0,VLOOKUP(线下模式!$T15,'⚪设计'!$C$85:$G$101,4,FALSE)*线下模式!$U15))*IF(E15="",0,VLOOKUP(E15,'⚪设计'!$C$85:$G$101,4,FALSE)),0)</f>
        <v>10</v>
      </c>
      <c r="J15" s="88" t="str">
        <f>IF(VLOOKUP(A15,'⚪设计'!$A$327:$G$346,5,FALSE)="","",VLOOKUP(VLOOKUP(A15,'⚪设计'!$A$327:$G$346,5,FALSE),'⚪设计'!$B$85:$D$101,2,FALSE))</f>
        <v>ResUnit_ZhiZhu2</v>
      </c>
      <c r="K15" s="88">
        <f t="shared" si="1"/>
        <v>15</v>
      </c>
      <c r="L15" s="7">
        <f>'⚪设计'!I339</f>
        <v>1.5</v>
      </c>
      <c r="M15" s="88">
        <f>IF(J15="",0,ROUND(VLOOKUP($A15,'⚪设计'!$A$327:$B$346,2,FALSE)*$B15/SUM(IF($E15="",0,VLOOKUP($E15,'⚪设计'!$C$85:$E$101,3,FALSE))*$F15,IF($J15="",0,VLOOKUP($J15,'⚪设计'!$C$85:$E$101,3,FALSE))*$K15,IF($O15="",0,VLOOKUP($O15,'⚪设计'!$C$85:$E$101,3,FALSE))*$P15,IF($T15="",0,VLOOKUP($T15,'⚪设计'!$C$85:$E$101,3,FALSE))*$U15)*VLOOKUP(J15,'⚪设计'!$C$85:$E$101,3,FALSE),0))</f>
        <v>15600</v>
      </c>
      <c r="N15" s="88">
        <f>ROUND(战斗节奏!$B$3/SUM(IF(线下模式!$E15="",0,VLOOKUP(线下模式!$E15,'⚪设计'!$C$85:$G$101,4,FALSE)*线下模式!$F15),IF(线下模式!$J15="",0,VLOOKUP(线下模式!$J15,'⚪设计'!$C$85:$G$101,4,FALSE)*线下模式!$K15),IF(线下模式!$O15="",0,VLOOKUP(线下模式!$O15,'⚪设计'!$C$85:$G$101,4,FALSE)*线下模式!$P15),IF(线下模式!$T15="",0,VLOOKUP(线下模式!$T15,'⚪设计'!$C$85:$G$101,4,FALSE)*线下模式!$U15))*IF(J15="",0,VLOOKUP(J15,'⚪设计'!$C$85:$G$101,4,FALSE)),0)</f>
        <v>10</v>
      </c>
      <c r="O15" s="71" t="str">
        <f>IF(VLOOKUP(A15,'⚪设计'!$A$327:$G$346,6,FALSE)="","",VLOOKUP(VLOOKUP(A15,'⚪设计'!$A$327:$G$346,6,FALSE),'⚪设计'!$B$85:$D$101,2,FALSE))</f>
        <v/>
      </c>
      <c r="P15" s="88">
        <f t="shared" si="2"/>
        <v>0</v>
      </c>
      <c r="Q15" s="7">
        <f>'⚪设计'!J339</f>
        <v>0</v>
      </c>
      <c r="R15" s="88">
        <f>IF(O15="",0,ROUND(VLOOKUP($A15,'⚪设计'!$A$327:$B$346,2,FALSE)*$B15/SUM(IF($E15="",0,VLOOKUP($E15,'⚪设计'!$C$85:$E$101,3,FALSE))*$F15,IF($J15="",0,VLOOKUP($J15,'⚪设计'!$C$85:$E$101,3,FALSE))*$K15,IF($O15="",0,VLOOKUP($O15,'⚪设计'!$C$85:$E$101,3,FALSE))*$P15,IF($T15="",0,VLOOKUP($T15,'⚪设计'!$C$85:$E$101,3,FALSE))*$U15)*VLOOKUP(O15,'⚪设计'!$C$85:$E$101,3,FALSE),0))</f>
        <v>0</v>
      </c>
      <c r="S15" s="88">
        <f>ROUND(战斗节奏!$B$3/SUM(IF(线下模式!$E15="",0,VLOOKUP(线下模式!$E15,'⚪设计'!$C$85:$G$101,4,FALSE)*线下模式!$F15),IF(线下模式!$J15="",0,VLOOKUP(线下模式!$J15,'⚪设计'!$C$85:$G$101,4,FALSE)*线下模式!$K15),IF(线下模式!$O15="",0,VLOOKUP(线下模式!$O15,'⚪设计'!$C$85:$G$101,4,FALSE)*线下模式!$P15),IF(线下模式!$T15="",0,VLOOKUP(线下模式!$T15,'⚪设计'!$C$85:$G$101,4,FALSE)*线下模式!$U15))*IF(O15="",0,VLOOKUP(O15,'⚪设计'!$C$85:$G$101,4,FALSE)),0)</f>
        <v>0</v>
      </c>
      <c r="T15" s="88" t="str">
        <f>IF(VLOOKUP(A15,'⚪设计'!$A$327:$G$346,7,FALSE)="","",VLOOKUP(VLOOKUP(A15,'⚪设计'!$A$327:$G$346,7,FALSE),'⚪设计'!$B$85:$D$101,2,FALSE))</f>
        <v/>
      </c>
      <c r="U15" s="88">
        <f t="shared" si="3"/>
        <v>0</v>
      </c>
      <c r="V15" s="7">
        <f>'⚪设计'!K339</f>
        <v>0</v>
      </c>
      <c r="W15" s="88">
        <f>IF(T15="",0,ROUND(VLOOKUP($A15,'⚪设计'!$A$327:$B$346,2,FALSE)*$B15/SUM(IF($E15="",0,VLOOKUP($E15,'⚪设计'!$C$85:$E$101,3,FALSE))*$F15,IF($J15="",0,VLOOKUP($J15,'⚪设计'!$C$85:$E$101,3,FALSE))*$K15,IF($O15="",0,VLOOKUP($O15,'⚪设计'!$C$85:$E$101,3,FALSE))*$P15,IF($T15="",0,VLOOKUP($T15,'⚪设计'!$C$85:$E$101,3,FALSE))*$U15)*VLOOKUP(T15,'⚪设计'!$C$85:$E$101,3,FALSE),0))</f>
        <v>0</v>
      </c>
      <c r="X15" s="88">
        <f>ROUND(战斗节奏!$B$3/SUM(IF(线下模式!$E15="",0,VLOOKUP(线下模式!$E15,'⚪设计'!$C$85:$G$101,4,FALSE)*线下模式!$F15),IF(线下模式!$J15="",0,VLOOKUP(线下模式!$J15,'⚪设计'!$C$85:$G$101,4,FALSE)*线下模式!$K15),IF(线下模式!$O15="",0,VLOOKUP(线下模式!$O15,'⚪设计'!$C$85:$G$101,4,FALSE)*线下模式!$P15),IF(线下模式!$T15="",0,VLOOKUP(线下模式!$T15,'⚪设计'!$C$85:$G$101,4,FALSE)*线下模式!$U15))*IF(T15="",0,VLOOKUP(T15,'⚪设计'!$C$85:$G$101,4,FALSE)),0)</f>
        <v>0</v>
      </c>
    </row>
    <row r="16" spans="1:24" x14ac:dyDescent="0.2">
      <c r="A16" s="84">
        <v>14</v>
      </c>
      <c r="B16" s="88">
        <f>MAX(MIN(战斗节奏!$C$3-INT(A16/'⚪设计'!$C$55),MOD(A16,'⚪设计'!$C$55)),0)*'⚪设计'!$C$79*防御塔!$C$2+MIN(INT(A16/'⚪设计'!$C$55),战斗节奏!$C$3)*'⚪设计'!$C$80*防御塔!$C$2</f>
        <v>7560</v>
      </c>
      <c r="C16" s="7">
        <v>1.65</v>
      </c>
      <c r="D16" s="7">
        <v>23</v>
      </c>
      <c r="E16" s="71" t="str">
        <f>IF(VLOOKUP(A16,'⚪设计'!$A$327:$G$346,4,FALSE)="","",VLOOKUP(VLOOKUP(A16,'⚪设计'!$A$327:$G$346,4,FALSE),'⚪设计'!$B$85:$D$101,2,FALSE))</f>
        <v>ResUnit_Gui1</v>
      </c>
      <c r="F16" s="88">
        <f t="shared" si="0"/>
        <v>31</v>
      </c>
      <c r="G16" s="7">
        <f>'⚪设计'!H340</f>
        <v>0.75</v>
      </c>
      <c r="H16" s="88">
        <f>IF(E16="",0,ROUND(VLOOKUP($A16,'⚪设计'!$A$327:$B$346,2,FALSE)*$B16/SUM(IF($E16="",0,VLOOKUP($E16,'⚪设计'!$C$85:$E$101,3,FALSE))*$F16,IF($J16="",0,VLOOKUP($J16,'⚪设计'!$C$85:$E$101,3,FALSE))*$K16,IF($O16="",0,VLOOKUP($O16,'⚪设计'!$C$85:$E$101,3,FALSE))*$P16,IF($T16="",0,VLOOKUP($T16,'⚪设计'!$C$85:$E$101,3,FALSE))*$U16)*VLOOKUP(E16,'⚪设计'!$C$85:$E$101,3,FALSE),0))</f>
        <v>5263</v>
      </c>
      <c r="I16" s="88">
        <f>ROUND(战斗节奏!$B$3/SUM(IF(线下模式!$E16="",0,VLOOKUP(线下模式!$E16,'⚪设计'!$C$85:$G$101,4,FALSE)*线下模式!$F16),IF(线下模式!$J16="",0,VLOOKUP(线下模式!$J16,'⚪设计'!$C$85:$G$101,4,FALSE)*线下模式!$K16),IF(线下模式!$O16="",0,VLOOKUP(线下模式!$O16,'⚪设计'!$C$85:$G$101,4,FALSE)*线下模式!$P16),IF(线下模式!$T16="",0,VLOOKUP(线下模式!$T16,'⚪设计'!$C$85:$G$101,4,FALSE)*线下模式!$U16))*IF(E16="",0,VLOOKUP(E16,'⚪设计'!$C$85:$G$101,4,FALSE)),0)</f>
        <v>6</v>
      </c>
      <c r="J16" s="88" t="str">
        <f>IF(VLOOKUP(A16,'⚪设计'!$A$327:$G$346,5,FALSE)="","",VLOOKUP(VLOOKUP(A16,'⚪设计'!$A$327:$G$346,5,FALSE),'⚪设计'!$B$85:$D$101,2,FALSE))</f>
        <v>ResUnit_ZhongZi2</v>
      </c>
      <c r="K16" s="88">
        <f t="shared" si="1"/>
        <v>8</v>
      </c>
      <c r="L16" s="7">
        <f>'⚪设计'!I340</f>
        <v>3</v>
      </c>
      <c r="M16" s="88">
        <f>IF(J16="",0,ROUND(VLOOKUP($A16,'⚪设计'!$A$327:$B$346,2,FALSE)*$B16/SUM(IF($E16="",0,VLOOKUP($E16,'⚪设计'!$C$85:$E$101,3,FALSE))*$F16,IF($J16="",0,VLOOKUP($J16,'⚪设计'!$C$85:$E$101,3,FALSE))*$K16,IF($O16="",0,VLOOKUP($O16,'⚪设计'!$C$85:$E$101,3,FALSE))*$P16,IF($T16="",0,VLOOKUP($T16,'⚪设计'!$C$85:$E$101,3,FALSE))*$U16)*VLOOKUP(J16,'⚪设计'!$C$85:$E$101,3,FALSE),0))</f>
        <v>31580</v>
      </c>
      <c r="N16" s="88">
        <f>ROUND(战斗节奏!$B$3/SUM(IF(线下模式!$E16="",0,VLOOKUP(线下模式!$E16,'⚪设计'!$C$85:$G$101,4,FALSE)*线下模式!$F16),IF(线下模式!$J16="",0,VLOOKUP(线下模式!$J16,'⚪设计'!$C$85:$G$101,4,FALSE)*线下模式!$K16),IF(线下模式!$O16="",0,VLOOKUP(线下模式!$O16,'⚪设计'!$C$85:$G$101,4,FALSE)*线下模式!$P16),IF(线下模式!$T16="",0,VLOOKUP(线下模式!$T16,'⚪设计'!$C$85:$G$101,4,FALSE)*线下模式!$U16))*IF(J16="",0,VLOOKUP(J16,'⚪设计'!$C$85:$G$101,4,FALSE)),0)</f>
        <v>13</v>
      </c>
      <c r="O16" s="71" t="str">
        <f>IF(VLOOKUP(A16,'⚪设计'!$A$327:$G$346,6,FALSE)="","",VLOOKUP(VLOOKUP(A16,'⚪设计'!$A$327:$G$346,6,FALSE),'⚪设计'!$B$85:$D$101,2,FALSE))</f>
        <v/>
      </c>
      <c r="P16" s="88">
        <f t="shared" si="2"/>
        <v>0</v>
      </c>
      <c r="Q16" s="7">
        <f>'⚪设计'!J340</f>
        <v>0</v>
      </c>
      <c r="R16" s="88">
        <f>IF(O16="",0,ROUND(VLOOKUP($A16,'⚪设计'!$A$327:$B$346,2,FALSE)*$B16/SUM(IF($E16="",0,VLOOKUP($E16,'⚪设计'!$C$85:$E$101,3,FALSE))*$F16,IF($J16="",0,VLOOKUP($J16,'⚪设计'!$C$85:$E$101,3,FALSE))*$K16,IF($O16="",0,VLOOKUP($O16,'⚪设计'!$C$85:$E$101,3,FALSE))*$P16,IF($T16="",0,VLOOKUP($T16,'⚪设计'!$C$85:$E$101,3,FALSE))*$U16)*VLOOKUP(O16,'⚪设计'!$C$85:$E$101,3,FALSE),0))</f>
        <v>0</v>
      </c>
      <c r="S16" s="88">
        <f>ROUND(战斗节奏!$B$3/SUM(IF(线下模式!$E16="",0,VLOOKUP(线下模式!$E16,'⚪设计'!$C$85:$G$101,4,FALSE)*线下模式!$F16),IF(线下模式!$J16="",0,VLOOKUP(线下模式!$J16,'⚪设计'!$C$85:$G$101,4,FALSE)*线下模式!$K16),IF(线下模式!$O16="",0,VLOOKUP(线下模式!$O16,'⚪设计'!$C$85:$G$101,4,FALSE)*线下模式!$P16),IF(线下模式!$T16="",0,VLOOKUP(线下模式!$T16,'⚪设计'!$C$85:$G$101,4,FALSE)*线下模式!$U16))*IF(O16="",0,VLOOKUP(O16,'⚪设计'!$C$85:$G$101,4,FALSE)),0)</f>
        <v>0</v>
      </c>
      <c r="T16" s="88" t="str">
        <f>IF(VLOOKUP(A16,'⚪设计'!$A$327:$G$346,7,FALSE)="","",VLOOKUP(VLOOKUP(A16,'⚪设计'!$A$327:$G$346,7,FALSE),'⚪设计'!$B$85:$D$101,2,FALSE))</f>
        <v/>
      </c>
      <c r="U16" s="88">
        <f t="shared" si="3"/>
        <v>0</v>
      </c>
      <c r="V16" s="7">
        <f>'⚪设计'!K340</f>
        <v>0</v>
      </c>
      <c r="W16" s="88">
        <f>IF(T16="",0,ROUND(VLOOKUP($A16,'⚪设计'!$A$327:$B$346,2,FALSE)*$B16/SUM(IF($E16="",0,VLOOKUP($E16,'⚪设计'!$C$85:$E$101,3,FALSE))*$F16,IF($J16="",0,VLOOKUP($J16,'⚪设计'!$C$85:$E$101,3,FALSE))*$K16,IF($O16="",0,VLOOKUP($O16,'⚪设计'!$C$85:$E$101,3,FALSE))*$P16,IF($T16="",0,VLOOKUP($T16,'⚪设计'!$C$85:$E$101,3,FALSE))*$U16)*VLOOKUP(T16,'⚪设计'!$C$85:$E$101,3,FALSE),0))</f>
        <v>0</v>
      </c>
      <c r="X16" s="88">
        <f>ROUND(战斗节奏!$B$3/SUM(IF(线下模式!$E16="",0,VLOOKUP(线下模式!$E16,'⚪设计'!$C$85:$G$101,4,FALSE)*线下模式!$F16),IF(线下模式!$J16="",0,VLOOKUP(线下模式!$J16,'⚪设计'!$C$85:$G$101,4,FALSE)*线下模式!$K16),IF(线下模式!$O16="",0,VLOOKUP(线下模式!$O16,'⚪设计'!$C$85:$G$101,4,FALSE)*线下模式!$P16),IF(线下模式!$T16="",0,VLOOKUP(线下模式!$T16,'⚪设计'!$C$85:$G$101,4,FALSE)*线下模式!$U16))*IF(T16="",0,VLOOKUP(T16,'⚪设计'!$C$85:$G$101,4,FALSE)),0)</f>
        <v>0</v>
      </c>
    </row>
    <row r="17" spans="1:24" x14ac:dyDescent="0.2">
      <c r="A17" s="84">
        <v>15</v>
      </c>
      <c r="B17" s="88">
        <f>MAX(MIN(战斗节奏!$C$3-INT(A17/'⚪设计'!$C$55),MOD(A17,'⚪设计'!$C$55)),0)*'⚪设计'!$C$79*防御塔!$C$2+MIN(INT(A17/'⚪设计'!$C$55),战斗节奏!$C$3)*'⚪设计'!$C$80*防御塔!$C$2</f>
        <v>8100</v>
      </c>
      <c r="C17" s="7">
        <v>1.7</v>
      </c>
      <c r="D17" s="7">
        <v>24</v>
      </c>
      <c r="E17" s="71" t="str">
        <f>IF(VLOOKUP(A17,'⚪设计'!$A$327:$G$346,4,FALSE)="","",VLOOKUP(VLOOKUP(A17,'⚪设计'!$A$327:$G$346,4,FALSE),'⚪设计'!$B$85:$D$101,2,FALSE))</f>
        <v>ResUnit_MiFeng2</v>
      </c>
      <c r="F17" s="88">
        <f t="shared" si="0"/>
        <v>120</v>
      </c>
      <c r="G17" s="7">
        <f>'⚪设计'!H341</f>
        <v>0.2</v>
      </c>
      <c r="H17" s="88">
        <f>IF(E17="",0,ROUND(VLOOKUP($A17,'⚪设计'!$A$327:$B$346,2,FALSE)*$B17/SUM(IF($E17="",0,VLOOKUP($E17,'⚪设计'!$C$85:$E$101,3,FALSE))*$F17,IF($J17="",0,VLOOKUP($J17,'⚪设计'!$C$85:$E$101,3,FALSE))*$K17,IF($O17="",0,VLOOKUP($O17,'⚪设计'!$C$85:$E$101,3,FALSE))*$P17,IF($T17="",0,VLOOKUP($T17,'⚪设计'!$C$85:$E$101,3,FALSE))*$U17)*VLOOKUP(E17,'⚪设计'!$C$85:$E$101,3,FALSE),0))</f>
        <v>3997</v>
      </c>
      <c r="I17" s="88">
        <f>ROUND(战斗节奏!$B$3/SUM(IF(线下模式!$E17="",0,VLOOKUP(线下模式!$E17,'⚪设计'!$C$85:$G$101,4,FALSE)*线下模式!$F17),IF(线下模式!$J17="",0,VLOOKUP(线下模式!$J17,'⚪设计'!$C$85:$G$101,4,FALSE)*线下模式!$K17),IF(线下模式!$O17="",0,VLOOKUP(线下模式!$O17,'⚪设计'!$C$85:$G$101,4,FALSE)*线下模式!$P17),IF(线下模式!$T17="",0,VLOOKUP(线下模式!$T17,'⚪设计'!$C$85:$G$101,4,FALSE)*线下模式!$U17))*IF(E17="",0,VLOOKUP(E17,'⚪设计'!$C$85:$G$101,4,FALSE)),0)</f>
        <v>2</v>
      </c>
      <c r="J17" s="88" t="str">
        <f>IF(VLOOKUP(A17,'⚪设计'!$A$327:$G$346,5,FALSE)="","",VLOOKUP(VLOOKUP(A17,'⚪设计'!$A$327:$G$346,5,FALSE),'⚪设计'!$B$85:$D$101,2,FALSE))</f>
        <v>ResUnit_ZhongZi1</v>
      </c>
      <c r="K17" s="88">
        <f t="shared" si="1"/>
        <v>8</v>
      </c>
      <c r="L17" s="7">
        <f>'⚪设计'!I341</f>
        <v>3</v>
      </c>
      <c r="M17" s="88">
        <f>IF(J17="",0,ROUND(VLOOKUP($A17,'⚪设计'!$A$327:$B$346,2,FALSE)*$B17/SUM(IF($E17="",0,VLOOKUP($E17,'⚪设计'!$C$85:$E$101,3,FALSE))*$F17,IF($J17="",0,VLOOKUP($J17,'⚪设计'!$C$85:$E$101,3,FALSE))*$K17,IF($O17="",0,VLOOKUP($O17,'⚪设计'!$C$85:$E$101,3,FALSE))*$P17,IF($T17="",0,VLOOKUP($T17,'⚪设计'!$C$85:$E$101,3,FALSE))*$U17)*VLOOKUP(J17,'⚪设计'!$C$85:$E$101,3,FALSE),0))</f>
        <v>5995</v>
      </c>
      <c r="N17" s="88">
        <f>ROUND(战斗节奏!$B$3/SUM(IF(线下模式!$E17="",0,VLOOKUP(线下模式!$E17,'⚪设计'!$C$85:$G$101,4,FALSE)*线下模式!$F17),IF(线下模式!$J17="",0,VLOOKUP(线下模式!$J17,'⚪设计'!$C$85:$G$101,4,FALSE)*线下模式!$K17),IF(线下模式!$O17="",0,VLOOKUP(线下模式!$O17,'⚪设计'!$C$85:$G$101,4,FALSE)*线下模式!$P17),IF(线下模式!$T17="",0,VLOOKUP(线下模式!$T17,'⚪设计'!$C$85:$G$101,4,FALSE)*线下模式!$U17))*IF(J17="",0,VLOOKUP(J17,'⚪设计'!$C$85:$G$101,4,FALSE)),0)</f>
        <v>2</v>
      </c>
      <c r="O17" s="71" t="str">
        <f>IF(VLOOKUP(A17,'⚪设计'!$A$327:$G$346,6,FALSE)="","",VLOOKUP(VLOOKUP(A17,'⚪设计'!$A$327:$G$346,6,FALSE),'⚪设计'!$B$85:$D$101,2,FALSE))</f>
        <v>ResUnit_ZhongZi3</v>
      </c>
      <c r="P17" s="88">
        <f t="shared" si="2"/>
        <v>1</v>
      </c>
      <c r="Q17" s="7">
        <f>'⚪设计'!J341</f>
        <v>0</v>
      </c>
      <c r="R17" s="88">
        <f>IF(O17="",0,ROUND(VLOOKUP($A17,'⚪设计'!$A$327:$B$346,2,FALSE)*$B17/SUM(IF($E17="",0,VLOOKUP($E17,'⚪设计'!$C$85:$E$101,3,FALSE))*$F17,IF($J17="",0,VLOOKUP($J17,'⚪设计'!$C$85:$E$101,3,FALSE))*$K17,IF($O17="",0,VLOOKUP($O17,'⚪设计'!$C$85:$E$101,3,FALSE))*$P17,IF($T17="",0,VLOOKUP($T17,'⚪设计'!$C$85:$E$101,3,FALSE))*$U17)*VLOOKUP(O17,'⚪设计'!$C$85:$E$101,3,FALSE),0))</f>
        <v>79934</v>
      </c>
      <c r="S17" s="88">
        <f>ROUND(战斗节奏!$B$3/SUM(IF(线下模式!$E17="",0,VLOOKUP(线下模式!$E17,'⚪设计'!$C$85:$G$101,4,FALSE)*线下模式!$F17),IF(线下模式!$J17="",0,VLOOKUP(线下模式!$J17,'⚪设计'!$C$85:$G$101,4,FALSE)*线下模式!$K17),IF(线下模式!$O17="",0,VLOOKUP(线下模式!$O17,'⚪设计'!$C$85:$G$101,4,FALSE)*线下模式!$P17),IF(线下模式!$T17="",0,VLOOKUP(线下模式!$T17,'⚪设计'!$C$85:$G$101,4,FALSE)*线下模式!$U17))*IF(O17="",0,VLOOKUP(O17,'⚪设计'!$C$85:$G$101,4,FALSE)),0)</f>
        <v>41</v>
      </c>
      <c r="T17" s="88" t="str">
        <f>IF(VLOOKUP(A17,'⚪设计'!$A$327:$G$346,7,FALSE)="","",VLOOKUP(VLOOKUP(A17,'⚪设计'!$A$327:$G$346,7,FALSE),'⚪设计'!$B$85:$D$101,2,FALSE))</f>
        <v/>
      </c>
      <c r="U17" s="88">
        <f t="shared" si="3"/>
        <v>0</v>
      </c>
      <c r="V17" s="7">
        <f>'⚪设计'!K341</f>
        <v>0</v>
      </c>
      <c r="W17" s="88">
        <f>IF(T17="",0,ROUND(VLOOKUP($A17,'⚪设计'!$A$327:$B$346,2,FALSE)*$B17/SUM(IF($E17="",0,VLOOKUP($E17,'⚪设计'!$C$85:$E$101,3,FALSE))*$F17,IF($J17="",0,VLOOKUP($J17,'⚪设计'!$C$85:$E$101,3,FALSE))*$K17,IF($O17="",0,VLOOKUP($O17,'⚪设计'!$C$85:$E$101,3,FALSE))*$P17,IF($T17="",0,VLOOKUP($T17,'⚪设计'!$C$85:$E$101,3,FALSE))*$U17)*VLOOKUP(T17,'⚪设计'!$C$85:$E$101,3,FALSE),0))</f>
        <v>0</v>
      </c>
      <c r="X17" s="88">
        <f>ROUND(战斗节奏!$B$3/SUM(IF(线下模式!$E17="",0,VLOOKUP(线下模式!$E17,'⚪设计'!$C$85:$G$101,4,FALSE)*线下模式!$F17),IF(线下模式!$J17="",0,VLOOKUP(线下模式!$J17,'⚪设计'!$C$85:$G$101,4,FALSE)*线下模式!$K17),IF(线下模式!$O17="",0,VLOOKUP(线下模式!$O17,'⚪设计'!$C$85:$G$101,4,FALSE)*线下模式!$P17),IF(线下模式!$T17="",0,VLOOKUP(线下模式!$T17,'⚪设计'!$C$85:$G$101,4,FALSE)*线下模式!$U17))*IF(T17="",0,VLOOKUP(T17,'⚪设计'!$C$85:$G$101,4,FALSE)),0)</f>
        <v>0</v>
      </c>
    </row>
    <row r="18" spans="1:24" x14ac:dyDescent="0.2">
      <c r="A18" s="84">
        <v>16</v>
      </c>
      <c r="B18" s="88">
        <f>MAX(MIN(战斗节奏!$C$3-INT(A18/'⚪设计'!$C$55),MOD(A18,'⚪设计'!$C$55)),0)*'⚪设计'!$C$79*防御塔!$C$2+MIN(INT(A18/'⚪设计'!$C$55),战斗节奏!$C$3)*'⚪设计'!$C$80*防御塔!$C$2</f>
        <v>8640</v>
      </c>
      <c r="C18" s="7">
        <v>1.75</v>
      </c>
      <c r="D18" s="7">
        <v>25</v>
      </c>
      <c r="E18" s="71" t="str">
        <f>IF(VLOOKUP(A18,'⚪设计'!$A$327:$G$346,4,FALSE)="","",VLOOKUP(VLOOKUP(A18,'⚪设计'!$A$327:$G$346,4,FALSE),'⚪设计'!$B$85:$D$101,2,FALSE))</f>
        <v>ResUnit_Dan1</v>
      </c>
      <c r="F18" s="88">
        <f t="shared" si="0"/>
        <v>33</v>
      </c>
      <c r="G18" s="7">
        <f>'⚪设计'!H342</f>
        <v>0.75</v>
      </c>
      <c r="H18" s="88">
        <f>IF(E18="",0,ROUND(VLOOKUP($A18,'⚪设计'!$A$327:$B$346,2,FALSE)*$B18/SUM(IF($E18="",0,VLOOKUP($E18,'⚪设计'!$C$85:$E$101,3,FALSE))*$F18,IF($J18="",0,VLOOKUP($J18,'⚪设计'!$C$85:$E$101,3,FALSE))*$K18,IF($O18="",0,VLOOKUP($O18,'⚪设计'!$C$85:$E$101,3,FALSE))*$P18,IF($T18="",0,VLOOKUP($T18,'⚪设计'!$C$85:$E$101,3,FALSE))*$U18)*VLOOKUP(E18,'⚪设计'!$C$85:$E$101,3,FALSE),0))</f>
        <v>10580</v>
      </c>
      <c r="I18" s="88">
        <f>ROUND(战斗节奏!$B$3/SUM(IF(线下模式!$E18="",0,VLOOKUP(线下模式!$E18,'⚪设计'!$C$85:$G$101,4,FALSE)*线下模式!$F18),IF(线下模式!$J18="",0,VLOOKUP(线下模式!$J18,'⚪设计'!$C$85:$G$101,4,FALSE)*线下模式!$K18),IF(线下模式!$O18="",0,VLOOKUP(线下模式!$O18,'⚪设计'!$C$85:$G$101,4,FALSE)*线下模式!$P18),IF(线下模式!$T18="",0,VLOOKUP(线下模式!$T18,'⚪设计'!$C$85:$G$101,4,FALSE)*线下模式!$U18))*IF(E18="",0,VLOOKUP(E18,'⚪设计'!$C$85:$G$101,4,FALSE)),0)</f>
        <v>7</v>
      </c>
      <c r="J18" s="88" t="str">
        <f>IF(VLOOKUP(A18,'⚪设计'!$A$327:$G$346,5,FALSE)="","",VLOOKUP(VLOOKUP(A18,'⚪设计'!$A$327:$G$346,5,FALSE),'⚪设计'!$B$85:$D$101,2,FALSE))</f>
        <v>ResUnit_Dan2</v>
      </c>
      <c r="K18" s="88">
        <f t="shared" si="1"/>
        <v>8</v>
      </c>
      <c r="L18" s="7">
        <f>'⚪设计'!I342</f>
        <v>3</v>
      </c>
      <c r="M18" s="88">
        <f>IF(J18="",0,ROUND(VLOOKUP($A18,'⚪设计'!$A$327:$B$346,2,FALSE)*$B18/SUM(IF($E18="",0,VLOOKUP($E18,'⚪设计'!$C$85:$E$101,3,FALSE))*$F18,IF($J18="",0,VLOOKUP($J18,'⚪设计'!$C$85:$E$101,3,FALSE))*$K18,IF($O18="",0,VLOOKUP($O18,'⚪设计'!$C$85:$E$101,3,FALSE))*$P18,IF($T18="",0,VLOOKUP($T18,'⚪设计'!$C$85:$E$101,3,FALSE))*$U18)*VLOOKUP(J18,'⚪设计'!$C$85:$E$101,3,FALSE),0))</f>
        <v>21159</v>
      </c>
      <c r="N18" s="88">
        <f>ROUND(战斗节奏!$B$3/SUM(IF(线下模式!$E18="",0,VLOOKUP(线下模式!$E18,'⚪设计'!$C$85:$G$101,4,FALSE)*线下模式!$F18),IF(线下模式!$J18="",0,VLOOKUP(线下模式!$J18,'⚪设计'!$C$85:$G$101,4,FALSE)*线下模式!$K18),IF(线下模式!$O18="",0,VLOOKUP(线下模式!$O18,'⚪设计'!$C$85:$G$101,4,FALSE)*线下模式!$P18),IF(线下模式!$T18="",0,VLOOKUP(线下模式!$T18,'⚪设计'!$C$85:$G$101,4,FALSE)*线下模式!$U18))*IF(J18="",0,VLOOKUP(J18,'⚪设计'!$C$85:$G$101,4,FALSE)),0)</f>
        <v>7</v>
      </c>
      <c r="O18" s="71" t="str">
        <f>IF(VLOOKUP(A18,'⚪设计'!$A$327:$G$346,6,FALSE)="","",VLOOKUP(VLOOKUP(A18,'⚪设计'!$A$327:$G$346,6,FALSE),'⚪设计'!$B$85:$D$101,2,FALSE))</f>
        <v/>
      </c>
      <c r="P18" s="88">
        <f t="shared" si="2"/>
        <v>0</v>
      </c>
      <c r="Q18" s="7">
        <f>'⚪设计'!J342</f>
        <v>0</v>
      </c>
      <c r="R18" s="88">
        <f>IF(O18="",0,ROUND(VLOOKUP($A18,'⚪设计'!$A$327:$B$346,2,FALSE)*$B18/SUM(IF($E18="",0,VLOOKUP($E18,'⚪设计'!$C$85:$E$101,3,FALSE))*$F18,IF($J18="",0,VLOOKUP($J18,'⚪设计'!$C$85:$E$101,3,FALSE))*$K18,IF($O18="",0,VLOOKUP($O18,'⚪设计'!$C$85:$E$101,3,FALSE))*$P18,IF($T18="",0,VLOOKUP($T18,'⚪设计'!$C$85:$E$101,3,FALSE))*$U18)*VLOOKUP(O18,'⚪设计'!$C$85:$E$101,3,FALSE),0))</f>
        <v>0</v>
      </c>
      <c r="S18" s="88">
        <f>ROUND(战斗节奏!$B$3/SUM(IF(线下模式!$E18="",0,VLOOKUP(线下模式!$E18,'⚪设计'!$C$85:$G$101,4,FALSE)*线下模式!$F18),IF(线下模式!$J18="",0,VLOOKUP(线下模式!$J18,'⚪设计'!$C$85:$G$101,4,FALSE)*线下模式!$K18),IF(线下模式!$O18="",0,VLOOKUP(线下模式!$O18,'⚪设计'!$C$85:$G$101,4,FALSE)*线下模式!$P18),IF(线下模式!$T18="",0,VLOOKUP(线下模式!$T18,'⚪设计'!$C$85:$G$101,4,FALSE)*线下模式!$U18))*IF(O18="",0,VLOOKUP(O18,'⚪设计'!$C$85:$G$101,4,FALSE)),0)</f>
        <v>0</v>
      </c>
      <c r="T18" s="88" t="str">
        <f>IF(VLOOKUP(A18,'⚪设计'!$A$327:$G$346,7,FALSE)="","",VLOOKUP(VLOOKUP(A18,'⚪设计'!$A$327:$G$346,7,FALSE),'⚪设计'!$B$85:$D$101,2,FALSE))</f>
        <v/>
      </c>
      <c r="U18" s="88">
        <f t="shared" si="3"/>
        <v>0</v>
      </c>
      <c r="V18" s="7">
        <f>'⚪设计'!K342</f>
        <v>0</v>
      </c>
      <c r="W18" s="88">
        <f>IF(T18="",0,ROUND(VLOOKUP($A18,'⚪设计'!$A$327:$B$346,2,FALSE)*$B18/SUM(IF($E18="",0,VLOOKUP($E18,'⚪设计'!$C$85:$E$101,3,FALSE))*$F18,IF($J18="",0,VLOOKUP($J18,'⚪设计'!$C$85:$E$101,3,FALSE))*$K18,IF($O18="",0,VLOOKUP($O18,'⚪设计'!$C$85:$E$101,3,FALSE))*$P18,IF($T18="",0,VLOOKUP($T18,'⚪设计'!$C$85:$E$101,3,FALSE))*$U18)*VLOOKUP(T18,'⚪设计'!$C$85:$E$101,3,FALSE),0))</f>
        <v>0</v>
      </c>
      <c r="X18" s="88">
        <f>ROUND(战斗节奏!$B$3/SUM(IF(线下模式!$E18="",0,VLOOKUP(线下模式!$E18,'⚪设计'!$C$85:$G$101,4,FALSE)*线下模式!$F18),IF(线下模式!$J18="",0,VLOOKUP(线下模式!$J18,'⚪设计'!$C$85:$G$101,4,FALSE)*线下模式!$K18),IF(线下模式!$O18="",0,VLOOKUP(线下模式!$O18,'⚪设计'!$C$85:$G$101,4,FALSE)*线下模式!$P18),IF(线下模式!$T18="",0,VLOOKUP(线下模式!$T18,'⚪设计'!$C$85:$G$101,4,FALSE)*线下模式!$U18))*IF(T18="",0,VLOOKUP(T18,'⚪设计'!$C$85:$G$101,4,FALSE)),0)</f>
        <v>0</v>
      </c>
    </row>
    <row r="19" spans="1:24" x14ac:dyDescent="0.2">
      <c r="A19" s="84">
        <v>17</v>
      </c>
      <c r="B19" s="88">
        <f>MAX(MIN(战斗节奏!$C$3-INT(A19/'⚪设计'!$C$55),MOD(A19,'⚪设计'!$C$55)),0)*'⚪设计'!$C$79*防御塔!$C$2+MIN(INT(A19/'⚪设计'!$C$55),战斗节奏!$C$3)*'⚪设计'!$C$80*防御塔!$C$2</f>
        <v>9180</v>
      </c>
      <c r="C19" s="7">
        <v>1.8</v>
      </c>
      <c r="D19" s="7">
        <v>26</v>
      </c>
      <c r="E19" s="71" t="str">
        <f>IF(VLOOKUP(A19,'⚪设计'!$A$327:$G$346,4,FALSE)="","",VLOOKUP(VLOOKUP(A19,'⚪设计'!$A$327:$G$346,4,FALSE),'⚪设计'!$B$85:$D$101,2,FALSE))</f>
        <v>ResUnit_Dan2</v>
      </c>
      <c r="F19" s="88">
        <f t="shared" si="0"/>
        <v>17</v>
      </c>
      <c r="G19" s="7">
        <f>'⚪设计'!H343</f>
        <v>1.5</v>
      </c>
      <c r="H19" s="88">
        <f>IF(E19="",0,ROUND(VLOOKUP($A19,'⚪设计'!$A$327:$B$346,2,FALSE)*$B19/SUM(IF($E19="",0,VLOOKUP($E19,'⚪设计'!$C$85:$E$101,3,FALSE))*$F19,IF($J19="",0,VLOOKUP($J19,'⚪设计'!$C$85:$E$101,3,FALSE))*$K19,IF($O19="",0,VLOOKUP($O19,'⚪设计'!$C$85:$E$101,3,FALSE))*$P19,IF($T19="",0,VLOOKUP($T19,'⚪设计'!$C$85:$E$101,3,FALSE))*$U19)*VLOOKUP(E19,'⚪设计'!$C$85:$E$101,3,FALSE),0))</f>
        <v>18626</v>
      </c>
      <c r="I19" s="88">
        <f>ROUND(战斗节奏!$B$3/SUM(IF(线下模式!$E19="",0,VLOOKUP(线下模式!$E19,'⚪设计'!$C$85:$G$101,4,FALSE)*线下模式!$F19),IF(线下模式!$J19="",0,VLOOKUP(线下模式!$J19,'⚪设计'!$C$85:$G$101,4,FALSE)*线下模式!$K19),IF(线下模式!$O19="",0,VLOOKUP(线下模式!$O19,'⚪设计'!$C$85:$G$101,4,FALSE)*线下模式!$P19),IF(线下模式!$T19="",0,VLOOKUP(线下模式!$T19,'⚪设计'!$C$85:$G$101,4,FALSE)*线下模式!$U19))*IF(E19="",0,VLOOKUP(E19,'⚪设计'!$C$85:$G$101,4,FALSE)),0)</f>
        <v>9</v>
      </c>
      <c r="J19" s="88" t="str">
        <f>IF(VLOOKUP(A19,'⚪设计'!$A$327:$G$346,5,FALSE)="","",VLOOKUP(VLOOKUP(A19,'⚪设计'!$A$327:$G$346,5,FALSE),'⚪设计'!$B$85:$D$101,2,FALSE))</f>
        <v>ResUnit_ZhiZhu2</v>
      </c>
      <c r="K19" s="88">
        <f t="shared" si="1"/>
        <v>35</v>
      </c>
      <c r="L19" s="7">
        <f>'⚪设计'!I343</f>
        <v>0.75</v>
      </c>
      <c r="M19" s="88">
        <f>IF(J19="",0,ROUND(VLOOKUP($A19,'⚪设计'!$A$327:$B$346,2,FALSE)*$B19/SUM(IF($E19="",0,VLOOKUP($E19,'⚪设计'!$C$85:$E$101,3,FALSE))*$F19,IF($J19="",0,VLOOKUP($J19,'⚪设计'!$C$85:$E$101,3,FALSE))*$K19,IF($O19="",0,VLOOKUP($O19,'⚪设计'!$C$85:$E$101,3,FALSE))*$P19,IF($T19="",0,VLOOKUP($T19,'⚪设计'!$C$85:$E$101,3,FALSE))*$U19)*VLOOKUP(J19,'⚪设计'!$C$85:$E$101,3,FALSE),0))</f>
        <v>9313</v>
      </c>
      <c r="N19" s="88">
        <f>ROUND(战斗节奏!$B$3/SUM(IF(线下模式!$E19="",0,VLOOKUP(线下模式!$E19,'⚪设计'!$C$85:$G$101,4,FALSE)*线下模式!$F19),IF(线下模式!$J19="",0,VLOOKUP(线下模式!$J19,'⚪设计'!$C$85:$G$101,4,FALSE)*线下模式!$K19),IF(线下模式!$O19="",0,VLOOKUP(线下模式!$O19,'⚪设计'!$C$85:$G$101,4,FALSE)*线下模式!$P19),IF(线下模式!$T19="",0,VLOOKUP(线下模式!$T19,'⚪设计'!$C$85:$G$101,4,FALSE)*线下模式!$U19))*IF(J19="",0,VLOOKUP(J19,'⚪设计'!$C$85:$G$101,4,FALSE)),0)</f>
        <v>4</v>
      </c>
      <c r="O19" s="71" t="str">
        <f>IF(VLOOKUP(A19,'⚪设计'!$A$327:$G$346,6,FALSE)="","",VLOOKUP(VLOOKUP(A19,'⚪设计'!$A$327:$G$346,6,FALSE),'⚪设计'!$B$85:$D$101,2,FALSE))</f>
        <v/>
      </c>
      <c r="P19" s="88">
        <f t="shared" si="2"/>
        <v>0</v>
      </c>
      <c r="Q19" s="7">
        <f>'⚪设计'!J343</f>
        <v>0</v>
      </c>
      <c r="R19" s="88">
        <f>IF(O19="",0,ROUND(VLOOKUP($A19,'⚪设计'!$A$327:$B$346,2,FALSE)*$B19/SUM(IF($E19="",0,VLOOKUP($E19,'⚪设计'!$C$85:$E$101,3,FALSE))*$F19,IF($J19="",0,VLOOKUP($J19,'⚪设计'!$C$85:$E$101,3,FALSE))*$K19,IF($O19="",0,VLOOKUP($O19,'⚪设计'!$C$85:$E$101,3,FALSE))*$P19,IF($T19="",0,VLOOKUP($T19,'⚪设计'!$C$85:$E$101,3,FALSE))*$U19)*VLOOKUP(O19,'⚪设计'!$C$85:$E$101,3,FALSE),0))</f>
        <v>0</v>
      </c>
      <c r="S19" s="88">
        <f>ROUND(战斗节奏!$B$3/SUM(IF(线下模式!$E19="",0,VLOOKUP(线下模式!$E19,'⚪设计'!$C$85:$G$101,4,FALSE)*线下模式!$F19),IF(线下模式!$J19="",0,VLOOKUP(线下模式!$J19,'⚪设计'!$C$85:$G$101,4,FALSE)*线下模式!$K19),IF(线下模式!$O19="",0,VLOOKUP(线下模式!$O19,'⚪设计'!$C$85:$G$101,4,FALSE)*线下模式!$P19),IF(线下模式!$T19="",0,VLOOKUP(线下模式!$T19,'⚪设计'!$C$85:$G$101,4,FALSE)*线下模式!$U19))*IF(O19="",0,VLOOKUP(O19,'⚪设计'!$C$85:$G$101,4,FALSE)),0)</f>
        <v>0</v>
      </c>
      <c r="T19" s="88" t="str">
        <f>IF(VLOOKUP(A19,'⚪设计'!$A$327:$G$346,7,FALSE)="","",VLOOKUP(VLOOKUP(A19,'⚪设计'!$A$327:$G$346,7,FALSE),'⚪设计'!$B$85:$D$101,2,FALSE))</f>
        <v/>
      </c>
      <c r="U19" s="88">
        <f t="shared" si="3"/>
        <v>0</v>
      </c>
      <c r="V19" s="7">
        <f>'⚪设计'!K343</f>
        <v>0</v>
      </c>
      <c r="W19" s="88">
        <f>IF(T19="",0,ROUND(VLOOKUP($A19,'⚪设计'!$A$327:$B$346,2,FALSE)*$B19/SUM(IF($E19="",0,VLOOKUP($E19,'⚪设计'!$C$85:$E$101,3,FALSE))*$F19,IF($J19="",0,VLOOKUP($J19,'⚪设计'!$C$85:$E$101,3,FALSE))*$K19,IF($O19="",0,VLOOKUP($O19,'⚪设计'!$C$85:$E$101,3,FALSE))*$P19,IF($T19="",0,VLOOKUP($T19,'⚪设计'!$C$85:$E$101,3,FALSE))*$U19)*VLOOKUP(T19,'⚪设计'!$C$85:$E$101,3,FALSE),0))</f>
        <v>0</v>
      </c>
      <c r="X19" s="88">
        <f>ROUND(战斗节奏!$B$3/SUM(IF(线下模式!$E19="",0,VLOOKUP(线下模式!$E19,'⚪设计'!$C$85:$G$101,4,FALSE)*线下模式!$F19),IF(线下模式!$J19="",0,VLOOKUP(线下模式!$J19,'⚪设计'!$C$85:$G$101,4,FALSE)*线下模式!$K19),IF(线下模式!$O19="",0,VLOOKUP(线下模式!$O19,'⚪设计'!$C$85:$G$101,4,FALSE)*线下模式!$P19),IF(线下模式!$T19="",0,VLOOKUP(线下模式!$T19,'⚪设计'!$C$85:$G$101,4,FALSE)*线下模式!$U19))*IF(T19="",0,VLOOKUP(T19,'⚪设计'!$C$85:$G$101,4,FALSE)),0)</f>
        <v>0</v>
      </c>
    </row>
    <row r="20" spans="1:24" x14ac:dyDescent="0.2">
      <c r="A20" s="84">
        <v>18</v>
      </c>
      <c r="B20" s="88">
        <f>MAX(MIN(战斗节奏!$C$3-INT(A20/'⚪设计'!$C$55),MOD(A20,'⚪设计'!$C$55)),0)*'⚪设计'!$C$79*防御塔!$C$2+MIN(INT(A20/'⚪设计'!$C$55),战斗节奏!$C$3)*'⚪设计'!$C$80*防御塔!$C$2</f>
        <v>9719.9999999999982</v>
      </c>
      <c r="C20" s="7">
        <v>1.85</v>
      </c>
      <c r="D20" s="7">
        <v>27</v>
      </c>
      <c r="E20" s="71" t="str">
        <f>IF(VLOOKUP(A20,'⚪设计'!$A$327:$G$346,4,FALSE)="","",VLOOKUP(VLOOKUP(A20,'⚪设计'!$A$327:$G$346,4,FALSE),'⚪设计'!$B$85:$D$101,2,FALSE))</f>
        <v>ResUnit_Dan2</v>
      </c>
      <c r="F20" s="88">
        <f t="shared" si="0"/>
        <v>18</v>
      </c>
      <c r="G20" s="7">
        <f>'⚪设计'!H344</f>
        <v>1.5</v>
      </c>
      <c r="H20" s="88">
        <f>IF(E20="",0,ROUND(VLOOKUP($A20,'⚪设计'!$A$327:$B$346,2,FALSE)*$B20/SUM(IF($E20="",0,VLOOKUP($E20,'⚪设计'!$C$85:$E$101,3,FALSE))*$F20,IF($J20="",0,VLOOKUP($J20,'⚪设计'!$C$85:$E$101,3,FALSE))*$K20,IF($O20="",0,VLOOKUP($O20,'⚪设计'!$C$85:$E$101,3,FALSE))*$P20,IF($T20="",0,VLOOKUP($T20,'⚪设计'!$C$85:$E$101,3,FALSE))*$U20)*VLOOKUP(E20,'⚪设计'!$C$85:$E$101,3,FALSE),0))</f>
        <v>13642</v>
      </c>
      <c r="I20" s="88">
        <f>ROUND(战斗节奏!$B$3/SUM(IF(线下模式!$E20="",0,VLOOKUP(线下模式!$E20,'⚪设计'!$C$85:$G$101,4,FALSE)*线下模式!$F20),IF(线下模式!$J20="",0,VLOOKUP(线下模式!$J20,'⚪设计'!$C$85:$G$101,4,FALSE)*线下模式!$K20),IF(线下模式!$O20="",0,VLOOKUP(线下模式!$O20,'⚪设计'!$C$85:$G$101,4,FALSE)*线下模式!$P20),IF(线下模式!$T20="",0,VLOOKUP(线下模式!$T20,'⚪设计'!$C$85:$G$101,4,FALSE)*线下模式!$U20))*IF(E20="",0,VLOOKUP(E20,'⚪设计'!$C$85:$G$101,4,FALSE)),0)</f>
        <v>6</v>
      </c>
      <c r="J20" s="88" t="str">
        <f>IF(VLOOKUP(A20,'⚪设计'!$A$327:$G$346,5,FALSE)="","",VLOOKUP(VLOOKUP(A20,'⚪设计'!$A$327:$G$346,5,FALSE),'⚪设计'!$B$85:$D$101,2,FALSE))</f>
        <v>ResUnit_ZhiZhu2</v>
      </c>
      <c r="K20" s="88">
        <f t="shared" si="1"/>
        <v>36</v>
      </c>
      <c r="L20" s="7">
        <f>'⚪设计'!I344</f>
        <v>0.75</v>
      </c>
      <c r="M20" s="88">
        <f>IF(J20="",0,ROUND(VLOOKUP($A20,'⚪设计'!$A$327:$B$346,2,FALSE)*$B20/SUM(IF($E20="",0,VLOOKUP($E20,'⚪设计'!$C$85:$E$101,3,FALSE))*$F20,IF($J20="",0,VLOOKUP($J20,'⚪设计'!$C$85:$E$101,3,FALSE))*$K20,IF($O20="",0,VLOOKUP($O20,'⚪设计'!$C$85:$E$101,3,FALSE))*$P20,IF($T20="",0,VLOOKUP($T20,'⚪设计'!$C$85:$E$101,3,FALSE))*$U20)*VLOOKUP(J20,'⚪设计'!$C$85:$E$101,3,FALSE),0))</f>
        <v>6821</v>
      </c>
      <c r="N20" s="88">
        <f>ROUND(战斗节奏!$B$3/SUM(IF(线下模式!$E20="",0,VLOOKUP(线下模式!$E20,'⚪设计'!$C$85:$G$101,4,FALSE)*线下模式!$F20),IF(线下模式!$J20="",0,VLOOKUP(线下模式!$J20,'⚪设计'!$C$85:$G$101,4,FALSE)*线下模式!$K20),IF(线下模式!$O20="",0,VLOOKUP(线下模式!$O20,'⚪设计'!$C$85:$G$101,4,FALSE)*线下模式!$P20),IF(线下模式!$T20="",0,VLOOKUP(线下模式!$T20,'⚪设计'!$C$85:$G$101,4,FALSE)*线下模式!$U20))*IF(J20="",0,VLOOKUP(J20,'⚪设计'!$C$85:$G$101,4,FALSE)),0)</f>
        <v>3</v>
      </c>
      <c r="O20" s="71" t="str">
        <f>IF(VLOOKUP(A20,'⚪设计'!$A$327:$G$346,6,FALSE)="","",VLOOKUP(VLOOKUP(A20,'⚪设计'!$A$327:$G$346,6,FALSE),'⚪设计'!$B$85:$D$101,2,FALSE))</f>
        <v>ResUnit_ZhongZi2</v>
      </c>
      <c r="P20" s="88">
        <f t="shared" si="2"/>
        <v>14</v>
      </c>
      <c r="Q20" s="7">
        <f>'⚪设计'!J344</f>
        <v>2</v>
      </c>
      <c r="R20" s="88">
        <f>IF(O20="",0,ROUND(VLOOKUP($A20,'⚪设计'!$A$327:$B$346,2,FALSE)*$B20/SUM(IF($E20="",0,VLOOKUP($E20,'⚪设计'!$C$85:$E$101,3,FALSE))*$F20,IF($J20="",0,VLOOKUP($J20,'⚪设计'!$C$85:$E$101,3,FALSE))*$K20,IF($O20="",0,VLOOKUP($O20,'⚪设计'!$C$85:$E$101,3,FALSE))*$P20,IF($T20="",0,VLOOKUP($T20,'⚪设计'!$C$85:$E$101,3,FALSE))*$U20)*VLOOKUP(O20,'⚪设计'!$C$85:$E$101,3,FALSE),0))</f>
        <v>20463</v>
      </c>
      <c r="S20" s="88">
        <f>ROUND(战斗节奏!$B$3/SUM(IF(线下模式!$E20="",0,VLOOKUP(线下模式!$E20,'⚪设计'!$C$85:$G$101,4,FALSE)*线下模式!$F20),IF(线下模式!$J20="",0,VLOOKUP(线下模式!$J20,'⚪设计'!$C$85:$G$101,4,FALSE)*线下模式!$K20),IF(线下模式!$O20="",0,VLOOKUP(线下模式!$O20,'⚪设计'!$C$85:$G$101,4,FALSE)*线下模式!$P20),IF(线下模式!$T20="",0,VLOOKUP(线下模式!$T20,'⚪设计'!$C$85:$G$101,4,FALSE)*线下模式!$U20))*IF(O20="",0,VLOOKUP(O20,'⚪设计'!$C$85:$G$101,4,FALSE)),0)</f>
        <v>6</v>
      </c>
      <c r="T20" s="88" t="str">
        <f>IF(VLOOKUP(A20,'⚪设计'!$A$327:$G$346,7,FALSE)="","",VLOOKUP(VLOOKUP(A20,'⚪设计'!$A$327:$G$346,7,FALSE),'⚪设计'!$B$85:$D$101,2,FALSE))</f>
        <v/>
      </c>
      <c r="U20" s="88">
        <f t="shared" si="3"/>
        <v>0</v>
      </c>
      <c r="V20" s="7">
        <f>'⚪设计'!K344</f>
        <v>0</v>
      </c>
      <c r="W20" s="88">
        <f>IF(T20="",0,ROUND(VLOOKUP($A20,'⚪设计'!$A$327:$B$346,2,FALSE)*$B20/SUM(IF($E20="",0,VLOOKUP($E20,'⚪设计'!$C$85:$E$101,3,FALSE))*$F20,IF($J20="",0,VLOOKUP($J20,'⚪设计'!$C$85:$E$101,3,FALSE))*$K20,IF($O20="",0,VLOOKUP($O20,'⚪设计'!$C$85:$E$101,3,FALSE))*$P20,IF($T20="",0,VLOOKUP($T20,'⚪设计'!$C$85:$E$101,3,FALSE))*$U20)*VLOOKUP(T20,'⚪设计'!$C$85:$E$101,3,FALSE),0))</f>
        <v>0</v>
      </c>
      <c r="X20" s="88">
        <f>ROUND(战斗节奏!$B$3/SUM(IF(线下模式!$E20="",0,VLOOKUP(线下模式!$E20,'⚪设计'!$C$85:$G$101,4,FALSE)*线下模式!$F20),IF(线下模式!$J20="",0,VLOOKUP(线下模式!$J20,'⚪设计'!$C$85:$G$101,4,FALSE)*线下模式!$K20),IF(线下模式!$O20="",0,VLOOKUP(线下模式!$O20,'⚪设计'!$C$85:$G$101,4,FALSE)*线下模式!$P20),IF(线下模式!$T20="",0,VLOOKUP(线下模式!$T20,'⚪设计'!$C$85:$G$101,4,FALSE)*线下模式!$U20))*IF(T20="",0,VLOOKUP(T20,'⚪设计'!$C$85:$G$101,4,FALSE)),0)</f>
        <v>0</v>
      </c>
    </row>
    <row r="21" spans="1:24" x14ac:dyDescent="0.2">
      <c r="A21" s="84">
        <v>19</v>
      </c>
      <c r="B21" s="88">
        <f>MAX(MIN(战斗节奏!$C$3-INT(A21/'⚪设计'!$C$55),MOD(A21,'⚪设计'!$C$55)),0)*'⚪设计'!$C$79*防御塔!$C$2+MIN(INT(A21/'⚪设计'!$C$55),战斗节奏!$C$3)*'⚪设计'!$C$80*防御塔!$C$2</f>
        <v>10259.999999999998</v>
      </c>
      <c r="C21" s="7">
        <v>1.9</v>
      </c>
      <c r="D21" s="7">
        <v>28</v>
      </c>
      <c r="E21" s="71" t="str">
        <f>IF(VLOOKUP(A21,'⚪设计'!$A$327:$G$346,4,FALSE)="","",VLOOKUP(VLOOKUP(A21,'⚪设计'!$A$327:$G$346,4,FALSE),'⚪设计'!$B$85:$D$101,2,FALSE))</f>
        <v>ResUnit_Dan2</v>
      </c>
      <c r="F21" s="88">
        <f t="shared" si="0"/>
        <v>19</v>
      </c>
      <c r="G21" s="7">
        <f>'⚪设计'!H345</f>
        <v>1.5</v>
      </c>
      <c r="H21" s="88">
        <f>IF(E21="",0,ROUND(VLOOKUP($A21,'⚪设计'!$A$327:$B$346,2,FALSE)*$B21/SUM(IF($E21="",0,VLOOKUP($E21,'⚪设计'!$C$85:$E$101,3,FALSE))*$F21,IF($J21="",0,VLOOKUP($J21,'⚪设计'!$C$85:$E$101,3,FALSE))*$K21,IF($O21="",0,VLOOKUP($O21,'⚪设计'!$C$85:$E$101,3,FALSE))*$P21,IF($T21="",0,VLOOKUP($T21,'⚪设计'!$C$85:$E$101,3,FALSE))*$U21)*VLOOKUP(E21,'⚪设计'!$C$85:$E$101,3,FALSE),0))</f>
        <v>11615</v>
      </c>
      <c r="I21" s="88">
        <f>ROUND(战斗节奏!$B$3/SUM(IF(线下模式!$E21="",0,VLOOKUP(线下模式!$E21,'⚪设计'!$C$85:$G$101,4,FALSE)*线下模式!$F21),IF(线下模式!$J21="",0,VLOOKUP(线下模式!$J21,'⚪设计'!$C$85:$G$101,4,FALSE)*线下模式!$K21),IF(线下模式!$O21="",0,VLOOKUP(线下模式!$O21,'⚪设计'!$C$85:$G$101,4,FALSE)*线下模式!$P21),IF(线下模式!$T21="",0,VLOOKUP(线下模式!$T21,'⚪设计'!$C$85:$G$101,4,FALSE)*线下模式!$U21))*IF(E21="",0,VLOOKUP(E21,'⚪设计'!$C$85:$G$101,4,FALSE)),0)</f>
        <v>5</v>
      </c>
      <c r="J21" s="88" t="str">
        <f>IF(VLOOKUP(A21,'⚪设计'!$A$327:$G$346,5,FALSE)="","",VLOOKUP(VLOOKUP(A21,'⚪设计'!$A$327:$G$346,5,FALSE),'⚪设计'!$B$85:$D$101,2,FALSE))</f>
        <v>ResUnit_Gui2</v>
      </c>
      <c r="K21" s="88">
        <f t="shared" si="1"/>
        <v>37</v>
      </c>
      <c r="L21" s="7">
        <f>'⚪设计'!I345</f>
        <v>0.75</v>
      </c>
      <c r="M21" s="88">
        <f>IF(J21="",0,ROUND(VLOOKUP($A21,'⚪设计'!$A$327:$B$346,2,FALSE)*$B21/SUM(IF($E21="",0,VLOOKUP($E21,'⚪设计'!$C$85:$E$101,3,FALSE))*$F21,IF($J21="",0,VLOOKUP($J21,'⚪设计'!$C$85:$E$101,3,FALSE))*$K21,IF($O21="",0,VLOOKUP($O21,'⚪设计'!$C$85:$E$101,3,FALSE))*$P21,IF($T21="",0,VLOOKUP($T21,'⚪设计'!$C$85:$E$101,3,FALSE))*$U21)*VLOOKUP(J21,'⚪设计'!$C$85:$E$101,3,FALSE),0))</f>
        <v>5808</v>
      </c>
      <c r="N21" s="88">
        <f>ROUND(战斗节奏!$B$3/SUM(IF(线下模式!$E21="",0,VLOOKUP(线下模式!$E21,'⚪设计'!$C$85:$G$101,4,FALSE)*线下模式!$F21),IF(线下模式!$J21="",0,VLOOKUP(线下模式!$J21,'⚪设计'!$C$85:$G$101,4,FALSE)*线下模式!$K21),IF(线下模式!$O21="",0,VLOOKUP(线下模式!$O21,'⚪设计'!$C$85:$G$101,4,FALSE)*线下模式!$P21),IF(线下模式!$T21="",0,VLOOKUP(线下模式!$T21,'⚪设计'!$C$85:$G$101,4,FALSE)*线下模式!$U21))*IF(J21="",0,VLOOKUP(J21,'⚪设计'!$C$85:$G$101,4,FALSE)),0)</f>
        <v>2</v>
      </c>
      <c r="O21" s="71" t="str">
        <f>IF(VLOOKUP(A21,'⚪设计'!$A$327:$G$346,6,FALSE)="","",VLOOKUP(VLOOKUP(A21,'⚪设计'!$A$327:$G$346,6,FALSE),'⚪设计'!$B$85:$D$101,2,FALSE))</f>
        <v>ResUnit_ZhongZi2</v>
      </c>
      <c r="P21" s="88">
        <f t="shared" si="2"/>
        <v>28</v>
      </c>
      <c r="Q21" s="7">
        <f>'⚪设计'!J345</f>
        <v>1</v>
      </c>
      <c r="R21" s="88">
        <f>IF(O21="",0,ROUND(VLOOKUP($A21,'⚪设计'!$A$327:$B$346,2,FALSE)*$B21/SUM(IF($E21="",0,VLOOKUP($E21,'⚪设计'!$C$85:$E$101,3,FALSE))*$F21,IF($J21="",0,VLOOKUP($J21,'⚪设计'!$C$85:$E$101,3,FALSE))*$K21,IF($O21="",0,VLOOKUP($O21,'⚪设计'!$C$85:$E$101,3,FALSE))*$P21,IF($T21="",0,VLOOKUP($T21,'⚪设计'!$C$85:$E$101,3,FALSE))*$U21)*VLOOKUP(O21,'⚪设计'!$C$85:$E$101,3,FALSE),0))</f>
        <v>17423</v>
      </c>
      <c r="S21" s="88">
        <f>ROUND(战斗节奏!$B$3/SUM(IF(线下模式!$E21="",0,VLOOKUP(线下模式!$E21,'⚪设计'!$C$85:$G$101,4,FALSE)*线下模式!$F21),IF(线下模式!$J21="",0,VLOOKUP(线下模式!$J21,'⚪设计'!$C$85:$G$101,4,FALSE)*线下模式!$K21),IF(线下模式!$O21="",0,VLOOKUP(线下模式!$O21,'⚪设计'!$C$85:$G$101,4,FALSE)*线下模式!$P21),IF(线下模式!$T21="",0,VLOOKUP(线下模式!$T21,'⚪设计'!$C$85:$G$101,4,FALSE)*线下模式!$U21))*IF(O21="",0,VLOOKUP(O21,'⚪设计'!$C$85:$G$101,4,FALSE)),0)</f>
        <v>5</v>
      </c>
      <c r="T21" s="88" t="str">
        <f>IF(VLOOKUP(A21,'⚪设计'!$A$327:$G$346,7,FALSE)="","",VLOOKUP(VLOOKUP(A21,'⚪设计'!$A$327:$G$346,7,FALSE),'⚪设计'!$B$85:$D$101,2,FALSE))</f>
        <v/>
      </c>
      <c r="U21" s="88">
        <f t="shared" si="3"/>
        <v>0</v>
      </c>
      <c r="V21" s="7">
        <f>'⚪设计'!K345</f>
        <v>0</v>
      </c>
      <c r="W21" s="88">
        <f>IF(T21="",0,ROUND(VLOOKUP($A21,'⚪设计'!$A$327:$B$346,2,FALSE)*$B21/SUM(IF($E21="",0,VLOOKUP($E21,'⚪设计'!$C$85:$E$101,3,FALSE))*$F21,IF($J21="",0,VLOOKUP($J21,'⚪设计'!$C$85:$E$101,3,FALSE))*$K21,IF($O21="",0,VLOOKUP($O21,'⚪设计'!$C$85:$E$101,3,FALSE))*$P21,IF($T21="",0,VLOOKUP($T21,'⚪设计'!$C$85:$E$101,3,FALSE))*$U21)*VLOOKUP(T21,'⚪设计'!$C$85:$E$101,3,FALSE),0))</f>
        <v>0</v>
      </c>
      <c r="X21" s="88">
        <f>ROUND(战斗节奏!$B$3/SUM(IF(线下模式!$E21="",0,VLOOKUP(线下模式!$E21,'⚪设计'!$C$85:$G$101,4,FALSE)*线下模式!$F21),IF(线下模式!$J21="",0,VLOOKUP(线下模式!$J21,'⚪设计'!$C$85:$G$101,4,FALSE)*线下模式!$K21),IF(线下模式!$O21="",0,VLOOKUP(线下模式!$O21,'⚪设计'!$C$85:$G$101,4,FALSE)*线下模式!$P21),IF(线下模式!$T21="",0,VLOOKUP(线下模式!$T21,'⚪设计'!$C$85:$G$101,4,FALSE)*线下模式!$U21))*IF(T21="",0,VLOOKUP(T21,'⚪设计'!$C$85:$G$101,4,FALSE)),0)</f>
        <v>0</v>
      </c>
    </row>
    <row r="22" spans="1:24" x14ac:dyDescent="0.2">
      <c r="A22" s="84">
        <v>20</v>
      </c>
      <c r="B22" s="88">
        <f>MAX(MIN(战斗节奏!$C$3-INT(A22/'⚪设计'!$C$55),MOD(A22,'⚪设计'!$C$55)),0)*'⚪设计'!$C$79*防御塔!$C$2+MIN(INT(A22/'⚪设计'!$C$55),战斗节奏!$C$3)*'⚪设计'!$C$80*防御塔!$C$2</f>
        <v>10799.999999999998</v>
      </c>
      <c r="C22" s="7">
        <v>1.95</v>
      </c>
      <c r="D22" s="7">
        <v>29</v>
      </c>
      <c r="E22" s="71" t="str">
        <f>IF(VLOOKUP(A22,'⚪设计'!$A$327:$G$346,4,FALSE)="","",VLOOKUP(VLOOKUP(A22,'⚪设计'!$A$327:$G$346,4,FALSE),'⚪设计'!$B$85:$D$101,2,FALSE))</f>
        <v>ResUnit_MiFeng2</v>
      </c>
      <c r="F22" s="88">
        <f t="shared" si="0"/>
        <v>145</v>
      </c>
      <c r="G22" s="7">
        <f>'⚪设计'!H346</f>
        <v>0.2</v>
      </c>
      <c r="H22" s="88">
        <f>IF(E22="",0,ROUND(VLOOKUP($A22,'⚪设计'!$A$327:$B$346,2,FALSE)*$B22/SUM(IF($E22="",0,VLOOKUP($E22,'⚪设计'!$C$85:$E$101,3,FALSE))*$F22,IF($J22="",0,VLOOKUP($J22,'⚪设计'!$C$85:$E$101,3,FALSE))*$K22,IF($O22="",0,VLOOKUP($O22,'⚪设计'!$C$85:$E$101,3,FALSE))*$P22,IF($T22="",0,VLOOKUP($T22,'⚪设计'!$C$85:$E$101,3,FALSE))*$U22)*VLOOKUP(E22,'⚪设计'!$C$85:$E$101,3,FALSE),0))</f>
        <v>5571</v>
      </c>
      <c r="I22" s="88">
        <f>ROUND(战斗节奏!$B$3/SUM(IF(线下模式!$E22="",0,VLOOKUP(线下模式!$E22,'⚪设计'!$C$85:$G$101,4,FALSE)*线下模式!$F22),IF(线下模式!$J22="",0,VLOOKUP(线下模式!$J22,'⚪设计'!$C$85:$G$101,4,FALSE)*线下模式!$K22),IF(线下模式!$O22="",0,VLOOKUP(线下模式!$O22,'⚪设计'!$C$85:$G$101,4,FALSE)*线下模式!$P22),IF(线下模式!$T22="",0,VLOOKUP(线下模式!$T22,'⚪设计'!$C$85:$G$101,4,FALSE)*线下模式!$U22))*IF(E22="",0,VLOOKUP(E22,'⚪设计'!$C$85:$G$101,4,FALSE)),0)</f>
        <v>2</v>
      </c>
      <c r="J22" s="88" t="str">
        <f>IF(VLOOKUP(A22,'⚪设计'!$A$327:$G$346,5,FALSE)="","",VLOOKUP(VLOOKUP(A22,'⚪设计'!$A$327:$G$346,5,FALSE),'⚪设计'!$B$85:$D$101,2,FALSE))</f>
        <v>ResUnit_Gui3</v>
      </c>
      <c r="K22" s="88">
        <f t="shared" si="1"/>
        <v>1</v>
      </c>
      <c r="L22" s="7">
        <f>'⚪设计'!I346</f>
        <v>0</v>
      </c>
      <c r="M22" s="88">
        <f>IF(J22="",0,ROUND(VLOOKUP($A22,'⚪设计'!$A$327:$B$346,2,FALSE)*$B22/SUM(IF($E22="",0,VLOOKUP($E22,'⚪设计'!$C$85:$E$101,3,FALSE))*$F22,IF($J22="",0,VLOOKUP($J22,'⚪设计'!$C$85:$E$101,3,FALSE))*$K22,IF($O22="",0,VLOOKUP($O22,'⚪设计'!$C$85:$E$101,3,FALSE))*$P22,IF($T22="",0,VLOOKUP($T22,'⚪设计'!$C$85:$E$101,3,FALSE))*$U22)*VLOOKUP(J22,'⚪设计'!$C$85:$E$101,3,FALSE),0))</f>
        <v>111429</v>
      </c>
      <c r="N22" s="88">
        <f>ROUND(战斗节奏!$B$3/SUM(IF(线下模式!$E22="",0,VLOOKUP(线下模式!$E22,'⚪设计'!$C$85:$G$101,4,FALSE)*线下模式!$F22),IF(线下模式!$J22="",0,VLOOKUP(线下模式!$J22,'⚪设计'!$C$85:$G$101,4,FALSE)*线下模式!$K22),IF(线下模式!$O22="",0,VLOOKUP(线下模式!$O22,'⚪设计'!$C$85:$G$101,4,FALSE)*线下模式!$P22),IF(线下模式!$T22="",0,VLOOKUP(线下模式!$T22,'⚪设计'!$C$85:$G$101,4,FALSE)*线下模式!$U22))*IF(J22="",0,VLOOKUP(J22,'⚪设计'!$C$85:$G$101,4,FALSE)),0)</f>
        <v>16</v>
      </c>
      <c r="O22" s="71" t="str">
        <f>IF(VLOOKUP(A22,'⚪设计'!$A$327:$G$346,6,FALSE)="","",VLOOKUP(VLOOKUP(A22,'⚪设计'!$A$327:$G$346,6,FALSE),'⚪设计'!$B$85:$D$101,2,FALSE))</f>
        <v>ResUnit_ZhongZi2</v>
      </c>
      <c r="P22" s="88">
        <f t="shared" si="2"/>
        <v>29</v>
      </c>
      <c r="Q22" s="7">
        <f>'⚪设计'!J346</f>
        <v>1</v>
      </c>
      <c r="R22" s="88">
        <f>IF(O22="",0,ROUND(VLOOKUP($A22,'⚪设计'!$A$327:$B$346,2,FALSE)*$B22/SUM(IF($E22="",0,VLOOKUP($E22,'⚪设计'!$C$85:$E$101,3,FALSE))*$F22,IF($J22="",0,VLOOKUP($J22,'⚪设计'!$C$85:$E$101,3,FALSE))*$K22,IF($O22="",0,VLOOKUP($O22,'⚪设计'!$C$85:$E$101,3,FALSE))*$P22,IF($T22="",0,VLOOKUP($T22,'⚪设计'!$C$85:$E$101,3,FALSE))*$U22)*VLOOKUP(O22,'⚪设计'!$C$85:$E$101,3,FALSE),0))</f>
        <v>16714</v>
      </c>
      <c r="S22" s="88">
        <f>ROUND(战斗节奏!$B$3/SUM(IF(线下模式!$E22="",0,VLOOKUP(线下模式!$E22,'⚪设计'!$C$85:$G$101,4,FALSE)*线下模式!$F22),IF(线下模式!$J22="",0,VLOOKUP(线下模式!$J22,'⚪设计'!$C$85:$G$101,4,FALSE)*线下模式!$K22),IF(线下模式!$O22="",0,VLOOKUP(线下模式!$O22,'⚪设计'!$C$85:$G$101,4,FALSE)*线下模式!$P22),IF(线下模式!$T22="",0,VLOOKUP(线下模式!$T22,'⚪设计'!$C$85:$G$101,4,FALSE)*线下模式!$U22))*IF(O22="",0,VLOOKUP(O22,'⚪设计'!$C$85:$G$101,4,FALSE)),0)</f>
        <v>2</v>
      </c>
      <c r="T22" s="88" t="str">
        <f>IF(VLOOKUP(A22,'⚪设计'!$A$327:$G$346,7,FALSE)="","",VLOOKUP(VLOOKUP(A22,'⚪设计'!$A$327:$G$346,7,FALSE),'⚪设计'!$B$85:$D$101,2,FALSE))</f>
        <v/>
      </c>
      <c r="U22" s="88">
        <f t="shared" si="3"/>
        <v>0</v>
      </c>
      <c r="V22" s="7">
        <f>'⚪设计'!K346</f>
        <v>0</v>
      </c>
      <c r="W22" s="88">
        <f>IF(T22="",0,ROUND(VLOOKUP($A22,'⚪设计'!$A$327:$B$346,2,FALSE)*$B22/SUM(IF($E22="",0,VLOOKUP($E22,'⚪设计'!$C$85:$E$101,3,FALSE))*$F22,IF($J22="",0,VLOOKUP($J22,'⚪设计'!$C$85:$E$101,3,FALSE))*$K22,IF($O22="",0,VLOOKUP($O22,'⚪设计'!$C$85:$E$101,3,FALSE))*$P22,IF($T22="",0,VLOOKUP($T22,'⚪设计'!$C$85:$E$101,3,FALSE))*$U22)*VLOOKUP(T22,'⚪设计'!$C$85:$E$101,3,FALSE),0))</f>
        <v>0</v>
      </c>
      <c r="X22" s="88">
        <f>ROUND(战斗节奏!$B$3/SUM(IF(线下模式!$E22="",0,VLOOKUP(线下模式!$E22,'⚪设计'!$C$85:$G$101,4,FALSE)*线下模式!$F22),IF(线下模式!$J22="",0,VLOOKUP(线下模式!$J22,'⚪设计'!$C$85:$G$101,4,FALSE)*线下模式!$K22),IF(线下模式!$O22="",0,VLOOKUP(线下模式!$O22,'⚪设计'!$C$85:$G$101,4,FALSE)*线下模式!$P22),IF(线下模式!$T22="",0,VLOOKUP(线下模式!$T22,'⚪设计'!$C$85:$G$101,4,FALSE)*线下模式!$U22))*IF(T22="",0,VLOOKUP(T22,'⚪设计'!$C$85:$G$101,4,FALSE)),0)</f>
        <v>0</v>
      </c>
    </row>
  </sheetData>
  <mergeCells count="8">
    <mergeCell ref="O1:S1"/>
    <mergeCell ref="T1:X1"/>
    <mergeCell ref="A1:A2"/>
    <mergeCell ref="B1:B2"/>
    <mergeCell ref="C1:C2"/>
    <mergeCell ref="D1:D2"/>
    <mergeCell ref="E1:I1"/>
    <mergeCell ref="J1:N1"/>
  </mergeCells>
  <phoneticPr fontId="4" type="noConversion"/>
  <conditionalFormatting sqref="A3:X22">
    <cfRule type="cellIs" dxfId="19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D0C06-C743-4B5B-AD63-541C1B40FD9C}">
  <dimension ref="A1:Z111"/>
  <sheetViews>
    <sheetView topLeftCell="A10" zoomScale="85" zoomScaleNormal="85" workbookViewId="0">
      <selection activeCell="A40" sqref="A40:XFD41"/>
    </sheetView>
  </sheetViews>
  <sheetFormatPr defaultColWidth="9" defaultRowHeight="14.25" x14ac:dyDescent="0.2"/>
  <cols>
    <col min="1" max="16384" width="9" style="96"/>
  </cols>
  <sheetData>
    <row r="1" spans="1:26" s="161" customFormat="1" x14ac:dyDescent="0.2">
      <c r="A1" s="161" t="s">
        <v>1963</v>
      </c>
    </row>
    <row r="2" spans="1:26" x14ac:dyDescent="0.2">
      <c r="A2" s="158" t="s">
        <v>665</v>
      </c>
      <c r="B2" s="158" t="s">
        <v>62</v>
      </c>
      <c r="C2" s="158" t="s">
        <v>380</v>
      </c>
      <c r="D2" s="158" t="s">
        <v>428</v>
      </c>
      <c r="E2" s="160" t="s">
        <v>430</v>
      </c>
      <c r="F2" s="160" t="s">
        <v>396</v>
      </c>
      <c r="G2" s="158" t="s">
        <v>400</v>
      </c>
      <c r="H2" s="159"/>
      <c r="I2" s="159"/>
      <c r="J2" s="159"/>
      <c r="K2" s="159"/>
      <c r="L2" s="158" t="s">
        <v>401</v>
      </c>
      <c r="M2" s="159"/>
      <c r="N2" s="159"/>
      <c r="O2" s="159"/>
      <c r="P2" s="159"/>
      <c r="Q2" s="158" t="s">
        <v>402</v>
      </c>
      <c r="R2" s="159"/>
      <c r="S2" s="159"/>
      <c r="T2" s="159"/>
      <c r="U2" s="159"/>
      <c r="V2" s="158" t="s">
        <v>403</v>
      </c>
      <c r="W2" s="159"/>
      <c r="X2" s="159"/>
      <c r="Y2" s="159"/>
      <c r="Z2" s="160"/>
    </row>
    <row r="3" spans="1:26" x14ac:dyDescent="0.2">
      <c r="A3" s="85"/>
      <c r="B3" s="85"/>
      <c r="C3" s="85"/>
      <c r="D3" s="85"/>
      <c r="E3" s="86"/>
      <c r="F3" s="86"/>
      <c r="G3" s="85" t="s">
        <v>397</v>
      </c>
      <c r="H3" s="87" t="s">
        <v>283</v>
      </c>
      <c r="I3" s="87" t="s">
        <v>404</v>
      </c>
      <c r="J3" s="87" t="s">
        <v>398</v>
      </c>
      <c r="K3" s="87" t="s">
        <v>399</v>
      </c>
      <c r="L3" s="85" t="s">
        <v>397</v>
      </c>
      <c r="M3" s="87" t="s">
        <v>283</v>
      </c>
      <c r="N3" s="87" t="s">
        <v>404</v>
      </c>
      <c r="O3" s="87" t="s">
        <v>398</v>
      </c>
      <c r="P3" s="87" t="s">
        <v>399</v>
      </c>
      <c r="Q3" s="85" t="s">
        <v>397</v>
      </c>
      <c r="R3" s="87" t="s">
        <v>283</v>
      </c>
      <c r="S3" s="87" t="s">
        <v>404</v>
      </c>
      <c r="T3" s="87" t="s">
        <v>398</v>
      </c>
      <c r="U3" s="87" t="s">
        <v>399</v>
      </c>
      <c r="V3" s="85" t="s">
        <v>397</v>
      </c>
      <c r="W3" s="87" t="s">
        <v>283</v>
      </c>
      <c r="X3" s="87" t="s">
        <v>404</v>
      </c>
      <c r="Y3" s="87" t="s">
        <v>398</v>
      </c>
      <c r="Z3" s="86" t="s">
        <v>399</v>
      </c>
    </row>
    <row r="4" spans="1:26" x14ac:dyDescent="0.2">
      <c r="A4" s="2" t="str">
        <f>B4&amp;"_"&amp;C4</f>
        <v>1_1</v>
      </c>
      <c r="B4" s="2">
        <v>1</v>
      </c>
      <c r="C4" s="2">
        <v>1</v>
      </c>
      <c r="D4" s="97">
        <f>VLOOKUP(C4,无限模式!$A$3:$B$22,2,FALSE)</f>
        <v>540</v>
      </c>
      <c r="E4" s="98">
        <v>1</v>
      </c>
      <c r="F4" s="97">
        <f>VLOOKUP(A4,'⚪设计'!$A$382:$N$405,6,FALSE)</f>
        <v>10</v>
      </c>
      <c r="G4" s="97" t="str">
        <f>IF(VLOOKUP($A4,'⚪设计'!$A$382:$N$405,7,FALSE)="","",VLOOKUP($A4,'⚪设计'!$A$382:$N$405,7,FALSE))</f>
        <v>蜜蜂1</v>
      </c>
      <c r="H4" s="97">
        <f>IF(I4=0,1,IF(I4="","",ROUND($F4/I4,0)))</f>
        <v>5</v>
      </c>
      <c r="I4" s="97">
        <f>IF(VLOOKUP($A4,'⚪设计'!$A$382:$N$405,11,FALSE)="","",VLOOKUP($A4,'⚪设计'!$A$382:$N$405,11,FALSE))</f>
        <v>2</v>
      </c>
      <c r="J4" s="97">
        <f>IF(G4="","",ROUND($D4*VLOOKUP($A4,'⚪设计'!$A$382:$N$405,4,FALSE)/(IF($G4="",0,VLOOKUP($G4,'⚪设计'!$B$85:$H$113,4,FALSE)*$H4)+IF($L4="",0,VLOOKUP($L4,'⚪设计'!$B$85:$H$113,4,FALSE)*$M4)+IF($Q4="",0,VLOOKUP($Q4,'⚪设计'!$B$85:$H$113,4,FALSE)*$R4)+IF($V4="",0,VLOOKUP($V4,'⚪设计'!$B$85:$H$113,4,FALSE)*$W4))*IF(G4="",0,VLOOKUP(G4,'⚪设计'!$B$85:$H$113,4,FALSE)),0))</f>
        <v>95</v>
      </c>
      <c r="K4" s="97">
        <f>IF(G4="","",ROUND(战斗节奏!$B$14/(IF($G4="",0,VLOOKUP($G4,'⚪设计'!$B$85:$H$113,5,FALSE)*$H4)+IF($L4="",0,VLOOKUP($L4,'⚪设计'!$B$85:$H$113,5,FALSE)*$M4)+IF($Q4="",0,VLOOKUP($Q4,'⚪设计'!$B$85:$H$113,5,FALSE)*$R4)+IF($V4="",0,VLOOKUP($V4,'⚪设计'!$B$85:$H$113,5,FALSE)*$W4))*IF(G4="",0,VLOOKUP(G4,'⚪设计'!$B$85:$H$113,5,FALSE)),0))</f>
        <v>18</v>
      </c>
      <c r="L4" s="97" t="str">
        <f>IF(VLOOKUP($A4,'⚪设计'!$A$382:$N$405,8,FALSE)="","",VLOOKUP($A4,'⚪设计'!$A$382:$N$405,8,FALSE))</f>
        <v>鸟1</v>
      </c>
      <c r="M4" s="97">
        <f>IF(N4=0,1,IF(N4="","",ROUND($F4/N4,0)))</f>
        <v>3</v>
      </c>
      <c r="N4" s="97">
        <f>IF(VLOOKUP($A4,'⚪设计'!$A$382:$N$405,12,FALSE)="","",VLOOKUP($A4,'⚪设计'!$A$382:$N$405,12,FALSE))</f>
        <v>3</v>
      </c>
      <c r="O4" s="97">
        <f>IF(L4="","",ROUND($D4*VLOOKUP($A4,'⚪设计'!$A$382:$N$405,4,FALSE)/(IF($G4="",0,VLOOKUP($G4,'⚪设计'!$B$85:$H$113,4,FALSE)*$H4)+IF($L4="",0,VLOOKUP($L4,'⚪设计'!$B$85:$H$113,4,FALSE)*$M4)+IF($Q4="",0,VLOOKUP($Q4,'⚪设计'!$B$85:$H$113,4,FALSE)*$R4)+IF($V4="",0,VLOOKUP($V4,'⚪设计'!$B$85:$H$113,4,FALSE)*$W4))*IF(L4="",0,VLOOKUP(L4,'⚪设计'!$B$85:$H$113,4,FALSE)),0))</f>
        <v>381</v>
      </c>
      <c r="P4" s="97">
        <f>IF(L4="","",ROUND(战斗节奏!$B$14/(IF($G4="",0,VLOOKUP($G4,'⚪设计'!$B$85:$H$113,5,FALSE)*$H4)+IF($L4="",0,VLOOKUP($L4,'⚪设计'!$B$85:$H$113,5,FALSE)*$M4)+IF($Q4="",0,VLOOKUP($Q4,'⚪设计'!$B$85:$H$113,5,FALSE)*$R4)+IF($V4="",0,VLOOKUP($V4,'⚪设计'!$B$85:$H$113,5,FALSE)*$W4))*IF(L4="",0,VLOOKUP(L4,'⚪设计'!$B$85:$H$113,5,FALSE)),0))</f>
        <v>71</v>
      </c>
      <c r="Q4" s="97" t="str">
        <f>IF(VLOOKUP($A4,'⚪设计'!$A$382:$N$405,9,FALSE)="","",VLOOKUP($A4,'⚪设计'!$A$382:$N$405,9,FALSE))</f>
        <v/>
      </c>
      <c r="R4" s="97" t="str">
        <f>IF(S4=0,1,IF(S4="","",ROUND($F4/S4,0)))</f>
        <v/>
      </c>
      <c r="S4" s="97" t="str">
        <f>IF(VLOOKUP($A4,'⚪设计'!$A$382:$N$405,13,FALSE)="","",VLOOKUP($A4,'⚪设计'!$A$382:$N$405,13,FALSE))</f>
        <v/>
      </c>
      <c r="T4" s="97" t="str">
        <f>IF(Q4="","",ROUND($D4*VLOOKUP($A4,'⚪设计'!$A$382:$N$405,4,FALSE)/(IF($G4="",0,VLOOKUP($G4,'⚪设计'!$B$85:$H$113,4,FALSE)*$H4)+IF($L4="",0,VLOOKUP($L4,'⚪设计'!$B$85:$H$113,4,FALSE)*$M4)+IF($Q4="",0,VLOOKUP($Q4,'⚪设计'!$B$85:$H$113,4,FALSE)*$R4)+IF($V4="",0,VLOOKUP($V4,'⚪设计'!$B$85:$H$113,4,FALSE)*$W4))*IF(Q4="",0,VLOOKUP(Q4,'⚪设计'!$B$85:$H$113,4,FALSE)),0))</f>
        <v/>
      </c>
      <c r="U4" s="97" t="str">
        <f>IF(Q4="","",ROUND(战斗节奏!$B$14/(IF($G4="",0,VLOOKUP($G4,'⚪设计'!$B$85:$H$113,5,FALSE)*$H4)+IF($L4="",0,VLOOKUP($L4,'⚪设计'!$B$85:$H$113,5,FALSE)*$M4)+IF($Q4="",0,VLOOKUP($Q4,'⚪设计'!$B$85:$H$113,5,FALSE)*$R4)+IF($V4="",0,VLOOKUP($V4,'⚪设计'!$B$85:$H$113,5,FALSE)*$W4))*IF(Q4="",0,VLOOKUP(Q4,'⚪设计'!$B$85:$H$113,5,FALSE)),0))</f>
        <v/>
      </c>
      <c r="V4" s="97" t="str">
        <f>IF(VLOOKUP($A4,'⚪设计'!$A$382:$N$405,10,FALSE)="","",VLOOKUP($A4,'⚪设计'!$A$382:$N$405,10,FALSE))</f>
        <v/>
      </c>
      <c r="W4" s="97" t="str">
        <f>IF(X4=0,1,IF(X4="","",ROUND($F4/X4,0)))</f>
        <v/>
      </c>
      <c r="X4" s="97" t="str">
        <f>IF(VLOOKUP($A4,'⚪设计'!$A$382:$N$405,14,FALSE)="","",VLOOKUP($A4,'⚪设计'!$A$382:$N$405,14,FALSE))</f>
        <v/>
      </c>
      <c r="Y4" s="97" t="str">
        <f>IF(V4="","",ROUND($D4*VLOOKUP($A4,'⚪设计'!$A$382:$N$405,4,FALSE)/(IF($G4="",0,VLOOKUP($G4,'⚪设计'!$B$85:$H$113,4,FALSE)*$H4)+IF($L4="",0,VLOOKUP($L4,'⚪设计'!$B$85:$H$113,4,FALSE)*$M4)+IF($Q4="",0,VLOOKUP($Q4,'⚪设计'!$B$85:$H$113,4,FALSE)*$R4)+IF($V4="",0,VLOOKUP($V4,'⚪设计'!$B$85:$H$113,4,FALSE)*$W4))*IF(V4="",0,VLOOKUP(V4,'⚪设计'!$B$85:$H$113,4,FALSE)),0))</f>
        <v/>
      </c>
      <c r="Z4" s="97" t="str">
        <f>IF(V4="","",ROUND(战斗节奏!$B$14/(IF($G4="",0,VLOOKUP($G4,'⚪设计'!$B$85:$H$113,5,FALSE)*$H4)+IF($L4="",0,VLOOKUP($L4,'⚪设计'!$B$85:$H$113,5,FALSE)*$M4)+IF($Q4="",0,VLOOKUP($Q4,'⚪设计'!$B$85:$H$113,5,FALSE)*$R4)+IF($V4="",0,VLOOKUP($V4,'⚪设计'!$B$85:$H$113,5,FALSE)*$W4))*IF(V4="",0,VLOOKUP(V4,'⚪设计'!$B$85:$H$113,5,FALSE)),0))</f>
        <v/>
      </c>
    </row>
    <row r="5" spans="1:26" x14ac:dyDescent="0.2">
      <c r="A5" s="2" t="str">
        <f t="shared" ref="A5:A27" si="0">B5&amp;"_"&amp;C5</f>
        <v>1_2</v>
      </c>
      <c r="B5" s="2">
        <v>1</v>
      </c>
      <c r="C5" s="2">
        <v>2</v>
      </c>
      <c r="D5" s="97">
        <f>VLOOKUP(C5,无限模式!$A$3:$B$22,2,FALSE)</f>
        <v>1080</v>
      </c>
      <c r="E5" s="98">
        <v>1</v>
      </c>
      <c r="F5" s="97">
        <f>VLOOKUP(A5,'⚪设计'!$A$382:$N$405,6,FALSE)</f>
        <v>12.5</v>
      </c>
      <c r="G5" s="97" t="str">
        <f>IF(VLOOKUP($A5,'⚪设计'!$A$382:$N$405,7,FALSE)="","",VLOOKUP($A5,'⚪设计'!$A$382:$N$405,7,FALSE))</f>
        <v>蜜蜂1</v>
      </c>
      <c r="H5" s="97">
        <f t="shared" ref="H5:H27" si="1">IF(I5=0,1,IF(I5="","",ROUND($F5/I5,0)))</f>
        <v>25</v>
      </c>
      <c r="I5" s="97">
        <f>IF(VLOOKUP($A5,'⚪设计'!$A$382:$N$405,11,FALSE)="","",VLOOKUP($A5,'⚪设计'!$A$382:$N$405,11,FALSE))</f>
        <v>0.5</v>
      </c>
      <c r="J5" s="97">
        <f>IF(G5="","",ROUND($D5*VLOOKUP($A5,'⚪设计'!$A$382:$N$405,4,FALSE)/(IF($G5="",0,VLOOKUP($G5,'⚪设计'!$B$85:$H$113,4,FALSE)*$H5)+IF($L5="",0,VLOOKUP($L5,'⚪设计'!$B$85:$H$113,4,FALSE)*$M5)+IF($Q5="",0,VLOOKUP($Q5,'⚪设计'!$B$85:$H$113,4,FALSE)*$R5)+IF($V5="",0,VLOOKUP($V5,'⚪设计'!$B$85:$H$113,4,FALSE)*$W5))*IF(G5="",0,VLOOKUP(G5,'⚪设计'!$B$85:$H$113,4,FALSE)),0))</f>
        <v>158</v>
      </c>
      <c r="K5" s="97">
        <f>IF(G5="","",ROUND(战斗节奏!$B$14/(IF($G5="",0,VLOOKUP($G5,'⚪设计'!$B$85:$H$113,5,FALSE)*$H5)+IF($L5="",0,VLOOKUP($L5,'⚪设计'!$B$85:$H$113,5,FALSE)*$M5)+IF($Q5="",0,VLOOKUP($Q5,'⚪设计'!$B$85:$H$113,5,FALSE)*$R5)+IF($V5="",0,VLOOKUP($V5,'⚪设计'!$B$85:$H$113,5,FALSE)*$W5))*IF(G5="",0,VLOOKUP(G5,'⚪设计'!$B$85:$H$113,5,FALSE)),0))</f>
        <v>7</v>
      </c>
      <c r="L5" s="97" t="str">
        <f>IF(VLOOKUP($A5,'⚪设计'!$A$382:$N$405,8,FALSE)="","",VLOOKUP($A5,'⚪设计'!$A$382:$N$405,8,FALSE))</f>
        <v>鸟1</v>
      </c>
      <c r="M5" s="97">
        <f t="shared" ref="M5:M27" si="2">IF(N5=0,1,IF(N5="","",ROUND($F5/N5,0)))</f>
        <v>4</v>
      </c>
      <c r="N5" s="97">
        <f>IF(VLOOKUP($A5,'⚪设计'!$A$382:$N$405,12,FALSE)="","",VLOOKUP($A5,'⚪设计'!$A$382:$N$405,12,FALSE))</f>
        <v>3</v>
      </c>
      <c r="O5" s="97">
        <f>IF(L5="","",ROUND($D5*VLOOKUP($A5,'⚪设计'!$A$382:$N$405,4,FALSE)/(IF($G5="",0,VLOOKUP($G5,'⚪设计'!$B$85:$H$113,4,FALSE)*$H5)+IF($L5="",0,VLOOKUP($L5,'⚪设计'!$B$85:$H$113,4,FALSE)*$M5)+IF($Q5="",0,VLOOKUP($Q5,'⚪设计'!$B$85:$H$113,4,FALSE)*$R5)+IF($V5="",0,VLOOKUP($V5,'⚪设计'!$B$85:$H$113,4,FALSE)*$W5))*IF(L5="",0,VLOOKUP(L5,'⚪设计'!$B$85:$H$113,4,FALSE)),0))</f>
        <v>632</v>
      </c>
      <c r="P5" s="97">
        <f>IF(L5="","",ROUND(战斗节奏!$B$14/(IF($G5="",0,VLOOKUP($G5,'⚪设计'!$B$85:$H$113,5,FALSE)*$H5)+IF($L5="",0,VLOOKUP($L5,'⚪设计'!$B$85:$H$113,5,FALSE)*$M5)+IF($Q5="",0,VLOOKUP($Q5,'⚪设计'!$B$85:$H$113,5,FALSE)*$R5)+IF($V5="",0,VLOOKUP($V5,'⚪设计'!$B$85:$H$113,5,FALSE)*$W5))*IF(L5="",0,VLOOKUP(L5,'⚪设计'!$B$85:$H$113,5,FALSE)),0))</f>
        <v>29</v>
      </c>
      <c r="Q5" s="97" t="str">
        <f>IF(VLOOKUP($A5,'⚪设计'!$A$382:$N$405,9,FALSE)="","",VLOOKUP($A5,'⚪设计'!$A$382:$N$405,9,FALSE))</f>
        <v/>
      </c>
      <c r="R5" s="97" t="str">
        <f t="shared" ref="R5:R27" si="3">IF(S5=0,1,IF(S5="","",ROUND($F5/S5,0)))</f>
        <v/>
      </c>
      <c r="S5" s="97" t="str">
        <f>IF(VLOOKUP($A5,'⚪设计'!$A$382:$N$405,13,FALSE)="","",VLOOKUP($A5,'⚪设计'!$A$382:$N$405,13,FALSE))</f>
        <v/>
      </c>
      <c r="T5" s="97" t="str">
        <f>IF(Q5="","",ROUND($D5*VLOOKUP($A5,'⚪设计'!$A$382:$N$405,4,FALSE)/(IF($G5="",0,VLOOKUP($G5,'⚪设计'!$B$85:$H$113,4,FALSE)*$H5)+IF($L5="",0,VLOOKUP($L5,'⚪设计'!$B$85:$H$113,4,FALSE)*$M5)+IF($Q5="",0,VLOOKUP($Q5,'⚪设计'!$B$85:$H$113,4,FALSE)*$R5)+IF($V5="",0,VLOOKUP($V5,'⚪设计'!$B$85:$H$113,4,FALSE)*$W5))*IF(Q5="",0,VLOOKUP(Q5,'⚪设计'!$B$85:$H$113,4,FALSE)),0))</f>
        <v/>
      </c>
      <c r="U5" s="97" t="str">
        <f>IF(Q5="","",ROUND(战斗节奏!$B$14/(IF($G5="",0,VLOOKUP($G5,'⚪设计'!$B$85:$H$113,5,FALSE)*$H5)+IF($L5="",0,VLOOKUP($L5,'⚪设计'!$B$85:$H$113,5,FALSE)*$M5)+IF($Q5="",0,VLOOKUP($Q5,'⚪设计'!$B$85:$H$113,5,FALSE)*$R5)+IF($V5="",0,VLOOKUP($V5,'⚪设计'!$B$85:$H$113,5,FALSE)*$W5))*IF(Q5="",0,VLOOKUP(Q5,'⚪设计'!$B$85:$H$113,5,FALSE)),0))</f>
        <v/>
      </c>
      <c r="V5" s="97" t="str">
        <f>IF(VLOOKUP($A5,'⚪设计'!$A$382:$N$405,10,FALSE)="","",VLOOKUP($A5,'⚪设计'!$A$382:$N$405,10,FALSE))</f>
        <v/>
      </c>
      <c r="W5" s="97" t="str">
        <f t="shared" ref="W5:W27" si="4">IF(X5=0,1,IF(X5="","",ROUND($F5/X5,0)))</f>
        <v/>
      </c>
      <c r="X5" s="97" t="str">
        <f>IF(VLOOKUP($A5,'⚪设计'!$A$382:$N$405,14,FALSE)="","",VLOOKUP($A5,'⚪设计'!$A$382:$N$405,14,FALSE))</f>
        <v/>
      </c>
      <c r="Y5" s="97" t="str">
        <f>IF(V5="","",ROUND($D5*VLOOKUP($A5,'⚪设计'!$A$382:$N$405,4,FALSE)/(IF($G5="",0,VLOOKUP($G5,'⚪设计'!$B$85:$H$113,4,FALSE)*$H5)+IF($L5="",0,VLOOKUP($L5,'⚪设计'!$B$85:$H$113,4,FALSE)*$M5)+IF($Q5="",0,VLOOKUP($Q5,'⚪设计'!$B$85:$H$113,4,FALSE)*$R5)+IF($V5="",0,VLOOKUP($V5,'⚪设计'!$B$85:$H$113,4,FALSE)*$W5))*IF(V5="",0,VLOOKUP(V5,'⚪设计'!$B$85:$H$113,4,FALSE)),0))</f>
        <v/>
      </c>
      <c r="Z5" s="97" t="str">
        <f>IF(V5="","",ROUND(战斗节奏!$B$14/(IF($G5="",0,VLOOKUP($G5,'⚪设计'!$B$85:$H$113,5,FALSE)*$H5)+IF($L5="",0,VLOOKUP($L5,'⚪设计'!$B$85:$H$113,5,FALSE)*$M5)+IF($Q5="",0,VLOOKUP($Q5,'⚪设计'!$B$85:$H$113,5,FALSE)*$R5)+IF($V5="",0,VLOOKUP($V5,'⚪设计'!$B$85:$H$113,5,FALSE)*$W5))*IF(V5="",0,VLOOKUP(V5,'⚪设计'!$B$85:$H$113,5,FALSE)),0))</f>
        <v/>
      </c>
    </row>
    <row r="6" spans="1:26" x14ac:dyDescent="0.2">
      <c r="A6" s="2" t="str">
        <f t="shared" si="0"/>
        <v>1_3</v>
      </c>
      <c r="B6" s="2">
        <v>1</v>
      </c>
      <c r="C6" s="2">
        <v>3</v>
      </c>
      <c r="D6" s="97">
        <f>VLOOKUP(C6,无限模式!$A$3:$B$22,2,FALSE)</f>
        <v>1620</v>
      </c>
      <c r="E6" s="98">
        <v>1</v>
      </c>
      <c r="F6" s="97">
        <f>VLOOKUP(A6,'⚪设计'!$A$382:$N$405,6,FALSE)</f>
        <v>15</v>
      </c>
      <c r="G6" s="97" t="str">
        <f>IF(VLOOKUP($A6,'⚪设计'!$A$382:$N$405,7,FALSE)="","",VLOOKUP($A6,'⚪设计'!$A$382:$N$405,7,FALSE))</f>
        <v>蜜蜂1</v>
      </c>
      <c r="H6" s="97">
        <f t="shared" si="1"/>
        <v>30</v>
      </c>
      <c r="I6" s="97">
        <f>IF(VLOOKUP($A6,'⚪设计'!$A$382:$N$405,11,FALSE)="","",VLOOKUP($A6,'⚪设计'!$A$382:$N$405,11,FALSE))</f>
        <v>0.5</v>
      </c>
      <c r="J6" s="97">
        <f>IF(G6="","",ROUND($D6*VLOOKUP($A6,'⚪设计'!$A$382:$N$405,4,FALSE)/(IF($G6="",0,VLOOKUP($G6,'⚪设计'!$B$85:$H$113,4,FALSE)*$H6)+IF($L6="",0,VLOOKUP($L6,'⚪设计'!$B$85:$H$113,4,FALSE)*$M6)+IF($Q6="",0,VLOOKUP($Q6,'⚪设计'!$B$85:$H$113,4,FALSE)*$R6)+IF($V6="",0,VLOOKUP($V6,'⚪设计'!$B$85:$H$113,4,FALSE)*$W6))*IF(G6="",0,VLOOKUP(G6,'⚪设计'!$B$85:$H$113,4,FALSE)),0))</f>
        <v>180</v>
      </c>
      <c r="K6" s="97">
        <f>IF(G6="","",ROUND(战斗节奏!$B$14/(IF($G6="",0,VLOOKUP($G6,'⚪设计'!$B$85:$H$113,5,FALSE)*$H6)+IF($L6="",0,VLOOKUP($L6,'⚪设计'!$B$85:$H$113,5,FALSE)*$M6)+IF($Q6="",0,VLOOKUP($Q6,'⚪设计'!$B$85:$H$113,5,FALSE)*$R6)+IF($V6="",0,VLOOKUP($V6,'⚪设计'!$B$85:$H$113,5,FALSE)*$W6))*IF(G6="",0,VLOOKUP(G6,'⚪设计'!$B$85:$H$113,5,FALSE)),0))</f>
        <v>3</v>
      </c>
      <c r="L6" s="97" t="str">
        <f>IF(VLOOKUP($A6,'⚪设计'!$A$382:$N$405,8,FALSE)="","",VLOOKUP($A6,'⚪设计'!$A$382:$N$405,8,FALSE))</f>
        <v>蜜蜂2</v>
      </c>
      <c r="M6" s="97">
        <f t="shared" si="2"/>
        <v>5</v>
      </c>
      <c r="N6" s="97">
        <f>IF(VLOOKUP($A6,'⚪设计'!$A$382:$N$405,12,FALSE)="","",VLOOKUP($A6,'⚪设计'!$A$382:$N$405,12,FALSE))</f>
        <v>3</v>
      </c>
      <c r="O6" s="97">
        <f>IF(L6="","",ROUND($D6*VLOOKUP($A6,'⚪设计'!$A$382:$N$405,4,FALSE)/(IF($G6="",0,VLOOKUP($G6,'⚪设计'!$B$85:$H$113,4,FALSE)*$H6)+IF($L6="",0,VLOOKUP($L6,'⚪设计'!$B$85:$H$113,4,FALSE)*$M6)+IF($Q6="",0,VLOOKUP($Q6,'⚪设计'!$B$85:$H$113,4,FALSE)*$R6)+IF($V6="",0,VLOOKUP($V6,'⚪设计'!$B$85:$H$113,4,FALSE)*$W6))*IF(L6="",0,VLOOKUP(L6,'⚪设计'!$B$85:$H$113,4,FALSE)),0))</f>
        <v>720</v>
      </c>
      <c r="P6" s="97">
        <f>IF(L6="","",ROUND(战斗节奏!$B$14/(IF($G6="",0,VLOOKUP($G6,'⚪设计'!$B$85:$H$113,5,FALSE)*$H6)+IF($L6="",0,VLOOKUP($L6,'⚪设计'!$B$85:$H$113,5,FALSE)*$M6)+IF($Q6="",0,VLOOKUP($Q6,'⚪设计'!$B$85:$H$113,5,FALSE)*$R6)+IF($V6="",0,VLOOKUP($V6,'⚪设计'!$B$85:$H$113,5,FALSE)*$W6))*IF(L6="",0,VLOOKUP(L6,'⚪设计'!$B$85:$H$113,5,FALSE)),0))</f>
        <v>13</v>
      </c>
      <c r="Q6" s="97" t="str">
        <f>IF(VLOOKUP($A6,'⚪设计'!$A$382:$N$405,9,FALSE)="","",VLOOKUP($A6,'⚪设计'!$A$382:$N$405,9,FALSE))</f>
        <v>鸟1</v>
      </c>
      <c r="R6" s="97">
        <f t="shared" si="3"/>
        <v>10</v>
      </c>
      <c r="S6" s="97">
        <f>IF(VLOOKUP($A6,'⚪设计'!$A$382:$N$405,13,FALSE)="","",VLOOKUP($A6,'⚪设计'!$A$382:$N$405,13,FALSE))</f>
        <v>1.5</v>
      </c>
      <c r="T6" s="97">
        <f>IF(Q6="","",ROUND($D6*VLOOKUP($A6,'⚪设计'!$A$382:$N$405,4,FALSE)/(IF($G6="",0,VLOOKUP($G6,'⚪设计'!$B$85:$H$113,4,FALSE)*$H6)+IF($L6="",0,VLOOKUP($L6,'⚪设计'!$B$85:$H$113,4,FALSE)*$M6)+IF($Q6="",0,VLOOKUP($Q6,'⚪设计'!$B$85:$H$113,4,FALSE)*$R6)+IF($V6="",0,VLOOKUP($V6,'⚪设计'!$B$85:$H$113,4,FALSE)*$W6))*IF(Q6="",0,VLOOKUP(Q6,'⚪设计'!$B$85:$H$113,4,FALSE)),0))</f>
        <v>720</v>
      </c>
      <c r="U6" s="97">
        <f>IF(Q6="","",ROUND(战斗节奏!$B$14/(IF($G6="",0,VLOOKUP($G6,'⚪设计'!$B$85:$H$113,5,FALSE)*$H6)+IF($L6="",0,VLOOKUP($L6,'⚪设计'!$B$85:$H$113,5,FALSE)*$M6)+IF($Q6="",0,VLOOKUP($Q6,'⚪设计'!$B$85:$H$113,5,FALSE)*$R6)+IF($V6="",0,VLOOKUP($V6,'⚪设计'!$B$85:$H$113,5,FALSE)*$W6))*IF(Q6="",0,VLOOKUP(Q6,'⚪设计'!$B$85:$H$113,5,FALSE)),0))</f>
        <v>13</v>
      </c>
      <c r="V6" s="97" t="str">
        <f>IF(VLOOKUP($A6,'⚪设计'!$A$382:$N$405,10,FALSE)="","",VLOOKUP($A6,'⚪设计'!$A$382:$N$405,10,FALSE))</f>
        <v/>
      </c>
      <c r="W6" s="97" t="str">
        <f t="shared" si="4"/>
        <v/>
      </c>
      <c r="X6" s="97" t="str">
        <f>IF(VLOOKUP($A6,'⚪设计'!$A$382:$N$405,14,FALSE)="","",VLOOKUP($A6,'⚪设计'!$A$382:$N$405,14,FALSE))</f>
        <v/>
      </c>
      <c r="Y6" s="97" t="str">
        <f>IF(V6="","",ROUND($D6*VLOOKUP($A6,'⚪设计'!$A$382:$N$405,4,FALSE)/(IF($G6="",0,VLOOKUP($G6,'⚪设计'!$B$85:$H$113,4,FALSE)*$H6)+IF($L6="",0,VLOOKUP($L6,'⚪设计'!$B$85:$H$113,4,FALSE)*$M6)+IF($Q6="",0,VLOOKUP($Q6,'⚪设计'!$B$85:$H$113,4,FALSE)*$R6)+IF($V6="",0,VLOOKUP($V6,'⚪设计'!$B$85:$H$113,4,FALSE)*$W6))*IF(V6="",0,VLOOKUP(V6,'⚪设计'!$B$85:$H$113,4,FALSE)),0))</f>
        <v/>
      </c>
      <c r="Z6" s="97" t="str">
        <f>IF(V6="","",ROUND(战斗节奏!$B$14/(IF($G6="",0,VLOOKUP($G6,'⚪设计'!$B$85:$H$113,5,FALSE)*$H6)+IF($L6="",0,VLOOKUP($L6,'⚪设计'!$B$85:$H$113,5,FALSE)*$M6)+IF($Q6="",0,VLOOKUP($Q6,'⚪设计'!$B$85:$H$113,5,FALSE)*$R6)+IF($V6="",0,VLOOKUP($V6,'⚪设计'!$B$85:$H$113,5,FALSE)*$W6))*IF(V6="",0,VLOOKUP(V6,'⚪设计'!$B$85:$H$113,5,FALSE)),0))</f>
        <v/>
      </c>
    </row>
    <row r="7" spans="1:26" x14ac:dyDescent="0.2">
      <c r="A7" s="2" t="str">
        <f t="shared" si="0"/>
        <v>2_1</v>
      </c>
      <c r="B7" s="2">
        <v>2</v>
      </c>
      <c r="C7" s="2">
        <v>1</v>
      </c>
      <c r="D7" s="97">
        <f>VLOOKUP(C7,无限模式!$A$3:$B$22,2,FALSE)</f>
        <v>540</v>
      </c>
      <c r="E7" s="98">
        <v>1</v>
      </c>
      <c r="F7" s="97">
        <f>VLOOKUP(A7,'⚪设计'!$A$382:$N$405,6,FALSE)</f>
        <v>10</v>
      </c>
      <c r="G7" s="97" t="str">
        <f>IF(VLOOKUP($A7,'⚪设计'!$A$382:$N$405,7,FALSE)="","",VLOOKUP($A7,'⚪设计'!$A$382:$N$405,7,FALSE))</f>
        <v>蜘蛛1</v>
      </c>
      <c r="H7" s="97">
        <f t="shared" si="1"/>
        <v>5</v>
      </c>
      <c r="I7" s="97">
        <f>IF(VLOOKUP($A7,'⚪设计'!$A$382:$N$405,11,FALSE)="","",VLOOKUP($A7,'⚪设计'!$A$382:$N$405,11,FALSE))</f>
        <v>2</v>
      </c>
      <c r="J7" s="97">
        <f>IF(G7="","",ROUND($D7*VLOOKUP($A7,'⚪设计'!$A$382:$N$405,4,FALSE)/(IF($G7="",0,VLOOKUP($G7,'⚪设计'!$B$85:$H$113,4,FALSE)*$H7)+IF($L7="",0,VLOOKUP($L7,'⚪设计'!$B$85:$H$113,4,FALSE)*$M7)+IF($Q7="",0,VLOOKUP($Q7,'⚪设计'!$B$85:$H$113,4,FALSE)*$R7)+IF($V7="",0,VLOOKUP($V7,'⚪设计'!$B$85:$H$113,4,FALSE)*$W7))*IF(G7="",0,VLOOKUP(G7,'⚪设计'!$B$85:$H$113,4,FALSE)),0))</f>
        <v>180</v>
      </c>
      <c r="K7" s="97">
        <f>IF(G7="","",ROUND(战斗节奏!$B$14/(IF($G7="",0,VLOOKUP($G7,'⚪设计'!$B$85:$H$113,5,FALSE)*$H7)+IF($L7="",0,VLOOKUP($L7,'⚪设计'!$B$85:$H$113,5,FALSE)*$M7)+IF($Q7="",0,VLOOKUP($Q7,'⚪设计'!$B$85:$H$113,5,FALSE)*$R7)+IF($V7="",0,VLOOKUP($V7,'⚪设计'!$B$85:$H$113,5,FALSE)*$W7))*IF(G7="",0,VLOOKUP(G7,'⚪设计'!$B$85:$H$113,5,FALSE)),0))</f>
        <v>20</v>
      </c>
      <c r="L7" s="97" t="str">
        <f>IF(VLOOKUP($A7,'⚪设计'!$A$382:$N$405,8,FALSE)="","",VLOOKUP($A7,'⚪设计'!$A$382:$N$405,8,FALSE))</f>
        <v>鸟1</v>
      </c>
      <c r="M7" s="97">
        <f t="shared" si="2"/>
        <v>5</v>
      </c>
      <c r="N7" s="97">
        <f>IF(VLOOKUP($A7,'⚪设计'!$A$382:$N$405,12,FALSE)="","",VLOOKUP($A7,'⚪设计'!$A$382:$N$405,12,FALSE))</f>
        <v>2</v>
      </c>
      <c r="O7" s="97">
        <f>IF(L7="","",ROUND($D7*VLOOKUP($A7,'⚪设计'!$A$382:$N$405,4,FALSE)/(IF($G7="",0,VLOOKUP($G7,'⚪设计'!$B$85:$H$113,4,FALSE)*$H7)+IF($L7="",0,VLOOKUP($L7,'⚪设计'!$B$85:$H$113,4,FALSE)*$M7)+IF($Q7="",0,VLOOKUP($Q7,'⚪设计'!$B$85:$H$113,4,FALSE)*$R7)+IF($V7="",0,VLOOKUP($V7,'⚪设计'!$B$85:$H$113,4,FALSE)*$W7))*IF(L7="",0,VLOOKUP(L7,'⚪设计'!$B$85:$H$113,4,FALSE)),0))</f>
        <v>360</v>
      </c>
      <c r="P7" s="97">
        <f>IF(L7="","",ROUND(战斗节奏!$B$14/(IF($G7="",0,VLOOKUP($G7,'⚪设计'!$B$85:$H$113,5,FALSE)*$H7)+IF($L7="",0,VLOOKUP($L7,'⚪设计'!$B$85:$H$113,5,FALSE)*$M7)+IF($Q7="",0,VLOOKUP($Q7,'⚪设计'!$B$85:$H$113,5,FALSE)*$R7)+IF($V7="",0,VLOOKUP($V7,'⚪设计'!$B$85:$H$113,5,FALSE)*$W7))*IF(L7="",0,VLOOKUP(L7,'⚪设计'!$B$85:$H$113,5,FALSE)),0))</f>
        <v>40</v>
      </c>
      <c r="Q7" s="97" t="str">
        <f>IF(VLOOKUP($A7,'⚪设计'!$A$382:$N$405,9,FALSE)="","",VLOOKUP($A7,'⚪设计'!$A$382:$N$405,9,FALSE))</f>
        <v/>
      </c>
      <c r="R7" s="97" t="str">
        <f t="shared" si="3"/>
        <v/>
      </c>
      <c r="S7" s="97" t="str">
        <f>IF(VLOOKUP($A7,'⚪设计'!$A$382:$N$405,13,FALSE)="","",VLOOKUP($A7,'⚪设计'!$A$382:$N$405,13,FALSE))</f>
        <v/>
      </c>
      <c r="T7" s="97" t="str">
        <f>IF(Q7="","",ROUND($D7*VLOOKUP($A7,'⚪设计'!$A$382:$N$405,4,FALSE)/(IF($G7="",0,VLOOKUP($G7,'⚪设计'!$B$85:$H$113,4,FALSE)*$H7)+IF($L7="",0,VLOOKUP($L7,'⚪设计'!$B$85:$H$113,4,FALSE)*$M7)+IF($Q7="",0,VLOOKUP($Q7,'⚪设计'!$B$85:$H$113,4,FALSE)*$R7)+IF($V7="",0,VLOOKUP($V7,'⚪设计'!$B$85:$H$113,4,FALSE)*$W7))*IF(Q7="",0,VLOOKUP(Q7,'⚪设计'!$B$85:$H$113,4,FALSE)),0))</f>
        <v/>
      </c>
      <c r="U7" s="97" t="str">
        <f>IF(Q7="","",ROUND(战斗节奏!$B$14/(IF($G7="",0,VLOOKUP($G7,'⚪设计'!$B$85:$H$113,5,FALSE)*$H7)+IF($L7="",0,VLOOKUP($L7,'⚪设计'!$B$85:$H$113,5,FALSE)*$M7)+IF($Q7="",0,VLOOKUP($Q7,'⚪设计'!$B$85:$H$113,5,FALSE)*$R7)+IF($V7="",0,VLOOKUP($V7,'⚪设计'!$B$85:$H$113,5,FALSE)*$W7))*IF(Q7="",0,VLOOKUP(Q7,'⚪设计'!$B$85:$H$113,5,FALSE)),0))</f>
        <v/>
      </c>
      <c r="V7" s="97" t="str">
        <f>IF(VLOOKUP($A7,'⚪设计'!$A$382:$N$405,10,FALSE)="","",VLOOKUP($A7,'⚪设计'!$A$382:$N$405,10,FALSE))</f>
        <v/>
      </c>
      <c r="W7" s="97" t="str">
        <f t="shared" si="4"/>
        <v/>
      </c>
      <c r="X7" s="97" t="str">
        <f>IF(VLOOKUP($A7,'⚪设计'!$A$382:$N$405,14,FALSE)="","",VLOOKUP($A7,'⚪设计'!$A$382:$N$405,14,FALSE))</f>
        <v/>
      </c>
      <c r="Y7" s="97" t="str">
        <f>IF(V7="","",ROUND($D7*VLOOKUP($A7,'⚪设计'!$A$382:$N$405,4,FALSE)/(IF($G7="",0,VLOOKUP($G7,'⚪设计'!$B$85:$H$113,4,FALSE)*$H7)+IF($L7="",0,VLOOKUP($L7,'⚪设计'!$B$85:$H$113,4,FALSE)*$M7)+IF($Q7="",0,VLOOKUP($Q7,'⚪设计'!$B$85:$H$113,4,FALSE)*$R7)+IF($V7="",0,VLOOKUP($V7,'⚪设计'!$B$85:$H$113,4,FALSE)*$W7))*IF(V7="",0,VLOOKUP(V7,'⚪设计'!$B$85:$H$113,4,FALSE)),0))</f>
        <v/>
      </c>
      <c r="Z7" s="97" t="str">
        <f>IF(V7="","",ROUND(战斗节奏!$B$14/(IF($G7="",0,VLOOKUP($G7,'⚪设计'!$B$85:$H$113,5,FALSE)*$H7)+IF($L7="",0,VLOOKUP($L7,'⚪设计'!$B$85:$H$113,5,FALSE)*$M7)+IF($Q7="",0,VLOOKUP($Q7,'⚪设计'!$B$85:$H$113,5,FALSE)*$R7)+IF($V7="",0,VLOOKUP($V7,'⚪设计'!$B$85:$H$113,5,FALSE)*$W7))*IF(V7="",0,VLOOKUP(V7,'⚪设计'!$B$85:$H$113,5,FALSE)),0))</f>
        <v/>
      </c>
    </row>
    <row r="8" spans="1:26" x14ac:dyDescent="0.2">
      <c r="A8" s="2" t="str">
        <f t="shared" si="0"/>
        <v>2_2</v>
      </c>
      <c r="B8" s="2">
        <v>2</v>
      </c>
      <c r="C8" s="2">
        <v>2</v>
      </c>
      <c r="D8" s="97">
        <f>VLOOKUP(C8,无限模式!$A$3:$B$22,2,FALSE)</f>
        <v>1080</v>
      </c>
      <c r="E8" s="98">
        <v>1</v>
      </c>
      <c r="F8" s="97">
        <f>VLOOKUP(A8,'⚪设计'!$A$382:$N$405,6,FALSE)</f>
        <v>12.5</v>
      </c>
      <c r="G8" s="97" t="str">
        <f>IF(VLOOKUP($A8,'⚪设计'!$A$382:$N$405,7,FALSE)="","",VLOOKUP($A8,'⚪设计'!$A$382:$N$405,7,FALSE))</f>
        <v>蜘蛛1</v>
      </c>
      <c r="H8" s="97">
        <f t="shared" si="1"/>
        <v>6</v>
      </c>
      <c r="I8" s="97">
        <f>IF(VLOOKUP($A8,'⚪设计'!$A$382:$N$405,11,FALSE)="","",VLOOKUP($A8,'⚪设计'!$A$382:$N$405,11,FALSE))</f>
        <v>2</v>
      </c>
      <c r="J8" s="97">
        <f>IF(G8="","",ROUND($D8*VLOOKUP($A8,'⚪设计'!$A$382:$N$405,4,FALSE)/(IF($G8="",0,VLOOKUP($G8,'⚪设计'!$B$85:$H$113,4,FALSE)*$H8)+IF($L8="",0,VLOOKUP($L8,'⚪设计'!$B$85:$H$113,4,FALSE)*$M8)+IF($Q8="",0,VLOOKUP($Q8,'⚪设计'!$B$85:$H$113,4,FALSE)*$R8)+IF($V8="",0,VLOOKUP($V8,'⚪设计'!$B$85:$H$113,4,FALSE)*$W8))*IF(G8="",0,VLOOKUP(G8,'⚪设计'!$B$85:$H$113,4,FALSE)),0))</f>
        <v>288</v>
      </c>
      <c r="K8" s="97">
        <f>IF(G8="","",ROUND(战斗节奏!$B$14/(IF($G8="",0,VLOOKUP($G8,'⚪设计'!$B$85:$H$113,5,FALSE)*$H8)+IF($L8="",0,VLOOKUP($L8,'⚪设计'!$B$85:$H$113,5,FALSE)*$M8)+IF($Q8="",0,VLOOKUP($Q8,'⚪设计'!$B$85:$H$113,5,FALSE)*$R8)+IF($V8="",0,VLOOKUP($V8,'⚪设计'!$B$85:$H$113,5,FALSE)*$W8))*IF(G8="",0,VLOOKUP(G8,'⚪设计'!$B$85:$H$113,5,FALSE)),0))</f>
        <v>10</v>
      </c>
      <c r="L8" s="97" t="str">
        <f>IF(VLOOKUP($A8,'⚪设计'!$A$382:$N$405,8,FALSE)="","",VLOOKUP($A8,'⚪设计'!$A$382:$N$405,8,FALSE))</f>
        <v>蜜蜂2</v>
      </c>
      <c r="M8" s="97">
        <f t="shared" si="2"/>
        <v>6</v>
      </c>
      <c r="N8" s="97">
        <f>IF(VLOOKUP($A8,'⚪设计'!$A$382:$N$405,12,FALSE)="","",VLOOKUP($A8,'⚪设计'!$A$382:$N$405,12,FALSE))</f>
        <v>2</v>
      </c>
      <c r="O8" s="97">
        <f>IF(L8="","",ROUND($D8*VLOOKUP($A8,'⚪设计'!$A$382:$N$405,4,FALSE)/(IF($G8="",0,VLOOKUP($G8,'⚪设计'!$B$85:$H$113,4,FALSE)*$H8)+IF($L8="",0,VLOOKUP($L8,'⚪设计'!$B$85:$H$113,4,FALSE)*$M8)+IF($Q8="",0,VLOOKUP($Q8,'⚪设计'!$B$85:$H$113,4,FALSE)*$R8)+IF($V8="",0,VLOOKUP($V8,'⚪设计'!$B$85:$H$113,4,FALSE)*$W8))*IF(L8="",0,VLOOKUP(L8,'⚪设计'!$B$85:$H$113,4,FALSE)),0))</f>
        <v>576</v>
      </c>
      <c r="P8" s="97">
        <f>IF(L8="","",ROUND(战斗节奏!$B$14/(IF($G8="",0,VLOOKUP($G8,'⚪设计'!$B$85:$H$113,5,FALSE)*$H8)+IF($L8="",0,VLOOKUP($L8,'⚪设计'!$B$85:$H$113,5,FALSE)*$M8)+IF($Q8="",0,VLOOKUP($Q8,'⚪设计'!$B$85:$H$113,5,FALSE)*$R8)+IF($V8="",0,VLOOKUP($V8,'⚪设计'!$B$85:$H$113,5,FALSE)*$W8))*IF(L8="",0,VLOOKUP(L8,'⚪设计'!$B$85:$H$113,5,FALSE)),0))</f>
        <v>20</v>
      </c>
      <c r="Q8" s="97" t="str">
        <f>IF(VLOOKUP($A8,'⚪设计'!$A$382:$N$405,9,FALSE)="","",VLOOKUP($A8,'⚪设计'!$A$382:$N$405,9,FALSE))</f>
        <v>鸟1</v>
      </c>
      <c r="R8" s="97">
        <f t="shared" si="3"/>
        <v>6</v>
      </c>
      <c r="S8" s="97">
        <f>IF(VLOOKUP($A8,'⚪设计'!$A$382:$N$405,13,FALSE)="","",VLOOKUP($A8,'⚪设计'!$A$382:$N$405,13,FALSE))</f>
        <v>2</v>
      </c>
      <c r="T8" s="97">
        <f>IF(Q8="","",ROUND($D8*VLOOKUP($A8,'⚪设计'!$A$382:$N$405,4,FALSE)/(IF($G8="",0,VLOOKUP($G8,'⚪设计'!$B$85:$H$113,4,FALSE)*$H8)+IF($L8="",0,VLOOKUP($L8,'⚪设计'!$B$85:$H$113,4,FALSE)*$M8)+IF($Q8="",0,VLOOKUP($Q8,'⚪设计'!$B$85:$H$113,4,FALSE)*$R8)+IF($V8="",0,VLOOKUP($V8,'⚪设计'!$B$85:$H$113,4,FALSE)*$W8))*IF(Q8="",0,VLOOKUP(Q8,'⚪设计'!$B$85:$H$113,4,FALSE)),0))</f>
        <v>576</v>
      </c>
      <c r="U8" s="97">
        <f>IF(Q8="","",ROUND(战斗节奏!$B$14/(IF($G8="",0,VLOOKUP($G8,'⚪设计'!$B$85:$H$113,5,FALSE)*$H8)+IF($L8="",0,VLOOKUP($L8,'⚪设计'!$B$85:$H$113,5,FALSE)*$M8)+IF($Q8="",0,VLOOKUP($Q8,'⚪设计'!$B$85:$H$113,5,FALSE)*$R8)+IF($V8="",0,VLOOKUP($V8,'⚪设计'!$B$85:$H$113,5,FALSE)*$W8))*IF(Q8="",0,VLOOKUP(Q8,'⚪设计'!$B$85:$H$113,5,FALSE)),0))</f>
        <v>20</v>
      </c>
      <c r="V8" s="97" t="str">
        <f>IF(VLOOKUP($A8,'⚪设计'!$A$382:$N$405,10,FALSE)="","",VLOOKUP($A8,'⚪设计'!$A$382:$N$405,10,FALSE))</f>
        <v/>
      </c>
      <c r="W8" s="97" t="str">
        <f t="shared" si="4"/>
        <v/>
      </c>
      <c r="X8" s="97" t="str">
        <f>IF(VLOOKUP($A8,'⚪设计'!$A$382:$N$405,14,FALSE)="","",VLOOKUP($A8,'⚪设计'!$A$382:$N$405,14,FALSE))</f>
        <v/>
      </c>
      <c r="Y8" s="97" t="str">
        <f>IF(V8="","",ROUND($D8*VLOOKUP($A8,'⚪设计'!$A$382:$N$405,4,FALSE)/(IF($G8="",0,VLOOKUP($G8,'⚪设计'!$B$85:$H$113,4,FALSE)*$H8)+IF($L8="",0,VLOOKUP($L8,'⚪设计'!$B$85:$H$113,4,FALSE)*$M8)+IF($Q8="",0,VLOOKUP($Q8,'⚪设计'!$B$85:$H$113,4,FALSE)*$R8)+IF($V8="",0,VLOOKUP($V8,'⚪设计'!$B$85:$H$113,4,FALSE)*$W8))*IF(V8="",0,VLOOKUP(V8,'⚪设计'!$B$85:$H$113,4,FALSE)),0))</f>
        <v/>
      </c>
      <c r="Z8" s="97" t="str">
        <f>IF(V8="","",ROUND(战斗节奏!$B$14/(IF($G8="",0,VLOOKUP($G8,'⚪设计'!$B$85:$H$113,5,FALSE)*$H8)+IF($L8="",0,VLOOKUP($L8,'⚪设计'!$B$85:$H$113,5,FALSE)*$M8)+IF($Q8="",0,VLOOKUP($Q8,'⚪设计'!$B$85:$H$113,5,FALSE)*$R8)+IF($V8="",0,VLOOKUP($V8,'⚪设计'!$B$85:$H$113,5,FALSE)*$W8))*IF(V8="",0,VLOOKUP(V8,'⚪设计'!$B$85:$H$113,5,FALSE)),0))</f>
        <v/>
      </c>
    </row>
    <row r="9" spans="1:26" x14ac:dyDescent="0.2">
      <c r="A9" s="2" t="str">
        <f t="shared" si="0"/>
        <v>2_3</v>
      </c>
      <c r="B9" s="2">
        <v>2</v>
      </c>
      <c r="C9" s="2">
        <v>3</v>
      </c>
      <c r="D9" s="97">
        <f>VLOOKUP(C9,无限模式!$A$3:$B$22,2,FALSE)</f>
        <v>1620</v>
      </c>
      <c r="E9" s="98">
        <v>1</v>
      </c>
      <c r="F9" s="97">
        <f>VLOOKUP(A9,'⚪设计'!$A$382:$N$405,6,FALSE)</f>
        <v>15</v>
      </c>
      <c r="G9" s="97" t="str">
        <f>IF(VLOOKUP($A9,'⚪设计'!$A$382:$N$405,7,FALSE)="","",VLOOKUP($A9,'⚪设计'!$A$382:$N$405,7,FALSE))</f>
        <v>蜘蛛1</v>
      </c>
      <c r="H9" s="97">
        <f t="shared" si="1"/>
        <v>15</v>
      </c>
      <c r="I9" s="97">
        <f>IF(VLOOKUP($A9,'⚪设计'!$A$382:$N$405,11,FALSE)="","",VLOOKUP($A9,'⚪设计'!$A$382:$N$405,11,FALSE))</f>
        <v>1</v>
      </c>
      <c r="J9" s="97">
        <f>IF(G9="","",ROUND($D9*VLOOKUP($A9,'⚪设计'!$A$382:$N$405,4,FALSE)/(IF($G9="",0,VLOOKUP($G9,'⚪设计'!$B$85:$H$113,4,FALSE)*$H9)+IF($L9="",0,VLOOKUP($L9,'⚪设计'!$B$85:$H$113,4,FALSE)*$M9)+IF($Q9="",0,VLOOKUP($Q9,'⚪设计'!$B$85:$H$113,4,FALSE)*$R9)+IF($V9="",0,VLOOKUP($V9,'⚪设计'!$B$85:$H$113,4,FALSE)*$W9))*IF(G9="",0,VLOOKUP(G9,'⚪设计'!$B$85:$H$113,4,FALSE)),0))</f>
        <v>309</v>
      </c>
      <c r="K9" s="97">
        <f>IF(G9="","",ROUND(战斗节奏!$B$14/(IF($G9="",0,VLOOKUP($G9,'⚪设计'!$B$85:$H$113,5,FALSE)*$H9)+IF($L9="",0,VLOOKUP($L9,'⚪设计'!$B$85:$H$113,5,FALSE)*$M9)+IF($Q9="",0,VLOOKUP($Q9,'⚪设计'!$B$85:$H$113,5,FALSE)*$R9)+IF($V9="",0,VLOOKUP($V9,'⚪设计'!$B$85:$H$113,5,FALSE)*$W9))*IF(G9="",0,VLOOKUP(G9,'⚪设计'!$B$85:$H$113,5,FALSE)),0))</f>
        <v>6</v>
      </c>
      <c r="L9" s="97" t="str">
        <f>IF(VLOOKUP($A9,'⚪设计'!$A$382:$N$405,8,FALSE)="","",VLOOKUP($A9,'⚪设计'!$A$382:$N$405,8,FALSE))</f>
        <v>蝙蝠1</v>
      </c>
      <c r="M9" s="97">
        <f t="shared" si="2"/>
        <v>15</v>
      </c>
      <c r="N9" s="97">
        <f>IF(VLOOKUP($A9,'⚪设计'!$A$382:$N$405,12,FALSE)="","",VLOOKUP($A9,'⚪设计'!$A$382:$N$405,12,FALSE))</f>
        <v>1</v>
      </c>
      <c r="O9" s="97">
        <f>IF(L9="","",ROUND($D9*VLOOKUP($A9,'⚪设计'!$A$382:$N$405,4,FALSE)/(IF($G9="",0,VLOOKUP($G9,'⚪设计'!$B$85:$H$113,4,FALSE)*$H9)+IF($L9="",0,VLOOKUP($L9,'⚪设计'!$B$85:$H$113,4,FALSE)*$M9)+IF($Q9="",0,VLOOKUP($Q9,'⚪设计'!$B$85:$H$113,4,FALSE)*$R9)+IF($V9="",0,VLOOKUP($V9,'⚪设计'!$B$85:$H$113,4,FALSE)*$W9))*IF(L9="",0,VLOOKUP(L9,'⚪设计'!$B$85:$H$113,4,FALSE)),0))</f>
        <v>154</v>
      </c>
      <c r="P9" s="97">
        <f>IF(L9="","",ROUND(战斗节奏!$B$14/(IF($G9="",0,VLOOKUP($G9,'⚪设计'!$B$85:$H$113,5,FALSE)*$H9)+IF($L9="",0,VLOOKUP($L9,'⚪设计'!$B$85:$H$113,5,FALSE)*$M9)+IF($Q9="",0,VLOOKUP($Q9,'⚪设计'!$B$85:$H$113,5,FALSE)*$R9)+IF($V9="",0,VLOOKUP($V9,'⚪设计'!$B$85:$H$113,5,FALSE)*$W9))*IF(L9="",0,VLOOKUP(L9,'⚪设计'!$B$85:$H$113,5,FALSE)),0))</f>
        <v>3</v>
      </c>
      <c r="Q9" s="97" t="str">
        <f>IF(VLOOKUP($A9,'⚪设计'!$A$382:$N$405,9,FALSE)="","",VLOOKUP($A9,'⚪设计'!$A$382:$N$405,9,FALSE))</f>
        <v>鸟1</v>
      </c>
      <c r="R9" s="97">
        <f t="shared" si="3"/>
        <v>15</v>
      </c>
      <c r="S9" s="97">
        <f>IF(VLOOKUP($A9,'⚪设计'!$A$382:$N$405,13,FALSE)="","",VLOOKUP($A9,'⚪设计'!$A$382:$N$405,13,FALSE))</f>
        <v>1</v>
      </c>
      <c r="T9" s="97">
        <f>IF(Q9="","",ROUND($D9*VLOOKUP($A9,'⚪设计'!$A$382:$N$405,4,FALSE)/(IF($G9="",0,VLOOKUP($G9,'⚪设计'!$B$85:$H$113,4,FALSE)*$H9)+IF($L9="",0,VLOOKUP($L9,'⚪设计'!$B$85:$H$113,4,FALSE)*$M9)+IF($Q9="",0,VLOOKUP($Q9,'⚪设计'!$B$85:$H$113,4,FALSE)*$R9)+IF($V9="",0,VLOOKUP($V9,'⚪设计'!$B$85:$H$113,4,FALSE)*$W9))*IF(Q9="",0,VLOOKUP(Q9,'⚪设计'!$B$85:$H$113,4,FALSE)),0))</f>
        <v>617</v>
      </c>
      <c r="U9" s="97">
        <f>IF(Q9="","",ROUND(战斗节奏!$B$14/(IF($G9="",0,VLOOKUP($G9,'⚪设计'!$B$85:$H$113,5,FALSE)*$H9)+IF($L9="",0,VLOOKUP($L9,'⚪设计'!$B$85:$H$113,5,FALSE)*$M9)+IF($Q9="",0,VLOOKUP($Q9,'⚪设计'!$B$85:$H$113,5,FALSE)*$R9)+IF($V9="",0,VLOOKUP($V9,'⚪设计'!$B$85:$H$113,5,FALSE)*$W9))*IF(Q9="",0,VLOOKUP(Q9,'⚪设计'!$B$85:$H$113,5,FALSE)),0))</f>
        <v>11</v>
      </c>
      <c r="V9" s="97" t="str">
        <f>IF(VLOOKUP($A9,'⚪设计'!$A$382:$N$405,10,FALSE)="","",VLOOKUP($A9,'⚪设计'!$A$382:$N$405,10,FALSE))</f>
        <v/>
      </c>
      <c r="W9" s="97" t="str">
        <f t="shared" si="4"/>
        <v/>
      </c>
      <c r="X9" s="97" t="str">
        <f>IF(VLOOKUP($A9,'⚪设计'!$A$382:$N$405,14,FALSE)="","",VLOOKUP($A9,'⚪设计'!$A$382:$N$405,14,FALSE))</f>
        <v/>
      </c>
      <c r="Y9" s="97" t="str">
        <f>IF(V9="","",ROUND($D9*VLOOKUP($A9,'⚪设计'!$A$382:$N$405,4,FALSE)/(IF($G9="",0,VLOOKUP($G9,'⚪设计'!$B$85:$H$113,4,FALSE)*$H9)+IF($L9="",0,VLOOKUP($L9,'⚪设计'!$B$85:$H$113,4,FALSE)*$M9)+IF($Q9="",0,VLOOKUP($Q9,'⚪设计'!$B$85:$H$113,4,FALSE)*$R9)+IF($V9="",0,VLOOKUP($V9,'⚪设计'!$B$85:$H$113,4,FALSE)*$W9))*IF(V9="",0,VLOOKUP(V9,'⚪设计'!$B$85:$H$113,4,FALSE)),0))</f>
        <v/>
      </c>
      <c r="Z9" s="97" t="str">
        <f>IF(V9="","",ROUND(战斗节奏!$B$14/(IF($G9="",0,VLOOKUP($G9,'⚪设计'!$B$85:$H$113,5,FALSE)*$H9)+IF($L9="",0,VLOOKUP($L9,'⚪设计'!$B$85:$H$113,5,FALSE)*$M9)+IF($Q9="",0,VLOOKUP($Q9,'⚪设计'!$B$85:$H$113,5,FALSE)*$R9)+IF($V9="",0,VLOOKUP($V9,'⚪设计'!$B$85:$H$113,5,FALSE)*$W9))*IF(V9="",0,VLOOKUP(V9,'⚪设计'!$B$85:$H$113,5,FALSE)),0))</f>
        <v/>
      </c>
    </row>
    <row r="10" spans="1:26" x14ac:dyDescent="0.2">
      <c r="A10" s="2" t="str">
        <f t="shared" si="0"/>
        <v>2_4</v>
      </c>
      <c r="B10" s="2">
        <v>2</v>
      </c>
      <c r="C10" s="2">
        <v>4</v>
      </c>
      <c r="D10" s="97">
        <f>VLOOKUP(C10,无限模式!$A$3:$B$22,2,FALSE)</f>
        <v>2160</v>
      </c>
      <c r="E10" s="98">
        <v>1</v>
      </c>
      <c r="F10" s="97">
        <f>VLOOKUP(A10,'⚪设计'!$A$382:$N$405,6,FALSE)</f>
        <v>17.5</v>
      </c>
      <c r="G10" s="97" t="str">
        <f>IF(VLOOKUP($A10,'⚪设计'!$A$382:$N$405,7,FALSE)="","",VLOOKUP($A10,'⚪设计'!$A$382:$N$405,7,FALSE))</f>
        <v>蜘蛛1</v>
      </c>
      <c r="H10" s="97">
        <f t="shared" si="1"/>
        <v>18</v>
      </c>
      <c r="I10" s="97">
        <f>IF(VLOOKUP($A10,'⚪设计'!$A$382:$N$405,11,FALSE)="","",VLOOKUP($A10,'⚪设计'!$A$382:$N$405,11,FALSE))</f>
        <v>1</v>
      </c>
      <c r="J10" s="97">
        <f>IF(G10="","",ROUND($D10*VLOOKUP($A10,'⚪设计'!$A$382:$N$405,4,FALSE)/(IF($G10="",0,VLOOKUP($G10,'⚪设计'!$B$85:$H$113,4,FALSE)*$H10)+IF($L10="",0,VLOOKUP($L10,'⚪设计'!$B$85:$H$113,4,FALSE)*$M10)+IF($Q10="",0,VLOOKUP($Q10,'⚪设计'!$B$85:$H$113,4,FALSE)*$R10)+IF($V10="",0,VLOOKUP($V10,'⚪设计'!$B$85:$H$113,4,FALSE)*$W10))*IF(G10="",0,VLOOKUP(G10,'⚪设计'!$B$85:$H$113,4,FALSE)),0))</f>
        <v>400</v>
      </c>
      <c r="K10" s="97">
        <f>IF(G10="","",ROUND(战斗节奏!$B$14/(IF($G10="",0,VLOOKUP($G10,'⚪设计'!$B$85:$H$113,5,FALSE)*$H10)+IF($L10="",0,VLOOKUP($L10,'⚪设计'!$B$85:$H$113,5,FALSE)*$M10)+IF($Q10="",0,VLOOKUP($Q10,'⚪设计'!$B$85:$H$113,5,FALSE)*$R10)+IF($V10="",0,VLOOKUP($V10,'⚪设计'!$B$85:$H$113,5,FALSE)*$W10))*IF(G10="",0,VLOOKUP(G10,'⚪设计'!$B$85:$H$113,5,FALSE)),0))</f>
        <v>4</v>
      </c>
      <c r="L10" s="97" t="str">
        <f>IF(VLOOKUP($A10,'⚪设计'!$A$382:$N$405,8,FALSE)="","",VLOOKUP($A10,'⚪设计'!$A$382:$N$405,8,FALSE))</f>
        <v>蝙蝠1</v>
      </c>
      <c r="M10" s="97">
        <f t="shared" si="2"/>
        <v>18</v>
      </c>
      <c r="N10" s="97">
        <f>IF(VLOOKUP($A10,'⚪设计'!$A$382:$N$405,12,FALSE)="","",VLOOKUP($A10,'⚪设计'!$A$382:$N$405,12,FALSE))</f>
        <v>1</v>
      </c>
      <c r="O10" s="97">
        <f>IF(L10="","",ROUND($D10*VLOOKUP($A10,'⚪设计'!$A$382:$N$405,4,FALSE)/(IF($G10="",0,VLOOKUP($G10,'⚪设计'!$B$85:$H$113,4,FALSE)*$H10)+IF($L10="",0,VLOOKUP($L10,'⚪设计'!$B$85:$H$113,4,FALSE)*$M10)+IF($Q10="",0,VLOOKUP($Q10,'⚪设计'!$B$85:$H$113,4,FALSE)*$R10)+IF($V10="",0,VLOOKUP($V10,'⚪设计'!$B$85:$H$113,4,FALSE)*$W10))*IF(L10="",0,VLOOKUP(L10,'⚪设计'!$B$85:$H$113,4,FALSE)),0))</f>
        <v>200</v>
      </c>
      <c r="P10" s="97">
        <f>IF(L10="","",ROUND(战斗节奏!$B$14/(IF($G10="",0,VLOOKUP($G10,'⚪设计'!$B$85:$H$113,5,FALSE)*$H10)+IF($L10="",0,VLOOKUP($L10,'⚪设计'!$B$85:$H$113,5,FALSE)*$M10)+IF($Q10="",0,VLOOKUP($Q10,'⚪设计'!$B$85:$H$113,5,FALSE)*$R10)+IF($V10="",0,VLOOKUP($V10,'⚪设计'!$B$85:$H$113,5,FALSE)*$W10))*IF(L10="",0,VLOOKUP(L10,'⚪设计'!$B$85:$H$113,5,FALSE)),0))</f>
        <v>2</v>
      </c>
      <c r="Q10" s="97" t="str">
        <f>IF(VLOOKUP($A10,'⚪设计'!$A$382:$N$405,9,FALSE)="","",VLOOKUP($A10,'⚪设计'!$A$382:$N$405,9,FALSE))</f>
        <v>蜜蜂2</v>
      </c>
      <c r="R10" s="97">
        <f t="shared" si="3"/>
        <v>9</v>
      </c>
      <c r="S10" s="97">
        <f>IF(VLOOKUP($A10,'⚪设计'!$A$382:$N$405,13,FALSE)="","",VLOOKUP($A10,'⚪设计'!$A$382:$N$405,13,FALSE))</f>
        <v>2</v>
      </c>
      <c r="T10" s="97">
        <f>IF(Q10="","",ROUND($D10*VLOOKUP($A10,'⚪设计'!$A$382:$N$405,4,FALSE)/(IF($G10="",0,VLOOKUP($G10,'⚪设计'!$B$85:$H$113,4,FALSE)*$H10)+IF($L10="",0,VLOOKUP($L10,'⚪设计'!$B$85:$H$113,4,FALSE)*$M10)+IF($Q10="",0,VLOOKUP($Q10,'⚪设计'!$B$85:$H$113,4,FALSE)*$R10)+IF($V10="",0,VLOOKUP($V10,'⚪设计'!$B$85:$H$113,4,FALSE)*$W10))*IF(Q10="",0,VLOOKUP(Q10,'⚪设计'!$B$85:$H$113,4,FALSE)),0))</f>
        <v>800</v>
      </c>
      <c r="U10" s="97">
        <f>IF(Q10="","",ROUND(战斗节奏!$B$14/(IF($G10="",0,VLOOKUP($G10,'⚪设计'!$B$85:$H$113,5,FALSE)*$H10)+IF($L10="",0,VLOOKUP($L10,'⚪设计'!$B$85:$H$113,5,FALSE)*$M10)+IF($Q10="",0,VLOOKUP($Q10,'⚪设计'!$B$85:$H$113,5,FALSE)*$R10)+IF($V10="",0,VLOOKUP($V10,'⚪设计'!$B$85:$H$113,5,FALSE)*$W10))*IF(Q10="",0,VLOOKUP(Q10,'⚪设计'!$B$85:$H$113,5,FALSE)),0))</f>
        <v>7</v>
      </c>
      <c r="V10" s="97" t="str">
        <f>IF(VLOOKUP($A10,'⚪设计'!$A$382:$N$405,10,FALSE)="","",VLOOKUP($A10,'⚪设计'!$A$382:$N$405,10,FALSE))</f>
        <v>鸟1</v>
      </c>
      <c r="W10" s="97">
        <f t="shared" si="4"/>
        <v>18</v>
      </c>
      <c r="X10" s="97">
        <f>IF(VLOOKUP($A10,'⚪设计'!$A$382:$N$405,14,FALSE)="","",VLOOKUP($A10,'⚪设计'!$A$382:$N$405,14,FALSE))</f>
        <v>1</v>
      </c>
      <c r="Y10" s="97">
        <f>IF(V10="","",ROUND($D10*VLOOKUP($A10,'⚪设计'!$A$382:$N$405,4,FALSE)/(IF($G10="",0,VLOOKUP($G10,'⚪设计'!$B$85:$H$113,4,FALSE)*$H10)+IF($L10="",0,VLOOKUP($L10,'⚪设计'!$B$85:$H$113,4,FALSE)*$M10)+IF($Q10="",0,VLOOKUP($Q10,'⚪设计'!$B$85:$H$113,4,FALSE)*$R10)+IF($V10="",0,VLOOKUP($V10,'⚪设计'!$B$85:$H$113,4,FALSE)*$W10))*IF(V10="",0,VLOOKUP(V10,'⚪设计'!$B$85:$H$113,4,FALSE)),0))</f>
        <v>800</v>
      </c>
      <c r="Z10" s="97">
        <f>IF(V10="","",ROUND(战斗节奏!$B$14/(IF($G10="",0,VLOOKUP($G10,'⚪设计'!$B$85:$H$113,5,FALSE)*$H10)+IF($L10="",0,VLOOKUP($L10,'⚪设计'!$B$85:$H$113,5,FALSE)*$M10)+IF($Q10="",0,VLOOKUP($Q10,'⚪设计'!$B$85:$H$113,5,FALSE)*$R10)+IF($V10="",0,VLOOKUP($V10,'⚪设计'!$B$85:$H$113,5,FALSE)*$W10))*IF(V10="",0,VLOOKUP(V10,'⚪设计'!$B$85:$H$113,5,FALSE)),0))</f>
        <v>7</v>
      </c>
    </row>
    <row r="11" spans="1:26" x14ac:dyDescent="0.2">
      <c r="A11" s="2" t="str">
        <f t="shared" si="0"/>
        <v>2_5</v>
      </c>
      <c r="B11" s="2">
        <v>2</v>
      </c>
      <c r="C11" s="2">
        <v>5</v>
      </c>
      <c r="D11" s="97">
        <f>VLOOKUP(C11,无限模式!$A$3:$B$22,2,FALSE)</f>
        <v>2700</v>
      </c>
      <c r="E11" s="98">
        <v>1</v>
      </c>
      <c r="F11" s="97">
        <f>VLOOKUP(A11,'⚪设计'!$A$382:$N$405,6,FALSE)</f>
        <v>20</v>
      </c>
      <c r="G11" s="97" t="str">
        <f>IF(VLOOKUP($A11,'⚪设计'!$A$382:$N$405,7,FALSE)="","",VLOOKUP($A11,'⚪设计'!$A$382:$N$405,7,FALSE))</f>
        <v>蜘蛛1</v>
      </c>
      <c r="H11" s="97">
        <f t="shared" si="1"/>
        <v>20</v>
      </c>
      <c r="I11" s="97">
        <f>IF(VLOOKUP($A11,'⚪设计'!$A$382:$N$405,11,FALSE)="","",VLOOKUP($A11,'⚪设计'!$A$382:$N$405,11,FALSE))</f>
        <v>1</v>
      </c>
      <c r="J11" s="97">
        <f>IF(G11="","",ROUND($D11*VLOOKUP($A11,'⚪设计'!$A$382:$N$405,4,FALSE)/(IF($G11="",0,VLOOKUP($G11,'⚪设计'!$B$85:$H$113,4,FALSE)*$H11)+IF($L11="",0,VLOOKUP($L11,'⚪设计'!$B$85:$H$113,4,FALSE)*$M11)+IF($Q11="",0,VLOOKUP($Q11,'⚪设计'!$B$85:$H$113,4,FALSE)*$R11)+IF($V11="",0,VLOOKUP($V11,'⚪设计'!$B$85:$H$113,4,FALSE)*$W11))*IF(G11="",0,VLOOKUP(G11,'⚪设计'!$B$85:$H$113,4,FALSE)),0))</f>
        <v>563</v>
      </c>
      <c r="K11" s="97">
        <f>IF(G11="","",ROUND(战斗节奏!$B$14/(IF($G11="",0,VLOOKUP($G11,'⚪设计'!$B$85:$H$113,5,FALSE)*$H11)+IF($L11="",0,VLOOKUP($L11,'⚪设计'!$B$85:$H$113,5,FALSE)*$M11)+IF($Q11="",0,VLOOKUP($Q11,'⚪设计'!$B$85:$H$113,5,FALSE)*$R11)+IF($V11="",0,VLOOKUP($V11,'⚪设计'!$B$85:$H$113,5,FALSE)*$W11))*IF(G11="",0,VLOOKUP(G11,'⚪设计'!$B$85:$H$113,5,FALSE)),0))</f>
        <v>3</v>
      </c>
      <c r="L11" s="97" t="str">
        <f>IF(VLOOKUP($A11,'⚪设计'!$A$382:$N$405,8,FALSE)="","",VLOOKUP($A11,'⚪设计'!$A$382:$N$405,8,FALSE))</f>
        <v>蝙蝠1</v>
      </c>
      <c r="M11" s="97">
        <f t="shared" si="2"/>
        <v>40</v>
      </c>
      <c r="N11" s="97">
        <f>IF(VLOOKUP($A11,'⚪设计'!$A$382:$N$405,12,FALSE)="","",VLOOKUP($A11,'⚪设计'!$A$382:$N$405,12,FALSE))</f>
        <v>0.5</v>
      </c>
      <c r="O11" s="97">
        <f>IF(L11="","",ROUND($D11*VLOOKUP($A11,'⚪设计'!$A$382:$N$405,4,FALSE)/(IF($G11="",0,VLOOKUP($G11,'⚪设计'!$B$85:$H$113,4,FALSE)*$H11)+IF($L11="",0,VLOOKUP($L11,'⚪设计'!$B$85:$H$113,4,FALSE)*$M11)+IF($Q11="",0,VLOOKUP($Q11,'⚪设计'!$B$85:$H$113,4,FALSE)*$R11)+IF($V11="",0,VLOOKUP($V11,'⚪设计'!$B$85:$H$113,4,FALSE)*$W11))*IF(L11="",0,VLOOKUP(L11,'⚪设计'!$B$85:$H$113,4,FALSE)),0))</f>
        <v>281</v>
      </c>
      <c r="P11" s="97">
        <f>IF(L11="","",ROUND(战斗节奏!$B$14/(IF($G11="",0,VLOOKUP($G11,'⚪设计'!$B$85:$H$113,5,FALSE)*$H11)+IF($L11="",0,VLOOKUP($L11,'⚪设计'!$B$85:$H$113,5,FALSE)*$M11)+IF($Q11="",0,VLOOKUP($Q11,'⚪设计'!$B$85:$H$113,5,FALSE)*$R11)+IF($V11="",0,VLOOKUP($V11,'⚪设计'!$B$85:$H$113,5,FALSE)*$W11))*IF(L11="",0,VLOOKUP(L11,'⚪设计'!$B$85:$H$113,5,FALSE)),0))</f>
        <v>1</v>
      </c>
      <c r="Q11" s="97" t="str">
        <f>IF(VLOOKUP($A11,'⚪设计'!$A$382:$N$405,9,FALSE)="","",VLOOKUP($A11,'⚪设计'!$A$382:$N$405,9,FALSE))</f>
        <v>蜜蜂2</v>
      </c>
      <c r="R11" s="97">
        <f t="shared" si="3"/>
        <v>20</v>
      </c>
      <c r="S11" s="97">
        <f>IF(VLOOKUP($A11,'⚪设计'!$A$382:$N$405,13,FALSE)="","",VLOOKUP($A11,'⚪设计'!$A$382:$N$405,13,FALSE))</f>
        <v>1</v>
      </c>
      <c r="T11" s="97">
        <f>IF(Q11="","",ROUND($D11*VLOOKUP($A11,'⚪设计'!$A$382:$N$405,4,FALSE)/(IF($G11="",0,VLOOKUP($G11,'⚪设计'!$B$85:$H$113,4,FALSE)*$H11)+IF($L11="",0,VLOOKUP($L11,'⚪设计'!$B$85:$H$113,4,FALSE)*$M11)+IF($Q11="",0,VLOOKUP($Q11,'⚪设计'!$B$85:$H$113,4,FALSE)*$R11)+IF($V11="",0,VLOOKUP($V11,'⚪设计'!$B$85:$H$113,4,FALSE)*$W11))*IF(Q11="",0,VLOOKUP(Q11,'⚪设计'!$B$85:$H$113,4,FALSE)),0))</f>
        <v>1125</v>
      </c>
      <c r="U11" s="97">
        <f>IF(Q11="","",ROUND(战斗节奏!$B$14/(IF($G11="",0,VLOOKUP($G11,'⚪设计'!$B$85:$H$113,5,FALSE)*$H11)+IF($L11="",0,VLOOKUP($L11,'⚪设计'!$B$85:$H$113,5,FALSE)*$M11)+IF($Q11="",0,VLOOKUP($Q11,'⚪设计'!$B$85:$H$113,5,FALSE)*$R11)+IF($V11="",0,VLOOKUP($V11,'⚪设计'!$B$85:$H$113,5,FALSE)*$W11))*IF(Q11="",0,VLOOKUP(Q11,'⚪设计'!$B$85:$H$113,5,FALSE)),0))</f>
        <v>5</v>
      </c>
      <c r="V11" s="97" t="str">
        <f>IF(VLOOKUP($A11,'⚪设计'!$A$382:$N$405,10,FALSE)="","",VLOOKUP($A11,'⚪设计'!$A$382:$N$405,10,FALSE))</f>
        <v>鸟1</v>
      </c>
      <c r="W11" s="97">
        <f t="shared" si="4"/>
        <v>20</v>
      </c>
      <c r="X11" s="97">
        <f>IF(VLOOKUP($A11,'⚪设计'!$A$382:$N$405,14,FALSE)="","",VLOOKUP($A11,'⚪设计'!$A$382:$N$405,14,FALSE))</f>
        <v>1</v>
      </c>
      <c r="Y11" s="97">
        <f>IF(V11="","",ROUND($D11*VLOOKUP($A11,'⚪设计'!$A$382:$N$405,4,FALSE)/(IF($G11="",0,VLOOKUP($G11,'⚪设计'!$B$85:$H$113,4,FALSE)*$H11)+IF($L11="",0,VLOOKUP($L11,'⚪设计'!$B$85:$H$113,4,FALSE)*$M11)+IF($Q11="",0,VLOOKUP($Q11,'⚪设计'!$B$85:$H$113,4,FALSE)*$R11)+IF($V11="",0,VLOOKUP($V11,'⚪设计'!$B$85:$H$113,4,FALSE)*$W11))*IF(V11="",0,VLOOKUP(V11,'⚪设计'!$B$85:$H$113,4,FALSE)),0))</f>
        <v>1125</v>
      </c>
      <c r="Z11" s="97">
        <f>IF(V11="","",ROUND(战斗节奏!$B$14/(IF($G11="",0,VLOOKUP($G11,'⚪设计'!$B$85:$H$113,5,FALSE)*$H11)+IF($L11="",0,VLOOKUP($L11,'⚪设计'!$B$85:$H$113,5,FALSE)*$M11)+IF($Q11="",0,VLOOKUP($Q11,'⚪设计'!$B$85:$H$113,5,FALSE)*$R11)+IF($V11="",0,VLOOKUP($V11,'⚪设计'!$B$85:$H$113,5,FALSE)*$W11))*IF(V11="",0,VLOOKUP(V11,'⚪设计'!$B$85:$H$113,5,FALSE)),0))</f>
        <v>5</v>
      </c>
    </row>
    <row r="12" spans="1:26" x14ac:dyDescent="0.2">
      <c r="A12" s="2" t="str">
        <f t="shared" si="0"/>
        <v>3_1</v>
      </c>
      <c r="B12" s="2">
        <v>3</v>
      </c>
      <c r="C12" s="2">
        <v>1</v>
      </c>
      <c r="D12" s="97">
        <f>VLOOKUP(C12,无限模式!$A$3:$B$22,2,FALSE)</f>
        <v>540</v>
      </c>
      <c r="E12" s="98">
        <v>1</v>
      </c>
      <c r="F12" s="97">
        <f>VLOOKUP(A12,'⚪设计'!$A$382:$N$405,6,FALSE)</f>
        <v>10</v>
      </c>
      <c r="G12" s="97" t="str">
        <f>IF(VLOOKUP($A12,'⚪设计'!$A$382:$N$405,7,FALSE)="","",VLOOKUP($A12,'⚪设计'!$A$382:$N$405,7,FALSE))</f>
        <v>种子1</v>
      </c>
      <c r="H12" s="97">
        <f t="shared" si="1"/>
        <v>5</v>
      </c>
      <c r="I12" s="97">
        <f>IF(VLOOKUP($A12,'⚪设计'!$A$382:$N$405,11,FALSE)="","",VLOOKUP($A12,'⚪设计'!$A$382:$N$405,11,FALSE))</f>
        <v>2</v>
      </c>
      <c r="J12" s="97">
        <f>IF(G12="","",ROUND($D12*VLOOKUP($A12,'⚪设计'!$A$382:$N$405,4,FALSE)/(IF($G12="",0,VLOOKUP($G12,'⚪设计'!$B$85:$H$113,4,FALSE)*$H12)+IF($L12="",0,VLOOKUP($L12,'⚪设计'!$B$85:$H$113,4,FALSE)*$M12)+IF($Q12="",0,VLOOKUP($Q12,'⚪设计'!$B$85:$H$113,4,FALSE)*$R12)+IF($V12="",0,VLOOKUP($V12,'⚪设计'!$B$85:$H$113,4,FALSE)*$W12))*IF(G12="",0,VLOOKUP(G12,'⚪设计'!$B$85:$H$113,4,FALSE)),0))</f>
        <v>278</v>
      </c>
      <c r="K12" s="97">
        <f>IF(G12="","",ROUND(战斗节奏!$B$14/(IF($G12="",0,VLOOKUP($G12,'⚪设计'!$B$85:$H$113,5,FALSE)*$H12)+IF($L12="",0,VLOOKUP($L12,'⚪设计'!$B$85:$H$113,5,FALSE)*$M12)+IF($Q12="",0,VLOOKUP($Q12,'⚪设计'!$B$85:$H$113,5,FALSE)*$R12)+IF($V12="",0,VLOOKUP($V12,'⚪设计'!$B$85:$H$113,5,FALSE)*$W12))*IF(G12="",0,VLOOKUP(G12,'⚪设计'!$B$85:$H$113,5,FALSE)),0))</f>
        <v>30</v>
      </c>
      <c r="L12" s="97" t="str">
        <f>IF(VLOOKUP($A12,'⚪设计'!$A$382:$N$405,8,FALSE)="","",VLOOKUP($A12,'⚪设计'!$A$382:$N$405,8,FALSE))</f>
        <v>鸟2</v>
      </c>
      <c r="M12" s="97">
        <f t="shared" si="2"/>
        <v>5</v>
      </c>
      <c r="N12" s="97">
        <f>IF(VLOOKUP($A12,'⚪设计'!$A$382:$N$405,12,FALSE)="","",VLOOKUP($A12,'⚪设计'!$A$382:$N$405,12,FALSE))</f>
        <v>2</v>
      </c>
      <c r="O12" s="97">
        <f>IF(L12="","",ROUND($D12*VLOOKUP($A12,'⚪设计'!$A$382:$N$405,4,FALSE)/(IF($G12="",0,VLOOKUP($G12,'⚪设计'!$B$85:$H$113,4,FALSE)*$H12)+IF($L12="",0,VLOOKUP($L12,'⚪设计'!$B$85:$H$113,4,FALSE)*$M12)+IF($Q12="",0,VLOOKUP($Q12,'⚪设计'!$B$85:$H$113,4,FALSE)*$R12)+IF($V12="",0,VLOOKUP($V12,'⚪设计'!$B$85:$H$113,4,FALSE)*$W12))*IF(L12="",0,VLOOKUP(L12,'⚪设计'!$B$85:$H$113,4,FALSE)),0))</f>
        <v>370</v>
      </c>
      <c r="P12" s="97">
        <f>IF(L12="","",ROUND(战斗节奏!$B$14/(IF($G12="",0,VLOOKUP($G12,'⚪设计'!$B$85:$H$113,5,FALSE)*$H12)+IF($L12="",0,VLOOKUP($L12,'⚪设计'!$B$85:$H$113,5,FALSE)*$M12)+IF($Q12="",0,VLOOKUP($Q12,'⚪设计'!$B$85:$H$113,5,FALSE)*$R12)+IF($V12="",0,VLOOKUP($V12,'⚪设计'!$B$85:$H$113,5,FALSE)*$W12))*IF(L12="",0,VLOOKUP(L12,'⚪设计'!$B$85:$H$113,5,FALSE)),0))</f>
        <v>30</v>
      </c>
      <c r="Q12" s="97" t="str">
        <f>IF(VLOOKUP($A12,'⚪设计'!$A$382:$N$405,9,FALSE)="","",VLOOKUP($A12,'⚪设计'!$A$382:$N$405,9,FALSE))</f>
        <v/>
      </c>
      <c r="R12" s="97" t="str">
        <f t="shared" si="3"/>
        <v/>
      </c>
      <c r="S12" s="97" t="str">
        <f>IF(VLOOKUP($A12,'⚪设计'!$A$382:$N$405,13,FALSE)="","",VLOOKUP($A12,'⚪设计'!$A$382:$N$405,13,FALSE))</f>
        <v/>
      </c>
      <c r="T12" s="97" t="str">
        <f>IF(Q12="","",ROUND($D12*VLOOKUP($A12,'⚪设计'!$A$382:$N$405,4,FALSE)/(IF($G12="",0,VLOOKUP($G12,'⚪设计'!$B$85:$H$113,4,FALSE)*$H12)+IF($L12="",0,VLOOKUP($L12,'⚪设计'!$B$85:$H$113,4,FALSE)*$M12)+IF($Q12="",0,VLOOKUP($Q12,'⚪设计'!$B$85:$H$113,4,FALSE)*$R12)+IF($V12="",0,VLOOKUP($V12,'⚪设计'!$B$85:$H$113,4,FALSE)*$W12))*IF(Q12="",0,VLOOKUP(Q12,'⚪设计'!$B$85:$H$113,4,FALSE)),0))</f>
        <v/>
      </c>
      <c r="U12" s="97" t="str">
        <f>IF(Q12="","",ROUND(战斗节奏!$B$14/(IF($G12="",0,VLOOKUP($G12,'⚪设计'!$B$85:$H$113,5,FALSE)*$H12)+IF($L12="",0,VLOOKUP($L12,'⚪设计'!$B$85:$H$113,5,FALSE)*$M12)+IF($Q12="",0,VLOOKUP($Q12,'⚪设计'!$B$85:$H$113,5,FALSE)*$R12)+IF($V12="",0,VLOOKUP($V12,'⚪设计'!$B$85:$H$113,5,FALSE)*$W12))*IF(Q12="",0,VLOOKUP(Q12,'⚪设计'!$B$85:$H$113,5,FALSE)),0))</f>
        <v/>
      </c>
      <c r="V12" s="97" t="str">
        <f>IF(VLOOKUP($A12,'⚪设计'!$A$382:$N$405,10,FALSE)="","",VLOOKUP($A12,'⚪设计'!$A$382:$N$405,10,FALSE))</f>
        <v/>
      </c>
      <c r="W12" s="97" t="str">
        <f t="shared" si="4"/>
        <v/>
      </c>
      <c r="X12" s="97" t="str">
        <f>IF(VLOOKUP($A12,'⚪设计'!$A$382:$N$405,14,FALSE)="","",VLOOKUP($A12,'⚪设计'!$A$382:$N$405,14,FALSE))</f>
        <v/>
      </c>
      <c r="Y12" s="97" t="str">
        <f>IF(V12="","",ROUND($D12*VLOOKUP($A12,'⚪设计'!$A$382:$N$405,4,FALSE)/(IF($G12="",0,VLOOKUP($G12,'⚪设计'!$B$85:$H$113,4,FALSE)*$H12)+IF($L12="",0,VLOOKUP($L12,'⚪设计'!$B$85:$H$113,4,FALSE)*$M12)+IF($Q12="",0,VLOOKUP($Q12,'⚪设计'!$B$85:$H$113,4,FALSE)*$R12)+IF($V12="",0,VLOOKUP($V12,'⚪设计'!$B$85:$H$113,4,FALSE)*$W12))*IF(V12="",0,VLOOKUP(V12,'⚪设计'!$B$85:$H$113,4,FALSE)),0))</f>
        <v/>
      </c>
      <c r="Z12" s="97" t="str">
        <f>IF(V12="","",ROUND(战斗节奏!$B$14/(IF($G12="",0,VLOOKUP($G12,'⚪设计'!$B$85:$H$113,5,FALSE)*$H12)+IF($L12="",0,VLOOKUP($L12,'⚪设计'!$B$85:$H$113,5,FALSE)*$M12)+IF($Q12="",0,VLOOKUP($Q12,'⚪设计'!$B$85:$H$113,5,FALSE)*$R12)+IF($V12="",0,VLOOKUP($V12,'⚪设计'!$B$85:$H$113,5,FALSE)*$W12))*IF(V12="",0,VLOOKUP(V12,'⚪设计'!$B$85:$H$113,5,FALSE)),0))</f>
        <v/>
      </c>
    </row>
    <row r="13" spans="1:26" x14ac:dyDescent="0.2">
      <c r="A13" s="2" t="str">
        <f t="shared" si="0"/>
        <v>3_2</v>
      </c>
      <c r="B13" s="2">
        <v>3</v>
      </c>
      <c r="C13" s="2">
        <v>2</v>
      </c>
      <c r="D13" s="97">
        <f>VLOOKUP(C13,无限模式!$A$3:$B$22,2,FALSE)</f>
        <v>1080</v>
      </c>
      <c r="E13" s="98">
        <v>1</v>
      </c>
      <c r="F13" s="97">
        <f>VLOOKUP(A13,'⚪设计'!$A$382:$N$405,6,FALSE)</f>
        <v>12.5</v>
      </c>
      <c r="G13" s="97" t="str">
        <f>IF(VLOOKUP($A13,'⚪设计'!$A$382:$N$405,7,FALSE)="","",VLOOKUP($A13,'⚪设计'!$A$382:$N$405,7,FALSE))</f>
        <v>种子1</v>
      </c>
      <c r="H13" s="97">
        <f t="shared" si="1"/>
        <v>6</v>
      </c>
      <c r="I13" s="97">
        <f>IF(VLOOKUP($A13,'⚪设计'!$A$382:$N$405,11,FALSE)="","",VLOOKUP($A13,'⚪设计'!$A$382:$N$405,11,FALSE))</f>
        <v>2</v>
      </c>
      <c r="J13" s="97">
        <f>IF(G13="","",ROUND($D13*VLOOKUP($A13,'⚪设计'!$A$382:$N$405,4,FALSE)/(IF($G13="",0,VLOOKUP($G13,'⚪设计'!$B$85:$H$113,4,FALSE)*$H13)+IF($L13="",0,VLOOKUP($L13,'⚪设计'!$B$85:$H$113,4,FALSE)*$M13)+IF($Q13="",0,VLOOKUP($Q13,'⚪设计'!$B$85:$H$113,4,FALSE)*$R13)+IF($V13="",0,VLOOKUP($V13,'⚪设计'!$B$85:$H$113,4,FALSE)*$W13))*IF(G13="",0,VLOOKUP(G13,'⚪设计'!$B$85:$H$113,4,FALSE)),0))</f>
        <v>450</v>
      </c>
      <c r="K13" s="97">
        <f>IF(G13="","",ROUND(战斗节奏!$B$14/(IF($G13="",0,VLOOKUP($G13,'⚪设计'!$B$85:$H$113,5,FALSE)*$H13)+IF($L13="",0,VLOOKUP($L13,'⚪设计'!$B$85:$H$113,5,FALSE)*$M13)+IF($Q13="",0,VLOOKUP($Q13,'⚪设计'!$B$85:$H$113,5,FALSE)*$R13)+IF($V13="",0,VLOOKUP($V13,'⚪设计'!$B$85:$H$113,5,FALSE)*$W13))*IF(G13="",0,VLOOKUP(G13,'⚪设计'!$B$85:$H$113,5,FALSE)),0))</f>
        <v>17</v>
      </c>
      <c r="L13" s="97" t="str">
        <f>IF(VLOOKUP($A13,'⚪设计'!$A$382:$N$405,8,FALSE)="","",VLOOKUP($A13,'⚪设计'!$A$382:$N$405,8,FALSE))</f>
        <v>蜜蜂2</v>
      </c>
      <c r="M13" s="97">
        <f t="shared" si="2"/>
        <v>6</v>
      </c>
      <c r="N13" s="97">
        <f>IF(VLOOKUP($A13,'⚪设计'!$A$382:$N$405,12,FALSE)="","",VLOOKUP($A13,'⚪设计'!$A$382:$N$405,12,FALSE))</f>
        <v>2</v>
      </c>
      <c r="O13" s="97">
        <f>IF(L13="","",ROUND($D13*VLOOKUP($A13,'⚪设计'!$A$382:$N$405,4,FALSE)/(IF($G13="",0,VLOOKUP($G13,'⚪设计'!$B$85:$H$113,4,FALSE)*$H13)+IF($L13="",0,VLOOKUP($L13,'⚪设计'!$B$85:$H$113,4,FALSE)*$M13)+IF($Q13="",0,VLOOKUP($Q13,'⚪设计'!$B$85:$H$113,4,FALSE)*$R13)+IF($V13="",0,VLOOKUP($V13,'⚪设计'!$B$85:$H$113,4,FALSE)*$W13))*IF(L13="",0,VLOOKUP(L13,'⚪设计'!$B$85:$H$113,4,FALSE)),0))</f>
        <v>300</v>
      </c>
      <c r="P13" s="97">
        <f>IF(L13="","",ROUND(战斗节奏!$B$14/(IF($G13="",0,VLOOKUP($G13,'⚪设计'!$B$85:$H$113,5,FALSE)*$H13)+IF($L13="",0,VLOOKUP($L13,'⚪设计'!$B$85:$H$113,5,FALSE)*$M13)+IF($Q13="",0,VLOOKUP($Q13,'⚪设计'!$B$85:$H$113,5,FALSE)*$R13)+IF($V13="",0,VLOOKUP($V13,'⚪设计'!$B$85:$H$113,5,FALSE)*$W13))*IF(L13="",0,VLOOKUP(L13,'⚪设计'!$B$85:$H$113,5,FALSE)),0))</f>
        <v>17</v>
      </c>
      <c r="Q13" s="97" t="str">
        <f>IF(VLOOKUP($A13,'⚪设计'!$A$382:$N$405,9,FALSE)="","",VLOOKUP($A13,'⚪设计'!$A$382:$N$405,9,FALSE))</f>
        <v>鸟2</v>
      </c>
      <c r="R13" s="97">
        <f t="shared" si="3"/>
        <v>6</v>
      </c>
      <c r="S13" s="97">
        <f>IF(VLOOKUP($A13,'⚪设计'!$A$382:$N$405,13,FALSE)="","",VLOOKUP($A13,'⚪设计'!$A$382:$N$405,13,FALSE))</f>
        <v>2</v>
      </c>
      <c r="T13" s="97">
        <f>IF(Q13="","",ROUND($D13*VLOOKUP($A13,'⚪设计'!$A$382:$N$405,4,FALSE)/(IF($G13="",0,VLOOKUP($G13,'⚪设计'!$B$85:$H$113,4,FALSE)*$H13)+IF($L13="",0,VLOOKUP($L13,'⚪设计'!$B$85:$H$113,4,FALSE)*$M13)+IF($Q13="",0,VLOOKUP($Q13,'⚪设计'!$B$85:$H$113,4,FALSE)*$R13)+IF($V13="",0,VLOOKUP($V13,'⚪设计'!$B$85:$H$113,4,FALSE)*$W13))*IF(Q13="",0,VLOOKUP(Q13,'⚪设计'!$B$85:$H$113,4,FALSE)),0))</f>
        <v>600</v>
      </c>
      <c r="U13" s="97">
        <f>IF(Q13="","",ROUND(战斗节奏!$B$14/(IF($G13="",0,VLOOKUP($G13,'⚪设计'!$B$85:$H$113,5,FALSE)*$H13)+IF($L13="",0,VLOOKUP($L13,'⚪设计'!$B$85:$H$113,5,FALSE)*$M13)+IF($Q13="",0,VLOOKUP($Q13,'⚪设计'!$B$85:$H$113,5,FALSE)*$R13)+IF($V13="",0,VLOOKUP($V13,'⚪设计'!$B$85:$H$113,5,FALSE)*$W13))*IF(Q13="",0,VLOOKUP(Q13,'⚪设计'!$B$85:$H$113,5,FALSE)),0))</f>
        <v>17</v>
      </c>
      <c r="V13" s="97" t="str">
        <f>IF(VLOOKUP($A13,'⚪设计'!$A$382:$N$405,10,FALSE)="","",VLOOKUP($A13,'⚪设计'!$A$382:$N$405,10,FALSE))</f>
        <v/>
      </c>
      <c r="W13" s="97" t="str">
        <f t="shared" si="4"/>
        <v/>
      </c>
      <c r="X13" s="97" t="str">
        <f>IF(VLOOKUP($A13,'⚪设计'!$A$382:$N$405,14,FALSE)="","",VLOOKUP($A13,'⚪设计'!$A$382:$N$405,14,FALSE))</f>
        <v/>
      </c>
      <c r="Y13" s="97" t="str">
        <f>IF(V13="","",ROUND($D13*VLOOKUP($A13,'⚪设计'!$A$382:$N$405,4,FALSE)/(IF($G13="",0,VLOOKUP($G13,'⚪设计'!$B$85:$H$113,4,FALSE)*$H13)+IF($L13="",0,VLOOKUP($L13,'⚪设计'!$B$85:$H$113,4,FALSE)*$M13)+IF($Q13="",0,VLOOKUP($Q13,'⚪设计'!$B$85:$H$113,4,FALSE)*$R13)+IF($V13="",0,VLOOKUP($V13,'⚪设计'!$B$85:$H$113,4,FALSE)*$W13))*IF(V13="",0,VLOOKUP(V13,'⚪设计'!$B$85:$H$113,4,FALSE)),0))</f>
        <v/>
      </c>
      <c r="Z13" s="97" t="str">
        <f>IF(V13="","",ROUND(战斗节奏!$B$14/(IF($G13="",0,VLOOKUP($G13,'⚪设计'!$B$85:$H$113,5,FALSE)*$H13)+IF($L13="",0,VLOOKUP($L13,'⚪设计'!$B$85:$H$113,5,FALSE)*$M13)+IF($Q13="",0,VLOOKUP($Q13,'⚪设计'!$B$85:$H$113,5,FALSE)*$R13)+IF($V13="",0,VLOOKUP($V13,'⚪设计'!$B$85:$H$113,5,FALSE)*$W13))*IF(V13="",0,VLOOKUP(V13,'⚪设计'!$B$85:$H$113,5,FALSE)),0))</f>
        <v/>
      </c>
    </row>
    <row r="14" spans="1:26" x14ac:dyDescent="0.2">
      <c r="A14" s="2" t="str">
        <f t="shared" si="0"/>
        <v>3_3</v>
      </c>
      <c r="B14" s="2">
        <v>3</v>
      </c>
      <c r="C14" s="2">
        <v>3</v>
      </c>
      <c r="D14" s="97">
        <f>VLOOKUP(C14,无限模式!$A$3:$B$22,2,FALSE)</f>
        <v>1620</v>
      </c>
      <c r="E14" s="98">
        <v>1</v>
      </c>
      <c r="F14" s="97">
        <f>VLOOKUP(A14,'⚪设计'!$A$382:$N$405,6,FALSE)</f>
        <v>15</v>
      </c>
      <c r="G14" s="97" t="str">
        <f>IF(VLOOKUP($A14,'⚪设计'!$A$382:$N$405,7,FALSE)="","",VLOOKUP($A14,'⚪设计'!$A$382:$N$405,7,FALSE))</f>
        <v>种子1</v>
      </c>
      <c r="H14" s="97">
        <f t="shared" si="1"/>
        <v>8</v>
      </c>
      <c r="I14" s="97">
        <f>IF(VLOOKUP($A14,'⚪设计'!$A$382:$N$405,11,FALSE)="","",VLOOKUP($A14,'⚪设计'!$A$382:$N$405,11,FALSE))</f>
        <v>2</v>
      </c>
      <c r="J14" s="97">
        <f>IF(G14="","",ROUND($D14*VLOOKUP($A14,'⚪设计'!$A$382:$N$405,4,FALSE)/(IF($G14="",0,VLOOKUP($G14,'⚪设计'!$B$85:$H$113,4,FALSE)*$H14)+IF($L14="",0,VLOOKUP($L14,'⚪设计'!$B$85:$H$113,4,FALSE)*$M14)+IF($Q14="",0,VLOOKUP($Q14,'⚪设计'!$B$85:$H$113,4,FALSE)*$R14)+IF($V14="",0,VLOOKUP($V14,'⚪设计'!$B$85:$H$113,4,FALSE)*$W14))*IF(G14="",0,VLOOKUP(G14,'⚪设计'!$B$85:$H$113,4,FALSE)),0))</f>
        <v>689</v>
      </c>
      <c r="K14" s="97">
        <f>IF(G14="","",ROUND(战斗节奏!$B$14/(IF($G14="",0,VLOOKUP($G14,'⚪设计'!$B$85:$H$113,5,FALSE)*$H14)+IF($L14="",0,VLOOKUP($L14,'⚪设计'!$B$85:$H$113,5,FALSE)*$M14)+IF($Q14="",0,VLOOKUP($Q14,'⚪设计'!$B$85:$H$113,5,FALSE)*$R14)+IF($V14="",0,VLOOKUP($V14,'⚪设计'!$B$85:$H$113,5,FALSE)*$W14))*IF(G14="",0,VLOOKUP(G14,'⚪设计'!$B$85:$H$113,5,FALSE)),0))</f>
        <v>15</v>
      </c>
      <c r="L14" s="97" t="str">
        <f>IF(VLOOKUP($A14,'⚪设计'!$A$382:$N$405,8,FALSE)="","",VLOOKUP($A14,'⚪设计'!$A$382:$N$405,8,FALSE))</f>
        <v>蝙蝠1</v>
      </c>
      <c r="M14" s="97">
        <f t="shared" si="2"/>
        <v>15</v>
      </c>
      <c r="N14" s="97">
        <f>IF(VLOOKUP($A14,'⚪设计'!$A$382:$N$405,12,FALSE)="","",VLOOKUP($A14,'⚪设计'!$A$382:$N$405,12,FALSE))</f>
        <v>1</v>
      </c>
      <c r="O14" s="97">
        <f>IF(L14="","",ROUND($D14*VLOOKUP($A14,'⚪设计'!$A$382:$N$405,4,FALSE)/(IF($G14="",0,VLOOKUP($G14,'⚪设计'!$B$85:$H$113,4,FALSE)*$H14)+IF($L14="",0,VLOOKUP($L14,'⚪设计'!$B$85:$H$113,4,FALSE)*$M14)+IF($Q14="",0,VLOOKUP($Q14,'⚪设计'!$B$85:$H$113,4,FALSE)*$R14)+IF($V14="",0,VLOOKUP($V14,'⚪设计'!$B$85:$H$113,4,FALSE)*$W14))*IF(L14="",0,VLOOKUP(L14,'⚪设计'!$B$85:$H$113,4,FALSE)),0))</f>
        <v>115</v>
      </c>
      <c r="P14" s="97">
        <f>IF(L14="","",ROUND(战斗节奏!$B$14/(IF($G14="",0,VLOOKUP($G14,'⚪设计'!$B$85:$H$113,5,FALSE)*$H14)+IF($L14="",0,VLOOKUP($L14,'⚪设计'!$B$85:$H$113,5,FALSE)*$M14)+IF($Q14="",0,VLOOKUP($Q14,'⚪设计'!$B$85:$H$113,5,FALSE)*$R14)+IF($V14="",0,VLOOKUP($V14,'⚪设计'!$B$85:$H$113,5,FALSE)*$W14))*IF(L14="",0,VLOOKUP(L14,'⚪设计'!$B$85:$H$113,5,FALSE)),0))</f>
        <v>4</v>
      </c>
      <c r="Q14" s="97" t="str">
        <f>IF(VLOOKUP($A14,'⚪设计'!$A$382:$N$405,9,FALSE)="","",VLOOKUP($A14,'⚪设计'!$A$382:$N$405,9,FALSE))</f>
        <v>鸟2</v>
      </c>
      <c r="R14" s="97">
        <f t="shared" si="3"/>
        <v>8</v>
      </c>
      <c r="S14" s="97">
        <f>IF(VLOOKUP($A14,'⚪设计'!$A$382:$N$405,13,FALSE)="","",VLOOKUP($A14,'⚪设计'!$A$382:$N$405,13,FALSE))</f>
        <v>2</v>
      </c>
      <c r="T14" s="97">
        <f>IF(Q14="","",ROUND($D14*VLOOKUP($A14,'⚪设计'!$A$382:$N$405,4,FALSE)/(IF($G14="",0,VLOOKUP($G14,'⚪设计'!$B$85:$H$113,4,FALSE)*$H14)+IF($L14="",0,VLOOKUP($L14,'⚪设计'!$B$85:$H$113,4,FALSE)*$M14)+IF($Q14="",0,VLOOKUP($Q14,'⚪设计'!$B$85:$H$113,4,FALSE)*$R14)+IF($V14="",0,VLOOKUP($V14,'⚪设计'!$B$85:$H$113,4,FALSE)*$W14))*IF(Q14="",0,VLOOKUP(Q14,'⚪设计'!$B$85:$H$113,4,FALSE)),0))</f>
        <v>918</v>
      </c>
      <c r="U14" s="97">
        <f>IF(Q14="","",ROUND(战斗节奏!$B$14/(IF($G14="",0,VLOOKUP($G14,'⚪设计'!$B$85:$H$113,5,FALSE)*$H14)+IF($L14="",0,VLOOKUP($L14,'⚪设计'!$B$85:$H$113,5,FALSE)*$M14)+IF($Q14="",0,VLOOKUP($Q14,'⚪设计'!$B$85:$H$113,5,FALSE)*$R14)+IF($V14="",0,VLOOKUP($V14,'⚪设计'!$B$85:$H$113,5,FALSE)*$W14))*IF(Q14="",0,VLOOKUP(Q14,'⚪设计'!$B$85:$H$113,5,FALSE)),0))</f>
        <v>15</v>
      </c>
      <c r="V14" s="97" t="str">
        <f>IF(VLOOKUP($A14,'⚪设计'!$A$382:$N$405,10,FALSE)="","",VLOOKUP($A14,'⚪设计'!$A$382:$N$405,10,FALSE))</f>
        <v/>
      </c>
      <c r="W14" s="97" t="str">
        <f t="shared" si="4"/>
        <v/>
      </c>
      <c r="X14" s="97" t="str">
        <f>IF(VLOOKUP($A14,'⚪设计'!$A$382:$N$405,14,FALSE)="","",VLOOKUP($A14,'⚪设计'!$A$382:$N$405,14,FALSE))</f>
        <v/>
      </c>
      <c r="Y14" s="97" t="str">
        <f>IF(V14="","",ROUND($D14*VLOOKUP($A14,'⚪设计'!$A$382:$N$405,4,FALSE)/(IF($G14="",0,VLOOKUP($G14,'⚪设计'!$B$85:$H$113,4,FALSE)*$H14)+IF($L14="",0,VLOOKUP($L14,'⚪设计'!$B$85:$H$113,4,FALSE)*$M14)+IF($Q14="",0,VLOOKUP($Q14,'⚪设计'!$B$85:$H$113,4,FALSE)*$R14)+IF($V14="",0,VLOOKUP($V14,'⚪设计'!$B$85:$H$113,4,FALSE)*$W14))*IF(V14="",0,VLOOKUP(V14,'⚪设计'!$B$85:$H$113,4,FALSE)),0))</f>
        <v/>
      </c>
      <c r="Z14" s="97" t="str">
        <f>IF(V14="","",ROUND(战斗节奏!$B$14/(IF($G14="",0,VLOOKUP($G14,'⚪设计'!$B$85:$H$113,5,FALSE)*$H14)+IF($L14="",0,VLOOKUP($L14,'⚪设计'!$B$85:$H$113,5,FALSE)*$M14)+IF($Q14="",0,VLOOKUP($Q14,'⚪设计'!$B$85:$H$113,5,FALSE)*$R14)+IF($V14="",0,VLOOKUP($V14,'⚪设计'!$B$85:$H$113,5,FALSE)*$W14))*IF(V14="",0,VLOOKUP(V14,'⚪设计'!$B$85:$H$113,5,FALSE)),0))</f>
        <v/>
      </c>
    </row>
    <row r="15" spans="1:26" x14ac:dyDescent="0.2">
      <c r="A15" s="2" t="str">
        <f t="shared" si="0"/>
        <v>4_1</v>
      </c>
      <c r="B15" s="2">
        <v>4</v>
      </c>
      <c r="C15" s="2">
        <v>1</v>
      </c>
      <c r="D15" s="97">
        <f>VLOOKUP(C15,无限模式!$A$3:$B$22,2,FALSE)</f>
        <v>540</v>
      </c>
      <c r="E15" s="98">
        <v>1</v>
      </c>
      <c r="F15" s="97">
        <f>VLOOKUP(A15,'⚪设计'!$A$382:$N$405,6,FALSE)</f>
        <v>10</v>
      </c>
      <c r="G15" s="97" t="str">
        <f>IF(VLOOKUP($A15,'⚪设计'!$A$382:$N$405,7,FALSE)="","",VLOOKUP($A15,'⚪设计'!$A$382:$N$405,7,FALSE))</f>
        <v>鬼1</v>
      </c>
      <c r="H15" s="97">
        <f t="shared" si="1"/>
        <v>7</v>
      </c>
      <c r="I15" s="97">
        <f>IF(VLOOKUP($A15,'⚪设计'!$A$382:$N$405,11,FALSE)="","",VLOOKUP($A15,'⚪设计'!$A$382:$N$405,11,FALSE))</f>
        <v>1.5</v>
      </c>
      <c r="J15" s="97">
        <f>IF(G15="","",ROUND($D15*VLOOKUP($A15,'⚪设计'!$A$382:$N$405,4,FALSE)/(IF($G15="",0,VLOOKUP($G15,'⚪设计'!$B$85:$H$113,4,FALSE)*$H15)+IF($L15="",0,VLOOKUP($L15,'⚪设计'!$B$85:$H$113,4,FALSE)*$M15)+IF($Q15="",0,VLOOKUP($Q15,'⚪设计'!$B$85:$H$113,4,FALSE)*$R15)+IF($V15="",0,VLOOKUP($V15,'⚪设计'!$B$85:$H$113,4,FALSE)*$W15))*IF(G15="",0,VLOOKUP(G15,'⚪设计'!$B$85:$H$113,4,FALSE)),0))</f>
        <v>150</v>
      </c>
      <c r="K15" s="97">
        <f>IF(G15="","",ROUND(战斗节奏!$B$14/(IF($G15="",0,VLOOKUP($G15,'⚪设计'!$B$85:$H$113,5,FALSE)*$H15)+IF($L15="",0,VLOOKUP($L15,'⚪设计'!$B$85:$H$113,5,FALSE)*$M15)+IF($Q15="",0,VLOOKUP($Q15,'⚪设计'!$B$85:$H$113,5,FALSE)*$R15)+IF($V15="",0,VLOOKUP($V15,'⚪设计'!$B$85:$H$113,5,FALSE)*$W15))*IF(G15="",0,VLOOKUP(G15,'⚪设计'!$B$85:$H$113,5,FALSE)),0))</f>
        <v>18</v>
      </c>
      <c r="L15" s="97" t="str">
        <f>IF(VLOOKUP($A15,'⚪设计'!$A$382:$N$405,8,FALSE)="","",VLOOKUP($A15,'⚪设计'!$A$382:$N$405,8,FALSE))</f>
        <v>鸟2</v>
      </c>
      <c r="M15" s="97">
        <f t="shared" si="2"/>
        <v>5</v>
      </c>
      <c r="N15" s="97">
        <f>IF(VLOOKUP($A15,'⚪设计'!$A$382:$N$405,12,FALSE)="","",VLOOKUP($A15,'⚪设计'!$A$382:$N$405,12,FALSE))</f>
        <v>2</v>
      </c>
      <c r="O15" s="97">
        <f>IF(L15="","",ROUND($D15*VLOOKUP($A15,'⚪设计'!$A$382:$N$405,4,FALSE)/(IF($G15="",0,VLOOKUP($G15,'⚪设计'!$B$85:$H$113,4,FALSE)*$H15)+IF($L15="",0,VLOOKUP($L15,'⚪设计'!$B$85:$H$113,4,FALSE)*$M15)+IF($Q15="",0,VLOOKUP($Q15,'⚪设计'!$B$85:$H$113,4,FALSE)*$R15)+IF($V15="",0,VLOOKUP($V15,'⚪设计'!$B$85:$H$113,4,FALSE)*$W15))*IF(L15="",0,VLOOKUP(L15,'⚪设计'!$B$85:$H$113,4,FALSE)),0))</f>
        <v>600</v>
      </c>
      <c r="P15" s="97">
        <f>IF(L15="","",ROUND(战斗节奏!$B$14/(IF($G15="",0,VLOOKUP($G15,'⚪设计'!$B$85:$H$113,5,FALSE)*$H15)+IF($L15="",0,VLOOKUP($L15,'⚪设计'!$B$85:$H$113,5,FALSE)*$M15)+IF($Q15="",0,VLOOKUP($Q15,'⚪设计'!$B$85:$H$113,5,FALSE)*$R15)+IF($V15="",0,VLOOKUP($V15,'⚪设计'!$B$85:$H$113,5,FALSE)*$W15))*IF(L15="",0,VLOOKUP(L15,'⚪设计'!$B$85:$H$113,5,FALSE)),0))</f>
        <v>35</v>
      </c>
      <c r="Q15" s="97" t="str">
        <f>IF(VLOOKUP($A15,'⚪设计'!$A$382:$N$405,9,FALSE)="","",VLOOKUP($A15,'⚪设计'!$A$382:$N$405,9,FALSE))</f>
        <v/>
      </c>
      <c r="R15" s="97" t="str">
        <f t="shared" si="3"/>
        <v/>
      </c>
      <c r="S15" s="97" t="str">
        <f>IF(VLOOKUP($A15,'⚪设计'!$A$382:$N$405,13,FALSE)="","",VLOOKUP($A15,'⚪设计'!$A$382:$N$405,13,FALSE))</f>
        <v/>
      </c>
      <c r="T15" s="97" t="str">
        <f>IF(Q15="","",ROUND($D15*VLOOKUP($A15,'⚪设计'!$A$382:$N$405,4,FALSE)/(IF($G15="",0,VLOOKUP($G15,'⚪设计'!$B$85:$H$113,4,FALSE)*$H15)+IF($L15="",0,VLOOKUP($L15,'⚪设计'!$B$85:$H$113,4,FALSE)*$M15)+IF($Q15="",0,VLOOKUP($Q15,'⚪设计'!$B$85:$H$113,4,FALSE)*$R15)+IF($V15="",0,VLOOKUP($V15,'⚪设计'!$B$85:$H$113,4,FALSE)*$W15))*IF(Q15="",0,VLOOKUP(Q15,'⚪设计'!$B$85:$H$113,4,FALSE)),0))</f>
        <v/>
      </c>
      <c r="U15" s="97" t="str">
        <f>IF(Q15="","",ROUND(战斗节奏!$B$14/(IF($G15="",0,VLOOKUP($G15,'⚪设计'!$B$85:$H$113,5,FALSE)*$H15)+IF($L15="",0,VLOOKUP($L15,'⚪设计'!$B$85:$H$113,5,FALSE)*$M15)+IF($Q15="",0,VLOOKUP($Q15,'⚪设计'!$B$85:$H$113,5,FALSE)*$R15)+IF($V15="",0,VLOOKUP($V15,'⚪设计'!$B$85:$H$113,5,FALSE)*$W15))*IF(Q15="",0,VLOOKUP(Q15,'⚪设计'!$B$85:$H$113,5,FALSE)),0))</f>
        <v/>
      </c>
      <c r="V15" s="97" t="str">
        <f>IF(VLOOKUP($A15,'⚪设计'!$A$382:$N$405,10,FALSE)="","",VLOOKUP($A15,'⚪设计'!$A$382:$N$405,10,FALSE))</f>
        <v/>
      </c>
      <c r="W15" s="97" t="str">
        <f t="shared" si="4"/>
        <v/>
      </c>
      <c r="X15" s="97" t="str">
        <f>IF(VLOOKUP($A15,'⚪设计'!$A$382:$N$405,14,FALSE)="","",VLOOKUP($A15,'⚪设计'!$A$382:$N$405,14,FALSE))</f>
        <v/>
      </c>
      <c r="Y15" s="97" t="str">
        <f>IF(V15="","",ROUND($D15*VLOOKUP($A15,'⚪设计'!$A$382:$N$405,4,FALSE)/(IF($G15="",0,VLOOKUP($G15,'⚪设计'!$B$85:$H$113,4,FALSE)*$H15)+IF($L15="",0,VLOOKUP($L15,'⚪设计'!$B$85:$H$113,4,FALSE)*$M15)+IF($Q15="",0,VLOOKUP($Q15,'⚪设计'!$B$85:$H$113,4,FALSE)*$R15)+IF($V15="",0,VLOOKUP($V15,'⚪设计'!$B$85:$H$113,4,FALSE)*$W15))*IF(V15="",0,VLOOKUP(V15,'⚪设计'!$B$85:$H$113,4,FALSE)),0))</f>
        <v/>
      </c>
      <c r="Z15" s="97" t="str">
        <f>IF(V15="","",ROUND(战斗节奏!$B$14/(IF($G15="",0,VLOOKUP($G15,'⚪设计'!$B$85:$H$113,5,FALSE)*$H15)+IF($L15="",0,VLOOKUP($L15,'⚪设计'!$B$85:$H$113,5,FALSE)*$M15)+IF($Q15="",0,VLOOKUP($Q15,'⚪设计'!$B$85:$H$113,5,FALSE)*$R15)+IF($V15="",0,VLOOKUP($V15,'⚪设计'!$B$85:$H$113,5,FALSE)*$W15))*IF(V15="",0,VLOOKUP(V15,'⚪设计'!$B$85:$H$113,5,FALSE)),0))</f>
        <v/>
      </c>
    </row>
    <row r="16" spans="1:26" x14ac:dyDescent="0.2">
      <c r="A16" s="2" t="str">
        <f t="shared" si="0"/>
        <v>4_2</v>
      </c>
      <c r="B16" s="2">
        <v>4</v>
      </c>
      <c r="C16" s="2">
        <v>2</v>
      </c>
      <c r="D16" s="97">
        <f>VLOOKUP(C16,无限模式!$A$3:$B$22,2,FALSE)</f>
        <v>1080</v>
      </c>
      <c r="E16" s="98">
        <v>1</v>
      </c>
      <c r="F16" s="97">
        <f>VLOOKUP(A16,'⚪设计'!$A$382:$N$405,6,FALSE)</f>
        <v>12.5</v>
      </c>
      <c r="G16" s="97" t="str">
        <f>IF(VLOOKUP($A16,'⚪设计'!$A$382:$N$405,7,FALSE)="","",VLOOKUP($A16,'⚪设计'!$A$382:$N$405,7,FALSE))</f>
        <v>鬼1</v>
      </c>
      <c r="H16" s="97">
        <f t="shared" si="1"/>
        <v>8</v>
      </c>
      <c r="I16" s="97">
        <f>IF(VLOOKUP($A16,'⚪设计'!$A$382:$N$405,11,FALSE)="","",VLOOKUP($A16,'⚪设计'!$A$382:$N$405,11,FALSE))</f>
        <v>1.5</v>
      </c>
      <c r="J16" s="97">
        <f>IF(G16="","",ROUND($D16*VLOOKUP($A16,'⚪设计'!$A$382:$N$405,4,FALSE)/(IF($G16="",0,VLOOKUP($G16,'⚪设计'!$B$85:$H$113,4,FALSE)*$H16)+IF($L16="",0,VLOOKUP($L16,'⚪设计'!$B$85:$H$113,4,FALSE)*$M16)+IF($Q16="",0,VLOOKUP($Q16,'⚪设计'!$B$85:$H$113,4,FALSE)*$R16)+IF($V16="",0,VLOOKUP($V16,'⚪设计'!$B$85:$H$113,4,FALSE)*$W16))*IF(G16="",0,VLOOKUP(G16,'⚪设计'!$B$85:$H$113,4,FALSE)),0))</f>
        <v>224</v>
      </c>
      <c r="K16" s="97">
        <f>IF(G16="","",ROUND(战斗节奏!$B$14/(IF($G16="",0,VLOOKUP($G16,'⚪设计'!$B$85:$H$113,5,FALSE)*$H16)+IF($L16="",0,VLOOKUP($L16,'⚪设计'!$B$85:$H$113,5,FALSE)*$M16)+IF($Q16="",0,VLOOKUP($Q16,'⚪设计'!$B$85:$H$113,5,FALSE)*$R16)+IF($V16="",0,VLOOKUP($V16,'⚪设计'!$B$85:$H$113,5,FALSE)*$W16))*IF(G16="",0,VLOOKUP(G16,'⚪设计'!$B$85:$H$113,5,FALSE)),0))</f>
        <v>4</v>
      </c>
      <c r="L16" s="97" t="str">
        <f>IF(VLOOKUP($A16,'⚪设计'!$A$382:$N$405,8,FALSE)="","",VLOOKUP($A16,'⚪设计'!$A$382:$N$405,8,FALSE))</f>
        <v>蜜蜂2</v>
      </c>
      <c r="M16" s="97">
        <f t="shared" si="2"/>
        <v>25</v>
      </c>
      <c r="N16" s="97">
        <f>IF(VLOOKUP($A16,'⚪设计'!$A$382:$N$405,12,FALSE)="","",VLOOKUP($A16,'⚪设计'!$A$382:$N$405,12,FALSE))</f>
        <v>0.5</v>
      </c>
      <c r="O16" s="97">
        <f>IF(L16="","",ROUND($D16*VLOOKUP($A16,'⚪设计'!$A$382:$N$405,4,FALSE)/(IF($G16="",0,VLOOKUP($G16,'⚪设计'!$B$85:$H$113,4,FALSE)*$H16)+IF($L16="",0,VLOOKUP($L16,'⚪设计'!$B$85:$H$113,4,FALSE)*$M16)+IF($Q16="",0,VLOOKUP($Q16,'⚪设计'!$B$85:$H$113,4,FALSE)*$R16)+IF($V16="",0,VLOOKUP($V16,'⚪设计'!$B$85:$H$113,4,FALSE)*$W16))*IF(L16="",0,VLOOKUP(L16,'⚪设计'!$B$85:$H$113,4,FALSE)),0))</f>
        <v>448</v>
      </c>
      <c r="P16" s="97">
        <f>IF(L16="","",ROUND(战斗节奏!$B$14/(IF($G16="",0,VLOOKUP($G16,'⚪设计'!$B$85:$H$113,5,FALSE)*$H16)+IF($L16="",0,VLOOKUP($L16,'⚪设计'!$B$85:$H$113,5,FALSE)*$M16)+IF($Q16="",0,VLOOKUP($Q16,'⚪设计'!$B$85:$H$113,5,FALSE)*$R16)+IF($V16="",0,VLOOKUP($V16,'⚪设计'!$B$85:$H$113,5,FALSE)*$W16))*IF(L16="",0,VLOOKUP(L16,'⚪设计'!$B$85:$H$113,5,FALSE)),0))</f>
        <v>9</v>
      </c>
      <c r="Q16" s="97" t="str">
        <f>IF(VLOOKUP($A16,'⚪设计'!$A$382:$N$405,9,FALSE)="","",VLOOKUP($A16,'⚪设计'!$A$382:$N$405,9,FALSE))</f>
        <v>鸟2</v>
      </c>
      <c r="R16" s="97">
        <f t="shared" si="3"/>
        <v>6</v>
      </c>
      <c r="S16" s="97">
        <f>IF(VLOOKUP($A16,'⚪设计'!$A$382:$N$405,13,FALSE)="","",VLOOKUP($A16,'⚪设计'!$A$382:$N$405,13,FALSE))</f>
        <v>2</v>
      </c>
      <c r="T16" s="97">
        <f>IF(Q16="","",ROUND($D16*VLOOKUP($A16,'⚪设计'!$A$382:$N$405,4,FALSE)/(IF($G16="",0,VLOOKUP($G16,'⚪设计'!$B$85:$H$113,4,FALSE)*$H16)+IF($L16="",0,VLOOKUP($L16,'⚪设计'!$B$85:$H$113,4,FALSE)*$M16)+IF($Q16="",0,VLOOKUP($Q16,'⚪设计'!$B$85:$H$113,4,FALSE)*$R16)+IF($V16="",0,VLOOKUP($V16,'⚪设计'!$B$85:$H$113,4,FALSE)*$W16))*IF(Q16="",0,VLOOKUP(Q16,'⚪设计'!$B$85:$H$113,4,FALSE)),0))</f>
        <v>896</v>
      </c>
      <c r="U16" s="97">
        <f>IF(Q16="","",ROUND(战斗节奏!$B$14/(IF($G16="",0,VLOOKUP($G16,'⚪设计'!$B$85:$H$113,5,FALSE)*$H16)+IF($L16="",0,VLOOKUP($L16,'⚪设计'!$B$85:$H$113,5,FALSE)*$M16)+IF($Q16="",0,VLOOKUP($Q16,'⚪设计'!$B$85:$H$113,5,FALSE)*$R16)+IF($V16="",0,VLOOKUP($V16,'⚪设计'!$B$85:$H$113,5,FALSE)*$W16))*IF(Q16="",0,VLOOKUP(Q16,'⚪设计'!$B$85:$H$113,5,FALSE)),0))</f>
        <v>9</v>
      </c>
      <c r="V16" s="97" t="str">
        <f>IF(VLOOKUP($A16,'⚪设计'!$A$382:$N$405,10,FALSE)="","",VLOOKUP($A16,'⚪设计'!$A$382:$N$405,10,FALSE))</f>
        <v/>
      </c>
      <c r="W16" s="97" t="str">
        <f t="shared" si="4"/>
        <v/>
      </c>
      <c r="X16" s="97" t="str">
        <f>IF(VLOOKUP($A16,'⚪设计'!$A$382:$N$405,14,FALSE)="","",VLOOKUP($A16,'⚪设计'!$A$382:$N$405,14,FALSE))</f>
        <v/>
      </c>
      <c r="Y16" s="97" t="str">
        <f>IF(V16="","",ROUND($D16*VLOOKUP($A16,'⚪设计'!$A$382:$N$405,4,FALSE)/(IF($G16="",0,VLOOKUP($G16,'⚪设计'!$B$85:$H$113,4,FALSE)*$H16)+IF($L16="",0,VLOOKUP($L16,'⚪设计'!$B$85:$H$113,4,FALSE)*$M16)+IF($Q16="",0,VLOOKUP($Q16,'⚪设计'!$B$85:$H$113,4,FALSE)*$R16)+IF($V16="",0,VLOOKUP($V16,'⚪设计'!$B$85:$H$113,4,FALSE)*$W16))*IF(V16="",0,VLOOKUP(V16,'⚪设计'!$B$85:$H$113,4,FALSE)),0))</f>
        <v/>
      </c>
      <c r="Z16" s="97" t="str">
        <f>IF(V16="","",ROUND(战斗节奏!$B$14/(IF($G16="",0,VLOOKUP($G16,'⚪设计'!$B$85:$H$113,5,FALSE)*$H16)+IF($L16="",0,VLOOKUP($L16,'⚪设计'!$B$85:$H$113,5,FALSE)*$M16)+IF($Q16="",0,VLOOKUP($Q16,'⚪设计'!$B$85:$H$113,5,FALSE)*$R16)+IF($V16="",0,VLOOKUP($V16,'⚪设计'!$B$85:$H$113,5,FALSE)*$W16))*IF(V16="",0,VLOOKUP(V16,'⚪设计'!$B$85:$H$113,5,FALSE)),0))</f>
        <v/>
      </c>
    </row>
    <row r="17" spans="1:26" x14ac:dyDescent="0.2">
      <c r="A17" s="2" t="str">
        <f t="shared" si="0"/>
        <v>4_3</v>
      </c>
      <c r="B17" s="2">
        <v>4</v>
      </c>
      <c r="C17" s="2">
        <v>3</v>
      </c>
      <c r="D17" s="97">
        <f>VLOOKUP(C17,无限模式!$A$3:$B$22,2,FALSE)</f>
        <v>1620</v>
      </c>
      <c r="E17" s="98">
        <v>1</v>
      </c>
      <c r="F17" s="97">
        <f>VLOOKUP(A17,'⚪设计'!$A$382:$N$405,6,FALSE)</f>
        <v>15</v>
      </c>
      <c r="G17" s="97" t="str">
        <f>IF(VLOOKUP($A17,'⚪设计'!$A$382:$N$405,7,FALSE)="","",VLOOKUP($A17,'⚪设计'!$A$382:$N$405,7,FALSE))</f>
        <v>鬼1</v>
      </c>
      <c r="H17" s="97">
        <f t="shared" si="1"/>
        <v>10</v>
      </c>
      <c r="I17" s="97">
        <f>IF(VLOOKUP($A17,'⚪设计'!$A$382:$N$405,11,FALSE)="","",VLOOKUP($A17,'⚪设计'!$A$382:$N$405,11,FALSE))</f>
        <v>1.5</v>
      </c>
      <c r="J17" s="97">
        <f>IF(G17="","",ROUND($D17*VLOOKUP($A17,'⚪设计'!$A$382:$N$405,4,FALSE)/(IF($G17="",0,VLOOKUP($G17,'⚪设计'!$B$85:$H$113,4,FALSE)*$H17)+IF($L17="",0,VLOOKUP($L17,'⚪设计'!$B$85:$H$113,4,FALSE)*$M17)+IF($Q17="",0,VLOOKUP($Q17,'⚪设计'!$B$85:$H$113,4,FALSE)*$R17)+IF($V17="",0,VLOOKUP($V17,'⚪设计'!$B$85:$H$113,4,FALSE)*$W17))*IF(G17="",0,VLOOKUP(G17,'⚪设计'!$B$85:$H$113,4,FALSE)),0))</f>
        <v>227</v>
      </c>
      <c r="K17" s="97">
        <f>IF(G17="","",ROUND(战斗节奏!$B$14/(IF($G17="",0,VLOOKUP($G17,'⚪设计'!$B$85:$H$113,5,FALSE)*$H17)+IF($L17="",0,VLOOKUP($L17,'⚪设计'!$B$85:$H$113,5,FALSE)*$M17)+IF($Q17="",0,VLOOKUP($Q17,'⚪设计'!$B$85:$H$113,5,FALSE)*$R17)+IF($V17="",0,VLOOKUP($V17,'⚪设计'!$B$85:$H$113,5,FALSE)*$W17))*IF(G17="",0,VLOOKUP(G17,'⚪设计'!$B$85:$H$113,5,FALSE)),0))</f>
        <v>7</v>
      </c>
      <c r="L17" s="97" t="str">
        <f>IF(VLOOKUP($A17,'⚪设计'!$A$382:$N$405,8,FALSE)="","",VLOOKUP($A17,'⚪设计'!$A$382:$N$405,8,FALSE))</f>
        <v>蝙蝠1</v>
      </c>
      <c r="M17" s="97">
        <f t="shared" si="2"/>
        <v>30</v>
      </c>
      <c r="N17" s="97">
        <f>IF(VLOOKUP($A17,'⚪设计'!$A$382:$N$405,12,FALSE)="","",VLOOKUP($A17,'⚪设计'!$A$382:$N$405,12,FALSE))</f>
        <v>0.5</v>
      </c>
      <c r="O17" s="97">
        <f>IF(L17="","",ROUND($D17*VLOOKUP($A17,'⚪设计'!$A$382:$N$405,4,FALSE)/(IF($G17="",0,VLOOKUP($G17,'⚪设计'!$B$85:$H$113,4,FALSE)*$H17)+IF($L17="",0,VLOOKUP($L17,'⚪设计'!$B$85:$H$113,4,FALSE)*$M17)+IF($Q17="",0,VLOOKUP($Q17,'⚪设计'!$B$85:$H$113,4,FALSE)*$R17)+IF($V17="",0,VLOOKUP($V17,'⚪设计'!$B$85:$H$113,4,FALSE)*$W17))*IF(L17="",0,VLOOKUP(L17,'⚪设计'!$B$85:$H$113,4,FALSE)),0))</f>
        <v>114</v>
      </c>
      <c r="P17" s="97">
        <f>IF(L17="","",ROUND(战斗节奏!$B$14/(IF($G17="",0,VLOOKUP($G17,'⚪设计'!$B$85:$H$113,5,FALSE)*$H17)+IF($L17="",0,VLOOKUP($L17,'⚪设计'!$B$85:$H$113,5,FALSE)*$M17)+IF($Q17="",0,VLOOKUP($Q17,'⚪设计'!$B$85:$H$113,5,FALSE)*$R17)+IF($V17="",0,VLOOKUP($V17,'⚪设计'!$B$85:$H$113,5,FALSE)*$W17))*IF(L17="",0,VLOOKUP(L17,'⚪设计'!$B$85:$H$113,5,FALSE)),0))</f>
        <v>4</v>
      </c>
      <c r="Q17" s="97" t="str">
        <f>IF(VLOOKUP($A17,'⚪设计'!$A$382:$N$405,9,FALSE)="","",VLOOKUP($A17,'⚪设计'!$A$382:$N$405,9,FALSE))</f>
        <v>鸟2</v>
      </c>
      <c r="R17" s="97">
        <f t="shared" si="3"/>
        <v>8</v>
      </c>
      <c r="S17" s="97">
        <f>IF(VLOOKUP($A17,'⚪设计'!$A$382:$N$405,13,FALSE)="","",VLOOKUP($A17,'⚪设计'!$A$382:$N$405,13,FALSE))</f>
        <v>2</v>
      </c>
      <c r="T17" s="97">
        <f>IF(Q17="","",ROUND($D17*VLOOKUP($A17,'⚪设计'!$A$382:$N$405,4,FALSE)/(IF($G17="",0,VLOOKUP($G17,'⚪设计'!$B$85:$H$113,4,FALSE)*$H17)+IF($L17="",0,VLOOKUP($L17,'⚪设计'!$B$85:$H$113,4,FALSE)*$M17)+IF($Q17="",0,VLOOKUP($Q17,'⚪设计'!$B$85:$H$113,4,FALSE)*$R17)+IF($V17="",0,VLOOKUP($V17,'⚪设计'!$B$85:$H$113,4,FALSE)*$W17))*IF(Q17="",0,VLOOKUP(Q17,'⚪设计'!$B$85:$H$113,4,FALSE)),0))</f>
        <v>909</v>
      </c>
      <c r="U17" s="97">
        <f>IF(Q17="","",ROUND(战斗节奏!$B$14/(IF($G17="",0,VLOOKUP($G17,'⚪设计'!$B$85:$H$113,5,FALSE)*$H17)+IF($L17="",0,VLOOKUP($L17,'⚪设计'!$B$85:$H$113,5,FALSE)*$M17)+IF($Q17="",0,VLOOKUP($Q17,'⚪设计'!$B$85:$H$113,5,FALSE)*$R17)+IF($V17="",0,VLOOKUP($V17,'⚪设计'!$B$85:$H$113,5,FALSE)*$W17))*IF(Q17="",0,VLOOKUP(Q17,'⚪设计'!$B$85:$H$113,5,FALSE)),0))</f>
        <v>15</v>
      </c>
      <c r="V17" s="97" t="str">
        <f>IF(VLOOKUP($A17,'⚪设计'!$A$382:$N$405,10,FALSE)="","",VLOOKUP($A17,'⚪设计'!$A$382:$N$405,10,FALSE))</f>
        <v/>
      </c>
      <c r="W17" s="97" t="str">
        <f t="shared" si="4"/>
        <v/>
      </c>
      <c r="X17" s="97" t="str">
        <f>IF(VLOOKUP($A17,'⚪设计'!$A$382:$N$405,14,FALSE)="","",VLOOKUP($A17,'⚪设计'!$A$382:$N$405,14,FALSE))</f>
        <v/>
      </c>
      <c r="Y17" s="97" t="str">
        <f>IF(V17="","",ROUND($D17*VLOOKUP($A17,'⚪设计'!$A$382:$N$405,4,FALSE)/(IF($G17="",0,VLOOKUP($G17,'⚪设计'!$B$85:$H$113,4,FALSE)*$H17)+IF($L17="",0,VLOOKUP($L17,'⚪设计'!$B$85:$H$113,4,FALSE)*$M17)+IF($Q17="",0,VLOOKUP($Q17,'⚪设计'!$B$85:$H$113,4,FALSE)*$R17)+IF($V17="",0,VLOOKUP($V17,'⚪设计'!$B$85:$H$113,4,FALSE)*$W17))*IF(V17="",0,VLOOKUP(V17,'⚪设计'!$B$85:$H$113,4,FALSE)),0))</f>
        <v/>
      </c>
      <c r="Z17" s="97" t="str">
        <f>IF(V17="","",ROUND(战斗节奏!$B$14/(IF($G17="",0,VLOOKUP($G17,'⚪设计'!$B$85:$H$113,5,FALSE)*$H17)+IF($L17="",0,VLOOKUP($L17,'⚪设计'!$B$85:$H$113,5,FALSE)*$M17)+IF($Q17="",0,VLOOKUP($Q17,'⚪设计'!$B$85:$H$113,5,FALSE)*$R17)+IF($V17="",0,VLOOKUP($V17,'⚪设计'!$B$85:$H$113,5,FALSE)*$W17))*IF(V17="",0,VLOOKUP(V17,'⚪设计'!$B$85:$H$113,5,FALSE)),0))</f>
        <v/>
      </c>
    </row>
    <row r="18" spans="1:26" x14ac:dyDescent="0.2">
      <c r="A18" s="2" t="str">
        <f t="shared" si="0"/>
        <v>4_4</v>
      </c>
      <c r="B18" s="2">
        <v>4</v>
      </c>
      <c r="C18" s="2">
        <v>4</v>
      </c>
      <c r="D18" s="97">
        <f>VLOOKUP(C18,无限模式!$A$3:$B$22,2,FALSE)</f>
        <v>2160</v>
      </c>
      <c r="E18" s="98">
        <v>1</v>
      </c>
      <c r="F18" s="97">
        <f>VLOOKUP(A18,'⚪设计'!$A$382:$N$405,6,FALSE)</f>
        <v>17.5</v>
      </c>
      <c r="G18" s="97" t="str">
        <f>IF(VLOOKUP($A18,'⚪设计'!$A$382:$N$405,7,FALSE)="","",VLOOKUP($A18,'⚪设计'!$A$382:$N$405,7,FALSE))</f>
        <v>鬼1</v>
      </c>
      <c r="H18" s="97">
        <f t="shared" si="1"/>
        <v>12</v>
      </c>
      <c r="I18" s="97">
        <f>IF(VLOOKUP($A18,'⚪设计'!$A$382:$N$405,11,FALSE)="","",VLOOKUP($A18,'⚪设计'!$A$382:$N$405,11,FALSE))</f>
        <v>1.5</v>
      </c>
      <c r="J18" s="97">
        <f>IF(G18="","",ROUND($D18*VLOOKUP($A18,'⚪设计'!$A$382:$N$405,4,FALSE)/(IF($G18="",0,VLOOKUP($G18,'⚪设计'!$B$85:$H$113,4,FALSE)*$H18)+IF($L18="",0,VLOOKUP($L18,'⚪设计'!$B$85:$H$113,4,FALSE)*$M18)+IF($Q18="",0,VLOOKUP($Q18,'⚪设计'!$B$85:$H$113,4,FALSE)*$R18)+IF($V18="",0,VLOOKUP($V18,'⚪设计'!$B$85:$H$113,4,FALSE)*$W18))*IF(G18="",0,VLOOKUP(G18,'⚪设计'!$B$85:$H$113,4,FALSE)),0))</f>
        <v>354</v>
      </c>
      <c r="K18" s="97">
        <f>IF(G18="","",ROUND(战斗节奏!$B$14/(IF($G18="",0,VLOOKUP($G18,'⚪设计'!$B$85:$H$113,5,FALSE)*$H18)+IF($L18="",0,VLOOKUP($L18,'⚪设计'!$B$85:$H$113,5,FALSE)*$M18)+IF($Q18="",0,VLOOKUP($Q18,'⚪设计'!$B$85:$H$113,5,FALSE)*$R18)+IF($V18="",0,VLOOKUP($V18,'⚪设计'!$B$85:$H$113,5,FALSE)*$W18))*IF(G18="",0,VLOOKUP(G18,'⚪设计'!$B$85:$H$113,5,FALSE)),0))</f>
        <v>3</v>
      </c>
      <c r="L18" s="97" t="str">
        <f>IF(VLOOKUP($A18,'⚪设计'!$A$382:$N$405,8,FALSE)="","",VLOOKUP($A18,'⚪设计'!$A$382:$N$405,8,FALSE))</f>
        <v>蜘蛛1</v>
      </c>
      <c r="M18" s="97">
        <f t="shared" si="2"/>
        <v>44</v>
      </c>
      <c r="N18" s="97">
        <f>IF(VLOOKUP($A18,'⚪设计'!$A$382:$N$405,12,FALSE)="","",VLOOKUP($A18,'⚪设计'!$A$382:$N$405,12,FALSE))</f>
        <v>0.4</v>
      </c>
      <c r="O18" s="97">
        <f>IF(L18="","",ROUND($D18*VLOOKUP($A18,'⚪设计'!$A$382:$N$405,4,FALSE)/(IF($G18="",0,VLOOKUP($G18,'⚪设计'!$B$85:$H$113,4,FALSE)*$H18)+IF($L18="",0,VLOOKUP($L18,'⚪设计'!$B$85:$H$113,4,FALSE)*$M18)+IF($Q18="",0,VLOOKUP($Q18,'⚪设计'!$B$85:$H$113,4,FALSE)*$R18)+IF($V18="",0,VLOOKUP($V18,'⚪设计'!$B$85:$H$113,4,FALSE)*$W18))*IF(L18="",0,VLOOKUP(L18,'⚪设计'!$B$85:$H$113,4,FALSE)),0))</f>
        <v>354</v>
      </c>
      <c r="P18" s="97">
        <f>IF(L18="","",ROUND(战斗节奏!$B$14/(IF($G18="",0,VLOOKUP($G18,'⚪设计'!$B$85:$H$113,5,FALSE)*$H18)+IF($L18="",0,VLOOKUP($L18,'⚪设计'!$B$85:$H$113,5,FALSE)*$M18)+IF($Q18="",0,VLOOKUP($Q18,'⚪设计'!$B$85:$H$113,5,FALSE)*$R18)+IF($V18="",0,VLOOKUP($V18,'⚪设计'!$B$85:$H$113,5,FALSE)*$W18))*IF(L18="",0,VLOOKUP(L18,'⚪设计'!$B$85:$H$113,5,FALSE)),0))</f>
        <v>3</v>
      </c>
      <c r="Q18" s="97" t="str">
        <f>IF(VLOOKUP($A18,'⚪设计'!$A$382:$N$405,9,FALSE)="","",VLOOKUP($A18,'⚪设计'!$A$382:$N$405,9,FALSE))</f>
        <v>鸟2</v>
      </c>
      <c r="R18" s="97">
        <f t="shared" si="3"/>
        <v>18</v>
      </c>
      <c r="S18" s="97">
        <f>IF(VLOOKUP($A18,'⚪设计'!$A$382:$N$405,13,FALSE)="","",VLOOKUP($A18,'⚪设计'!$A$382:$N$405,13,FALSE))</f>
        <v>1</v>
      </c>
      <c r="T18" s="97">
        <f>IF(Q18="","",ROUND($D18*VLOOKUP($A18,'⚪设计'!$A$382:$N$405,4,FALSE)/(IF($G18="",0,VLOOKUP($G18,'⚪设计'!$B$85:$H$113,4,FALSE)*$H18)+IF($L18="",0,VLOOKUP($L18,'⚪设计'!$B$85:$H$113,4,FALSE)*$M18)+IF($Q18="",0,VLOOKUP($Q18,'⚪设计'!$B$85:$H$113,4,FALSE)*$R18)+IF($V18="",0,VLOOKUP($V18,'⚪设计'!$B$85:$H$113,4,FALSE)*$W18))*IF(Q18="",0,VLOOKUP(Q18,'⚪设计'!$B$85:$H$113,4,FALSE)),0))</f>
        <v>1418</v>
      </c>
      <c r="U18" s="97">
        <f>IF(Q18="","",ROUND(战斗节奏!$B$14/(IF($G18="",0,VLOOKUP($G18,'⚪设计'!$B$85:$H$113,5,FALSE)*$H18)+IF($L18="",0,VLOOKUP($L18,'⚪设计'!$B$85:$H$113,5,FALSE)*$M18)+IF($Q18="",0,VLOOKUP($Q18,'⚪设计'!$B$85:$H$113,5,FALSE)*$R18)+IF($V18="",0,VLOOKUP($V18,'⚪设计'!$B$85:$H$113,5,FALSE)*$W18))*IF(Q18="",0,VLOOKUP(Q18,'⚪设计'!$B$85:$H$113,5,FALSE)),0))</f>
        <v>7</v>
      </c>
      <c r="V18" s="97" t="str">
        <f>IF(VLOOKUP($A18,'⚪设计'!$A$382:$N$405,10,FALSE)="","",VLOOKUP($A18,'⚪设计'!$A$382:$N$405,10,FALSE))</f>
        <v/>
      </c>
      <c r="W18" s="97" t="str">
        <f t="shared" si="4"/>
        <v/>
      </c>
      <c r="X18" s="97" t="str">
        <f>IF(VLOOKUP($A18,'⚪设计'!$A$382:$N$405,14,FALSE)="","",VLOOKUP($A18,'⚪设计'!$A$382:$N$405,14,FALSE))</f>
        <v/>
      </c>
      <c r="Y18" s="97" t="str">
        <f>IF(V18="","",ROUND($D18*VLOOKUP($A18,'⚪设计'!$A$382:$N$405,4,FALSE)/(IF($G18="",0,VLOOKUP($G18,'⚪设计'!$B$85:$H$113,4,FALSE)*$H18)+IF($L18="",0,VLOOKUP($L18,'⚪设计'!$B$85:$H$113,4,FALSE)*$M18)+IF($Q18="",0,VLOOKUP($Q18,'⚪设计'!$B$85:$H$113,4,FALSE)*$R18)+IF($V18="",0,VLOOKUP($V18,'⚪设计'!$B$85:$H$113,4,FALSE)*$W18))*IF(V18="",0,VLOOKUP(V18,'⚪设计'!$B$85:$H$113,4,FALSE)),0))</f>
        <v/>
      </c>
      <c r="Z18" s="97" t="str">
        <f>IF(V18="","",ROUND(战斗节奏!$B$14/(IF($G18="",0,VLOOKUP($G18,'⚪设计'!$B$85:$H$113,5,FALSE)*$H18)+IF($L18="",0,VLOOKUP($L18,'⚪设计'!$B$85:$H$113,5,FALSE)*$M18)+IF($Q18="",0,VLOOKUP($Q18,'⚪设计'!$B$85:$H$113,5,FALSE)*$R18)+IF($V18="",0,VLOOKUP($V18,'⚪设计'!$B$85:$H$113,5,FALSE)*$W18))*IF(V18="",0,VLOOKUP(V18,'⚪设计'!$B$85:$H$113,5,FALSE)),0))</f>
        <v/>
      </c>
    </row>
    <row r="19" spans="1:26" x14ac:dyDescent="0.2">
      <c r="A19" s="2" t="str">
        <f t="shared" si="0"/>
        <v>4_5</v>
      </c>
      <c r="B19" s="2">
        <v>4</v>
      </c>
      <c r="C19" s="2">
        <v>5</v>
      </c>
      <c r="D19" s="97">
        <f>VLOOKUP(C19,无限模式!$A$3:$B$22,2,FALSE)</f>
        <v>2700</v>
      </c>
      <c r="E19" s="98">
        <v>1</v>
      </c>
      <c r="F19" s="97">
        <f>VLOOKUP(A19,'⚪设计'!$A$382:$N$405,6,FALSE)</f>
        <v>20</v>
      </c>
      <c r="G19" s="97" t="str">
        <f>IF(VLOOKUP($A19,'⚪设计'!$A$382:$N$405,7,FALSE)="","",VLOOKUP($A19,'⚪设计'!$A$382:$N$405,7,FALSE))</f>
        <v>鬼1</v>
      </c>
      <c r="H19" s="97">
        <f t="shared" si="1"/>
        <v>40</v>
      </c>
      <c r="I19" s="97">
        <f>IF(VLOOKUP($A19,'⚪设计'!$A$382:$N$405,11,FALSE)="","",VLOOKUP($A19,'⚪设计'!$A$382:$N$405,11,FALSE))</f>
        <v>0.5</v>
      </c>
      <c r="J19" s="97">
        <f>IF(G19="","",ROUND($D19*VLOOKUP($A19,'⚪设计'!$A$382:$N$405,4,FALSE)/(IF($G19="",0,VLOOKUP($G19,'⚪设计'!$B$85:$H$113,4,FALSE)*$H19)+IF($L19="",0,VLOOKUP($L19,'⚪设计'!$B$85:$H$113,4,FALSE)*$M19)+IF($Q19="",0,VLOOKUP($Q19,'⚪设计'!$B$85:$H$113,4,FALSE)*$R19)+IF($V19="",0,VLOOKUP($V19,'⚪设计'!$B$85:$H$113,4,FALSE)*$W19))*IF(G19="",0,VLOOKUP(G19,'⚪设计'!$B$85:$H$113,4,FALSE)),0))</f>
        <v>396</v>
      </c>
      <c r="K19" s="97">
        <f>IF(G19="","",ROUND(战斗节奏!$B$14/(IF($G19="",0,VLOOKUP($G19,'⚪设计'!$B$85:$H$113,5,FALSE)*$H19)+IF($L19="",0,VLOOKUP($L19,'⚪设计'!$B$85:$H$113,5,FALSE)*$M19)+IF($Q19="",0,VLOOKUP($Q19,'⚪设计'!$B$85:$H$113,5,FALSE)*$R19)+IF($V19="",0,VLOOKUP($V19,'⚪设计'!$B$85:$H$113,5,FALSE)*$W19))*IF(G19="",0,VLOOKUP(G19,'⚪设计'!$B$85:$H$113,5,FALSE)),0))</f>
        <v>3</v>
      </c>
      <c r="L19" s="97" t="str">
        <f>IF(VLOOKUP($A19,'⚪设计'!$A$382:$N$405,8,FALSE)="","",VLOOKUP($A19,'⚪设计'!$A$382:$N$405,8,FALSE))</f>
        <v>种子1</v>
      </c>
      <c r="M19" s="97">
        <f t="shared" si="2"/>
        <v>10</v>
      </c>
      <c r="N19" s="97">
        <f>IF(VLOOKUP($A19,'⚪设计'!$A$382:$N$405,12,FALSE)="","",VLOOKUP($A19,'⚪设计'!$A$382:$N$405,12,FALSE))</f>
        <v>2</v>
      </c>
      <c r="O19" s="97">
        <f>IF(L19="","",ROUND($D19*VLOOKUP($A19,'⚪设计'!$A$382:$N$405,4,FALSE)/(IF($G19="",0,VLOOKUP($G19,'⚪设计'!$B$85:$H$113,4,FALSE)*$H19)+IF($L19="",0,VLOOKUP($L19,'⚪设计'!$B$85:$H$113,4,FALSE)*$M19)+IF($Q19="",0,VLOOKUP($Q19,'⚪设计'!$B$85:$H$113,4,FALSE)*$R19)+IF($V19="",0,VLOOKUP($V19,'⚪设计'!$B$85:$H$113,4,FALSE)*$W19))*IF(L19="",0,VLOOKUP(L19,'⚪设计'!$B$85:$H$113,4,FALSE)),0))</f>
        <v>1188</v>
      </c>
      <c r="P19" s="97">
        <f>IF(L19="","",ROUND(战斗节奏!$B$14/(IF($G19="",0,VLOOKUP($G19,'⚪设计'!$B$85:$H$113,5,FALSE)*$H19)+IF($L19="",0,VLOOKUP($L19,'⚪设计'!$B$85:$H$113,5,FALSE)*$M19)+IF($Q19="",0,VLOOKUP($Q19,'⚪设计'!$B$85:$H$113,5,FALSE)*$R19)+IF($V19="",0,VLOOKUP($V19,'⚪设计'!$B$85:$H$113,5,FALSE)*$W19))*IF(L19="",0,VLOOKUP(L19,'⚪设计'!$B$85:$H$113,5,FALSE)),0))</f>
        <v>6</v>
      </c>
      <c r="Q19" s="97" t="str">
        <f>IF(VLOOKUP($A19,'⚪设计'!$A$382:$N$405,9,FALSE)="","",VLOOKUP($A19,'⚪设计'!$A$382:$N$405,9,FALSE))</f>
        <v>鸟2</v>
      </c>
      <c r="R19" s="97">
        <f t="shared" si="3"/>
        <v>20</v>
      </c>
      <c r="S19" s="97">
        <f>IF(VLOOKUP($A19,'⚪设计'!$A$382:$N$405,13,FALSE)="","",VLOOKUP($A19,'⚪设计'!$A$382:$N$405,13,FALSE))</f>
        <v>1</v>
      </c>
      <c r="T19" s="97">
        <f>IF(Q19="","",ROUND($D19*VLOOKUP($A19,'⚪设计'!$A$382:$N$405,4,FALSE)/(IF($G19="",0,VLOOKUP($G19,'⚪设计'!$B$85:$H$113,4,FALSE)*$H19)+IF($L19="",0,VLOOKUP($L19,'⚪设计'!$B$85:$H$113,4,FALSE)*$M19)+IF($Q19="",0,VLOOKUP($Q19,'⚪设计'!$B$85:$H$113,4,FALSE)*$R19)+IF($V19="",0,VLOOKUP($V19,'⚪设计'!$B$85:$H$113,4,FALSE)*$W19))*IF(Q19="",0,VLOOKUP(Q19,'⚪设计'!$B$85:$H$113,4,FALSE)),0))</f>
        <v>1584</v>
      </c>
      <c r="U19" s="97">
        <f>IF(Q19="","",ROUND(战斗节奏!$B$14/(IF($G19="",0,VLOOKUP($G19,'⚪设计'!$B$85:$H$113,5,FALSE)*$H19)+IF($L19="",0,VLOOKUP($L19,'⚪设计'!$B$85:$H$113,5,FALSE)*$M19)+IF($Q19="",0,VLOOKUP($Q19,'⚪设计'!$B$85:$H$113,5,FALSE)*$R19)+IF($V19="",0,VLOOKUP($V19,'⚪设计'!$B$85:$H$113,5,FALSE)*$W19))*IF(Q19="",0,VLOOKUP(Q19,'⚪设计'!$B$85:$H$113,5,FALSE)),0))</f>
        <v>6</v>
      </c>
      <c r="V19" s="97" t="str">
        <f>IF(VLOOKUP($A19,'⚪设计'!$A$382:$N$405,10,FALSE)="","",VLOOKUP($A19,'⚪设计'!$A$382:$N$405,10,FALSE))</f>
        <v/>
      </c>
      <c r="W19" s="97" t="str">
        <f t="shared" si="4"/>
        <v/>
      </c>
      <c r="X19" s="97" t="str">
        <f>IF(VLOOKUP($A19,'⚪设计'!$A$382:$N$405,14,FALSE)="","",VLOOKUP($A19,'⚪设计'!$A$382:$N$405,14,FALSE))</f>
        <v/>
      </c>
      <c r="Y19" s="97" t="str">
        <f>IF(V19="","",ROUND($D19*VLOOKUP($A19,'⚪设计'!$A$382:$N$405,4,FALSE)/(IF($G19="",0,VLOOKUP($G19,'⚪设计'!$B$85:$H$113,4,FALSE)*$H19)+IF($L19="",0,VLOOKUP($L19,'⚪设计'!$B$85:$H$113,4,FALSE)*$M19)+IF($Q19="",0,VLOOKUP($Q19,'⚪设计'!$B$85:$H$113,4,FALSE)*$R19)+IF($V19="",0,VLOOKUP($V19,'⚪设计'!$B$85:$H$113,4,FALSE)*$W19))*IF(V19="",0,VLOOKUP(V19,'⚪设计'!$B$85:$H$113,4,FALSE)),0))</f>
        <v/>
      </c>
      <c r="Z19" s="97" t="str">
        <f>IF(V19="","",ROUND(战斗节奏!$B$14/(IF($G19="",0,VLOOKUP($G19,'⚪设计'!$B$85:$H$113,5,FALSE)*$H19)+IF($L19="",0,VLOOKUP($L19,'⚪设计'!$B$85:$H$113,5,FALSE)*$M19)+IF($Q19="",0,VLOOKUP($Q19,'⚪设计'!$B$85:$H$113,5,FALSE)*$R19)+IF($V19="",0,VLOOKUP($V19,'⚪设计'!$B$85:$H$113,5,FALSE)*$W19))*IF(V19="",0,VLOOKUP(V19,'⚪设计'!$B$85:$H$113,5,FALSE)),0))</f>
        <v/>
      </c>
    </row>
    <row r="20" spans="1:26" x14ac:dyDescent="0.2">
      <c r="A20" s="2" t="str">
        <f t="shared" si="0"/>
        <v>5_1</v>
      </c>
      <c r="B20" s="2">
        <v>5</v>
      </c>
      <c r="C20" s="2">
        <v>1</v>
      </c>
      <c r="D20" s="97">
        <f>VLOOKUP(C20,无限模式!$A$3:$B$22,2,FALSE)</f>
        <v>540</v>
      </c>
      <c r="E20" s="98">
        <v>1</v>
      </c>
      <c r="F20" s="97">
        <f>VLOOKUP(A20,'⚪设计'!$A$382:$N$405,6,FALSE)</f>
        <v>10</v>
      </c>
      <c r="G20" s="97" t="str">
        <f>IF(VLOOKUP($A20,'⚪设计'!$A$382:$N$405,7,FALSE)="","",VLOOKUP($A20,'⚪设计'!$A$382:$N$405,7,FALSE))</f>
        <v>蛋2</v>
      </c>
      <c r="H20" s="97">
        <f t="shared" si="1"/>
        <v>7</v>
      </c>
      <c r="I20" s="97">
        <f>IF(VLOOKUP($A20,'⚪设计'!$A$382:$N$405,11,FALSE)="","",VLOOKUP($A20,'⚪设计'!$A$382:$N$405,11,FALSE))</f>
        <v>1.5</v>
      </c>
      <c r="J20" s="97">
        <f>IF(G20="","",ROUND($D20*VLOOKUP($A20,'⚪设计'!$A$382:$N$405,4,FALSE)/(IF($G20="",0,VLOOKUP($G20,'⚪设计'!$B$85:$H$113,4,FALSE)*$H20)+IF($L20="",0,VLOOKUP($L20,'⚪设计'!$B$85:$H$113,4,FALSE)*$M20)+IF($Q20="",0,VLOOKUP($Q20,'⚪设计'!$B$85:$H$113,4,FALSE)*$R20)+IF($V20="",0,VLOOKUP($V20,'⚪设计'!$B$85:$H$113,4,FALSE)*$W20))*IF(G20="",0,VLOOKUP(G20,'⚪设计'!$B$85:$H$113,4,FALSE)),0))</f>
        <v>675</v>
      </c>
      <c r="K20" s="97">
        <f>IF(G20="","",ROUND(战斗节奏!$B$14/(IF($G20="",0,VLOOKUP($G20,'⚪设计'!$B$85:$H$113,5,FALSE)*$H20)+IF($L20="",0,VLOOKUP($L20,'⚪设计'!$B$85:$H$113,5,FALSE)*$M20)+IF($Q20="",0,VLOOKUP($Q20,'⚪设计'!$B$85:$H$113,5,FALSE)*$R20)+IF($V20="",0,VLOOKUP($V20,'⚪设计'!$B$85:$H$113,5,FALSE)*$W20))*IF(G20="",0,VLOOKUP(G20,'⚪设计'!$B$85:$H$113,5,FALSE)),0))</f>
        <v>25</v>
      </c>
      <c r="L20" s="97" t="str">
        <f>IF(VLOOKUP($A20,'⚪设计'!$A$382:$N$405,8,FALSE)="","",VLOOKUP($A20,'⚪设计'!$A$382:$N$405,8,FALSE))</f>
        <v>鸟2</v>
      </c>
      <c r="M20" s="97">
        <f t="shared" si="2"/>
        <v>5</v>
      </c>
      <c r="N20" s="97">
        <f>IF(VLOOKUP($A20,'⚪设计'!$A$382:$N$405,12,FALSE)="","",VLOOKUP($A20,'⚪设计'!$A$382:$N$405,12,FALSE))</f>
        <v>2</v>
      </c>
      <c r="O20" s="97">
        <f>IF(L20="","",ROUND($D20*VLOOKUP($A20,'⚪设计'!$A$382:$N$405,4,FALSE)/(IF($G20="",0,VLOOKUP($G20,'⚪设计'!$B$85:$H$113,4,FALSE)*$H20)+IF($L20="",0,VLOOKUP($L20,'⚪设计'!$B$85:$H$113,4,FALSE)*$M20)+IF($Q20="",0,VLOOKUP($Q20,'⚪设计'!$B$85:$H$113,4,FALSE)*$R20)+IF($V20="",0,VLOOKUP($V20,'⚪设计'!$B$85:$H$113,4,FALSE)*$W20))*IF(L20="",0,VLOOKUP(L20,'⚪设计'!$B$85:$H$113,4,FALSE)),0))</f>
        <v>675</v>
      </c>
      <c r="P20" s="97">
        <f>IF(L20="","",ROUND(战斗节奏!$B$14/(IF($G20="",0,VLOOKUP($G20,'⚪设计'!$B$85:$H$113,5,FALSE)*$H20)+IF($L20="",0,VLOOKUP($L20,'⚪设计'!$B$85:$H$113,5,FALSE)*$M20)+IF($Q20="",0,VLOOKUP($Q20,'⚪设计'!$B$85:$H$113,5,FALSE)*$R20)+IF($V20="",0,VLOOKUP($V20,'⚪设计'!$B$85:$H$113,5,FALSE)*$W20))*IF(L20="",0,VLOOKUP(L20,'⚪设计'!$B$85:$H$113,5,FALSE)),0))</f>
        <v>25</v>
      </c>
      <c r="Q20" s="97" t="str">
        <f>IF(VLOOKUP($A20,'⚪设计'!$A$382:$N$405,9,FALSE)="","",VLOOKUP($A20,'⚪设计'!$A$382:$N$405,9,FALSE))</f>
        <v/>
      </c>
      <c r="R20" s="97" t="str">
        <f t="shared" si="3"/>
        <v/>
      </c>
      <c r="S20" s="97" t="str">
        <f>IF(VLOOKUP($A20,'⚪设计'!$A$382:$N$405,13,FALSE)="","",VLOOKUP($A20,'⚪设计'!$A$382:$N$405,13,FALSE))</f>
        <v/>
      </c>
      <c r="T20" s="97" t="str">
        <f>IF(Q20="","",ROUND($D20*VLOOKUP($A20,'⚪设计'!$A$382:$N$405,4,FALSE)/(IF($G20="",0,VLOOKUP($G20,'⚪设计'!$B$85:$H$113,4,FALSE)*$H20)+IF($L20="",0,VLOOKUP($L20,'⚪设计'!$B$85:$H$113,4,FALSE)*$M20)+IF($Q20="",0,VLOOKUP($Q20,'⚪设计'!$B$85:$H$113,4,FALSE)*$R20)+IF($V20="",0,VLOOKUP($V20,'⚪设计'!$B$85:$H$113,4,FALSE)*$W20))*IF(Q20="",0,VLOOKUP(Q20,'⚪设计'!$B$85:$H$113,4,FALSE)),0))</f>
        <v/>
      </c>
      <c r="U20" s="97" t="str">
        <f>IF(Q20="","",ROUND(战斗节奏!$B$14/(IF($G20="",0,VLOOKUP($G20,'⚪设计'!$B$85:$H$113,5,FALSE)*$H20)+IF($L20="",0,VLOOKUP($L20,'⚪设计'!$B$85:$H$113,5,FALSE)*$M20)+IF($Q20="",0,VLOOKUP($Q20,'⚪设计'!$B$85:$H$113,5,FALSE)*$R20)+IF($V20="",0,VLOOKUP($V20,'⚪设计'!$B$85:$H$113,5,FALSE)*$W20))*IF(Q20="",0,VLOOKUP(Q20,'⚪设计'!$B$85:$H$113,5,FALSE)),0))</f>
        <v/>
      </c>
      <c r="V20" s="97" t="str">
        <f>IF(VLOOKUP($A20,'⚪设计'!$A$382:$N$405,10,FALSE)="","",VLOOKUP($A20,'⚪设计'!$A$382:$N$405,10,FALSE))</f>
        <v/>
      </c>
      <c r="W20" s="97" t="str">
        <f t="shared" si="4"/>
        <v/>
      </c>
      <c r="X20" s="97" t="str">
        <f>IF(VLOOKUP($A20,'⚪设计'!$A$382:$N$405,14,FALSE)="","",VLOOKUP($A20,'⚪设计'!$A$382:$N$405,14,FALSE))</f>
        <v/>
      </c>
      <c r="Y20" s="97" t="str">
        <f>IF(V20="","",ROUND($D20*VLOOKUP($A20,'⚪设计'!$A$382:$N$405,4,FALSE)/(IF($G20="",0,VLOOKUP($G20,'⚪设计'!$B$85:$H$113,4,FALSE)*$H20)+IF($L20="",0,VLOOKUP($L20,'⚪设计'!$B$85:$H$113,4,FALSE)*$M20)+IF($Q20="",0,VLOOKUP($Q20,'⚪设计'!$B$85:$H$113,4,FALSE)*$R20)+IF($V20="",0,VLOOKUP($V20,'⚪设计'!$B$85:$H$113,4,FALSE)*$W20))*IF(V20="",0,VLOOKUP(V20,'⚪设计'!$B$85:$H$113,4,FALSE)),0))</f>
        <v/>
      </c>
      <c r="Z20" s="97" t="str">
        <f>IF(V20="","",ROUND(战斗节奏!$B$14/(IF($G20="",0,VLOOKUP($G20,'⚪设计'!$B$85:$H$113,5,FALSE)*$H20)+IF($L20="",0,VLOOKUP($L20,'⚪设计'!$B$85:$H$113,5,FALSE)*$M20)+IF($Q20="",0,VLOOKUP($Q20,'⚪设计'!$B$85:$H$113,5,FALSE)*$R20)+IF($V20="",0,VLOOKUP($V20,'⚪设计'!$B$85:$H$113,5,FALSE)*$W20))*IF(V20="",0,VLOOKUP(V20,'⚪设计'!$B$85:$H$113,5,FALSE)),0))</f>
        <v/>
      </c>
    </row>
    <row r="21" spans="1:26" x14ac:dyDescent="0.2">
      <c r="A21" s="2" t="str">
        <f t="shared" si="0"/>
        <v>5_2</v>
      </c>
      <c r="B21" s="2">
        <v>5</v>
      </c>
      <c r="C21" s="2">
        <v>2</v>
      </c>
      <c r="D21" s="97">
        <f>VLOOKUP(C21,无限模式!$A$3:$B$22,2,FALSE)</f>
        <v>1080</v>
      </c>
      <c r="E21" s="98">
        <v>1</v>
      </c>
      <c r="F21" s="97">
        <f>VLOOKUP(A21,'⚪设计'!$A$382:$N$405,6,FALSE)</f>
        <v>12.5</v>
      </c>
      <c r="G21" s="97" t="str">
        <f>IF(VLOOKUP($A21,'⚪设计'!$A$382:$N$405,7,FALSE)="","",VLOOKUP($A21,'⚪设计'!$A$382:$N$405,7,FALSE))</f>
        <v>蛋2</v>
      </c>
      <c r="H21" s="97">
        <f t="shared" si="1"/>
        <v>8</v>
      </c>
      <c r="I21" s="97">
        <f>IF(VLOOKUP($A21,'⚪设计'!$A$382:$N$405,11,FALSE)="","",VLOOKUP($A21,'⚪设计'!$A$382:$N$405,11,FALSE))</f>
        <v>1.5</v>
      </c>
      <c r="J21" s="97">
        <f>IF(G21="","",ROUND($D21*VLOOKUP($A21,'⚪设计'!$A$382:$N$405,4,FALSE)/(IF($G21="",0,VLOOKUP($G21,'⚪设计'!$B$85:$H$113,4,FALSE)*$H21)+IF($L21="",0,VLOOKUP($L21,'⚪设计'!$B$85:$H$113,4,FALSE)*$M21)+IF($Q21="",0,VLOOKUP($Q21,'⚪设计'!$B$85:$H$113,4,FALSE)*$R21)+IF($V21="",0,VLOOKUP($V21,'⚪设计'!$B$85:$H$113,4,FALSE)*$W21))*IF(G21="",0,VLOOKUP(G21,'⚪设计'!$B$85:$H$113,4,FALSE)),0))</f>
        <v>946</v>
      </c>
      <c r="K21" s="97">
        <f>IF(G21="","",ROUND(战斗节奏!$B$14/(IF($G21="",0,VLOOKUP($G21,'⚪设计'!$B$85:$H$113,5,FALSE)*$H21)+IF($L21="",0,VLOOKUP($L21,'⚪设计'!$B$85:$H$113,5,FALSE)*$M21)+IF($Q21="",0,VLOOKUP($Q21,'⚪设计'!$B$85:$H$113,5,FALSE)*$R21)+IF($V21="",0,VLOOKUP($V21,'⚪设计'!$B$85:$H$113,5,FALSE)*$W21))*IF(G21="",0,VLOOKUP(G21,'⚪设计'!$B$85:$H$113,5,FALSE)),0))</f>
        <v>15</v>
      </c>
      <c r="L21" s="97" t="str">
        <f>IF(VLOOKUP($A21,'⚪设计'!$A$382:$N$405,8,FALSE)="","",VLOOKUP($A21,'⚪设计'!$A$382:$N$405,8,FALSE))</f>
        <v>蝙蝠1</v>
      </c>
      <c r="M21" s="97">
        <f t="shared" si="2"/>
        <v>25</v>
      </c>
      <c r="N21" s="97">
        <f>IF(VLOOKUP($A21,'⚪设计'!$A$382:$N$405,12,FALSE)="","",VLOOKUP($A21,'⚪设计'!$A$382:$N$405,12,FALSE))</f>
        <v>0.5</v>
      </c>
      <c r="O21" s="97">
        <f>IF(L21="","",ROUND($D21*VLOOKUP($A21,'⚪设计'!$A$382:$N$405,4,FALSE)/(IF($G21="",0,VLOOKUP($G21,'⚪设计'!$B$85:$H$113,4,FALSE)*$H21)+IF($L21="",0,VLOOKUP($L21,'⚪设计'!$B$85:$H$113,4,FALSE)*$M21)+IF($Q21="",0,VLOOKUP($Q21,'⚪设计'!$B$85:$H$113,4,FALSE)*$R21)+IF($V21="",0,VLOOKUP($V21,'⚪设计'!$B$85:$H$113,4,FALSE)*$W21))*IF(L21="",0,VLOOKUP(L21,'⚪设计'!$B$85:$H$113,4,FALSE)),0))</f>
        <v>118</v>
      </c>
      <c r="P21" s="97">
        <f>IF(L21="","",ROUND(战斗节奏!$B$14/(IF($G21="",0,VLOOKUP($G21,'⚪设计'!$B$85:$H$113,5,FALSE)*$H21)+IF($L21="",0,VLOOKUP($L21,'⚪设计'!$B$85:$H$113,5,FALSE)*$M21)+IF($Q21="",0,VLOOKUP($Q21,'⚪设计'!$B$85:$H$113,5,FALSE)*$R21)+IF($V21="",0,VLOOKUP($V21,'⚪设计'!$B$85:$H$113,5,FALSE)*$W21))*IF(L21="",0,VLOOKUP(L21,'⚪设计'!$B$85:$H$113,5,FALSE)),0))</f>
        <v>4</v>
      </c>
      <c r="Q21" s="97" t="str">
        <f>IF(VLOOKUP($A21,'⚪设计'!$A$382:$N$405,9,FALSE)="","",VLOOKUP($A21,'⚪设计'!$A$382:$N$405,9,FALSE))</f>
        <v>鸟2</v>
      </c>
      <c r="R21" s="97">
        <f t="shared" si="3"/>
        <v>6</v>
      </c>
      <c r="S21" s="97">
        <f>IF(VLOOKUP($A21,'⚪设计'!$A$382:$N$405,13,FALSE)="","",VLOOKUP($A21,'⚪设计'!$A$382:$N$405,13,FALSE))</f>
        <v>2</v>
      </c>
      <c r="T21" s="97">
        <f>IF(Q21="","",ROUND($D21*VLOOKUP($A21,'⚪设计'!$A$382:$N$405,4,FALSE)/(IF($G21="",0,VLOOKUP($G21,'⚪设计'!$B$85:$H$113,4,FALSE)*$H21)+IF($L21="",0,VLOOKUP($L21,'⚪设计'!$B$85:$H$113,4,FALSE)*$M21)+IF($Q21="",0,VLOOKUP($Q21,'⚪设计'!$B$85:$H$113,4,FALSE)*$R21)+IF($V21="",0,VLOOKUP($V21,'⚪设计'!$B$85:$H$113,4,FALSE)*$W21))*IF(Q21="",0,VLOOKUP(Q21,'⚪设计'!$B$85:$H$113,4,FALSE)),0))</f>
        <v>946</v>
      </c>
      <c r="U21" s="97">
        <f>IF(Q21="","",ROUND(战斗节奏!$B$14/(IF($G21="",0,VLOOKUP($G21,'⚪设计'!$B$85:$H$113,5,FALSE)*$H21)+IF($L21="",0,VLOOKUP($L21,'⚪设计'!$B$85:$H$113,5,FALSE)*$M21)+IF($Q21="",0,VLOOKUP($Q21,'⚪设计'!$B$85:$H$113,5,FALSE)*$R21)+IF($V21="",0,VLOOKUP($V21,'⚪设计'!$B$85:$H$113,5,FALSE)*$W21))*IF(Q21="",0,VLOOKUP(Q21,'⚪设计'!$B$85:$H$113,5,FALSE)),0))</f>
        <v>15</v>
      </c>
      <c r="V21" s="97" t="str">
        <f>IF(VLOOKUP($A21,'⚪设计'!$A$382:$N$405,10,FALSE)="","",VLOOKUP($A21,'⚪设计'!$A$382:$N$405,10,FALSE))</f>
        <v/>
      </c>
      <c r="W21" s="97" t="str">
        <f t="shared" si="4"/>
        <v/>
      </c>
      <c r="X21" s="97" t="str">
        <f>IF(VLOOKUP($A21,'⚪设计'!$A$382:$N$405,14,FALSE)="","",VLOOKUP($A21,'⚪设计'!$A$382:$N$405,14,FALSE))</f>
        <v/>
      </c>
      <c r="Y21" s="97" t="str">
        <f>IF(V21="","",ROUND($D21*VLOOKUP($A21,'⚪设计'!$A$382:$N$405,4,FALSE)/(IF($G21="",0,VLOOKUP($G21,'⚪设计'!$B$85:$H$113,4,FALSE)*$H21)+IF($L21="",0,VLOOKUP($L21,'⚪设计'!$B$85:$H$113,4,FALSE)*$M21)+IF($Q21="",0,VLOOKUP($Q21,'⚪设计'!$B$85:$H$113,4,FALSE)*$R21)+IF($V21="",0,VLOOKUP($V21,'⚪设计'!$B$85:$H$113,4,FALSE)*$W21))*IF(V21="",0,VLOOKUP(V21,'⚪设计'!$B$85:$H$113,4,FALSE)),0))</f>
        <v/>
      </c>
      <c r="Z21" s="97" t="str">
        <f>IF(V21="","",ROUND(战斗节奏!$B$14/(IF($G21="",0,VLOOKUP($G21,'⚪设计'!$B$85:$H$113,5,FALSE)*$H21)+IF($L21="",0,VLOOKUP($L21,'⚪设计'!$B$85:$H$113,5,FALSE)*$M21)+IF($Q21="",0,VLOOKUP($Q21,'⚪设计'!$B$85:$H$113,5,FALSE)*$R21)+IF($V21="",0,VLOOKUP($V21,'⚪设计'!$B$85:$H$113,5,FALSE)*$W21))*IF(V21="",0,VLOOKUP(V21,'⚪设计'!$B$85:$H$113,5,FALSE)),0))</f>
        <v/>
      </c>
    </row>
    <row r="22" spans="1:26" x14ac:dyDescent="0.2">
      <c r="A22" s="2" t="str">
        <f t="shared" si="0"/>
        <v>5_3</v>
      </c>
      <c r="B22" s="2">
        <v>5</v>
      </c>
      <c r="C22" s="2">
        <v>3</v>
      </c>
      <c r="D22" s="97">
        <f>VLOOKUP(C22,无限模式!$A$3:$B$22,2,FALSE)</f>
        <v>1620</v>
      </c>
      <c r="E22" s="98">
        <v>1</v>
      </c>
      <c r="F22" s="97">
        <f>VLOOKUP(A22,'⚪设计'!$A$382:$N$405,6,FALSE)</f>
        <v>15</v>
      </c>
      <c r="G22" s="97" t="str">
        <f>IF(VLOOKUP($A22,'⚪设计'!$A$382:$N$405,7,FALSE)="","",VLOOKUP($A22,'⚪设计'!$A$382:$N$405,7,FALSE))</f>
        <v>蛋2</v>
      </c>
      <c r="H22" s="97">
        <f t="shared" si="1"/>
        <v>10</v>
      </c>
      <c r="I22" s="97">
        <f>IF(VLOOKUP($A22,'⚪设计'!$A$382:$N$405,11,FALSE)="","",VLOOKUP($A22,'⚪设计'!$A$382:$N$405,11,FALSE))</f>
        <v>1.5</v>
      </c>
      <c r="J22" s="97">
        <f>IF(G22="","",ROUND($D22*VLOOKUP($A22,'⚪设计'!$A$382:$N$405,4,FALSE)/(IF($G22="",0,VLOOKUP($G22,'⚪设计'!$B$85:$H$113,4,FALSE)*$H22)+IF($L22="",0,VLOOKUP($L22,'⚪设计'!$B$85:$H$113,4,FALSE)*$M22)+IF($Q22="",0,VLOOKUP($Q22,'⚪设计'!$B$85:$H$113,4,FALSE)*$R22)+IF($V22="",0,VLOOKUP($V22,'⚪设计'!$B$85:$H$113,4,FALSE)*$W22))*IF(G22="",0,VLOOKUP(G22,'⚪设计'!$B$85:$H$113,4,FALSE)),0))</f>
        <v>972</v>
      </c>
      <c r="K22" s="97">
        <f>IF(G22="","",ROUND(战斗节奏!$B$14/(IF($G22="",0,VLOOKUP($G22,'⚪设计'!$B$85:$H$113,5,FALSE)*$H22)+IF($L22="",0,VLOOKUP($L22,'⚪设计'!$B$85:$H$113,5,FALSE)*$M22)+IF($Q22="",0,VLOOKUP($Q22,'⚪设计'!$B$85:$H$113,5,FALSE)*$R22)+IF($V22="",0,VLOOKUP($V22,'⚪设计'!$B$85:$H$113,5,FALSE)*$W22))*IF(G22="",0,VLOOKUP(G22,'⚪设计'!$B$85:$H$113,5,FALSE)),0))</f>
        <v>7</v>
      </c>
      <c r="L22" s="97" t="str">
        <f>IF(VLOOKUP($A22,'⚪设计'!$A$382:$N$405,8,FALSE)="","",VLOOKUP($A22,'⚪设计'!$A$382:$N$405,8,FALSE))</f>
        <v>蜘蛛1</v>
      </c>
      <c r="M22" s="97">
        <f t="shared" si="2"/>
        <v>38</v>
      </c>
      <c r="N22" s="97">
        <f>IF(VLOOKUP($A22,'⚪设计'!$A$382:$N$405,12,FALSE)="","",VLOOKUP($A22,'⚪设计'!$A$382:$N$405,12,FALSE))</f>
        <v>0.4</v>
      </c>
      <c r="O22" s="97">
        <f>IF(L22="","",ROUND($D22*VLOOKUP($A22,'⚪设计'!$A$382:$N$405,4,FALSE)/(IF($G22="",0,VLOOKUP($G22,'⚪设计'!$B$85:$H$113,4,FALSE)*$H22)+IF($L22="",0,VLOOKUP($L22,'⚪设计'!$B$85:$H$113,4,FALSE)*$M22)+IF($Q22="",0,VLOOKUP($Q22,'⚪设计'!$B$85:$H$113,4,FALSE)*$R22)+IF($V22="",0,VLOOKUP($V22,'⚪设计'!$B$85:$H$113,4,FALSE)*$W22))*IF(L22="",0,VLOOKUP(L22,'⚪设计'!$B$85:$H$113,4,FALSE)),0))</f>
        <v>243</v>
      </c>
      <c r="P22" s="97">
        <f>IF(L22="","",ROUND(战斗节奏!$B$14/(IF($G22="",0,VLOOKUP($G22,'⚪设计'!$B$85:$H$113,5,FALSE)*$H22)+IF($L22="",0,VLOOKUP($L22,'⚪设计'!$B$85:$H$113,5,FALSE)*$M22)+IF($Q22="",0,VLOOKUP($Q22,'⚪设计'!$B$85:$H$113,5,FALSE)*$R22)+IF($V22="",0,VLOOKUP($V22,'⚪设计'!$B$85:$H$113,5,FALSE)*$W22))*IF(L22="",0,VLOOKUP(L22,'⚪设计'!$B$85:$H$113,5,FALSE)),0))</f>
        <v>4</v>
      </c>
      <c r="Q22" s="97" t="str">
        <f>IF(VLOOKUP($A22,'⚪设计'!$A$382:$N$405,9,FALSE)="","",VLOOKUP($A22,'⚪设计'!$A$382:$N$405,9,FALSE))</f>
        <v>鬼1</v>
      </c>
      <c r="R22" s="97">
        <f t="shared" si="3"/>
        <v>10</v>
      </c>
      <c r="S22" s="97">
        <f>IF(VLOOKUP($A22,'⚪设计'!$A$382:$N$405,13,FALSE)="","",VLOOKUP($A22,'⚪设计'!$A$382:$N$405,13,FALSE))</f>
        <v>1.5</v>
      </c>
      <c r="T22" s="97">
        <f>IF(Q22="","",ROUND($D22*VLOOKUP($A22,'⚪设计'!$A$382:$N$405,4,FALSE)/(IF($G22="",0,VLOOKUP($G22,'⚪设计'!$B$85:$H$113,4,FALSE)*$H22)+IF($L22="",0,VLOOKUP($L22,'⚪设计'!$B$85:$H$113,4,FALSE)*$M22)+IF($Q22="",0,VLOOKUP($Q22,'⚪设计'!$B$85:$H$113,4,FALSE)*$R22)+IF($V22="",0,VLOOKUP($V22,'⚪设计'!$B$85:$H$113,4,FALSE)*$W22))*IF(Q22="",0,VLOOKUP(Q22,'⚪设计'!$B$85:$H$113,4,FALSE)),0))</f>
        <v>243</v>
      </c>
      <c r="U22" s="97">
        <f>IF(Q22="","",ROUND(战斗节奏!$B$14/(IF($G22="",0,VLOOKUP($G22,'⚪设计'!$B$85:$H$113,5,FALSE)*$H22)+IF($L22="",0,VLOOKUP($L22,'⚪设计'!$B$85:$H$113,5,FALSE)*$M22)+IF($Q22="",0,VLOOKUP($Q22,'⚪设计'!$B$85:$H$113,5,FALSE)*$R22)+IF($V22="",0,VLOOKUP($V22,'⚪设计'!$B$85:$H$113,5,FALSE)*$W22))*IF(Q22="",0,VLOOKUP(Q22,'⚪设计'!$B$85:$H$113,5,FALSE)),0))</f>
        <v>4</v>
      </c>
      <c r="V22" s="97" t="str">
        <f>IF(VLOOKUP($A22,'⚪设计'!$A$382:$N$405,10,FALSE)="","",VLOOKUP($A22,'⚪设计'!$A$382:$N$405,10,FALSE))</f>
        <v>鸟2</v>
      </c>
      <c r="W22" s="97">
        <f t="shared" si="4"/>
        <v>8</v>
      </c>
      <c r="X22" s="97">
        <f>IF(VLOOKUP($A22,'⚪设计'!$A$382:$N$405,14,FALSE)="","",VLOOKUP($A22,'⚪设计'!$A$382:$N$405,14,FALSE))</f>
        <v>2</v>
      </c>
      <c r="Y22" s="97">
        <f>IF(V22="","",ROUND($D22*VLOOKUP($A22,'⚪设计'!$A$382:$N$405,4,FALSE)/(IF($G22="",0,VLOOKUP($G22,'⚪设计'!$B$85:$H$113,4,FALSE)*$H22)+IF($L22="",0,VLOOKUP($L22,'⚪设计'!$B$85:$H$113,4,FALSE)*$M22)+IF($Q22="",0,VLOOKUP($Q22,'⚪设计'!$B$85:$H$113,4,FALSE)*$R22)+IF($V22="",0,VLOOKUP($V22,'⚪设计'!$B$85:$H$113,4,FALSE)*$W22))*IF(V22="",0,VLOOKUP(V22,'⚪设计'!$B$85:$H$113,4,FALSE)),0))</f>
        <v>972</v>
      </c>
      <c r="Z22" s="97">
        <f>IF(V22="","",ROUND(战斗节奏!$B$14/(IF($G22="",0,VLOOKUP($G22,'⚪设计'!$B$85:$H$113,5,FALSE)*$H22)+IF($L22="",0,VLOOKUP($L22,'⚪设计'!$B$85:$H$113,5,FALSE)*$M22)+IF($Q22="",0,VLOOKUP($Q22,'⚪设计'!$B$85:$H$113,5,FALSE)*$R22)+IF($V22="",0,VLOOKUP($V22,'⚪设计'!$B$85:$H$113,5,FALSE)*$W22))*IF(V22="",0,VLOOKUP(V22,'⚪设计'!$B$85:$H$113,5,FALSE)),0))</f>
        <v>7</v>
      </c>
    </row>
    <row r="23" spans="1:26" x14ac:dyDescent="0.2">
      <c r="A23" s="2" t="str">
        <f t="shared" si="0"/>
        <v>5_4</v>
      </c>
      <c r="B23" s="2">
        <v>5</v>
      </c>
      <c r="C23" s="2">
        <v>4</v>
      </c>
      <c r="D23" s="97">
        <f>VLOOKUP(C23,无限模式!$A$3:$B$22,2,FALSE)</f>
        <v>2160</v>
      </c>
      <c r="E23" s="98">
        <v>1</v>
      </c>
      <c r="F23" s="97">
        <f>VLOOKUP(A23,'⚪设计'!$A$382:$N$405,6,FALSE)</f>
        <v>17.5</v>
      </c>
      <c r="G23" s="97" t="str">
        <f>IF(VLOOKUP($A23,'⚪设计'!$A$382:$N$405,7,FALSE)="","",VLOOKUP($A23,'⚪设计'!$A$382:$N$405,7,FALSE))</f>
        <v>蛋2</v>
      </c>
      <c r="H23" s="97">
        <f t="shared" si="1"/>
        <v>12</v>
      </c>
      <c r="I23" s="97">
        <f>IF(VLOOKUP($A23,'⚪设计'!$A$382:$N$405,11,FALSE)="","",VLOOKUP($A23,'⚪设计'!$A$382:$N$405,11,FALSE))</f>
        <v>1.5</v>
      </c>
      <c r="J23" s="97">
        <f>IF(G23="","",ROUND($D23*VLOOKUP($A23,'⚪设计'!$A$382:$N$405,4,FALSE)/(IF($G23="",0,VLOOKUP($G23,'⚪设计'!$B$85:$H$113,4,FALSE)*$H23)+IF($L23="",0,VLOOKUP($L23,'⚪设计'!$B$85:$H$113,4,FALSE)*$M23)+IF($Q23="",0,VLOOKUP($Q23,'⚪设计'!$B$85:$H$113,4,FALSE)*$R23)+IF($V23="",0,VLOOKUP($V23,'⚪设计'!$B$85:$H$113,4,FALSE)*$W23))*IF(G23="",0,VLOOKUP(G23,'⚪设计'!$B$85:$H$113,4,FALSE)),0))</f>
        <v>1452</v>
      </c>
      <c r="K23" s="97">
        <f>IF(G23="","",ROUND(战斗节奏!$B$14/(IF($G23="",0,VLOOKUP($G23,'⚪设计'!$B$85:$H$113,5,FALSE)*$H23)+IF($L23="",0,VLOOKUP($L23,'⚪设计'!$B$85:$H$113,5,FALSE)*$M23)+IF($Q23="",0,VLOOKUP($Q23,'⚪设计'!$B$85:$H$113,5,FALSE)*$R23)+IF($V23="",0,VLOOKUP($V23,'⚪设计'!$B$85:$H$113,5,FALSE)*$W23))*IF(G23="",0,VLOOKUP(G23,'⚪设计'!$B$85:$H$113,5,FALSE)),0))</f>
        <v>8</v>
      </c>
      <c r="L23" s="97" t="str">
        <f>IF(VLOOKUP($A23,'⚪设计'!$A$382:$N$405,8,FALSE)="","",VLOOKUP($A23,'⚪设计'!$A$382:$N$405,8,FALSE))</f>
        <v>鬼1</v>
      </c>
      <c r="M23" s="97">
        <f t="shared" si="2"/>
        <v>35</v>
      </c>
      <c r="N23" s="97">
        <f>IF(VLOOKUP($A23,'⚪设计'!$A$382:$N$405,12,FALSE)="","",VLOOKUP($A23,'⚪设计'!$A$382:$N$405,12,FALSE))</f>
        <v>0.5</v>
      </c>
      <c r="O23" s="97">
        <f>IF(L23="","",ROUND($D23*VLOOKUP($A23,'⚪设计'!$A$382:$N$405,4,FALSE)/(IF($G23="",0,VLOOKUP($G23,'⚪设计'!$B$85:$H$113,4,FALSE)*$H23)+IF($L23="",0,VLOOKUP($L23,'⚪设计'!$B$85:$H$113,4,FALSE)*$M23)+IF($Q23="",0,VLOOKUP($Q23,'⚪设计'!$B$85:$H$113,4,FALSE)*$R23)+IF($V23="",0,VLOOKUP($V23,'⚪设计'!$B$85:$H$113,4,FALSE)*$W23))*IF(L23="",0,VLOOKUP(L23,'⚪设计'!$B$85:$H$113,4,FALSE)),0))</f>
        <v>363</v>
      </c>
      <c r="P23" s="97">
        <f>IF(L23="","",ROUND(战斗节奏!$B$14/(IF($G23="",0,VLOOKUP($G23,'⚪设计'!$B$85:$H$113,5,FALSE)*$H23)+IF($L23="",0,VLOOKUP($L23,'⚪设计'!$B$85:$H$113,5,FALSE)*$M23)+IF($Q23="",0,VLOOKUP($Q23,'⚪设计'!$B$85:$H$113,5,FALSE)*$R23)+IF($V23="",0,VLOOKUP($V23,'⚪设计'!$B$85:$H$113,5,FALSE)*$W23))*IF(L23="",0,VLOOKUP(L23,'⚪设计'!$B$85:$H$113,5,FALSE)),0))</f>
        <v>4</v>
      </c>
      <c r="Q23" s="97" t="str">
        <f>IF(VLOOKUP($A23,'⚪设计'!$A$382:$N$405,9,FALSE)="","",VLOOKUP($A23,'⚪设计'!$A$382:$N$405,9,FALSE))</f>
        <v>鸟2</v>
      </c>
      <c r="R23" s="97">
        <f t="shared" si="3"/>
        <v>9</v>
      </c>
      <c r="S23" s="97">
        <f>IF(VLOOKUP($A23,'⚪设计'!$A$382:$N$405,13,FALSE)="","",VLOOKUP($A23,'⚪设计'!$A$382:$N$405,13,FALSE))</f>
        <v>2</v>
      </c>
      <c r="T23" s="97">
        <f>IF(Q23="","",ROUND($D23*VLOOKUP($A23,'⚪设计'!$A$382:$N$405,4,FALSE)/(IF($G23="",0,VLOOKUP($G23,'⚪设计'!$B$85:$H$113,4,FALSE)*$H23)+IF($L23="",0,VLOOKUP($L23,'⚪设计'!$B$85:$H$113,4,FALSE)*$M23)+IF($Q23="",0,VLOOKUP($Q23,'⚪设计'!$B$85:$H$113,4,FALSE)*$R23)+IF($V23="",0,VLOOKUP($V23,'⚪设计'!$B$85:$H$113,4,FALSE)*$W23))*IF(Q23="",0,VLOOKUP(Q23,'⚪设计'!$B$85:$H$113,4,FALSE)),0))</f>
        <v>1452</v>
      </c>
      <c r="U23" s="97">
        <f>IF(Q23="","",ROUND(战斗节奏!$B$14/(IF($G23="",0,VLOOKUP($G23,'⚪设计'!$B$85:$H$113,5,FALSE)*$H23)+IF($L23="",0,VLOOKUP($L23,'⚪设计'!$B$85:$H$113,5,FALSE)*$M23)+IF($Q23="",0,VLOOKUP($Q23,'⚪设计'!$B$85:$H$113,5,FALSE)*$R23)+IF($V23="",0,VLOOKUP($V23,'⚪设计'!$B$85:$H$113,5,FALSE)*$W23))*IF(Q23="",0,VLOOKUP(Q23,'⚪设计'!$B$85:$H$113,5,FALSE)),0))</f>
        <v>8</v>
      </c>
      <c r="V23" s="97" t="str">
        <f>IF(VLOOKUP($A23,'⚪设计'!$A$382:$N$405,10,FALSE)="","",VLOOKUP($A23,'⚪设计'!$A$382:$N$405,10,FALSE))</f>
        <v/>
      </c>
      <c r="W23" s="97" t="str">
        <f t="shared" si="4"/>
        <v/>
      </c>
      <c r="X23" s="97" t="str">
        <f>IF(VLOOKUP($A23,'⚪设计'!$A$382:$N$405,14,FALSE)="","",VLOOKUP($A23,'⚪设计'!$A$382:$N$405,14,FALSE))</f>
        <v/>
      </c>
      <c r="Y23" s="97" t="str">
        <f>IF(V23="","",ROUND($D23*VLOOKUP($A23,'⚪设计'!$A$382:$N$405,4,FALSE)/(IF($G23="",0,VLOOKUP($G23,'⚪设计'!$B$85:$H$113,4,FALSE)*$H23)+IF($L23="",0,VLOOKUP($L23,'⚪设计'!$B$85:$H$113,4,FALSE)*$M23)+IF($Q23="",0,VLOOKUP($Q23,'⚪设计'!$B$85:$H$113,4,FALSE)*$R23)+IF($V23="",0,VLOOKUP($V23,'⚪设计'!$B$85:$H$113,4,FALSE)*$W23))*IF(V23="",0,VLOOKUP(V23,'⚪设计'!$B$85:$H$113,4,FALSE)),0))</f>
        <v/>
      </c>
      <c r="Z23" s="97" t="str">
        <f>IF(V23="","",ROUND(战斗节奏!$B$14/(IF($G23="",0,VLOOKUP($G23,'⚪设计'!$B$85:$H$113,5,FALSE)*$H23)+IF($L23="",0,VLOOKUP($L23,'⚪设计'!$B$85:$H$113,5,FALSE)*$M23)+IF($Q23="",0,VLOOKUP($Q23,'⚪设计'!$B$85:$H$113,5,FALSE)*$R23)+IF($V23="",0,VLOOKUP($V23,'⚪设计'!$B$85:$H$113,5,FALSE)*$W23))*IF(V23="",0,VLOOKUP(V23,'⚪设计'!$B$85:$H$113,5,FALSE)),0))</f>
        <v/>
      </c>
    </row>
    <row r="24" spans="1:26" x14ac:dyDescent="0.2">
      <c r="A24" s="2" t="str">
        <f t="shared" si="0"/>
        <v>5_5</v>
      </c>
      <c r="B24" s="2">
        <v>5</v>
      </c>
      <c r="C24" s="2">
        <v>5</v>
      </c>
      <c r="D24" s="97">
        <f>VLOOKUP(C24,无限模式!$A$3:$B$22,2,FALSE)</f>
        <v>2700</v>
      </c>
      <c r="E24" s="98">
        <v>1</v>
      </c>
      <c r="F24" s="97">
        <f>VLOOKUP(A24,'⚪设计'!$A$382:$N$405,6,FALSE)</f>
        <v>20</v>
      </c>
      <c r="G24" s="97" t="str">
        <f>IF(VLOOKUP($A24,'⚪设计'!$A$382:$N$405,7,FALSE)="","",VLOOKUP($A24,'⚪设计'!$A$382:$N$405,7,FALSE))</f>
        <v>蛋2</v>
      </c>
      <c r="H24" s="97">
        <f t="shared" si="1"/>
        <v>13</v>
      </c>
      <c r="I24" s="97">
        <f>IF(VLOOKUP($A24,'⚪设计'!$A$382:$N$405,11,FALSE)="","",VLOOKUP($A24,'⚪设计'!$A$382:$N$405,11,FALSE))</f>
        <v>1.5</v>
      </c>
      <c r="J24" s="97">
        <f>IF(G24="","",ROUND($D24*VLOOKUP($A24,'⚪设计'!$A$382:$N$405,4,FALSE)/(IF($G24="",0,VLOOKUP($G24,'⚪设计'!$B$85:$H$113,4,FALSE)*$H24)+IF($L24="",0,VLOOKUP($L24,'⚪设计'!$B$85:$H$113,4,FALSE)*$M24)+IF($Q24="",0,VLOOKUP($Q24,'⚪设计'!$B$85:$H$113,4,FALSE)*$R24)+IF($V24="",0,VLOOKUP($V24,'⚪设计'!$B$85:$H$113,4,FALSE)*$W24))*IF(G24="",0,VLOOKUP(G24,'⚪设计'!$B$85:$H$113,4,FALSE)),0))</f>
        <v>1069</v>
      </c>
      <c r="K24" s="97">
        <f>IF(G24="","",ROUND(战斗节奏!$B$14/(IF($G24="",0,VLOOKUP($G24,'⚪设计'!$B$85:$H$113,5,FALSE)*$H24)+IF($L24="",0,VLOOKUP($L24,'⚪设计'!$B$85:$H$113,5,FALSE)*$M24)+IF($Q24="",0,VLOOKUP($Q24,'⚪设计'!$B$85:$H$113,5,FALSE)*$R24)+IF($V24="",0,VLOOKUP($V24,'⚪设计'!$B$85:$H$113,5,FALSE)*$W24))*IF(G24="",0,VLOOKUP(G24,'⚪设计'!$B$85:$H$113,5,FALSE)),0))</f>
        <v>5</v>
      </c>
      <c r="L24" s="97" t="str">
        <f>IF(VLOOKUP($A24,'⚪设计'!$A$382:$N$405,8,FALSE)="","",VLOOKUP($A24,'⚪设计'!$A$382:$N$405,8,FALSE))</f>
        <v>鬼1</v>
      </c>
      <c r="M24" s="97">
        <f t="shared" si="2"/>
        <v>40</v>
      </c>
      <c r="N24" s="97">
        <f>IF(VLOOKUP($A24,'⚪设计'!$A$382:$N$405,12,FALSE)="","",VLOOKUP($A24,'⚪设计'!$A$382:$N$405,12,FALSE))</f>
        <v>0.5</v>
      </c>
      <c r="O24" s="97">
        <f>IF(L24="","",ROUND($D24*VLOOKUP($A24,'⚪设计'!$A$382:$N$405,4,FALSE)/(IF($G24="",0,VLOOKUP($G24,'⚪设计'!$B$85:$H$113,4,FALSE)*$H24)+IF($L24="",0,VLOOKUP($L24,'⚪设计'!$B$85:$H$113,4,FALSE)*$M24)+IF($Q24="",0,VLOOKUP($Q24,'⚪设计'!$B$85:$H$113,4,FALSE)*$R24)+IF($V24="",0,VLOOKUP($V24,'⚪设计'!$B$85:$H$113,4,FALSE)*$W24))*IF(L24="",0,VLOOKUP(L24,'⚪设计'!$B$85:$H$113,4,FALSE)),0))</f>
        <v>267</v>
      </c>
      <c r="P24" s="97">
        <f>IF(L24="","",ROUND(战斗节奏!$B$14/(IF($G24="",0,VLOOKUP($G24,'⚪设计'!$B$85:$H$113,5,FALSE)*$H24)+IF($L24="",0,VLOOKUP($L24,'⚪设计'!$B$85:$H$113,5,FALSE)*$M24)+IF($Q24="",0,VLOOKUP($Q24,'⚪设计'!$B$85:$H$113,5,FALSE)*$R24)+IF($V24="",0,VLOOKUP($V24,'⚪设计'!$B$85:$H$113,5,FALSE)*$W24))*IF(L24="",0,VLOOKUP(L24,'⚪设计'!$B$85:$H$113,5,FALSE)),0))</f>
        <v>2</v>
      </c>
      <c r="Q24" s="97" t="str">
        <f>IF(VLOOKUP($A24,'⚪设计'!$A$382:$N$405,9,FALSE)="","",VLOOKUP($A24,'⚪设计'!$A$382:$N$405,9,FALSE))</f>
        <v>种子1</v>
      </c>
      <c r="R24" s="97">
        <f t="shared" si="3"/>
        <v>10</v>
      </c>
      <c r="S24" s="97">
        <f>IF(VLOOKUP($A24,'⚪设计'!$A$382:$N$405,13,FALSE)="","",VLOOKUP($A24,'⚪设计'!$A$382:$N$405,13,FALSE))</f>
        <v>2</v>
      </c>
      <c r="T24" s="97">
        <f>IF(Q24="","",ROUND($D24*VLOOKUP($A24,'⚪设计'!$A$382:$N$405,4,FALSE)/(IF($G24="",0,VLOOKUP($G24,'⚪设计'!$B$85:$H$113,4,FALSE)*$H24)+IF($L24="",0,VLOOKUP($L24,'⚪设计'!$B$85:$H$113,4,FALSE)*$M24)+IF($Q24="",0,VLOOKUP($Q24,'⚪设计'!$B$85:$H$113,4,FALSE)*$R24)+IF($V24="",0,VLOOKUP($V24,'⚪设计'!$B$85:$H$113,4,FALSE)*$W24))*IF(Q24="",0,VLOOKUP(Q24,'⚪设计'!$B$85:$H$113,4,FALSE)),0))</f>
        <v>802</v>
      </c>
      <c r="U24" s="97">
        <f>IF(Q24="","",ROUND(战斗节奏!$B$14/(IF($G24="",0,VLOOKUP($G24,'⚪设计'!$B$85:$H$113,5,FALSE)*$H24)+IF($L24="",0,VLOOKUP($L24,'⚪设计'!$B$85:$H$113,5,FALSE)*$M24)+IF($Q24="",0,VLOOKUP($Q24,'⚪设计'!$B$85:$H$113,5,FALSE)*$R24)+IF($V24="",0,VLOOKUP($V24,'⚪设计'!$B$85:$H$113,5,FALSE)*$W24))*IF(Q24="",0,VLOOKUP(Q24,'⚪设计'!$B$85:$H$113,5,FALSE)),0))</f>
        <v>5</v>
      </c>
      <c r="V24" s="97" t="str">
        <f>IF(VLOOKUP($A24,'⚪设计'!$A$382:$N$405,10,FALSE)="","",VLOOKUP($A24,'⚪设计'!$A$382:$N$405,10,FALSE))</f>
        <v>鸟2</v>
      </c>
      <c r="W24" s="97">
        <f t="shared" si="4"/>
        <v>20</v>
      </c>
      <c r="X24" s="97">
        <f>IF(VLOOKUP($A24,'⚪设计'!$A$382:$N$405,14,FALSE)="","",VLOOKUP($A24,'⚪设计'!$A$382:$N$405,14,FALSE))</f>
        <v>1</v>
      </c>
      <c r="Y24" s="97">
        <f>IF(V24="","",ROUND($D24*VLOOKUP($A24,'⚪设计'!$A$382:$N$405,4,FALSE)/(IF($G24="",0,VLOOKUP($G24,'⚪设计'!$B$85:$H$113,4,FALSE)*$H24)+IF($L24="",0,VLOOKUP($L24,'⚪设计'!$B$85:$H$113,4,FALSE)*$M24)+IF($Q24="",0,VLOOKUP($Q24,'⚪设计'!$B$85:$H$113,4,FALSE)*$R24)+IF($V24="",0,VLOOKUP($V24,'⚪设计'!$B$85:$H$113,4,FALSE)*$W24))*IF(V24="",0,VLOOKUP(V24,'⚪设计'!$B$85:$H$113,4,FALSE)),0))</f>
        <v>1069</v>
      </c>
      <c r="Z24" s="97">
        <f>IF(V24="","",ROUND(战斗节奏!$B$14/(IF($G24="",0,VLOOKUP($G24,'⚪设计'!$B$85:$H$113,5,FALSE)*$H24)+IF($L24="",0,VLOOKUP($L24,'⚪设计'!$B$85:$H$113,5,FALSE)*$M24)+IF($Q24="",0,VLOOKUP($Q24,'⚪设计'!$B$85:$H$113,5,FALSE)*$R24)+IF($V24="",0,VLOOKUP($V24,'⚪设计'!$B$85:$H$113,5,FALSE)*$W24))*IF(V24="",0,VLOOKUP(V24,'⚪设计'!$B$85:$H$113,5,FALSE)),0))</f>
        <v>5</v>
      </c>
    </row>
    <row r="25" spans="1:26" x14ac:dyDescent="0.2">
      <c r="A25" s="2" t="str">
        <f t="shared" si="0"/>
        <v>5_6</v>
      </c>
      <c r="B25" s="2">
        <v>5</v>
      </c>
      <c r="C25" s="2">
        <v>6</v>
      </c>
      <c r="D25" s="97">
        <f>VLOOKUP(C25,无限模式!$A$3:$B$22,2,FALSE)</f>
        <v>3240</v>
      </c>
      <c r="E25" s="98">
        <v>1</v>
      </c>
      <c r="F25" s="97">
        <f>VLOOKUP(A25,'⚪设计'!$A$382:$N$405,6,FALSE)</f>
        <v>22.5</v>
      </c>
      <c r="G25" s="97" t="str">
        <f>IF(VLOOKUP($A25,'⚪设计'!$A$382:$N$405,7,FALSE)="","",VLOOKUP($A25,'⚪设计'!$A$382:$N$405,7,FALSE))</f>
        <v>蛋2</v>
      </c>
      <c r="H25" s="97">
        <f t="shared" si="1"/>
        <v>15</v>
      </c>
      <c r="I25" s="97">
        <f>IF(VLOOKUP($A25,'⚪设计'!$A$382:$N$405,11,FALSE)="","",VLOOKUP($A25,'⚪设计'!$A$382:$N$405,11,FALSE))</f>
        <v>1.5</v>
      </c>
      <c r="J25" s="97">
        <f>IF(G25="","",ROUND($D25*VLOOKUP($A25,'⚪设计'!$A$382:$N$405,4,FALSE)/(IF($G25="",0,VLOOKUP($G25,'⚪设计'!$B$85:$H$113,4,FALSE)*$H25)+IF($L25="",0,VLOOKUP($L25,'⚪设计'!$B$85:$H$113,4,FALSE)*$M25)+IF($Q25="",0,VLOOKUP($Q25,'⚪设计'!$B$85:$H$113,4,FALSE)*$R25)+IF($V25="",0,VLOOKUP($V25,'⚪设计'!$B$85:$H$113,4,FALSE)*$W25))*IF(G25="",0,VLOOKUP(G25,'⚪设计'!$B$85:$H$113,4,FALSE)),0))</f>
        <v>1568</v>
      </c>
      <c r="K25" s="97">
        <f>IF(G25="","",ROUND(战斗节奏!$B$14/(IF($G25="",0,VLOOKUP($G25,'⚪设计'!$B$85:$H$113,5,FALSE)*$H25)+IF($L25="",0,VLOOKUP($L25,'⚪设计'!$B$85:$H$113,5,FALSE)*$M25)+IF($Q25="",0,VLOOKUP($Q25,'⚪设计'!$B$85:$H$113,5,FALSE)*$R25)+IF($V25="",0,VLOOKUP($V25,'⚪设计'!$B$85:$H$113,5,FALSE)*$W25))*IF(G25="",0,VLOOKUP(G25,'⚪设计'!$B$85:$H$113,5,FALSE)),0))</f>
        <v>5</v>
      </c>
      <c r="L25" s="97" t="str">
        <f>IF(VLOOKUP($A25,'⚪设计'!$A$382:$N$405,8,FALSE)="","",VLOOKUP($A25,'⚪设计'!$A$382:$N$405,8,FALSE))</f>
        <v>种子2</v>
      </c>
      <c r="M25" s="97">
        <f t="shared" si="2"/>
        <v>11</v>
      </c>
      <c r="N25" s="97">
        <f>IF(VLOOKUP($A25,'⚪设计'!$A$382:$N$405,12,FALSE)="","",VLOOKUP($A25,'⚪设计'!$A$382:$N$405,12,FALSE))</f>
        <v>2</v>
      </c>
      <c r="O25" s="97">
        <f>IF(L25="","",ROUND($D25*VLOOKUP($A25,'⚪设计'!$A$382:$N$405,4,FALSE)/(IF($G25="",0,VLOOKUP($G25,'⚪设计'!$B$85:$H$113,4,FALSE)*$H25)+IF($L25="",0,VLOOKUP($L25,'⚪设计'!$B$85:$H$113,4,FALSE)*$M25)+IF($Q25="",0,VLOOKUP($Q25,'⚪设计'!$B$85:$H$113,4,FALSE)*$R25)+IF($V25="",0,VLOOKUP($V25,'⚪设计'!$B$85:$H$113,4,FALSE)*$W25))*IF(L25="",0,VLOOKUP(L25,'⚪设计'!$B$85:$H$113,4,FALSE)),0))</f>
        <v>2352</v>
      </c>
      <c r="P25" s="97">
        <f>IF(L25="","",ROUND(战斗节奏!$B$14/(IF($G25="",0,VLOOKUP($G25,'⚪设计'!$B$85:$H$113,5,FALSE)*$H25)+IF($L25="",0,VLOOKUP($L25,'⚪设计'!$B$85:$H$113,5,FALSE)*$M25)+IF($Q25="",0,VLOOKUP($Q25,'⚪设计'!$B$85:$H$113,5,FALSE)*$R25)+IF($V25="",0,VLOOKUP($V25,'⚪设计'!$B$85:$H$113,5,FALSE)*$W25))*IF(L25="",0,VLOOKUP(L25,'⚪设计'!$B$85:$H$113,5,FALSE)),0))</f>
        <v>5</v>
      </c>
      <c r="Q25" s="97" t="str">
        <f>IF(VLOOKUP($A25,'⚪设计'!$A$382:$N$405,9,FALSE)="","",VLOOKUP($A25,'⚪设计'!$A$382:$N$405,9,FALSE))</f>
        <v>蜘蛛2</v>
      </c>
      <c r="R25" s="97">
        <f t="shared" si="3"/>
        <v>15</v>
      </c>
      <c r="S25" s="97">
        <f>IF(VLOOKUP($A25,'⚪设计'!$A$382:$N$405,13,FALSE)="","",VLOOKUP($A25,'⚪设计'!$A$382:$N$405,13,FALSE))</f>
        <v>1.5</v>
      </c>
      <c r="T25" s="97">
        <f>IF(Q25="","",ROUND($D25*VLOOKUP($A25,'⚪设计'!$A$382:$N$405,4,FALSE)/(IF($G25="",0,VLOOKUP($G25,'⚪设计'!$B$85:$H$113,4,FALSE)*$H25)+IF($L25="",0,VLOOKUP($L25,'⚪设计'!$B$85:$H$113,4,FALSE)*$M25)+IF($Q25="",0,VLOOKUP($Q25,'⚪设计'!$B$85:$H$113,4,FALSE)*$R25)+IF($V25="",0,VLOOKUP($V25,'⚪设计'!$B$85:$H$113,4,FALSE)*$W25))*IF(Q25="",0,VLOOKUP(Q25,'⚪设计'!$B$85:$H$113,4,FALSE)),0))</f>
        <v>784</v>
      </c>
      <c r="U25" s="97">
        <f>IF(Q25="","",ROUND(战斗节奏!$B$14/(IF($G25="",0,VLOOKUP($G25,'⚪设计'!$B$85:$H$113,5,FALSE)*$H25)+IF($L25="",0,VLOOKUP($L25,'⚪设计'!$B$85:$H$113,5,FALSE)*$M25)+IF($Q25="",0,VLOOKUP($Q25,'⚪设计'!$B$85:$H$113,5,FALSE)*$R25)+IF($V25="",0,VLOOKUP($V25,'⚪设计'!$B$85:$H$113,5,FALSE)*$W25))*IF(Q25="",0,VLOOKUP(Q25,'⚪设计'!$B$85:$H$113,5,FALSE)),0))</f>
        <v>3</v>
      </c>
      <c r="V25" s="97" t="str">
        <f>IF(VLOOKUP($A25,'⚪设计'!$A$382:$N$405,10,FALSE)="","",VLOOKUP($A25,'⚪设计'!$A$382:$N$405,10,FALSE))</f>
        <v>鸟2</v>
      </c>
      <c r="W25" s="97">
        <f t="shared" si="4"/>
        <v>23</v>
      </c>
      <c r="X25" s="97">
        <f>IF(VLOOKUP($A25,'⚪设计'!$A$382:$N$405,14,FALSE)="","",VLOOKUP($A25,'⚪设计'!$A$382:$N$405,14,FALSE))</f>
        <v>1</v>
      </c>
      <c r="Y25" s="97">
        <f>IF(V25="","",ROUND($D25*VLOOKUP($A25,'⚪设计'!$A$382:$N$405,4,FALSE)/(IF($G25="",0,VLOOKUP($G25,'⚪设计'!$B$85:$H$113,4,FALSE)*$H25)+IF($L25="",0,VLOOKUP($L25,'⚪设计'!$B$85:$H$113,4,FALSE)*$M25)+IF($Q25="",0,VLOOKUP($Q25,'⚪设计'!$B$85:$H$113,4,FALSE)*$R25)+IF($V25="",0,VLOOKUP($V25,'⚪设计'!$B$85:$H$113,4,FALSE)*$W25))*IF(V25="",0,VLOOKUP(V25,'⚪设计'!$B$85:$H$113,4,FALSE)),0))</f>
        <v>1568</v>
      </c>
      <c r="Z25" s="97">
        <f>IF(V25="","",ROUND(战斗节奏!$B$14/(IF($G25="",0,VLOOKUP($G25,'⚪设计'!$B$85:$H$113,5,FALSE)*$H25)+IF($L25="",0,VLOOKUP($L25,'⚪设计'!$B$85:$H$113,5,FALSE)*$M25)+IF($Q25="",0,VLOOKUP($Q25,'⚪设计'!$B$85:$H$113,5,FALSE)*$R25)+IF($V25="",0,VLOOKUP($V25,'⚪设计'!$B$85:$H$113,5,FALSE)*$W25))*IF(V25="",0,VLOOKUP(V25,'⚪设计'!$B$85:$H$113,5,FALSE)),0))</f>
        <v>5</v>
      </c>
    </row>
    <row r="26" spans="1:26" x14ac:dyDescent="0.2">
      <c r="A26" s="2" t="str">
        <f t="shared" si="0"/>
        <v>5_7</v>
      </c>
      <c r="B26" s="2">
        <v>5</v>
      </c>
      <c r="C26" s="2">
        <v>7</v>
      </c>
      <c r="D26" s="97">
        <f>VLOOKUP(C26,无限模式!$A$3:$B$22,2,FALSE)</f>
        <v>3780</v>
      </c>
      <c r="E26" s="98">
        <v>1</v>
      </c>
      <c r="F26" s="97">
        <f>VLOOKUP(A26,'⚪设计'!$A$382:$N$405,6,FALSE)</f>
        <v>25</v>
      </c>
      <c r="G26" s="97" t="str">
        <f>IF(VLOOKUP($A26,'⚪设计'!$A$382:$N$405,7,FALSE)="","",VLOOKUP($A26,'⚪设计'!$A$382:$N$405,7,FALSE))</f>
        <v>蛋2</v>
      </c>
      <c r="H26" s="97">
        <f t="shared" si="1"/>
        <v>25</v>
      </c>
      <c r="I26" s="97">
        <f>IF(VLOOKUP($A26,'⚪设计'!$A$382:$N$405,11,FALSE)="","",VLOOKUP($A26,'⚪设计'!$A$382:$N$405,11,FALSE))</f>
        <v>1</v>
      </c>
      <c r="J26" s="97">
        <f>IF(G26="","",ROUND($D26*VLOOKUP($A26,'⚪设计'!$A$382:$N$405,4,FALSE)/(IF($G26="",0,VLOOKUP($G26,'⚪设计'!$B$85:$H$113,4,FALSE)*$H26)+IF($L26="",0,VLOOKUP($L26,'⚪设计'!$B$85:$H$113,4,FALSE)*$M26)+IF($Q26="",0,VLOOKUP($Q26,'⚪设计'!$B$85:$H$113,4,FALSE)*$R26)+IF($V26="",0,VLOOKUP($V26,'⚪设计'!$B$85:$H$113,4,FALSE)*$W26))*IF(G26="",0,VLOOKUP(G26,'⚪设计'!$B$85:$H$113,4,FALSE)),0))</f>
        <v>2268</v>
      </c>
      <c r="K26" s="97">
        <f>IF(G26="","",ROUND(战斗节奏!$B$14/(IF($G26="",0,VLOOKUP($G26,'⚪设计'!$B$85:$H$113,5,FALSE)*$H26)+IF($L26="",0,VLOOKUP($L26,'⚪设计'!$B$85:$H$113,5,FALSE)*$M26)+IF($Q26="",0,VLOOKUP($Q26,'⚪设计'!$B$85:$H$113,5,FALSE)*$R26)+IF($V26="",0,VLOOKUP($V26,'⚪设计'!$B$85:$H$113,5,FALSE)*$W26))*IF(G26="",0,VLOOKUP(G26,'⚪设计'!$B$85:$H$113,5,FALSE)),0))</f>
        <v>4</v>
      </c>
      <c r="L26" s="97" t="str">
        <f>IF(VLOOKUP($A26,'⚪设计'!$A$382:$N$405,8,FALSE)="","",VLOOKUP($A26,'⚪设计'!$A$382:$N$405,8,FALSE))</f>
        <v>鬼2</v>
      </c>
      <c r="M26" s="97">
        <f t="shared" si="2"/>
        <v>25</v>
      </c>
      <c r="N26" s="97">
        <f>IF(VLOOKUP($A26,'⚪设计'!$A$382:$N$405,12,FALSE)="","",VLOOKUP($A26,'⚪设计'!$A$382:$N$405,12,FALSE))</f>
        <v>1</v>
      </c>
      <c r="O26" s="97">
        <f>IF(L26="","",ROUND($D26*VLOOKUP($A26,'⚪设计'!$A$382:$N$405,4,FALSE)/(IF($G26="",0,VLOOKUP($G26,'⚪设计'!$B$85:$H$113,4,FALSE)*$H26)+IF($L26="",0,VLOOKUP($L26,'⚪设计'!$B$85:$H$113,4,FALSE)*$M26)+IF($Q26="",0,VLOOKUP($Q26,'⚪设计'!$B$85:$H$113,4,FALSE)*$R26)+IF($V26="",0,VLOOKUP($V26,'⚪设计'!$B$85:$H$113,4,FALSE)*$W26))*IF(L26="",0,VLOOKUP(L26,'⚪设计'!$B$85:$H$113,4,FALSE)),0))</f>
        <v>1134</v>
      </c>
      <c r="P26" s="97">
        <f>IF(L26="","",ROUND(战斗节奏!$B$14/(IF($G26="",0,VLOOKUP($G26,'⚪设计'!$B$85:$H$113,5,FALSE)*$H26)+IF($L26="",0,VLOOKUP($L26,'⚪设计'!$B$85:$H$113,5,FALSE)*$M26)+IF($Q26="",0,VLOOKUP($Q26,'⚪设计'!$B$85:$H$113,5,FALSE)*$R26)+IF($V26="",0,VLOOKUP($V26,'⚪设计'!$B$85:$H$113,5,FALSE)*$W26))*IF(L26="",0,VLOOKUP(L26,'⚪设计'!$B$85:$H$113,5,FALSE)),0))</f>
        <v>2</v>
      </c>
      <c r="Q26" s="97" t="str">
        <f>IF(VLOOKUP($A26,'⚪设计'!$A$382:$N$405,9,FALSE)="","",VLOOKUP($A26,'⚪设计'!$A$382:$N$405,9,FALSE))</f>
        <v>蝙蝠2</v>
      </c>
      <c r="R26" s="97">
        <f t="shared" si="3"/>
        <v>50</v>
      </c>
      <c r="S26" s="97">
        <f>IF(VLOOKUP($A26,'⚪设计'!$A$382:$N$405,13,FALSE)="","",VLOOKUP($A26,'⚪设计'!$A$382:$N$405,13,FALSE))</f>
        <v>0.5</v>
      </c>
      <c r="T26" s="97">
        <f>IF(Q26="","",ROUND($D26*VLOOKUP($A26,'⚪设计'!$A$382:$N$405,4,FALSE)/(IF($G26="",0,VLOOKUP($G26,'⚪设计'!$B$85:$H$113,4,FALSE)*$H26)+IF($L26="",0,VLOOKUP($L26,'⚪设计'!$B$85:$H$113,4,FALSE)*$M26)+IF($Q26="",0,VLOOKUP($Q26,'⚪设计'!$B$85:$H$113,4,FALSE)*$R26)+IF($V26="",0,VLOOKUP($V26,'⚪设计'!$B$85:$H$113,4,FALSE)*$W26))*IF(Q26="",0,VLOOKUP(Q26,'⚪设计'!$B$85:$H$113,4,FALSE)),0))</f>
        <v>567</v>
      </c>
      <c r="U26" s="97">
        <f>IF(Q26="","",ROUND(战斗节奏!$B$14/(IF($G26="",0,VLOOKUP($G26,'⚪设计'!$B$85:$H$113,5,FALSE)*$H26)+IF($L26="",0,VLOOKUP($L26,'⚪设计'!$B$85:$H$113,5,FALSE)*$M26)+IF($Q26="",0,VLOOKUP($Q26,'⚪设计'!$B$85:$H$113,5,FALSE)*$R26)+IF($V26="",0,VLOOKUP($V26,'⚪设计'!$B$85:$H$113,5,FALSE)*$W26))*IF(Q26="",0,VLOOKUP(Q26,'⚪设计'!$B$85:$H$113,5,FALSE)),0))</f>
        <v>1</v>
      </c>
      <c r="V26" s="97" t="str">
        <f>IF(VLOOKUP($A26,'⚪设计'!$A$382:$N$405,10,FALSE)="","",VLOOKUP($A26,'⚪设计'!$A$382:$N$405,10,FALSE))</f>
        <v>鸟2</v>
      </c>
      <c r="W26" s="97">
        <f t="shared" si="4"/>
        <v>25</v>
      </c>
      <c r="X26" s="97">
        <f>IF(VLOOKUP($A26,'⚪设计'!$A$382:$N$405,14,FALSE)="","",VLOOKUP($A26,'⚪设计'!$A$382:$N$405,14,FALSE))</f>
        <v>1</v>
      </c>
      <c r="Y26" s="97">
        <f>IF(V26="","",ROUND($D26*VLOOKUP($A26,'⚪设计'!$A$382:$N$405,4,FALSE)/(IF($G26="",0,VLOOKUP($G26,'⚪设计'!$B$85:$H$113,4,FALSE)*$H26)+IF($L26="",0,VLOOKUP($L26,'⚪设计'!$B$85:$H$113,4,FALSE)*$M26)+IF($Q26="",0,VLOOKUP($Q26,'⚪设计'!$B$85:$H$113,4,FALSE)*$R26)+IF($V26="",0,VLOOKUP($V26,'⚪设计'!$B$85:$H$113,4,FALSE)*$W26))*IF(V26="",0,VLOOKUP(V26,'⚪设计'!$B$85:$H$113,4,FALSE)),0))</f>
        <v>2268</v>
      </c>
      <c r="Z26" s="97">
        <f>IF(V26="","",ROUND(战斗节奏!$B$14/(IF($G26="",0,VLOOKUP($G26,'⚪设计'!$B$85:$H$113,5,FALSE)*$H26)+IF($L26="",0,VLOOKUP($L26,'⚪设计'!$B$85:$H$113,5,FALSE)*$M26)+IF($Q26="",0,VLOOKUP($Q26,'⚪设计'!$B$85:$H$113,5,FALSE)*$R26)+IF($V26="",0,VLOOKUP($V26,'⚪设计'!$B$85:$H$113,5,FALSE)*$W26))*IF(V26="",0,VLOOKUP(V26,'⚪设计'!$B$85:$H$113,5,FALSE)),0))</f>
        <v>4</v>
      </c>
    </row>
    <row r="27" spans="1:26" x14ac:dyDescent="0.2">
      <c r="A27" s="2" t="str">
        <f t="shared" si="0"/>
        <v>5_8</v>
      </c>
      <c r="B27" s="2">
        <v>5</v>
      </c>
      <c r="C27" s="2">
        <v>8</v>
      </c>
      <c r="D27" s="97">
        <f>VLOOKUP(C27,无限模式!$A$3:$B$22,2,FALSE)</f>
        <v>4320</v>
      </c>
      <c r="E27" s="98">
        <v>1</v>
      </c>
      <c r="F27" s="97">
        <f>VLOOKUP(A27,'⚪设计'!$A$382:$N$405,6,FALSE)</f>
        <v>27.5</v>
      </c>
      <c r="G27" s="97" t="str">
        <f>IF(VLOOKUP($A27,'⚪设计'!$A$382:$N$405,7,FALSE)="","",VLOOKUP($A27,'⚪设计'!$A$382:$N$405,7,FALSE))</f>
        <v>蛋3</v>
      </c>
      <c r="H27" s="97">
        <f t="shared" si="1"/>
        <v>1</v>
      </c>
      <c r="I27" s="97">
        <f>IF(VLOOKUP($A27,'⚪设计'!$A$382:$N$405,11,FALSE)="","",VLOOKUP($A27,'⚪设计'!$A$382:$N$405,11,FALSE))</f>
        <v>0</v>
      </c>
      <c r="J27" s="97">
        <f>IF(G27="","",ROUND($D27*VLOOKUP($A27,'⚪设计'!$A$382:$N$405,4,FALSE)/(IF($G27="",0,VLOOKUP($G27,'⚪设计'!$B$85:$H$113,4,FALSE)*$H27)+IF($L27="",0,VLOOKUP($L27,'⚪设计'!$B$85:$H$113,4,FALSE)*$M27)+IF($Q27="",0,VLOOKUP($Q27,'⚪设计'!$B$85:$H$113,4,FALSE)*$R27)+IF($V27="",0,VLOOKUP($V27,'⚪设计'!$B$85:$H$113,4,FALSE)*$W27))*IF(G27="",0,VLOOKUP(G27,'⚪设计'!$B$85:$H$113,4,FALSE)),0))</f>
        <v>23718</v>
      </c>
      <c r="K27" s="97">
        <f>IF(G27="","",ROUND(战斗节奏!$B$14/(IF($G27="",0,VLOOKUP($G27,'⚪设计'!$B$85:$H$113,5,FALSE)*$H27)+IF($L27="",0,VLOOKUP($L27,'⚪设计'!$B$85:$H$113,5,FALSE)*$M27)+IF($Q27="",0,VLOOKUP($Q27,'⚪设计'!$B$85:$H$113,5,FALSE)*$R27)+IF($V27="",0,VLOOKUP($V27,'⚪设计'!$B$85:$H$113,5,FALSE)*$W27))*IF(G27="",0,VLOOKUP(G27,'⚪设计'!$B$85:$H$113,5,FALSE)),0))</f>
        <v>85</v>
      </c>
      <c r="L27" s="97" t="str">
        <f>IF(VLOOKUP($A27,'⚪设计'!$A$382:$N$405,8,FALSE)="","",VLOOKUP($A27,'⚪设计'!$A$382:$N$405,8,FALSE))</f>
        <v>鬼2</v>
      </c>
      <c r="M27" s="97">
        <f t="shared" si="2"/>
        <v>55</v>
      </c>
      <c r="N27" s="97">
        <f>IF(VLOOKUP($A27,'⚪设计'!$A$382:$N$405,12,FALSE)="","",VLOOKUP($A27,'⚪设计'!$A$382:$N$405,12,FALSE))</f>
        <v>0.5</v>
      </c>
      <c r="O27" s="97">
        <f>IF(L27="","",ROUND($D27*VLOOKUP($A27,'⚪设计'!$A$382:$N$405,4,FALSE)/(IF($G27="",0,VLOOKUP($G27,'⚪设计'!$B$85:$H$113,4,FALSE)*$H27)+IF($L27="",0,VLOOKUP($L27,'⚪设计'!$B$85:$H$113,4,FALSE)*$M27)+IF($Q27="",0,VLOOKUP($Q27,'⚪设计'!$B$85:$H$113,4,FALSE)*$R27)+IF($V27="",0,VLOOKUP($V27,'⚪设计'!$B$85:$H$113,4,FALSE)*$W27))*IF(L27="",0,VLOOKUP(L27,'⚪设计'!$B$85:$H$113,4,FALSE)),0))</f>
        <v>1186</v>
      </c>
      <c r="P27" s="97">
        <f>IF(L27="","",ROUND(战斗节奏!$B$14/(IF($G27="",0,VLOOKUP($G27,'⚪设计'!$B$85:$H$113,5,FALSE)*$H27)+IF($L27="",0,VLOOKUP($L27,'⚪设计'!$B$85:$H$113,5,FALSE)*$M27)+IF($Q27="",0,VLOOKUP($Q27,'⚪设计'!$B$85:$H$113,5,FALSE)*$R27)+IF($V27="",0,VLOOKUP($V27,'⚪设计'!$B$85:$H$113,5,FALSE)*$W27))*IF(L27="",0,VLOOKUP(L27,'⚪设计'!$B$85:$H$113,5,FALSE)),0))</f>
        <v>2</v>
      </c>
      <c r="Q27" s="97" t="str">
        <f>IF(VLOOKUP($A27,'⚪设计'!$A$382:$N$405,9,FALSE)="","",VLOOKUP($A27,'⚪设计'!$A$382:$N$405,9,FALSE))</f>
        <v>种子2</v>
      </c>
      <c r="R27" s="97">
        <f t="shared" si="3"/>
        <v>14</v>
      </c>
      <c r="S27" s="97">
        <f>IF(VLOOKUP($A27,'⚪设计'!$A$382:$N$405,13,FALSE)="","",VLOOKUP($A27,'⚪设计'!$A$382:$N$405,13,FALSE))</f>
        <v>2</v>
      </c>
      <c r="T27" s="97">
        <f>IF(Q27="","",ROUND($D27*VLOOKUP($A27,'⚪设计'!$A$382:$N$405,4,FALSE)/(IF($G27="",0,VLOOKUP($G27,'⚪设计'!$B$85:$H$113,4,FALSE)*$H27)+IF($L27="",0,VLOOKUP($L27,'⚪设计'!$B$85:$H$113,4,FALSE)*$M27)+IF($Q27="",0,VLOOKUP($Q27,'⚪设计'!$B$85:$H$113,4,FALSE)*$R27)+IF($V27="",0,VLOOKUP($V27,'⚪设计'!$B$85:$H$113,4,FALSE)*$W27))*IF(Q27="",0,VLOOKUP(Q27,'⚪设计'!$B$85:$H$113,4,FALSE)),0))</f>
        <v>3558</v>
      </c>
      <c r="U27" s="97">
        <f>IF(Q27="","",ROUND(战斗节奏!$B$14/(IF($G27="",0,VLOOKUP($G27,'⚪设计'!$B$85:$H$113,5,FALSE)*$H27)+IF($L27="",0,VLOOKUP($L27,'⚪设计'!$B$85:$H$113,5,FALSE)*$M27)+IF($Q27="",0,VLOOKUP($Q27,'⚪设计'!$B$85:$H$113,5,FALSE)*$R27)+IF($V27="",0,VLOOKUP($V27,'⚪设计'!$B$85:$H$113,5,FALSE)*$W27))*IF(Q27="",0,VLOOKUP(Q27,'⚪设计'!$B$85:$H$113,5,FALSE)),0))</f>
        <v>4</v>
      </c>
      <c r="V27" s="97" t="str">
        <f>IF(VLOOKUP($A27,'⚪设计'!$A$382:$N$405,10,FALSE)="","",VLOOKUP($A27,'⚪设计'!$A$382:$N$405,10,FALSE))</f>
        <v>鸟3</v>
      </c>
      <c r="W27" s="97">
        <f t="shared" si="4"/>
        <v>9</v>
      </c>
      <c r="X27" s="97">
        <f>IF(VLOOKUP($A27,'⚪设计'!$A$382:$N$405,14,FALSE)="","",VLOOKUP($A27,'⚪设计'!$A$382:$N$405,14,FALSE))</f>
        <v>3</v>
      </c>
      <c r="Y27" s="97">
        <f>IF(V27="","",ROUND($D27*VLOOKUP($A27,'⚪设计'!$A$382:$N$405,4,FALSE)/(IF($G27="",0,VLOOKUP($G27,'⚪设计'!$B$85:$H$113,4,FALSE)*$H27)+IF($L27="",0,VLOOKUP($L27,'⚪设计'!$B$85:$H$113,4,FALSE)*$M27)+IF($Q27="",0,VLOOKUP($Q27,'⚪设计'!$B$85:$H$113,4,FALSE)*$R27)+IF($V27="",0,VLOOKUP($V27,'⚪设计'!$B$85:$H$113,4,FALSE)*$W27))*IF(V27="",0,VLOOKUP(V27,'⚪设计'!$B$85:$H$113,4,FALSE)),0))</f>
        <v>4744</v>
      </c>
      <c r="Z27" s="97">
        <f>IF(V27="","",ROUND(战斗节奏!$B$14/(IF($G27="",0,VLOOKUP($G27,'⚪设计'!$B$85:$H$113,5,FALSE)*$H27)+IF($L27="",0,VLOOKUP($L27,'⚪设计'!$B$85:$H$113,5,FALSE)*$M27)+IF($Q27="",0,VLOOKUP($Q27,'⚪设计'!$B$85:$H$113,5,FALSE)*$R27)+IF($V27="",0,VLOOKUP($V27,'⚪设计'!$B$85:$H$113,5,FALSE)*$W27))*IF(V27="",0,VLOOKUP(V27,'⚪设计'!$B$85:$H$113,5,FALSE)),0))</f>
        <v>4</v>
      </c>
    </row>
    <row r="29" spans="1:26" s="161" customFormat="1" x14ac:dyDescent="0.2">
      <c r="A29" s="161" t="s">
        <v>1974</v>
      </c>
    </row>
    <row r="30" spans="1:26" x14ac:dyDescent="0.2">
      <c r="A30" s="158" t="s">
        <v>665</v>
      </c>
      <c r="B30" s="158" t="s">
        <v>62</v>
      </c>
      <c r="C30" s="158" t="s">
        <v>380</v>
      </c>
      <c r="D30" s="158" t="s">
        <v>428</v>
      </c>
      <c r="E30" s="160" t="s">
        <v>430</v>
      </c>
      <c r="F30" s="160" t="s">
        <v>396</v>
      </c>
      <c r="G30" s="158" t="s">
        <v>400</v>
      </c>
      <c r="H30" s="159"/>
      <c r="I30" s="159"/>
      <c r="J30" s="159"/>
      <c r="K30" s="159"/>
      <c r="L30" s="158" t="s">
        <v>401</v>
      </c>
      <c r="M30" s="159"/>
      <c r="N30" s="159"/>
      <c r="O30" s="159"/>
      <c r="P30" s="159"/>
      <c r="Q30" s="158" t="s">
        <v>402</v>
      </c>
      <c r="R30" s="159"/>
      <c r="S30" s="159"/>
      <c r="T30" s="159"/>
      <c r="U30" s="159"/>
      <c r="V30" s="158" t="s">
        <v>403</v>
      </c>
      <c r="W30" s="159"/>
      <c r="X30" s="159"/>
      <c r="Y30" s="159"/>
      <c r="Z30" s="160"/>
    </row>
    <row r="31" spans="1:26" x14ac:dyDescent="0.2">
      <c r="A31" s="85"/>
      <c r="B31" s="85"/>
      <c r="C31" s="85"/>
      <c r="D31" s="85"/>
      <c r="E31" s="86"/>
      <c r="F31" s="86"/>
      <c r="G31" s="85" t="s">
        <v>397</v>
      </c>
      <c r="H31" s="87" t="s">
        <v>283</v>
      </c>
      <c r="I31" s="87" t="s">
        <v>404</v>
      </c>
      <c r="J31" s="87" t="s">
        <v>398</v>
      </c>
      <c r="K31" s="87" t="s">
        <v>399</v>
      </c>
      <c r="L31" s="85" t="s">
        <v>397</v>
      </c>
      <c r="M31" s="87" t="s">
        <v>283</v>
      </c>
      <c r="N31" s="87" t="s">
        <v>404</v>
      </c>
      <c r="O31" s="87" t="s">
        <v>398</v>
      </c>
      <c r="P31" s="87" t="s">
        <v>399</v>
      </c>
      <c r="Q31" s="85" t="s">
        <v>397</v>
      </c>
      <c r="R31" s="87" t="s">
        <v>283</v>
      </c>
      <c r="S31" s="87" t="s">
        <v>404</v>
      </c>
      <c r="T31" s="87" t="s">
        <v>398</v>
      </c>
      <c r="U31" s="87" t="s">
        <v>399</v>
      </c>
      <c r="V31" s="85" t="s">
        <v>397</v>
      </c>
      <c r="W31" s="87" t="s">
        <v>283</v>
      </c>
      <c r="X31" s="87" t="s">
        <v>404</v>
      </c>
      <c r="Y31" s="87" t="s">
        <v>398</v>
      </c>
      <c r="Z31" s="86" t="s">
        <v>399</v>
      </c>
    </row>
    <row r="32" spans="1:26" x14ac:dyDescent="0.2">
      <c r="A32" s="2" t="str">
        <f>B32&amp;"_"&amp;C32</f>
        <v>1_1</v>
      </c>
      <c r="B32" s="2">
        <v>1</v>
      </c>
      <c r="C32" s="2">
        <v>1</v>
      </c>
      <c r="D32" s="97">
        <f>VLOOKUP(C32,无限模式!$A$3:$B$22,2,FALSE)</f>
        <v>540</v>
      </c>
      <c r="E32" s="98">
        <v>1</v>
      </c>
      <c r="F32" s="97">
        <f>VLOOKUP(A32,'⚪设计'!$A$409:$N$432,6,FALSE)</f>
        <v>10</v>
      </c>
      <c r="G32" s="97" t="str">
        <f>IF(VLOOKUP($A32,'⚪设计'!$A$409:$N$432,7,FALSE)="","",VLOOKUP($A32,'⚪设计'!$A$409:$N$432,7,FALSE))</f>
        <v>蜜蜂1</v>
      </c>
      <c r="H32" s="97">
        <f>IF(I32=0,1,IF(I32="","",ROUND($F32/I32,0)))</f>
        <v>5</v>
      </c>
      <c r="I32" s="97">
        <f>IF(VLOOKUP($A32,'⚪设计'!$A$409:$N$432,11,FALSE)="","",VLOOKUP($A32,'⚪设计'!$A$409:$N$432,11,FALSE))</f>
        <v>2</v>
      </c>
      <c r="J32" s="97">
        <f>IF(G32="","",ROUND($D32*VLOOKUP($A32,'⚪设计'!$A$409:$N$432,4,FALSE)/(IF($G32="",0,VLOOKUP($G32,'⚪设计'!$B$85:$H$113,4,FALSE)*$H32)+IF($L32="",0,VLOOKUP($L32,'⚪设计'!$B$85:$H$113,4,FALSE)*$M32)+IF($Q32="",0,VLOOKUP($Q32,'⚪设计'!$B$85:$H$113,4,FALSE)*$R32)+IF($V32="",0,VLOOKUP($V32,'⚪设计'!$B$85:$H$113,4,FALSE)*$W32))*IF(G32="",0,VLOOKUP(G32,'⚪设计'!$B$85:$H$113,4,FALSE)),0))</f>
        <v>27</v>
      </c>
      <c r="K32" s="97">
        <f>IF(G32="","",ROUND(战斗节奏!$B$14/(IF($G32="",0,VLOOKUP($G32,'⚪设计'!$B$85:$H$113,5,FALSE)*$H32)+IF($L32="",0,VLOOKUP($L32,'⚪设计'!$B$85:$H$113,5,FALSE)*$M32)+IF($Q32="",0,VLOOKUP($Q32,'⚪设计'!$B$85:$H$113,5,FALSE)*$R32)+IF($V32="",0,VLOOKUP($V32,'⚪设计'!$B$85:$H$113,5,FALSE)*$W32))*IF(G32="",0,VLOOKUP(G32,'⚪设计'!$B$85:$H$113,5,FALSE)),0))</f>
        <v>4</v>
      </c>
      <c r="L32" s="97" t="str">
        <f>IF(VLOOKUP($A32,'⚪设计'!$A$409:$N$432,8,FALSE)="","",VLOOKUP($A32,'⚪设计'!$A$409:$N$432,8,FALSE))</f>
        <v>肉1</v>
      </c>
      <c r="M32" s="97">
        <f>IF(N32=0,1,IF(N32="","",ROUND($F32/N32,0)))</f>
        <v>2</v>
      </c>
      <c r="N32" s="97">
        <f>IF(VLOOKUP($A32,'⚪设计'!$A$409:$N$432,12,FALSE)="","",VLOOKUP($A32,'⚪设计'!$A$409:$N$432,12,FALSE))</f>
        <v>6</v>
      </c>
      <c r="O32" s="97">
        <f>IF(L32="","",ROUND($D32*VLOOKUP($A32,'⚪设计'!$A$409:$N$432,4,FALSE)/(IF($G32="",0,VLOOKUP($G32,'⚪设计'!$B$85:$H$113,4,FALSE)*$H32)+IF($L32="",0,VLOOKUP($L32,'⚪设计'!$B$85:$H$113,4,FALSE)*$M32)+IF($Q32="",0,VLOOKUP($Q32,'⚪设计'!$B$85:$H$113,4,FALSE)*$R32)+IF($V32="",0,VLOOKUP($V32,'⚪设计'!$B$85:$H$113,4,FALSE)*$W32))*IF(L32="",0,VLOOKUP(L32,'⚪设计'!$B$85:$H$113,4,FALSE)),0))</f>
        <v>877</v>
      </c>
      <c r="P32" s="97">
        <f>IF(L32="","",ROUND(战斗节奏!$B$14/(IF($G32="",0,VLOOKUP($G32,'⚪设计'!$B$85:$H$113,5,FALSE)*$H32)+IF($L32="",0,VLOOKUP($L32,'⚪设计'!$B$85:$H$113,5,FALSE)*$M32)+IF($Q32="",0,VLOOKUP($Q32,'⚪设计'!$B$85:$H$113,5,FALSE)*$R32)+IF($V32="",0,VLOOKUP($V32,'⚪设计'!$B$85:$H$113,5,FALSE)*$W32))*IF(L32="",0,VLOOKUP(L32,'⚪设计'!$B$85:$H$113,5,FALSE)),0))</f>
        <v>141</v>
      </c>
      <c r="Q32" s="97" t="str">
        <f>IF(VLOOKUP($A32,'⚪设计'!$A$409:$N$432,9,FALSE)="","",VLOOKUP($A32,'⚪设计'!$A$409:$N$432,9,FALSE))</f>
        <v/>
      </c>
      <c r="R32" s="97" t="str">
        <f>IF(S32=0,1,IF(S32="","",ROUND($F32/S32,0)))</f>
        <v/>
      </c>
      <c r="S32" s="97" t="str">
        <f>IF(VLOOKUP($A32,'⚪设计'!$A$409:$N$432,13,FALSE)="","",VLOOKUP($A32,'⚪设计'!$A$409:$N$432,13,FALSE))</f>
        <v/>
      </c>
      <c r="T32" s="97" t="str">
        <f>IF(Q32="","",ROUND($D32*VLOOKUP($A32,'⚪设计'!$A$409:$N$432,4,FALSE)/(IF($G32="",0,VLOOKUP($G32,'⚪设计'!$B$85:$H$113,4,FALSE)*$H32)+IF($L32="",0,VLOOKUP($L32,'⚪设计'!$B$85:$H$113,4,FALSE)*$M32)+IF($Q32="",0,VLOOKUP($Q32,'⚪设计'!$B$85:$H$113,4,FALSE)*$R32)+IF($V32="",0,VLOOKUP($V32,'⚪设计'!$B$85:$H$113,4,FALSE)*$W32))*IF(Q32="",0,VLOOKUP(Q32,'⚪设计'!$B$85:$H$113,4,FALSE)),0))</f>
        <v/>
      </c>
      <c r="U32" s="97" t="str">
        <f>IF(Q32="","",ROUND(战斗节奏!$B$14/(IF($G32="",0,VLOOKUP($G32,'⚪设计'!$B$85:$H$113,5,FALSE)*$H32)+IF($L32="",0,VLOOKUP($L32,'⚪设计'!$B$85:$H$113,5,FALSE)*$M32)+IF($Q32="",0,VLOOKUP($Q32,'⚪设计'!$B$85:$H$113,5,FALSE)*$R32)+IF($V32="",0,VLOOKUP($V32,'⚪设计'!$B$85:$H$113,5,FALSE)*$W32))*IF(Q32="",0,VLOOKUP(Q32,'⚪设计'!$B$85:$H$113,5,FALSE)),0))</f>
        <v/>
      </c>
      <c r="V32" s="97" t="str">
        <f>IF(VLOOKUP($A32,'⚪设计'!$A$409:$N$432,10,FALSE)="","",VLOOKUP($A32,'⚪设计'!$A$409:$N$432,10,FALSE))</f>
        <v/>
      </c>
      <c r="W32" s="97" t="str">
        <f>IF(X32=0,1,IF(X32="","",ROUND($F32/X32,0)))</f>
        <v/>
      </c>
      <c r="X32" s="97" t="str">
        <f>IF(VLOOKUP($A32,'⚪设计'!$A$409:$N$432,14,FALSE)="","",VLOOKUP($A32,'⚪设计'!$A$409:$N$432,14,FALSE))</f>
        <v/>
      </c>
      <c r="Y32" s="97" t="str">
        <f>IF(V32="","",ROUND($D32*VLOOKUP($A32,'⚪设计'!$A$409:$N$432,4,FALSE)/(IF($G32="",0,VLOOKUP($G32,'⚪设计'!$B$85:$H$113,4,FALSE)*$H32)+IF($L32="",0,VLOOKUP($L32,'⚪设计'!$B$85:$H$113,4,FALSE)*$M32)+IF($Q32="",0,VLOOKUP($Q32,'⚪设计'!$B$85:$H$113,4,FALSE)*$R32)+IF($V32="",0,VLOOKUP($V32,'⚪设计'!$B$85:$H$113,4,FALSE)*$W32))*IF(V32="",0,VLOOKUP(V32,'⚪设计'!$B$85:$H$113,4,FALSE)),0))</f>
        <v/>
      </c>
      <c r="Z32" s="97" t="str">
        <f>IF(V32="","",ROUND(战斗节奏!$B$14/(IF($G32="",0,VLOOKUP($G32,'⚪设计'!$B$85:$H$113,5,FALSE)*$H32)+IF($L32="",0,VLOOKUP($L32,'⚪设计'!$B$85:$H$113,5,FALSE)*$M32)+IF($Q32="",0,VLOOKUP($Q32,'⚪设计'!$B$85:$H$113,5,FALSE)*$R32)+IF($V32="",0,VLOOKUP($V32,'⚪设计'!$B$85:$H$113,5,FALSE)*$W32))*IF(V32="",0,VLOOKUP(V32,'⚪设计'!$B$85:$H$113,5,FALSE)),0))</f>
        <v/>
      </c>
    </row>
    <row r="33" spans="1:26" x14ac:dyDescent="0.2">
      <c r="A33" s="2" t="str">
        <f t="shared" ref="A33:A55" si="5">B33&amp;"_"&amp;C33</f>
        <v>1_2</v>
      </c>
      <c r="B33" s="2">
        <v>1</v>
      </c>
      <c r="C33" s="2">
        <v>2</v>
      </c>
      <c r="D33" s="97">
        <f>VLOOKUP(C33,无限模式!$A$3:$B$22,2,FALSE)</f>
        <v>1080</v>
      </c>
      <c r="E33" s="98">
        <v>1</v>
      </c>
      <c r="F33" s="97">
        <f>VLOOKUP(A33,'⚪设计'!$A$409:$N$432,6,FALSE)</f>
        <v>12.5</v>
      </c>
      <c r="G33" s="97" t="str">
        <f>IF(VLOOKUP($A33,'⚪设计'!$A$409:$N$432,7,FALSE)="","",VLOOKUP($A33,'⚪设计'!$A$409:$N$432,7,FALSE))</f>
        <v>蜜蜂1</v>
      </c>
      <c r="H33" s="97">
        <f t="shared" ref="H33:H55" si="6">IF(I33=0,1,IF(I33="","",ROUND($F33/I33,0)))</f>
        <v>25</v>
      </c>
      <c r="I33" s="97">
        <f>IF(VLOOKUP($A33,'⚪设计'!$A$409:$N$432,11,FALSE)="","",VLOOKUP($A33,'⚪设计'!$A$409:$N$432,11,FALSE))</f>
        <v>0.5</v>
      </c>
      <c r="J33" s="97">
        <f>IF(G33="","",ROUND($D33*VLOOKUP($A33,'⚪设计'!$A$409:$N$432,4,FALSE)/(IF($G33="",0,VLOOKUP($G33,'⚪设计'!$B$85:$H$113,4,FALSE)*$H33)+IF($L33="",0,VLOOKUP($L33,'⚪设计'!$B$85:$H$113,4,FALSE)*$M33)+IF($Q33="",0,VLOOKUP($Q33,'⚪设计'!$B$85:$H$113,4,FALSE)*$R33)+IF($V33="",0,VLOOKUP($V33,'⚪设计'!$B$85:$H$113,4,FALSE)*$W33))*IF(G33="",0,VLOOKUP(G33,'⚪设计'!$B$85:$H$113,4,FALSE)),0))</f>
        <v>42</v>
      </c>
      <c r="K33" s="97">
        <f>IF(G33="","",ROUND(战斗节奏!$B$14/(IF($G33="",0,VLOOKUP($G33,'⚪设计'!$B$85:$H$113,5,FALSE)*$H33)+IF($L33="",0,VLOOKUP($L33,'⚪设计'!$B$85:$H$113,5,FALSE)*$M33)+IF($Q33="",0,VLOOKUP($Q33,'⚪设计'!$B$85:$H$113,5,FALSE)*$R33)+IF($V33="",0,VLOOKUP($V33,'⚪设计'!$B$85:$H$113,5,FALSE)*$W33))*IF(G33="",0,VLOOKUP(G33,'⚪设计'!$B$85:$H$113,5,FALSE)),0))</f>
        <v>3</v>
      </c>
      <c r="L33" s="97" t="str">
        <f>IF(VLOOKUP($A33,'⚪设计'!$A$409:$N$432,8,FALSE)="","",VLOOKUP($A33,'⚪设计'!$A$409:$N$432,8,FALSE))</f>
        <v>肉1</v>
      </c>
      <c r="M33" s="97">
        <f t="shared" ref="M33:M55" si="7">IF(N33=0,1,IF(N33="","",ROUND($F33/N33,0)))</f>
        <v>2</v>
      </c>
      <c r="N33" s="97">
        <f>IF(VLOOKUP($A33,'⚪设计'!$A$409:$N$432,12,FALSE)="","",VLOOKUP($A33,'⚪设计'!$A$409:$N$432,12,FALSE))</f>
        <v>6</v>
      </c>
      <c r="O33" s="97">
        <f>IF(L33="","",ROUND($D33*VLOOKUP($A33,'⚪设计'!$A$409:$N$432,4,FALSE)/(IF($G33="",0,VLOOKUP($G33,'⚪设计'!$B$85:$H$113,4,FALSE)*$H33)+IF($L33="",0,VLOOKUP($L33,'⚪设计'!$B$85:$H$113,4,FALSE)*$M33)+IF($Q33="",0,VLOOKUP($Q33,'⚪设计'!$B$85:$H$113,4,FALSE)*$R33)+IF($V33="",0,VLOOKUP($V33,'⚪设计'!$B$85:$H$113,4,FALSE)*$W33))*IF(L33="",0,VLOOKUP(L33,'⚪设计'!$B$85:$H$113,4,FALSE)),0))</f>
        <v>1359</v>
      </c>
      <c r="P33" s="97">
        <f>IF(L33="","",ROUND(战斗节奏!$B$14/(IF($G33="",0,VLOOKUP($G33,'⚪设计'!$B$85:$H$113,5,FALSE)*$H33)+IF($L33="",0,VLOOKUP($L33,'⚪设计'!$B$85:$H$113,5,FALSE)*$M33)+IF($Q33="",0,VLOOKUP($Q33,'⚪设计'!$B$85:$H$113,5,FALSE)*$R33)+IF($V33="",0,VLOOKUP($V33,'⚪设计'!$B$85:$H$113,5,FALSE)*$W33))*IF(L33="",0,VLOOKUP(L33,'⚪设计'!$B$85:$H$113,5,FALSE)),0))</f>
        <v>114</v>
      </c>
      <c r="Q33" s="97" t="str">
        <f>IF(VLOOKUP($A33,'⚪设计'!$A$409:$N$432,9,FALSE)="","",VLOOKUP($A33,'⚪设计'!$A$409:$N$432,9,FALSE))</f>
        <v/>
      </c>
      <c r="R33" s="97" t="str">
        <f t="shared" ref="R33:R55" si="8">IF(S33=0,1,IF(S33="","",ROUND($F33/S33,0)))</f>
        <v/>
      </c>
      <c r="S33" s="97" t="str">
        <f>IF(VLOOKUP($A33,'⚪设计'!$A$409:$N$432,13,FALSE)="","",VLOOKUP($A33,'⚪设计'!$A$409:$N$432,13,FALSE))</f>
        <v/>
      </c>
      <c r="T33" s="97" t="str">
        <f>IF(Q33="","",ROUND($D33*VLOOKUP($A33,'⚪设计'!$A$409:$N$432,4,FALSE)/(IF($G33="",0,VLOOKUP($G33,'⚪设计'!$B$85:$H$113,4,FALSE)*$H33)+IF($L33="",0,VLOOKUP($L33,'⚪设计'!$B$85:$H$113,4,FALSE)*$M33)+IF($Q33="",0,VLOOKUP($Q33,'⚪设计'!$B$85:$H$113,4,FALSE)*$R33)+IF($V33="",0,VLOOKUP($V33,'⚪设计'!$B$85:$H$113,4,FALSE)*$W33))*IF(Q33="",0,VLOOKUP(Q33,'⚪设计'!$B$85:$H$113,4,FALSE)),0))</f>
        <v/>
      </c>
      <c r="U33" s="97" t="str">
        <f>IF(Q33="","",ROUND(战斗节奏!$B$14/(IF($G33="",0,VLOOKUP($G33,'⚪设计'!$B$85:$H$113,5,FALSE)*$H33)+IF($L33="",0,VLOOKUP($L33,'⚪设计'!$B$85:$H$113,5,FALSE)*$M33)+IF($Q33="",0,VLOOKUP($Q33,'⚪设计'!$B$85:$H$113,5,FALSE)*$R33)+IF($V33="",0,VLOOKUP($V33,'⚪设计'!$B$85:$H$113,5,FALSE)*$W33))*IF(Q33="",0,VLOOKUP(Q33,'⚪设计'!$B$85:$H$113,5,FALSE)),0))</f>
        <v/>
      </c>
      <c r="V33" s="97" t="str">
        <f>IF(VLOOKUP($A33,'⚪设计'!$A$409:$N$432,10,FALSE)="","",VLOOKUP($A33,'⚪设计'!$A$409:$N$432,10,FALSE))</f>
        <v/>
      </c>
      <c r="W33" s="97" t="str">
        <f t="shared" ref="W33:W55" si="9">IF(X33=0,1,IF(X33="","",ROUND($F33/X33,0)))</f>
        <v/>
      </c>
      <c r="X33" s="97" t="str">
        <f>IF(VLOOKUP($A33,'⚪设计'!$A$409:$N$432,14,FALSE)="","",VLOOKUP($A33,'⚪设计'!$A$409:$N$432,14,FALSE))</f>
        <v/>
      </c>
      <c r="Y33" s="97" t="str">
        <f>IF(V33="","",ROUND($D33*VLOOKUP($A33,'⚪设计'!$A$409:$N$432,4,FALSE)/(IF($G33="",0,VLOOKUP($G33,'⚪设计'!$B$85:$H$113,4,FALSE)*$H33)+IF($L33="",0,VLOOKUP($L33,'⚪设计'!$B$85:$H$113,4,FALSE)*$M33)+IF($Q33="",0,VLOOKUP($Q33,'⚪设计'!$B$85:$H$113,4,FALSE)*$R33)+IF($V33="",0,VLOOKUP($V33,'⚪设计'!$B$85:$H$113,4,FALSE)*$W33))*IF(V33="",0,VLOOKUP(V33,'⚪设计'!$B$85:$H$113,4,FALSE)),0))</f>
        <v/>
      </c>
      <c r="Z33" s="97" t="str">
        <f>IF(V33="","",ROUND(战斗节奏!$B$14/(IF($G33="",0,VLOOKUP($G33,'⚪设计'!$B$85:$H$113,5,FALSE)*$H33)+IF($L33="",0,VLOOKUP($L33,'⚪设计'!$B$85:$H$113,5,FALSE)*$M33)+IF($Q33="",0,VLOOKUP($Q33,'⚪设计'!$B$85:$H$113,5,FALSE)*$R33)+IF($V33="",0,VLOOKUP($V33,'⚪设计'!$B$85:$H$113,5,FALSE)*$W33))*IF(V33="",0,VLOOKUP(V33,'⚪设计'!$B$85:$H$113,5,FALSE)),0))</f>
        <v/>
      </c>
    </row>
    <row r="34" spans="1:26" x14ac:dyDescent="0.2">
      <c r="A34" s="2" t="str">
        <f t="shared" si="5"/>
        <v>1_3</v>
      </c>
      <c r="B34" s="2">
        <v>1</v>
      </c>
      <c r="C34" s="2">
        <v>3</v>
      </c>
      <c r="D34" s="97">
        <f>VLOOKUP(C34,无限模式!$A$3:$B$22,2,FALSE)</f>
        <v>1620</v>
      </c>
      <c r="E34" s="98">
        <v>1</v>
      </c>
      <c r="F34" s="97">
        <f>VLOOKUP(A34,'⚪设计'!$A$409:$N$432,6,FALSE)</f>
        <v>15</v>
      </c>
      <c r="G34" s="97" t="str">
        <f>IF(VLOOKUP($A34,'⚪设计'!$A$409:$N$432,7,FALSE)="","",VLOOKUP($A34,'⚪设计'!$A$409:$N$432,7,FALSE))</f>
        <v>蜜蜂1</v>
      </c>
      <c r="H34" s="97">
        <f t="shared" si="6"/>
        <v>30</v>
      </c>
      <c r="I34" s="97">
        <f>IF(VLOOKUP($A34,'⚪设计'!$A$409:$N$432,11,FALSE)="","",VLOOKUP($A34,'⚪设计'!$A$409:$N$432,11,FALSE))</f>
        <v>0.5</v>
      </c>
      <c r="J34" s="97">
        <f>IF(G34="","",ROUND($D34*VLOOKUP($A34,'⚪设计'!$A$409:$N$432,4,FALSE)/(IF($G34="",0,VLOOKUP($G34,'⚪设计'!$B$85:$H$113,4,FALSE)*$H34)+IF($L34="",0,VLOOKUP($L34,'⚪设计'!$B$85:$H$113,4,FALSE)*$M34)+IF($Q34="",0,VLOOKUP($Q34,'⚪设计'!$B$85:$H$113,4,FALSE)*$R34)+IF($V34="",0,VLOOKUP($V34,'⚪设计'!$B$85:$H$113,4,FALSE)*$W34))*IF(G34="",0,VLOOKUP(G34,'⚪设计'!$B$85:$H$113,4,FALSE)),0))</f>
        <v>50</v>
      </c>
      <c r="K34" s="97">
        <f>IF(G34="","",ROUND(战斗节奏!$B$14/(IF($G34="",0,VLOOKUP($G34,'⚪设计'!$B$85:$H$113,5,FALSE)*$H34)+IF($L34="",0,VLOOKUP($L34,'⚪设计'!$B$85:$H$113,5,FALSE)*$M34)+IF($Q34="",0,VLOOKUP($Q34,'⚪设计'!$B$85:$H$113,5,FALSE)*$R34)+IF($V34="",0,VLOOKUP($V34,'⚪设计'!$B$85:$H$113,5,FALSE)*$W34))*IF(G34="",0,VLOOKUP(G34,'⚪设计'!$B$85:$H$113,5,FALSE)),0))</f>
        <v>2</v>
      </c>
      <c r="L34" s="97" t="str">
        <f>IF(VLOOKUP($A34,'⚪设计'!$A$409:$N$432,8,FALSE)="","",VLOOKUP($A34,'⚪设计'!$A$409:$N$432,8,FALSE))</f>
        <v>蜜蜂2</v>
      </c>
      <c r="M34" s="97">
        <f t="shared" si="7"/>
        <v>5</v>
      </c>
      <c r="N34" s="97">
        <f>IF(VLOOKUP($A34,'⚪设计'!$A$409:$N$432,12,FALSE)="","",VLOOKUP($A34,'⚪设计'!$A$409:$N$432,12,FALSE))</f>
        <v>3</v>
      </c>
      <c r="O34" s="97">
        <f>IF(L34="","",ROUND($D34*VLOOKUP($A34,'⚪设计'!$A$409:$N$432,4,FALSE)/(IF($G34="",0,VLOOKUP($G34,'⚪设计'!$B$85:$H$113,4,FALSE)*$H34)+IF($L34="",0,VLOOKUP($L34,'⚪设计'!$B$85:$H$113,4,FALSE)*$M34)+IF($Q34="",0,VLOOKUP($Q34,'⚪设计'!$B$85:$H$113,4,FALSE)*$R34)+IF($V34="",0,VLOOKUP($V34,'⚪设计'!$B$85:$H$113,4,FALSE)*$W34))*IF(L34="",0,VLOOKUP(L34,'⚪设计'!$B$85:$H$113,4,FALSE)),0))</f>
        <v>200</v>
      </c>
      <c r="P34" s="97">
        <f>IF(L34="","",ROUND(战斗节奏!$B$14/(IF($G34="",0,VLOOKUP($G34,'⚪设计'!$B$85:$H$113,5,FALSE)*$H34)+IF($L34="",0,VLOOKUP($L34,'⚪设计'!$B$85:$H$113,5,FALSE)*$M34)+IF($Q34="",0,VLOOKUP($Q34,'⚪设计'!$B$85:$H$113,5,FALSE)*$R34)+IF($V34="",0,VLOOKUP($V34,'⚪设计'!$B$85:$H$113,5,FALSE)*$W34))*IF(L34="",0,VLOOKUP(L34,'⚪设计'!$B$85:$H$113,5,FALSE)),0))</f>
        <v>7</v>
      </c>
      <c r="Q34" s="97" t="str">
        <f>IF(VLOOKUP($A34,'⚪设计'!$A$409:$N$432,9,FALSE)="","",VLOOKUP($A34,'⚪设计'!$A$409:$N$432,9,FALSE))</f>
        <v>肉1</v>
      </c>
      <c r="R34" s="97">
        <f t="shared" si="8"/>
        <v>3</v>
      </c>
      <c r="S34" s="97">
        <f>IF(VLOOKUP($A34,'⚪设计'!$A$409:$N$432,13,FALSE)="","",VLOOKUP($A34,'⚪设计'!$A$409:$N$432,13,FALSE))</f>
        <v>6</v>
      </c>
      <c r="T34" s="97">
        <f>IF(Q34="","",ROUND($D34*VLOOKUP($A34,'⚪设计'!$A$409:$N$432,4,FALSE)/(IF($G34="",0,VLOOKUP($G34,'⚪设计'!$B$85:$H$113,4,FALSE)*$H34)+IF($L34="",0,VLOOKUP($L34,'⚪设计'!$B$85:$H$113,4,FALSE)*$M34)+IF($Q34="",0,VLOOKUP($Q34,'⚪设计'!$B$85:$H$113,4,FALSE)*$R34)+IF($V34="",0,VLOOKUP($V34,'⚪设计'!$B$85:$H$113,4,FALSE)*$W34))*IF(Q34="",0,VLOOKUP(Q34,'⚪设计'!$B$85:$H$113,4,FALSE)),0))</f>
        <v>1598</v>
      </c>
      <c r="U34" s="97">
        <f>IF(Q34="","",ROUND(战斗节奏!$B$14/(IF($G34="",0,VLOOKUP($G34,'⚪设计'!$B$85:$H$113,5,FALSE)*$H34)+IF($L34="",0,VLOOKUP($L34,'⚪设计'!$B$85:$H$113,5,FALSE)*$M34)+IF($Q34="",0,VLOOKUP($Q34,'⚪设计'!$B$85:$H$113,5,FALSE)*$R34)+IF($V34="",0,VLOOKUP($V34,'⚪设计'!$B$85:$H$113,5,FALSE)*$W34))*IF(Q34="",0,VLOOKUP(Q34,'⚪设计'!$B$85:$H$113,5,FALSE)),0))</f>
        <v>71</v>
      </c>
      <c r="V34" s="97" t="str">
        <f>IF(VLOOKUP($A34,'⚪设计'!$A$409:$N$432,10,FALSE)="","",VLOOKUP($A34,'⚪设计'!$A$409:$N$432,10,FALSE))</f>
        <v/>
      </c>
      <c r="W34" s="97" t="str">
        <f t="shared" si="9"/>
        <v/>
      </c>
      <c r="X34" s="97" t="str">
        <f>IF(VLOOKUP($A34,'⚪设计'!$A$409:$N$432,14,FALSE)="","",VLOOKUP($A34,'⚪设计'!$A$409:$N$432,14,FALSE))</f>
        <v/>
      </c>
      <c r="Y34" s="97" t="str">
        <f>IF(V34="","",ROUND($D34*VLOOKUP($A34,'⚪设计'!$A$409:$N$432,4,FALSE)/(IF($G34="",0,VLOOKUP($G34,'⚪设计'!$B$85:$H$113,4,FALSE)*$H34)+IF($L34="",0,VLOOKUP($L34,'⚪设计'!$B$85:$H$113,4,FALSE)*$M34)+IF($Q34="",0,VLOOKUP($Q34,'⚪设计'!$B$85:$H$113,4,FALSE)*$R34)+IF($V34="",0,VLOOKUP($V34,'⚪设计'!$B$85:$H$113,4,FALSE)*$W34))*IF(V34="",0,VLOOKUP(V34,'⚪设计'!$B$85:$H$113,4,FALSE)),0))</f>
        <v/>
      </c>
      <c r="Z34" s="97" t="str">
        <f>IF(V34="","",ROUND(战斗节奏!$B$14/(IF($G34="",0,VLOOKUP($G34,'⚪设计'!$B$85:$H$113,5,FALSE)*$H34)+IF($L34="",0,VLOOKUP($L34,'⚪设计'!$B$85:$H$113,5,FALSE)*$M34)+IF($Q34="",0,VLOOKUP($Q34,'⚪设计'!$B$85:$H$113,5,FALSE)*$R34)+IF($V34="",0,VLOOKUP($V34,'⚪设计'!$B$85:$H$113,5,FALSE)*$W34))*IF(V34="",0,VLOOKUP(V34,'⚪设计'!$B$85:$H$113,5,FALSE)),0))</f>
        <v/>
      </c>
    </row>
    <row r="35" spans="1:26" x14ac:dyDescent="0.2">
      <c r="A35" s="2" t="str">
        <f t="shared" si="5"/>
        <v>2_1</v>
      </c>
      <c r="B35" s="2">
        <v>2</v>
      </c>
      <c r="C35" s="2">
        <v>1</v>
      </c>
      <c r="D35" s="97">
        <f>VLOOKUP(C35,无限模式!$A$3:$B$22,2,FALSE)</f>
        <v>540</v>
      </c>
      <c r="E35" s="98">
        <v>1</v>
      </c>
      <c r="F35" s="97">
        <f>VLOOKUP(A35,'⚪设计'!$A$409:$N$432,6,FALSE)</f>
        <v>10</v>
      </c>
      <c r="G35" s="97" t="str">
        <f>IF(VLOOKUP($A35,'⚪设计'!$A$409:$N$432,7,FALSE)="","",VLOOKUP($A35,'⚪设计'!$A$409:$N$432,7,FALSE))</f>
        <v>蜘蛛1</v>
      </c>
      <c r="H35" s="97">
        <f t="shared" si="6"/>
        <v>5</v>
      </c>
      <c r="I35" s="97">
        <f>IF(VLOOKUP($A35,'⚪设计'!$A$409:$N$432,11,FALSE)="","",VLOOKUP($A35,'⚪设计'!$A$409:$N$432,11,FALSE))</f>
        <v>2</v>
      </c>
      <c r="J35" s="97">
        <f>IF(G35="","",ROUND($D35*VLOOKUP($A35,'⚪设计'!$A$409:$N$432,4,FALSE)/(IF($G35="",0,VLOOKUP($G35,'⚪设计'!$B$85:$H$113,4,FALSE)*$H35)+IF($L35="",0,VLOOKUP($L35,'⚪设计'!$B$85:$H$113,4,FALSE)*$M35)+IF($Q35="",0,VLOOKUP($Q35,'⚪设计'!$B$85:$H$113,4,FALSE)*$R35)+IF($V35="",0,VLOOKUP($V35,'⚪设计'!$B$85:$H$113,4,FALSE)*$W35))*IF(G35="",0,VLOOKUP(G35,'⚪设计'!$B$85:$H$113,4,FALSE)),0))</f>
        <v>58</v>
      </c>
      <c r="K35" s="97">
        <f>IF(G35="","",ROUND(战斗节奏!$B$14/(IF($G35="",0,VLOOKUP($G35,'⚪设计'!$B$85:$H$113,5,FALSE)*$H35)+IF($L35="",0,VLOOKUP($L35,'⚪设计'!$B$85:$H$113,5,FALSE)*$M35)+IF($Q35="",0,VLOOKUP($Q35,'⚪设计'!$B$85:$H$113,5,FALSE)*$R35)+IF($V35="",0,VLOOKUP($V35,'⚪设计'!$B$85:$H$113,5,FALSE)*$W35))*IF(G35="",0,VLOOKUP(G35,'⚪设计'!$B$85:$H$113,5,FALSE)),0))</f>
        <v>7</v>
      </c>
      <c r="L35" s="97" t="str">
        <f>IF(VLOOKUP($A35,'⚪设计'!$A$409:$N$432,8,FALSE)="","",VLOOKUP($A35,'⚪设计'!$A$409:$N$432,8,FALSE))</f>
        <v>肉1</v>
      </c>
      <c r="M35" s="97">
        <f t="shared" si="7"/>
        <v>2</v>
      </c>
      <c r="N35" s="97">
        <f>IF(VLOOKUP($A35,'⚪设计'!$A$409:$N$432,12,FALSE)="","",VLOOKUP($A35,'⚪设计'!$A$409:$N$432,12,FALSE))</f>
        <v>6</v>
      </c>
      <c r="O35" s="97">
        <f>IF(L35="","",ROUND($D35*VLOOKUP($A35,'⚪设计'!$A$409:$N$432,4,FALSE)/(IF($G35="",0,VLOOKUP($G35,'⚪设计'!$B$85:$H$113,4,FALSE)*$H35)+IF($L35="",0,VLOOKUP($L35,'⚪设计'!$B$85:$H$113,4,FALSE)*$M35)+IF($Q35="",0,VLOOKUP($Q35,'⚪设计'!$B$85:$H$113,4,FALSE)*$R35)+IF($V35="",0,VLOOKUP($V35,'⚪设计'!$B$85:$H$113,4,FALSE)*$W35))*IF(L35="",0,VLOOKUP(L35,'⚪设计'!$B$85:$H$113,4,FALSE)),0))</f>
        <v>934</v>
      </c>
      <c r="P35" s="97">
        <f>IF(L35="","",ROUND(战斗节奏!$B$14/(IF($G35="",0,VLOOKUP($G35,'⚪设计'!$B$85:$H$113,5,FALSE)*$H35)+IF($L35="",0,VLOOKUP($L35,'⚪设计'!$B$85:$H$113,5,FALSE)*$M35)+IF($Q35="",0,VLOOKUP($Q35,'⚪设计'!$B$85:$H$113,5,FALSE)*$R35)+IF($V35="",0,VLOOKUP($V35,'⚪设计'!$B$85:$H$113,5,FALSE)*$W35))*IF(L35="",0,VLOOKUP(L35,'⚪设计'!$B$85:$H$113,5,FALSE)),0))</f>
        <v>133</v>
      </c>
      <c r="Q35" s="97" t="str">
        <f>IF(VLOOKUP($A35,'⚪设计'!$A$409:$N$432,9,FALSE)="","",VLOOKUP($A35,'⚪设计'!$A$409:$N$432,9,FALSE))</f>
        <v/>
      </c>
      <c r="R35" s="97" t="str">
        <f t="shared" si="8"/>
        <v/>
      </c>
      <c r="S35" s="97" t="str">
        <f>IF(VLOOKUP($A35,'⚪设计'!$A$409:$N$432,13,FALSE)="","",VLOOKUP($A35,'⚪设计'!$A$409:$N$432,13,FALSE))</f>
        <v/>
      </c>
      <c r="T35" s="97" t="str">
        <f>IF(Q35="","",ROUND($D35*VLOOKUP($A35,'⚪设计'!$A$409:$N$432,4,FALSE)/(IF($G35="",0,VLOOKUP($G35,'⚪设计'!$B$85:$H$113,4,FALSE)*$H35)+IF($L35="",0,VLOOKUP($L35,'⚪设计'!$B$85:$H$113,4,FALSE)*$M35)+IF($Q35="",0,VLOOKUP($Q35,'⚪设计'!$B$85:$H$113,4,FALSE)*$R35)+IF($V35="",0,VLOOKUP($V35,'⚪设计'!$B$85:$H$113,4,FALSE)*$W35))*IF(Q35="",0,VLOOKUP(Q35,'⚪设计'!$B$85:$H$113,4,FALSE)),0))</f>
        <v/>
      </c>
      <c r="U35" s="97" t="str">
        <f>IF(Q35="","",ROUND(战斗节奏!$B$14/(IF($G35="",0,VLOOKUP($G35,'⚪设计'!$B$85:$H$113,5,FALSE)*$H35)+IF($L35="",0,VLOOKUP($L35,'⚪设计'!$B$85:$H$113,5,FALSE)*$M35)+IF($Q35="",0,VLOOKUP($Q35,'⚪设计'!$B$85:$H$113,5,FALSE)*$R35)+IF($V35="",0,VLOOKUP($V35,'⚪设计'!$B$85:$H$113,5,FALSE)*$W35))*IF(Q35="",0,VLOOKUP(Q35,'⚪设计'!$B$85:$H$113,5,FALSE)),0))</f>
        <v/>
      </c>
      <c r="V35" s="97" t="str">
        <f>IF(VLOOKUP($A35,'⚪设计'!$A$409:$N$432,10,FALSE)="","",VLOOKUP($A35,'⚪设计'!$A$409:$N$432,10,FALSE))</f>
        <v/>
      </c>
      <c r="W35" s="97" t="str">
        <f t="shared" si="9"/>
        <v/>
      </c>
      <c r="X35" s="97" t="str">
        <f>IF(VLOOKUP($A35,'⚪设计'!$A$409:$N$432,14,FALSE)="","",VLOOKUP($A35,'⚪设计'!$A$409:$N$432,14,FALSE))</f>
        <v/>
      </c>
      <c r="Y35" s="97" t="str">
        <f>IF(V35="","",ROUND($D35*VLOOKUP($A35,'⚪设计'!$A$409:$N$432,4,FALSE)/(IF($G35="",0,VLOOKUP($G35,'⚪设计'!$B$85:$H$113,4,FALSE)*$H35)+IF($L35="",0,VLOOKUP($L35,'⚪设计'!$B$85:$H$113,4,FALSE)*$M35)+IF($Q35="",0,VLOOKUP($Q35,'⚪设计'!$B$85:$H$113,4,FALSE)*$R35)+IF($V35="",0,VLOOKUP($V35,'⚪设计'!$B$85:$H$113,4,FALSE)*$W35))*IF(V35="",0,VLOOKUP(V35,'⚪设计'!$B$85:$H$113,4,FALSE)),0))</f>
        <v/>
      </c>
      <c r="Z35" s="97" t="str">
        <f>IF(V35="","",ROUND(战斗节奏!$B$14/(IF($G35="",0,VLOOKUP($G35,'⚪设计'!$B$85:$H$113,5,FALSE)*$H35)+IF($L35="",0,VLOOKUP($L35,'⚪设计'!$B$85:$H$113,5,FALSE)*$M35)+IF($Q35="",0,VLOOKUP($Q35,'⚪设计'!$B$85:$H$113,5,FALSE)*$R35)+IF($V35="",0,VLOOKUP($V35,'⚪设计'!$B$85:$H$113,5,FALSE)*$W35))*IF(V35="",0,VLOOKUP(V35,'⚪设计'!$B$85:$H$113,5,FALSE)),0))</f>
        <v/>
      </c>
    </row>
    <row r="36" spans="1:26" x14ac:dyDescent="0.2">
      <c r="A36" s="2" t="str">
        <f t="shared" si="5"/>
        <v>2_2</v>
      </c>
      <c r="B36" s="2">
        <v>2</v>
      </c>
      <c r="C36" s="2">
        <v>2</v>
      </c>
      <c r="D36" s="97">
        <f>VLOOKUP(C36,无限模式!$A$3:$B$22,2,FALSE)</f>
        <v>1080</v>
      </c>
      <c r="E36" s="98">
        <v>1</v>
      </c>
      <c r="F36" s="97">
        <f>VLOOKUP(A36,'⚪设计'!$A$409:$N$432,6,FALSE)</f>
        <v>12.5</v>
      </c>
      <c r="G36" s="97" t="str">
        <f>IF(VLOOKUP($A36,'⚪设计'!$A$409:$N$432,7,FALSE)="","",VLOOKUP($A36,'⚪设计'!$A$409:$N$432,7,FALSE))</f>
        <v>蜘蛛1</v>
      </c>
      <c r="H36" s="97">
        <f t="shared" si="6"/>
        <v>6</v>
      </c>
      <c r="I36" s="97">
        <f>IF(VLOOKUP($A36,'⚪设计'!$A$409:$N$432,11,FALSE)="","",VLOOKUP($A36,'⚪设计'!$A$409:$N$432,11,FALSE))</f>
        <v>2</v>
      </c>
      <c r="J36" s="97">
        <f>IF(G36="","",ROUND($D36*VLOOKUP($A36,'⚪设计'!$A$409:$N$432,4,FALSE)/(IF($G36="",0,VLOOKUP($G36,'⚪设计'!$B$85:$H$113,4,FALSE)*$H36)+IF($L36="",0,VLOOKUP($L36,'⚪设计'!$B$85:$H$113,4,FALSE)*$M36)+IF($Q36="",0,VLOOKUP($Q36,'⚪设计'!$B$85:$H$113,4,FALSE)*$R36)+IF($V36="",0,VLOOKUP($V36,'⚪设计'!$B$85:$H$113,4,FALSE)*$W36))*IF(G36="",0,VLOOKUP(G36,'⚪设计'!$B$85:$H$113,4,FALSE)),0))</f>
        <v>86</v>
      </c>
      <c r="K36" s="97">
        <f>IF(G36="","",ROUND(战斗节奏!$B$14/(IF($G36="",0,VLOOKUP($G36,'⚪设计'!$B$85:$H$113,5,FALSE)*$H36)+IF($L36="",0,VLOOKUP($L36,'⚪设计'!$B$85:$H$113,5,FALSE)*$M36)+IF($Q36="",0,VLOOKUP($Q36,'⚪设计'!$B$85:$H$113,5,FALSE)*$R36)+IF($V36="",0,VLOOKUP($V36,'⚪设计'!$B$85:$H$113,5,FALSE)*$W36))*IF(G36="",0,VLOOKUP(G36,'⚪设计'!$B$85:$H$113,5,FALSE)),0))</f>
        <v>5</v>
      </c>
      <c r="L36" s="97" t="str">
        <f>IF(VLOOKUP($A36,'⚪设计'!$A$409:$N$432,8,FALSE)="","",VLOOKUP($A36,'⚪设计'!$A$409:$N$432,8,FALSE))</f>
        <v>蜜蜂2</v>
      </c>
      <c r="M36" s="97">
        <f t="shared" si="7"/>
        <v>6</v>
      </c>
      <c r="N36" s="97">
        <f>IF(VLOOKUP($A36,'⚪设计'!$A$409:$N$432,12,FALSE)="","",VLOOKUP($A36,'⚪设计'!$A$409:$N$432,12,FALSE))</f>
        <v>2</v>
      </c>
      <c r="O36" s="97">
        <f>IF(L36="","",ROUND($D36*VLOOKUP($A36,'⚪设计'!$A$409:$N$432,4,FALSE)/(IF($G36="",0,VLOOKUP($G36,'⚪设计'!$B$85:$H$113,4,FALSE)*$H36)+IF($L36="",0,VLOOKUP($L36,'⚪设计'!$B$85:$H$113,4,FALSE)*$M36)+IF($Q36="",0,VLOOKUP($Q36,'⚪设计'!$B$85:$H$113,4,FALSE)*$R36)+IF($V36="",0,VLOOKUP($V36,'⚪设计'!$B$85:$H$113,4,FALSE)*$W36))*IF(L36="",0,VLOOKUP(L36,'⚪设计'!$B$85:$H$113,4,FALSE)),0))</f>
        <v>173</v>
      </c>
      <c r="P36" s="97">
        <f>IF(L36="","",ROUND(战斗节奏!$B$14/(IF($G36="",0,VLOOKUP($G36,'⚪设计'!$B$85:$H$113,5,FALSE)*$H36)+IF($L36="",0,VLOOKUP($L36,'⚪设计'!$B$85:$H$113,5,FALSE)*$M36)+IF($Q36="",0,VLOOKUP($Q36,'⚪设计'!$B$85:$H$113,5,FALSE)*$R36)+IF($V36="",0,VLOOKUP($V36,'⚪设计'!$B$85:$H$113,5,FALSE)*$W36))*IF(L36="",0,VLOOKUP(L36,'⚪设计'!$B$85:$H$113,5,FALSE)),0))</f>
        <v>10</v>
      </c>
      <c r="Q36" s="97" t="str">
        <f>IF(VLOOKUP($A36,'⚪设计'!$A$409:$N$432,9,FALSE)="","",VLOOKUP($A36,'⚪设计'!$A$409:$N$432,9,FALSE))</f>
        <v>肉1</v>
      </c>
      <c r="R36" s="97">
        <f t="shared" si="8"/>
        <v>2</v>
      </c>
      <c r="S36" s="97">
        <f>IF(VLOOKUP($A36,'⚪设计'!$A$409:$N$432,13,FALSE)="","",VLOOKUP($A36,'⚪设计'!$A$409:$N$432,13,FALSE))</f>
        <v>6</v>
      </c>
      <c r="T36" s="97">
        <f>IF(Q36="","",ROUND($D36*VLOOKUP($A36,'⚪设计'!$A$409:$N$432,4,FALSE)/(IF($G36="",0,VLOOKUP($G36,'⚪设计'!$B$85:$H$113,4,FALSE)*$H36)+IF($L36="",0,VLOOKUP($L36,'⚪设计'!$B$85:$H$113,4,FALSE)*$M36)+IF($Q36="",0,VLOOKUP($Q36,'⚪设计'!$B$85:$H$113,4,FALSE)*$R36)+IF($V36="",0,VLOOKUP($V36,'⚪设计'!$B$85:$H$113,4,FALSE)*$W36))*IF(Q36="",0,VLOOKUP(Q36,'⚪设计'!$B$85:$H$113,4,FALSE)),0))</f>
        <v>1382</v>
      </c>
      <c r="U36" s="97">
        <f>IF(Q36="","",ROUND(战斗节奏!$B$14/(IF($G36="",0,VLOOKUP($G36,'⚪设计'!$B$85:$H$113,5,FALSE)*$H36)+IF($L36="",0,VLOOKUP($L36,'⚪设计'!$B$85:$H$113,5,FALSE)*$M36)+IF($Q36="",0,VLOOKUP($Q36,'⚪设计'!$B$85:$H$113,5,FALSE)*$R36)+IF($V36="",0,VLOOKUP($V36,'⚪设计'!$B$85:$H$113,5,FALSE)*$W36))*IF(Q36="",0,VLOOKUP(Q36,'⚪设计'!$B$85:$H$113,5,FALSE)),0))</f>
        <v>103</v>
      </c>
      <c r="V36" s="97" t="str">
        <f>IF(VLOOKUP($A36,'⚪设计'!$A$409:$N$432,10,FALSE)="","",VLOOKUP($A36,'⚪设计'!$A$409:$N$432,10,FALSE))</f>
        <v/>
      </c>
      <c r="W36" s="97" t="str">
        <f t="shared" si="9"/>
        <v/>
      </c>
      <c r="X36" s="97" t="str">
        <f>IF(VLOOKUP($A36,'⚪设计'!$A$409:$N$432,14,FALSE)="","",VLOOKUP($A36,'⚪设计'!$A$409:$N$432,14,FALSE))</f>
        <v/>
      </c>
      <c r="Y36" s="97" t="str">
        <f>IF(V36="","",ROUND($D36*VLOOKUP($A36,'⚪设计'!$A$409:$N$432,4,FALSE)/(IF($G36="",0,VLOOKUP($G36,'⚪设计'!$B$85:$H$113,4,FALSE)*$H36)+IF($L36="",0,VLOOKUP($L36,'⚪设计'!$B$85:$H$113,4,FALSE)*$M36)+IF($Q36="",0,VLOOKUP($Q36,'⚪设计'!$B$85:$H$113,4,FALSE)*$R36)+IF($V36="",0,VLOOKUP($V36,'⚪设计'!$B$85:$H$113,4,FALSE)*$W36))*IF(V36="",0,VLOOKUP(V36,'⚪设计'!$B$85:$H$113,4,FALSE)),0))</f>
        <v/>
      </c>
      <c r="Z36" s="97" t="str">
        <f>IF(V36="","",ROUND(战斗节奏!$B$14/(IF($G36="",0,VLOOKUP($G36,'⚪设计'!$B$85:$H$113,5,FALSE)*$H36)+IF($L36="",0,VLOOKUP($L36,'⚪设计'!$B$85:$H$113,5,FALSE)*$M36)+IF($Q36="",0,VLOOKUP($Q36,'⚪设计'!$B$85:$H$113,5,FALSE)*$R36)+IF($V36="",0,VLOOKUP($V36,'⚪设计'!$B$85:$H$113,5,FALSE)*$W36))*IF(V36="",0,VLOOKUP(V36,'⚪设计'!$B$85:$H$113,5,FALSE)),0))</f>
        <v/>
      </c>
    </row>
    <row r="37" spans="1:26" x14ac:dyDescent="0.2">
      <c r="A37" s="2" t="str">
        <f t="shared" si="5"/>
        <v>2_3</v>
      </c>
      <c r="B37" s="2">
        <v>2</v>
      </c>
      <c r="C37" s="2">
        <v>3</v>
      </c>
      <c r="D37" s="97">
        <f>VLOOKUP(C37,无限模式!$A$3:$B$22,2,FALSE)</f>
        <v>1620</v>
      </c>
      <c r="E37" s="98">
        <v>1</v>
      </c>
      <c r="F37" s="97">
        <f>VLOOKUP(A37,'⚪设计'!$A$409:$N$432,6,FALSE)</f>
        <v>15</v>
      </c>
      <c r="G37" s="97" t="str">
        <f>IF(VLOOKUP($A37,'⚪设计'!$A$409:$N$432,7,FALSE)="","",VLOOKUP($A37,'⚪设计'!$A$409:$N$432,7,FALSE))</f>
        <v>蜘蛛1</v>
      </c>
      <c r="H37" s="97">
        <f t="shared" si="6"/>
        <v>15</v>
      </c>
      <c r="I37" s="97">
        <f>IF(VLOOKUP($A37,'⚪设计'!$A$409:$N$432,11,FALSE)="","",VLOOKUP($A37,'⚪设计'!$A$409:$N$432,11,FALSE))</f>
        <v>1</v>
      </c>
      <c r="J37" s="97">
        <f>IF(G37="","",ROUND($D37*VLOOKUP($A37,'⚪设计'!$A$409:$N$432,4,FALSE)/(IF($G37="",0,VLOOKUP($G37,'⚪设计'!$B$85:$H$113,4,FALSE)*$H37)+IF($L37="",0,VLOOKUP($L37,'⚪设计'!$B$85:$H$113,4,FALSE)*$M37)+IF($Q37="",0,VLOOKUP($Q37,'⚪设计'!$B$85:$H$113,4,FALSE)*$R37)+IF($V37="",0,VLOOKUP($V37,'⚪设计'!$B$85:$H$113,4,FALSE)*$W37))*IF(G37="",0,VLOOKUP(G37,'⚪设计'!$B$85:$H$113,4,FALSE)),0))</f>
        <v>92</v>
      </c>
      <c r="K37" s="97">
        <f>IF(G37="","",ROUND(战斗节奏!$B$14/(IF($G37="",0,VLOOKUP($G37,'⚪设计'!$B$85:$H$113,5,FALSE)*$H37)+IF($L37="",0,VLOOKUP($L37,'⚪设计'!$B$85:$H$113,5,FALSE)*$M37)+IF($Q37="",0,VLOOKUP($Q37,'⚪设计'!$B$85:$H$113,5,FALSE)*$R37)+IF($V37="",0,VLOOKUP($V37,'⚪设计'!$B$85:$H$113,5,FALSE)*$W37))*IF(G37="",0,VLOOKUP(G37,'⚪设计'!$B$85:$H$113,5,FALSE)),0))</f>
        <v>4</v>
      </c>
      <c r="L37" s="97" t="str">
        <f>IF(VLOOKUP($A37,'⚪设计'!$A$409:$N$432,8,FALSE)="","",VLOOKUP($A37,'⚪设计'!$A$409:$N$432,8,FALSE))</f>
        <v>蝙蝠1</v>
      </c>
      <c r="M37" s="97">
        <f t="shared" si="7"/>
        <v>15</v>
      </c>
      <c r="N37" s="97">
        <f>IF(VLOOKUP($A37,'⚪设计'!$A$409:$N$432,12,FALSE)="","",VLOOKUP($A37,'⚪设计'!$A$409:$N$432,12,FALSE))</f>
        <v>1</v>
      </c>
      <c r="O37" s="97">
        <f>IF(L37="","",ROUND($D37*VLOOKUP($A37,'⚪设计'!$A$409:$N$432,4,FALSE)/(IF($G37="",0,VLOOKUP($G37,'⚪设计'!$B$85:$H$113,4,FALSE)*$H37)+IF($L37="",0,VLOOKUP($L37,'⚪设计'!$B$85:$H$113,4,FALSE)*$M37)+IF($Q37="",0,VLOOKUP($Q37,'⚪设计'!$B$85:$H$113,4,FALSE)*$R37)+IF($V37="",0,VLOOKUP($V37,'⚪设计'!$B$85:$H$113,4,FALSE)*$W37))*IF(L37="",0,VLOOKUP(L37,'⚪设计'!$B$85:$H$113,4,FALSE)),0))</f>
        <v>46</v>
      </c>
      <c r="P37" s="97">
        <f>IF(L37="","",ROUND(战斗节奏!$B$14/(IF($G37="",0,VLOOKUP($G37,'⚪设计'!$B$85:$H$113,5,FALSE)*$H37)+IF($L37="",0,VLOOKUP($L37,'⚪设计'!$B$85:$H$113,5,FALSE)*$M37)+IF($Q37="",0,VLOOKUP($Q37,'⚪设计'!$B$85:$H$113,5,FALSE)*$R37)+IF($V37="",0,VLOOKUP($V37,'⚪设计'!$B$85:$H$113,5,FALSE)*$W37))*IF(L37="",0,VLOOKUP(L37,'⚪设计'!$B$85:$H$113,5,FALSE)),0))</f>
        <v>2</v>
      </c>
      <c r="Q37" s="97" t="str">
        <f>IF(VLOOKUP($A37,'⚪设计'!$A$409:$N$432,9,FALSE)="","",VLOOKUP($A37,'⚪设计'!$A$409:$N$432,9,FALSE))</f>
        <v>肉1</v>
      </c>
      <c r="R37" s="97">
        <f t="shared" si="8"/>
        <v>3</v>
      </c>
      <c r="S37" s="97">
        <f>IF(VLOOKUP($A37,'⚪设计'!$A$409:$N$432,13,FALSE)="","",VLOOKUP($A37,'⚪设计'!$A$409:$N$432,13,FALSE))</f>
        <v>6</v>
      </c>
      <c r="T37" s="97">
        <f>IF(Q37="","",ROUND($D37*VLOOKUP($A37,'⚪设计'!$A$409:$N$432,4,FALSE)/(IF($G37="",0,VLOOKUP($G37,'⚪设计'!$B$85:$H$113,4,FALSE)*$H37)+IF($L37="",0,VLOOKUP($L37,'⚪设计'!$B$85:$H$113,4,FALSE)*$M37)+IF($Q37="",0,VLOOKUP($Q37,'⚪设计'!$B$85:$H$113,4,FALSE)*$R37)+IF($V37="",0,VLOOKUP($V37,'⚪设计'!$B$85:$H$113,4,FALSE)*$W37))*IF(Q37="",0,VLOOKUP(Q37,'⚪设计'!$B$85:$H$113,4,FALSE)),0))</f>
        <v>1471</v>
      </c>
      <c r="U37" s="97">
        <f>IF(Q37="","",ROUND(战斗节奏!$B$14/(IF($G37="",0,VLOOKUP($G37,'⚪设计'!$B$85:$H$113,5,FALSE)*$H37)+IF($L37="",0,VLOOKUP($L37,'⚪设计'!$B$85:$H$113,5,FALSE)*$M37)+IF($Q37="",0,VLOOKUP($Q37,'⚪设计'!$B$85:$H$113,5,FALSE)*$R37)+IF($V37="",0,VLOOKUP($V37,'⚪设计'!$B$85:$H$113,5,FALSE)*$W37))*IF(Q37="",0,VLOOKUP(Q37,'⚪设计'!$B$85:$H$113,5,FALSE)),0))</f>
        <v>73</v>
      </c>
      <c r="V37" s="97" t="str">
        <f>IF(VLOOKUP($A37,'⚪设计'!$A$409:$N$432,10,FALSE)="","",VLOOKUP($A37,'⚪设计'!$A$409:$N$432,10,FALSE))</f>
        <v/>
      </c>
      <c r="W37" s="97" t="str">
        <f t="shared" si="9"/>
        <v/>
      </c>
      <c r="X37" s="97" t="str">
        <f>IF(VLOOKUP($A37,'⚪设计'!$A$409:$N$432,14,FALSE)="","",VLOOKUP($A37,'⚪设计'!$A$409:$N$432,14,FALSE))</f>
        <v/>
      </c>
      <c r="Y37" s="97" t="str">
        <f>IF(V37="","",ROUND($D37*VLOOKUP($A37,'⚪设计'!$A$409:$N$432,4,FALSE)/(IF($G37="",0,VLOOKUP($G37,'⚪设计'!$B$85:$H$113,4,FALSE)*$H37)+IF($L37="",0,VLOOKUP($L37,'⚪设计'!$B$85:$H$113,4,FALSE)*$M37)+IF($Q37="",0,VLOOKUP($Q37,'⚪设计'!$B$85:$H$113,4,FALSE)*$R37)+IF($V37="",0,VLOOKUP($V37,'⚪设计'!$B$85:$H$113,4,FALSE)*$W37))*IF(V37="",0,VLOOKUP(V37,'⚪设计'!$B$85:$H$113,4,FALSE)),0))</f>
        <v/>
      </c>
      <c r="Z37" s="97" t="str">
        <f>IF(V37="","",ROUND(战斗节奏!$B$14/(IF($G37="",0,VLOOKUP($G37,'⚪设计'!$B$85:$H$113,5,FALSE)*$H37)+IF($L37="",0,VLOOKUP($L37,'⚪设计'!$B$85:$H$113,5,FALSE)*$M37)+IF($Q37="",0,VLOOKUP($Q37,'⚪设计'!$B$85:$H$113,5,FALSE)*$R37)+IF($V37="",0,VLOOKUP($V37,'⚪设计'!$B$85:$H$113,5,FALSE)*$W37))*IF(V37="",0,VLOOKUP(V37,'⚪设计'!$B$85:$H$113,5,FALSE)),0))</f>
        <v/>
      </c>
    </row>
    <row r="38" spans="1:26" x14ac:dyDescent="0.2">
      <c r="A38" s="2" t="str">
        <f t="shared" si="5"/>
        <v>2_4</v>
      </c>
      <c r="B38" s="2">
        <v>2</v>
      </c>
      <c r="C38" s="2">
        <v>4</v>
      </c>
      <c r="D38" s="97">
        <f>VLOOKUP(C38,无限模式!$A$3:$B$22,2,FALSE)</f>
        <v>2160</v>
      </c>
      <c r="E38" s="98">
        <v>1</v>
      </c>
      <c r="F38" s="97">
        <f>VLOOKUP(A38,'⚪设计'!$A$409:$N$432,6,FALSE)</f>
        <v>17.5</v>
      </c>
      <c r="G38" s="97" t="str">
        <f>IF(VLOOKUP($A38,'⚪设计'!$A$409:$N$432,7,FALSE)="","",VLOOKUP($A38,'⚪设计'!$A$409:$N$432,7,FALSE))</f>
        <v>蜘蛛1</v>
      </c>
      <c r="H38" s="97">
        <f t="shared" si="6"/>
        <v>18</v>
      </c>
      <c r="I38" s="97">
        <f>IF(VLOOKUP($A38,'⚪设计'!$A$409:$N$432,11,FALSE)="","",VLOOKUP($A38,'⚪设计'!$A$409:$N$432,11,FALSE))</f>
        <v>1</v>
      </c>
      <c r="J38" s="97">
        <f>IF(G38="","",ROUND($D38*VLOOKUP($A38,'⚪设计'!$A$409:$N$432,4,FALSE)/(IF($G38="",0,VLOOKUP($G38,'⚪设计'!$B$85:$H$113,4,FALSE)*$H38)+IF($L38="",0,VLOOKUP($L38,'⚪设计'!$B$85:$H$113,4,FALSE)*$M38)+IF($Q38="",0,VLOOKUP($Q38,'⚪设计'!$B$85:$H$113,4,FALSE)*$R38)+IF($V38="",0,VLOOKUP($V38,'⚪设计'!$B$85:$H$113,4,FALSE)*$W38))*IF(G38="",0,VLOOKUP(G38,'⚪设计'!$B$85:$H$113,4,FALSE)),0))</f>
        <v>119</v>
      </c>
      <c r="K38" s="97">
        <f>IF(G38="","",ROUND(战斗节奏!$B$14/(IF($G38="",0,VLOOKUP($G38,'⚪设计'!$B$85:$H$113,5,FALSE)*$H38)+IF($L38="",0,VLOOKUP($L38,'⚪设计'!$B$85:$H$113,5,FALSE)*$M38)+IF($Q38="",0,VLOOKUP($Q38,'⚪设计'!$B$85:$H$113,5,FALSE)*$R38)+IF($V38="",0,VLOOKUP($V38,'⚪设计'!$B$85:$H$113,5,FALSE)*$W38))*IF(G38="",0,VLOOKUP(G38,'⚪设计'!$B$85:$H$113,5,FALSE)),0))</f>
        <v>2</v>
      </c>
      <c r="L38" s="97" t="str">
        <f>IF(VLOOKUP($A38,'⚪设计'!$A$409:$N$432,8,FALSE)="","",VLOOKUP($A38,'⚪设计'!$A$409:$N$432,8,FALSE))</f>
        <v>蝙蝠1</v>
      </c>
      <c r="M38" s="97">
        <f t="shared" si="7"/>
        <v>18</v>
      </c>
      <c r="N38" s="97">
        <f>IF(VLOOKUP($A38,'⚪设计'!$A$409:$N$432,12,FALSE)="","",VLOOKUP($A38,'⚪设计'!$A$409:$N$432,12,FALSE))</f>
        <v>1</v>
      </c>
      <c r="O38" s="97">
        <f>IF(L38="","",ROUND($D38*VLOOKUP($A38,'⚪设计'!$A$409:$N$432,4,FALSE)/(IF($G38="",0,VLOOKUP($G38,'⚪设计'!$B$85:$H$113,4,FALSE)*$H38)+IF($L38="",0,VLOOKUP($L38,'⚪设计'!$B$85:$H$113,4,FALSE)*$M38)+IF($Q38="",0,VLOOKUP($Q38,'⚪设计'!$B$85:$H$113,4,FALSE)*$R38)+IF($V38="",0,VLOOKUP($V38,'⚪设计'!$B$85:$H$113,4,FALSE)*$W38))*IF(L38="",0,VLOOKUP(L38,'⚪设计'!$B$85:$H$113,4,FALSE)),0))</f>
        <v>59</v>
      </c>
      <c r="P38" s="97">
        <f>IF(L38="","",ROUND(战斗节奏!$B$14/(IF($G38="",0,VLOOKUP($G38,'⚪设计'!$B$85:$H$113,5,FALSE)*$H38)+IF($L38="",0,VLOOKUP($L38,'⚪设计'!$B$85:$H$113,5,FALSE)*$M38)+IF($Q38="",0,VLOOKUP($Q38,'⚪设计'!$B$85:$H$113,5,FALSE)*$R38)+IF($V38="",0,VLOOKUP($V38,'⚪设计'!$B$85:$H$113,5,FALSE)*$W38))*IF(L38="",0,VLOOKUP(L38,'⚪设计'!$B$85:$H$113,5,FALSE)),0))</f>
        <v>1</v>
      </c>
      <c r="Q38" s="97" t="str">
        <f>IF(VLOOKUP($A38,'⚪设计'!$A$409:$N$432,9,FALSE)="","",VLOOKUP($A38,'⚪设计'!$A$409:$N$432,9,FALSE))</f>
        <v>蜜蜂2</v>
      </c>
      <c r="R38" s="97">
        <f t="shared" si="8"/>
        <v>9</v>
      </c>
      <c r="S38" s="97">
        <f>IF(VLOOKUP($A38,'⚪设计'!$A$409:$N$432,13,FALSE)="","",VLOOKUP($A38,'⚪设计'!$A$409:$N$432,13,FALSE))</f>
        <v>2</v>
      </c>
      <c r="T38" s="97">
        <f>IF(Q38="","",ROUND($D38*VLOOKUP($A38,'⚪设计'!$A$409:$N$432,4,FALSE)/(IF($G38="",0,VLOOKUP($G38,'⚪设计'!$B$85:$H$113,4,FALSE)*$H38)+IF($L38="",0,VLOOKUP($L38,'⚪设计'!$B$85:$H$113,4,FALSE)*$M38)+IF($Q38="",0,VLOOKUP($Q38,'⚪设计'!$B$85:$H$113,4,FALSE)*$R38)+IF($V38="",0,VLOOKUP($V38,'⚪设计'!$B$85:$H$113,4,FALSE)*$W38))*IF(Q38="",0,VLOOKUP(Q38,'⚪设计'!$B$85:$H$113,4,FALSE)),0))</f>
        <v>238</v>
      </c>
      <c r="U38" s="97">
        <f>IF(Q38="","",ROUND(战斗节奏!$B$14/(IF($G38="",0,VLOOKUP($G38,'⚪设计'!$B$85:$H$113,5,FALSE)*$H38)+IF($L38="",0,VLOOKUP($L38,'⚪设计'!$B$85:$H$113,5,FALSE)*$M38)+IF($Q38="",0,VLOOKUP($Q38,'⚪设计'!$B$85:$H$113,5,FALSE)*$R38)+IF($V38="",0,VLOOKUP($V38,'⚪设计'!$B$85:$H$113,5,FALSE)*$W38))*IF(Q38="",0,VLOOKUP(Q38,'⚪设计'!$B$85:$H$113,5,FALSE)),0))</f>
        <v>5</v>
      </c>
      <c r="V38" s="97" t="str">
        <f>IF(VLOOKUP($A38,'⚪设计'!$A$409:$N$432,10,FALSE)="","",VLOOKUP($A38,'⚪设计'!$A$409:$N$432,10,FALSE))</f>
        <v>肉1</v>
      </c>
      <c r="W38" s="97">
        <f t="shared" si="9"/>
        <v>4</v>
      </c>
      <c r="X38" s="97">
        <f>IF(VLOOKUP($A38,'⚪设计'!$A$409:$N$432,14,FALSE)="","",VLOOKUP($A38,'⚪设计'!$A$409:$N$432,14,FALSE))</f>
        <v>4</v>
      </c>
      <c r="Y38" s="97">
        <f>IF(V38="","",ROUND($D38*VLOOKUP($A38,'⚪设计'!$A$409:$N$432,4,FALSE)/(IF($G38="",0,VLOOKUP($G38,'⚪设计'!$B$85:$H$113,4,FALSE)*$H38)+IF($L38="",0,VLOOKUP($L38,'⚪设计'!$B$85:$H$113,4,FALSE)*$M38)+IF($Q38="",0,VLOOKUP($Q38,'⚪设计'!$B$85:$H$113,4,FALSE)*$R38)+IF($V38="",0,VLOOKUP($V38,'⚪设计'!$B$85:$H$113,4,FALSE)*$W38))*IF(V38="",0,VLOOKUP(V38,'⚪设计'!$B$85:$H$113,4,FALSE)),0))</f>
        <v>1902</v>
      </c>
      <c r="Z38" s="97">
        <f>IF(V38="","",ROUND(战斗节奏!$B$14/(IF($G38="",0,VLOOKUP($G38,'⚪设计'!$B$85:$H$113,5,FALSE)*$H38)+IF($L38="",0,VLOOKUP($L38,'⚪设计'!$B$85:$H$113,5,FALSE)*$M38)+IF($Q38="",0,VLOOKUP($Q38,'⚪设计'!$B$85:$H$113,5,FALSE)*$R38)+IF($V38="",0,VLOOKUP($V38,'⚪设计'!$B$85:$H$113,5,FALSE)*$W38))*IF(V38="",0,VLOOKUP(V38,'⚪设计'!$B$85:$H$113,5,FALSE)),0))</f>
        <v>48</v>
      </c>
    </row>
    <row r="39" spans="1:26" x14ac:dyDescent="0.2">
      <c r="A39" s="2" t="str">
        <f t="shared" si="5"/>
        <v>2_5</v>
      </c>
      <c r="B39" s="2">
        <v>2</v>
      </c>
      <c r="C39" s="2">
        <v>5</v>
      </c>
      <c r="D39" s="97">
        <f>VLOOKUP(C39,无限模式!$A$3:$B$22,2,FALSE)</f>
        <v>2700</v>
      </c>
      <c r="E39" s="98">
        <v>1</v>
      </c>
      <c r="F39" s="97">
        <f>VLOOKUP(A39,'⚪设计'!$A$409:$N$432,6,FALSE)</f>
        <v>20</v>
      </c>
      <c r="G39" s="97" t="str">
        <f>IF(VLOOKUP($A39,'⚪设计'!$A$409:$N$432,7,FALSE)="","",VLOOKUP($A39,'⚪设计'!$A$409:$N$432,7,FALSE))</f>
        <v>蜘蛛1</v>
      </c>
      <c r="H39" s="97">
        <f t="shared" si="6"/>
        <v>20</v>
      </c>
      <c r="I39" s="97">
        <f>IF(VLOOKUP($A39,'⚪设计'!$A$409:$N$432,11,FALSE)="","",VLOOKUP($A39,'⚪设计'!$A$409:$N$432,11,FALSE))</f>
        <v>1</v>
      </c>
      <c r="J39" s="97">
        <f>IF(G39="","",ROUND($D39*VLOOKUP($A39,'⚪设计'!$A$409:$N$432,4,FALSE)/(IF($G39="",0,VLOOKUP($G39,'⚪设计'!$B$85:$H$113,4,FALSE)*$H39)+IF($L39="",0,VLOOKUP($L39,'⚪设计'!$B$85:$H$113,4,FALSE)*$M39)+IF($Q39="",0,VLOOKUP($Q39,'⚪设计'!$B$85:$H$113,4,FALSE)*$R39)+IF($V39="",0,VLOOKUP($V39,'⚪设计'!$B$85:$H$113,4,FALSE)*$W39))*IF(G39="",0,VLOOKUP(G39,'⚪设计'!$B$85:$H$113,4,FALSE)),0))</f>
        <v>152</v>
      </c>
      <c r="K39" s="97">
        <f>IF(G39="","",ROUND(战斗节奏!$B$14/(IF($G39="",0,VLOOKUP($G39,'⚪设计'!$B$85:$H$113,5,FALSE)*$H39)+IF($L39="",0,VLOOKUP($L39,'⚪设计'!$B$85:$H$113,5,FALSE)*$M39)+IF($Q39="",0,VLOOKUP($Q39,'⚪设计'!$B$85:$H$113,5,FALSE)*$R39)+IF($V39="",0,VLOOKUP($V39,'⚪设计'!$B$85:$H$113,5,FALSE)*$W39))*IF(G39="",0,VLOOKUP(G39,'⚪设计'!$B$85:$H$113,5,FALSE)),0))</f>
        <v>2</v>
      </c>
      <c r="L39" s="97" t="str">
        <f>IF(VLOOKUP($A39,'⚪设计'!$A$409:$N$432,8,FALSE)="","",VLOOKUP($A39,'⚪设计'!$A$409:$N$432,8,FALSE))</f>
        <v>蝙蝠1</v>
      </c>
      <c r="M39" s="97">
        <f t="shared" si="7"/>
        <v>40</v>
      </c>
      <c r="N39" s="97">
        <f>IF(VLOOKUP($A39,'⚪设计'!$A$409:$N$432,12,FALSE)="","",VLOOKUP($A39,'⚪设计'!$A$409:$N$432,12,FALSE))</f>
        <v>0.5</v>
      </c>
      <c r="O39" s="97">
        <f>IF(L39="","",ROUND($D39*VLOOKUP($A39,'⚪设计'!$A$409:$N$432,4,FALSE)/(IF($G39="",0,VLOOKUP($G39,'⚪设计'!$B$85:$H$113,4,FALSE)*$H39)+IF($L39="",0,VLOOKUP($L39,'⚪设计'!$B$85:$H$113,4,FALSE)*$M39)+IF($Q39="",0,VLOOKUP($Q39,'⚪设计'!$B$85:$H$113,4,FALSE)*$R39)+IF($V39="",0,VLOOKUP($V39,'⚪设计'!$B$85:$H$113,4,FALSE)*$W39))*IF(L39="",0,VLOOKUP(L39,'⚪设计'!$B$85:$H$113,4,FALSE)),0))</f>
        <v>76</v>
      </c>
      <c r="P39" s="97">
        <f>IF(L39="","",ROUND(战斗节奏!$B$14/(IF($G39="",0,VLOOKUP($G39,'⚪设计'!$B$85:$H$113,5,FALSE)*$H39)+IF($L39="",0,VLOOKUP($L39,'⚪设计'!$B$85:$H$113,5,FALSE)*$M39)+IF($Q39="",0,VLOOKUP($Q39,'⚪设计'!$B$85:$H$113,5,FALSE)*$R39)+IF($V39="",0,VLOOKUP($V39,'⚪设计'!$B$85:$H$113,5,FALSE)*$W39))*IF(L39="",0,VLOOKUP(L39,'⚪设计'!$B$85:$H$113,5,FALSE)),0))</f>
        <v>1</v>
      </c>
      <c r="Q39" s="97" t="str">
        <f>IF(VLOOKUP($A39,'⚪设计'!$A$409:$N$432,9,FALSE)="","",VLOOKUP($A39,'⚪设计'!$A$409:$N$432,9,FALSE))</f>
        <v>蜜蜂2</v>
      </c>
      <c r="R39" s="97">
        <f t="shared" si="8"/>
        <v>20</v>
      </c>
      <c r="S39" s="97">
        <f>IF(VLOOKUP($A39,'⚪设计'!$A$409:$N$432,13,FALSE)="","",VLOOKUP($A39,'⚪设计'!$A$409:$N$432,13,FALSE))</f>
        <v>1</v>
      </c>
      <c r="T39" s="97">
        <f>IF(Q39="","",ROUND($D39*VLOOKUP($A39,'⚪设计'!$A$409:$N$432,4,FALSE)/(IF($G39="",0,VLOOKUP($G39,'⚪设计'!$B$85:$H$113,4,FALSE)*$H39)+IF($L39="",0,VLOOKUP($L39,'⚪设计'!$B$85:$H$113,4,FALSE)*$M39)+IF($Q39="",0,VLOOKUP($Q39,'⚪设计'!$B$85:$H$113,4,FALSE)*$R39)+IF($V39="",0,VLOOKUP($V39,'⚪设计'!$B$85:$H$113,4,FALSE)*$W39))*IF(Q39="",0,VLOOKUP(Q39,'⚪设计'!$B$85:$H$113,4,FALSE)),0))</f>
        <v>304</v>
      </c>
      <c r="U39" s="97">
        <f>IF(Q39="","",ROUND(战斗节奏!$B$14/(IF($G39="",0,VLOOKUP($G39,'⚪设计'!$B$85:$H$113,5,FALSE)*$H39)+IF($L39="",0,VLOOKUP($L39,'⚪设计'!$B$85:$H$113,5,FALSE)*$M39)+IF($Q39="",0,VLOOKUP($Q39,'⚪设计'!$B$85:$H$113,5,FALSE)*$R39)+IF($V39="",0,VLOOKUP($V39,'⚪设计'!$B$85:$H$113,5,FALSE)*$W39))*IF(Q39="",0,VLOOKUP(Q39,'⚪设计'!$B$85:$H$113,5,FALSE)),0))</f>
        <v>3</v>
      </c>
      <c r="V39" s="97" t="str">
        <f>IF(VLOOKUP($A39,'⚪设计'!$A$409:$N$432,10,FALSE)="","",VLOOKUP($A39,'⚪设计'!$A$409:$N$432,10,FALSE))</f>
        <v>肉1</v>
      </c>
      <c r="W39" s="97">
        <f t="shared" si="9"/>
        <v>5</v>
      </c>
      <c r="X39" s="97">
        <f>IF(VLOOKUP($A39,'⚪设计'!$A$409:$N$432,14,FALSE)="","",VLOOKUP($A39,'⚪设计'!$A$409:$N$432,14,FALSE))</f>
        <v>4</v>
      </c>
      <c r="Y39" s="97">
        <f>IF(V39="","",ROUND($D39*VLOOKUP($A39,'⚪设计'!$A$409:$N$432,4,FALSE)/(IF($G39="",0,VLOOKUP($G39,'⚪设计'!$B$85:$H$113,4,FALSE)*$H39)+IF($L39="",0,VLOOKUP($L39,'⚪设计'!$B$85:$H$113,4,FALSE)*$M39)+IF($Q39="",0,VLOOKUP($Q39,'⚪设计'!$B$85:$H$113,4,FALSE)*$R39)+IF($V39="",0,VLOOKUP($V39,'⚪设计'!$B$85:$H$113,4,FALSE)*$W39))*IF(V39="",0,VLOOKUP(V39,'⚪设计'!$B$85:$H$113,4,FALSE)),0))</f>
        <v>2430</v>
      </c>
      <c r="Z39" s="97">
        <f>IF(V39="","",ROUND(战斗节奏!$B$14/(IF($G39="",0,VLOOKUP($G39,'⚪设计'!$B$85:$H$113,5,FALSE)*$H39)+IF($L39="",0,VLOOKUP($L39,'⚪设计'!$B$85:$H$113,5,FALSE)*$M39)+IF($Q39="",0,VLOOKUP($Q39,'⚪设计'!$B$85:$H$113,5,FALSE)*$R39)+IF($V39="",0,VLOOKUP($V39,'⚪设计'!$B$85:$H$113,5,FALSE)*$W39))*IF(V39="",0,VLOOKUP(V39,'⚪设计'!$B$85:$H$113,5,FALSE)),0))</f>
        <v>33</v>
      </c>
    </row>
    <row r="40" spans="1:26" x14ac:dyDescent="0.2">
      <c r="A40" s="2" t="str">
        <f t="shared" si="5"/>
        <v>3_1</v>
      </c>
      <c r="B40" s="2">
        <v>3</v>
      </c>
      <c r="C40" s="2">
        <v>1</v>
      </c>
      <c r="D40" s="97">
        <f>VLOOKUP(C40,无限模式!$A$3:$B$22,2,FALSE)</f>
        <v>540</v>
      </c>
      <c r="E40" s="98">
        <v>1</v>
      </c>
      <c r="F40" s="97">
        <f>VLOOKUP(A40,'⚪设计'!$A$409:$N$432,6,FALSE)</f>
        <v>10</v>
      </c>
      <c r="G40" s="97" t="str">
        <f>IF(VLOOKUP($A40,'⚪设计'!$A$409:$N$432,7,FALSE)="","",VLOOKUP($A40,'⚪设计'!$A$409:$N$432,7,FALSE))</f>
        <v>种子1</v>
      </c>
      <c r="H40" s="97">
        <f t="shared" si="6"/>
        <v>5</v>
      </c>
      <c r="I40" s="97">
        <f>IF(VLOOKUP($A40,'⚪设计'!$A$409:$N$432,11,FALSE)="","",VLOOKUP($A40,'⚪设计'!$A$409:$N$432,11,FALSE))</f>
        <v>2</v>
      </c>
      <c r="J40" s="97">
        <f>IF(G40="","",ROUND($D40*VLOOKUP($A40,'⚪设计'!$A$409:$N$432,4,FALSE)/(IF($G40="",0,VLOOKUP($G40,'⚪设计'!$B$85:$H$113,4,FALSE)*$H40)+IF($L40="",0,VLOOKUP($L40,'⚪设计'!$B$85:$H$113,4,FALSE)*$M40)+IF($Q40="",0,VLOOKUP($Q40,'⚪设计'!$B$85:$H$113,4,FALSE)*$R40)+IF($V40="",0,VLOOKUP($V40,'⚪设计'!$B$85:$H$113,4,FALSE)*$W40))*IF(G40="",0,VLOOKUP(G40,'⚪设计'!$B$85:$H$113,4,FALSE)),0))</f>
        <v>190</v>
      </c>
      <c r="K40" s="97">
        <f>IF(G40="","",ROUND(战斗节奏!$B$14/(IF($G40="",0,VLOOKUP($G40,'⚪设计'!$B$85:$H$113,5,FALSE)*$H40)+IF($L40="",0,VLOOKUP($L40,'⚪设计'!$B$85:$H$113,5,FALSE)*$M40)+IF($Q40="",0,VLOOKUP($Q40,'⚪设计'!$B$85:$H$113,5,FALSE)*$R40)+IF($V40="",0,VLOOKUP($V40,'⚪设计'!$B$85:$H$113,5,FALSE)*$W40))*IF(G40="",0,VLOOKUP(G40,'⚪设计'!$B$85:$H$113,5,FALSE)),0))</f>
        <v>9</v>
      </c>
      <c r="L40" s="97" t="str">
        <f>IF(VLOOKUP($A40,'⚪设计'!$A$409:$N$432,8,FALSE)="","",VLOOKUP($A40,'⚪设计'!$A$409:$N$432,8,FALSE))</f>
        <v>肉2</v>
      </c>
      <c r="M40" s="97">
        <f t="shared" si="7"/>
        <v>2</v>
      </c>
      <c r="N40" s="97">
        <f>IF(VLOOKUP($A40,'⚪设计'!$A$409:$N$432,12,FALSE)="","",VLOOKUP($A40,'⚪设计'!$A$409:$N$432,12,FALSE))</f>
        <v>6</v>
      </c>
      <c r="O40" s="97">
        <f>IF(L40="","",ROUND($D40*VLOOKUP($A40,'⚪设计'!$A$409:$N$432,4,FALSE)/(IF($G40="",0,VLOOKUP($G40,'⚪设计'!$B$85:$H$113,4,FALSE)*$H40)+IF($L40="",0,VLOOKUP($L40,'⚪设计'!$B$85:$H$113,4,FALSE)*$M40)+IF($Q40="",0,VLOOKUP($Q40,'⚪设计'!$B$85:$H$113,4,FALSE)*$R40)+IF($V40="",0,VLOOKUP($V40,'⚪设计'!$B$85:$H$113,4,FALSE)*$W40))*IF(L40="",0,VLOOKUP(L40,'⚪设计'!$B$85:$H$113,4,FALSE)),0))</f>
        <v>1011</v>
      </c>
      <c r="P40" s="97">
        <f>IF(L40="","",ROUND(战斗节奏!$B$14/(IF($G40="",0,VLOOKUP($G40,'⚪设计'!$B$85:$H$113,5,FALSE)*$H40)+IF($L40="",0,VLOOKUP($L40,'⚪设计'!$B$85:$H$113,5,FALSE)*$M40)+IF($Q40="",0,VLOOKUP($Q40,'⚪设计'!$B$85:$H$113,5,FALSE)*$R40)+IF($V40="",0,VLOOKUP($V40,'⚪设计'!$B$85:$H$113,5,FALSE)*$W40))*IF(L40="",0,VLOOKUP(L40,'⚪设计'!$B$85:$H$113,5,FALSE)),0))</f>
        <v>129</v>
      </c>
      <c r="Q40" s="97" t="str">
        <f>IF(VLOOKUP($A40,'⚪设计'!$A$409:$N$432,9,FALSE)="","",VLOOKUP($A40,'⚪设计'!$A$409:$N$432,9,FALSE))</f>
        <v/>
      </c>
      <c r="R40" s="97" t="str">
        <f t="shared" si="8"/>
        <v/>
      </c>
      <c r="S40" s="97" t="str">
        <f>IF(VLOOKUP($A40,'⚪设计'!$A$409:$N$432,13,FALSE)="","",VLOOKUP($A40,'⚪设计'!$A$409:$N$432,13,FALSE))</f>
        <v/>
      </c>
      <c r="T40" s="97" t="str">
        <f>IF(Q40="","",ROUND($D40*VLOOKUP($A40,'⚪设计'!$A$409:$N$432,4,FALSE)/(IF($G40="",0,VLOOKUP($G40,'⚪设计'!$B$85:$H$113,4,FALSE)*$H40)+IF($L40="",0,VLOOKUP($L40,'⚪设计'!$B$85:$H$113,4,FALSE)*$M40)+IF($Q40="",0,VLOOKUP($Q40,'⚪设计'!$B$85:$H$113,4,FALSE)*$R40)+IF($V40="",0,VLOOKUP($V40,'⚪设计'!$B$85:$H$113,4,FALSE)*$W40))*IF(Q40="",0,VLOOKUP(Q40,'⚪设计'!$B$85:$H$113,4,FALSE)),0))</f>
        <v/>
      </c>
      <c r="U40" s="97" t="str">
        <f>IF(Q40="","",ROUND(战斗节奏!$B$14/(IF($G40="",0,VLOOKUP($G40,'⚪设计'!$B$85:$H$113,5,FALSE)*$H40)+IF($L40="",0,VLOOKUP($L40,'⚪设计'!$B$85:$H$113,5,FALSE)*$M40)+IF($Q40="",0,VLOOKUP($Q40,'⚪设计'!$B$85:$H$113,5,FALSE)*$R40)+IF($V40="",0,VLOOKUP($V40,'⚪设计'!$B$85:$H$113,5,FALSE)*$W40))*IF(Q40="",0,VLOOKUP(Q40,'⚪设计'!$B$85:$H$113,5,FALSE)),0))</f>
        <v/>
      </c>
      <c r="V40" s="97" t="str">
        <f>IF(VLOOKUP($A40,'⚪设计'!$A$409:$N$432,10,FALSE)="","",VLOOKUP($A40,'⚪设计'!$A$409:$N$432,10,FALSE))</f>
        <v/>
      </c>
      <c r="W40" s="97" t="str">
        <f t="shared" si="9"/>
        <v/>
      </c>
      <c r="X40" s="97" t="str">
        <f>IF(VLOOKUP($A40,'⚪设计'!$A$409:$N$432,14,FALSE)="","",VLOOKUP($A40,'⚪设计'!$A$409:$N$432,14,FALSE))</f>
        <v/>
      </c>
      <c r="Y40" s="97" t="str">
        <f>IF(V40="","",ROUND($D40*VLOOKUP($A40,'⚪设计'!$A$409:$N$432,4,FALSE)/(IF($G40="",0,VLOOKUP($G40,'⚪设计'!$B$85:$H$113,4,FALSE)*$H40)+IF($L40="",0,VLOOKUP($L40,'⚪设计'!$B$85:$H$113,4,FALSE)*$M40)+IF($Q40="",0,VLOOKUP($Q40,'⚪设计'!$B$85:$H$113,4,FALSE)*$R40)+IF($V40="",0,VLOOKUP($V40,'⚪设计'!$B$85:$H$113,4,FALSE)*$W40))*IF(V40="",0,VLOOKUP(V40,'⚪设计'!$B$85:$H$113,4,FALSE)),0))</f>
        <v/>
      </c>
      <c r="Z40" s="97" t="str">
        <f>IF(V40="","",ROUND(战斗节奏!$B$14/(IF($G40="",0,VLOOKUP($G40,'⚪设计'!$B$85:$H$113,5,FALSE)*$H40)+IF($L40="",0,VLOOKUP($L40,'⚪设计'!$B$85:$H$113,5,FALSE)*$M40)+IF($Q40="",0,VLOOKUP($Q40,'⚪设计'!$B$85:$H$113,5,FALSE)*$R40)+IF($V40="",0,VLOOKUP($V40,'⚪设计'!$B$85:$H$113,5,FALSE)*$W40))*IF(V40="",0,VLOOKUP(V40,'⚪设计'!$B$85:$H$113,5,FALSE)),0))</f>
        <v/>
      </c>
    </row>
    <row r="41" spans="1:26" x14ac:dyDescent="0.2">
      <c r="A41" s="2" t="str">
        <f t="shared" si="5"/>
        <v>3_2</v>
      </c>
      <c r="B41" s="2">
        <v>3</v>
      </c>
      <c r="C41" s="2">
        <v>2</v>
      </c>
      <c r="D41" s="97">
        <f>VLOOKUP(C41,无限模式!$A$3:$B$22,2,FALSE)</f>
        <v>1080</v>
      </c>
      <c r="E41" s="98">
        <v>1</v>
      </c>
      <c r="F41" s="97">
        <f>VLOOKUP(A41,'⚪设计'!$A$409:$N$432,6,FALSE)</f>
        <v>12.5</v>
      </c>
      <c r="G41" s="97" t="str">
        <f>IF(VLOOKUP($A41,'⚪设计'!$A$409:$N$432,7,FALSE)="","",VLOOKUP($A41,'⚪设计'!$A$409:$N$432,7,FALSE))</f>
        <v>种子1</v>
      </c>
      <c r="H41" s="97">
        <f t="shared" si="6"/>
        <v>6</v>
      </c>
      <c r="I41" s="97">
        <f>IF(VLOOKUP($A41,'⚪设计'!$A$409:$N$432,11,FALSE)="","",VLOOKUP($A41,'⚪设计'!$A$409:$N$432,11,FALSE))</f>
        <v>2</v>
      </c>
      <c r="J41" s="97">
        <f>IF(G41="","",ROUND($D41*VLOOKUP($A41,'⚪设计'!$A$409:$N$432,4,FALSE)/(IF($G41="",0,VLOOKUP($G41,'⚪设计'!$B$85:$H$113,4,FALSE)*$H41)+IF($L41="",0,VLOOKUP($L41,'⚪设计'!$B$85:$H$113,4,FALSE)*$M41)+IF($Q41="",0,VLOOKUP($Q41,'⚪设计'!$B$85:$H$113,4,FALSE)*$R41)+IF($V41="",0,VLOOKUP($V41,'⚪设计'!$B$85:$H$113,4,FALSE)*$W41))*IF(G41="",0,VLOOKUP(G41,'⚪设计'!$B$85:$H$113,4,FALSE)),0))</f>
        <v>287</v>
      </c>
      <c r="K41" s="97">
        <f>IF(G41="","",ROUND(战斗节奏!$B$14/(IF($G41="",0,VLOOKUP($G41,'⚪设计'!$B$85:$H$113,5,FALSE)*$H41)+IF($L41="",0,VLOOKUP($L41,'⚪设计'!$B$85:$H$113,5,FALSE)*$M41)+IF($Q41="",0,VLOOKUP($Q41,'⚪设计'!$B$85:$H$113,5,FALSE)*$R41)+IF($V41="",0,VLOOKUP($V41,'⚪设计'!$B$85:$H$113,5,FALSE)*$W41))*IF(G41="",0,VLOOKUP(G41,'⚪设计'!$B$85:$H$113,5,FALSE)),0))</f>
        <v>7</v>
      </c>
      <c r="L41" s="97" t="str">
        <f>IF(VLOOKUP($A41,'⚪设计'!$A$409:$N$432,8,FALSE)="","",VLOOKUP($A41,'⚪设计'!$A$409:$N$432,8,FALSE))</f>
        <v>蜜蜂2</v>
      </c>
      <c r="M41" s="97">
        <f t="shared" si="7"/>
        <v>6</v>
      </c>
      <c r="N41" s="97">
        <f>IF(VLOOKUP($A41,'⚪设计'!$A$409:$N$432,12,FALSE)="","",VLOOKUP($A41,'⚪设计'!$A$409:$N$432,12,FALSE))</f>
        <v>2</v>
      </c>
      <c r="O41" s="97">
        <f>IF(L41="","",ROUND($D41*VLOOKUP($A41,'⚪设计'!$A$409:$N$432,4,FALSE)/(IF($G41="",0,VLOOKUP($G41,'⚪设计'!$B$85:$H$113,4,FALSE)*$H41)+IF($L41="",0,VLOOKUP($L41,'⚪设计'!$B$85:$H$113,4,FALSE)*$M41)+IF($Q41="",0,VLOOKUP($Q41,'⚪设计'!$B$85:$H$113,4,FALSE)*$R41)+IF($V41="",0,VLOOKUP($V41,'⚪设计'!$B$85:$H$113,4,FALSE)*$W41))*IF(L41="",0,VLOOKUP(L41,'⚪设计'!$B$85:$H$113,4,FALSE)),0))</f>
        <v>192</v>
      </c>
      <c r="P41" s="97">
        <f>IF(L41="","",ROUND(战斗节奏!$B$14/(IF($G41="",0,VLOOKUP($G41,'⚪设计'!$B$85:$H$113,5,FALSE)*$H41)+IF($L41="",0,VLOOKUP($L41,'⚪设计'!$B$85:$H$113,5,FALSE)*$M41)+IF($Q41="",0,VLOOKUP($Q41,'⚪设计'!$B$85:$H$113,5,FALSE)*$R41)+IF($V41="",0,VLOOKUP($V41,'⚪设计'!$B$85:$H$113,5,FALSE)*$W41))*IF(L41="",0,VLOOKUP(L41,'⚪设计'!$B$85:$H$113,5,FALSE)),0))</f>
        <v>7</v>
      </c>
      <c r="Q41" s="97" t="str">
        <f>IF(VLOOKUP($A41,'⚪设计'!$A$409:$N$432,9,FALSE)="","",VLOOKUP($A41,'⚪设计'!$A$409:$N$432,9,FALSE))</f>
        <v>肉2</v>
      </c>
      <c r="R41" s="97">
        <f t="shared" si="8"/>
        <v>2</v>
      </c>
      <c r="S41" s="97">
        <f>IF(VLOOKUP($A41,'⚪设计'!$A$409:$N$432,13,FALSE)="","",VLOOKUP($A41,'⚪设计'!$A$409:$N$432,13,FALSE))</f>
        <v>6</v>
      </c>
      <c r="T41" s="97">
        <f>IF(Q41="","",ROUND($D41*VLOOKUP($A41,'⚪设计'!$A$409:$N$432,4,FALSE)/(IF($G41="",0,VLOOKUP($G41,'⚪设计'!$B$85:$H$113,4,FALSE)*$H41)+IF($L41="",0,VLOOKUP($L41,'⚪设计'!$B$85:$H$113,4,FALSE)*$M41)+IF($Q41="",0,VLOOKUP($Q41,'⚪设计'!$B$85:$H$113,4,FALSE)*$R41)+IF($V41="",0,VLOOKUP($V41,'⚪设计'!$B$85:$H$113,4,FALSE)*$W41))*IF(Q41="",0,VLOOKUP(Q41,'⚪设计'!$B$85:$H$113,4,FALSE)),0))</f>
        <v>1533</v>
      </c>
      <c r="U41" s="97">
        <f>IF(Q41="","",ROUND(战斗节奏!$B$14/(IF($G41="",0,VLOOKUP($G41,'⚪设计'!$B$85:$H$113,5,FALSE)*$H41)+IF($L41="",0,VLOOKUP($L41,'⚪设计'!$B$85:$H$113,5,FALSE)*$M41)+IF($Q41="",0,VLOOKUP($Q41,'⚪设计'!$B$85:$H$113,5,FALSE)*$R41)+IF($V41="",0,VLOOKUP($V41,'⚪设计'!$B$85:$H$113,5,FALSE)*$W41))*IF(Q41="",0,VLOOKUP(Q41,'⚪设计'!$B$85:$H$113,5,FALSE)),0))</f>
        <v>107</v>
      </c>
      <c r="V41" s="97" t="str">
        <f>IF(VLOOKUP($A41,'⚪设计'!$A$409:$N$432,10,FALSE)="","",VLOOKUP($A41,'⚪设计'!$A$409:$N$432,10,FALSE))</f>
        <v/>
      </c>
      <c r="W41" s="97" t="str">
        <f t="shared" si="9"/>
        <v/>
      </c>
      <c r="X41" s="97" t="str">
        <f>IF(VLOOKUP($A41,'⚪设计'!$A$409:$N$432,14,FALSE)="","",VLOOKUP($A41,'⚪设计'!$A$409:$N$432,14,FALSE))</f>
        <v/>
      </c>
      <c r="Y41" s="97" t="str">
        <f>IF(V41="","",ROUND($D41*VLOOKUP($A41,'⚪设计'!$A$409:$N$432,4,FALSE)/(IF($G41="",0,VLOOKUP($G41,'⚪设计'!$B$85:$H$113,4,FALSE)*$H41)+IF($L41="",0,VLOOKUP($L41,'⚪设计'!$B$85:$H$113,4,FALSE)*$M41)+IF($Q41="",0,VLOOKUP($Q41,'⚪设计'!$B$85:$H$113,4,FALSE)*$R41)+IF($V41="",0,VLOOKUP($V41,'⚪设计'!$B$85:$H$113,4,FALSE)*$W41))*IF(V41="",0,VLOOKUP(V41,'⚪设计'!$B$85:$H$113,4,FALSE)),0))</f>
        <v/>
      </c>
      <c r="Z41" s="97" t="str">
        <f>IF(V41="","",ROUND(战斗节奏!$B$14/(IF($G41="",0,VLOOKUP($G41,'⚪设计'!$B$85:$H$113,5,FALSE)*$H41)+IF($L41="",0,VLOOKUP($L41,'⚪设计'!$B$85:$H$113,5,FALSE)*$M41)+IF($Q41="",0,VLOOKUP($Q41,'⚪设计'!$B$85:$H$113,5,FALSE)*$R41)+IF($V41="",0,VLOOKUP($V41,'⚪设计'!$B$85:$H$113,5,FALSE)*$W41))*IF(V41="",0,VLOOKUP(V41,'⚪设计'!$B$85:$H$113,5,FALSE)),0))</f>
        <v/>
      </c>
    </row>
    <row r="42" spans="1:26" x14ac:dyDescent="0.2">
      <c r="A42" s="2" t="str">
        <f t="shared" si="5"/>
        <v>3_3</v>
      </c>
      <c r="B42" s="2">
        <v>3</v>
      </c>
      <c r="C42" s="2">
        <v>3</v>
      </c>
      <c r="D42" s="97">
        <f>VLOOKUP(C42,无限模式!$A$3:$B$22,2,FALSE)</f>
        <v>1620</v>
      </c>
      <c r="E42" s="98">
        <v>1</v>
      </c>
      <c r="F42" s="97">
        <f>VLOOKUP(A42,'⚪设计'!$A$409:$N$432,6,FALSE)</f>
        <v>15</v>
      </c>
      <c r="G42" s="97" t="str">
        <f>IF(VLOOKUP($A42,'⚪设计'!$A$409:$N$432,7,FALSE)="","",VLOOKUP($A42,'⚪设计'!$A$409:$N$432,7,FALSE))</f>
        <v>种子1</v>
      </c>
      <c r="H42" s="97">
        <f t="shared" si="6"/>
        <v>8</v>
      </c>
      <c r="I42" s="97">
        <f>IF(VLOOKUP($A42,'⚪设计'!$A$409:$N$432,11,FALSE)="","",VLOOKUP($A42,'⚪设计'!$A$409:$N$432,11,FALSE))</f>
        <v>2</v>
      </c>
      <c r="J42" s="97">
        <f>IF(G42="","",ROUND($D42*VLOOKUP($A42,'⚪设计'!$A$409:$N$432,4,FALSE)/(IF($G42="",0,VLOOKUP($G42,'⚪设计'!$B$85:$H$113,4,FALSE)*$H42)+IF($L42="",0,VLOOKUP($L42,'⚪设计'!$B$85:$H$113,4,FALSE)*$M42)+IF($Q42="",0,VLOOKUP($Q42,'⚪设计'!$B$85:$H$113,4,FALSE)*$R42)+IF($V42="",0,VLOOKUP($V42,'⚪设计'!$B$85:$H$113,4,FALSE)*$W42))*IF(G42="",0,VLOOKUP(G42,'⚪设计'!$B$85:$H$113,4,FALSE)),0))</f>
        <v>318</v>
      </c>
      <c r="K42" s="97">
        <f>IF(G42="","",ROUND(战斗节奏!$B$14/(IF($G42="",0,VLOOKUP($G42,'⚪设计'!$B$85:$H$113,5,FALSE)*$H42)+IF($L42="",0,VLOOKUP($L42,'⚪设计'!$B$85:$H$113,5,FALSE)*$M42)+IF($Q42="",0,VLOOKUP($Q42,'⚪设计'!$B$85:$H$113,5,FALSE)*$R42)+IF($V42="",0,VLOOKUP($V42,'⚪设计'!$B$85:$H$113,5,FALSE)*$W42))*IF(G42="",0,VLOOKUP(G42,'⚪设计'!$B$85:$H$113,5,FALSE)),0))</f>
        <v>4</v>
      </c>
      <c r="L42" s="97" t="str">
        <f>IF(VLOOKUP($A42,'⚪设计'!$A$409:$N$432,8,FALSE)="","",VLOOKUP($A42,'⚪设计'!$A$409:$N$432,8,FALSE))</f>
        <v>蝙蝠1</v>
      </c>
      <c r="M42" s="97">
        <f t="shared" si="7"/>
        <v>15</v>
      </c>
      <c r="N42" s="97">
        <f>IF(VLOOKUP($A42,'⚪设计'!$A$409:$N$432,12,FALSE)="","",VLOOKUP($A42,'⚪设计'!$A$409:$N$432,12,FALSE))</f>
        <v>1</v>
      </c>
      <c r="O42" s="97">
        <f>IF(L42="","",ROUND($D42*VLOOKUP($A42,'⚪设计'!$A$409:$N$432,4,FALSE)/(IF($G42="",0,VLOOKUP($G42,'⚪设计'!$B$85:$H$113,4,FALSE)*$H42)+IF($L42="",0,VLOOKUP($L42,'⚪设计'!$B$85:$H$113,4,FALSE)*$M42)+IF($Q42="",0,VLOOKUP($Q42,'⚪设计'!$B$85:$H$113,4,FALSE)*$R42)+IF($V42="",0,VLOOKUP($V42,'⚪设计'!$B$85:$H$113,4,FALSE)*$W42))*IF(L42="",0,VLOOKUP(L42,'⚪设计'!$B$85:$H$113,4,FALSE)),0))</f>
        <v>53</v>
      </c>
      <c r="P42" s="97">
        <f>IF(L42="","",ROUND(战斗节奏!$B$14/(IF($G42="",0,VLOOKUP($G42,'⚪设计'!$B$85:$H$113,5,FALSE)*$H42)+IF($L42="",0,VLOOKUP($L42,'⚪设计'!$B$85:$H$113,5,FALSE)*$M42)+IF($Q42="",0,VLOOKUP($Q42,'⚪设计'!$B$85:$H$113,5,FALSE)*$R42)+IF($V42="",0,VLOOKUP($V42,'⚪设计'!$B$85:$H$113,5,FALSE)*$W42))*IF(L42="",0,VLOOKUP(L42,'⚪设计'!$B$85:$H$113,5,FALSE)),0))</f>
        <v>1</v>
      </c>
      <c r="Q42" s="97" t="str">
        <f>IF(VLOOKUP($A42,'⚪设计'!$A$409:$N$432,9,FALSE)="","",VLOOKUP($A42,'⚪设计'!$A$409:$N$432,9,FALSE))</f>
        <v>肉2</v>
      </c>
      <c r="R42" s="97">
        <f t="shared" si="8"/>
        <v>4</v>
      </c>
      <c r="S42" s="97">
        <f>IF(VLOOKUP($A42,'⚪设计'!$A$409:$N$432,13,FALSE)="","",VLOOKUP($A42,'⚪设计'!$A$409:$N$432,13,FALSE))</f>
        <v>4</v>
      </c>
      <c r="T42" s="97">
        <f>IF(Q42="","",ROUND($D42*VLOOKUP($A42,'⚪设计'!$A$409:$N$432,4,FALSE)/(IF($G42="",0,VLOOKUP($G42,'⚪设计'!$B$85:$H$113,4,FALSE)*$H42)+IF($L42="",0,VLOOKUP($L42,'⚪设计'!$B$85:$H$113,4,FALSE)*$M42)+IF($Q42="",0,VLOOKUP($Q42,'⚪设计'!$B$85:$H$113,4,FALSE)*$R42)+IF($V42="",0,VLOOKUP($V42,'⚪设计'!$B$85:$H$113,4,FALSE)*$W42))*IF(Q42="",0,VLOOKUP(Q42,'⚪设计'!$B$85:$H$113,4,FALSE)),0))</f>
        <v>1696</v>
      </c>
      <c r="U42" s="97">
        <f>IF(Q42="","",ROUND(战斗节奏!$B$14/(IF($G42="",0,VLOOKUP($G42,'⚪设计'!$B$85:$H$113,5,FALSE)*$H42)+IF($L42="",0,VLOOKUP($L42,'⚪设计'!$B$85:$H$113,5,FALSE)*$M42)+IF($Q42="",0,VLOOKUP($Q42,'⚪设计'!$B$85:$H$113,5,FALSE)*$R42)+IF($V42="",0,VLOOKUP($V42,'⚪设计'!$B$85:$H$113,5,FALSE)*$W42))*IF(Q42="",0,VLOOKUP(Q42,'⚪设计'!$B$85:$H$113,5,FALSE)),0))</f>
        <v>63</v>
      </c>
      <c r="V42" s="97" t="str">
        <f>IF(VLOOKUP($A42,'⚪设计'!$A$409:$N$432,10,FALSE)="","",VLOOKUP($A42,'⚪设计'!$A$409:$N$432,10,FALSE))</f>
        <v/>
      </c>
      <c r="W42" s="97" t="str">
        <f t="shared" si="9"/>
        <v/>
      </c>
      <c r="X42" s="97" t="str">
        <f>IF(VLOOKUP($A42,'⚪设计'!$A$409:$N$432,14,FALSE)="","",VLOOKUP($A42,'⚪设计'!$A$409:$N$432,14,FALSE))</f>
        <v/>
      </c>
      <c r="Y42" s="97" t="str">
        <f>IF(V42="","",ROUND($D42*VLOOKUP($A42,'⚪设计'!$A$409:$N$432,4,FALSE)/(IF($G42="",0,VLOOKUP($G42,'⚪设计'!$B$85:$H$113,4,FALSE)*$H42)+IF($L42="",0,VLOOKUP($L42,'⚪设计'!$B$85:$H$113,4,FALSE)*$M42)+IF($Q42="",0,VLOOKUP($Q42,'⚪设计'!$B$85:$H$113,4,FALSE)*$R42)+IF($V42="",0,VLOOKUP($V42,'⚪设计'!$B$85:$H$113,4,FALSE)*$W42))*IF(V42="",0,VLOOKUP(V42,'⚪设计'!$B$85:$H$113,4,FALSE)),0))</f>
        <v/>
      </c>
      <c r="Z42" s="97" t="str">
        <f>IF(V42="","",ROUND(战斗节奏!$B$14/(IF($G42="",0,VLOOKUP($G42,'⚪设计'!$B$85:$H$113,5,FALSE)*$H42)+IF($L42="",0,VLOOKUP($L42,'⚪设计'!$B$85:$H$113,5,FALSE)*$M42)+IF($Q42="",0,VLOOKUP($Q42,'⚪设计'!$B$85:$H$113,5,FALSE)*$R42)+IF($V42="",0,VLOOKUP($V42,'⚪设计'!$B$85:$H$113,5,FALSE)*$W42))*IF(V42="",0,VLOOKUP(V42,'⚪设计'!$B$85:$H$113,5,FALSE)),0))</f>
        <v/>
      </c>
    </row>
    <row r="43" spans="1:26" x14ac:dyDescent="0.2">
      <c r="A43" s="2" t="str">
        <f t="shared" si="5"/>
        <v>4_1</v>
      </c>
      <c r="B43" s="2">
        <v>4</v>
      </c>
      <c r="C43" s="2">
        <v>1</v>
      </c>
      <c r="D43" s="97">
        <f>VLOOKUP(C43,无限模式!$A$3:$B$22,2,FALSE)</f>
        <v>540</v>
      </c>
      <c r="E43" s="98">
        <v>1</v>
      </c>
      <c r="F43" s="97">
        <f>VLOOKUP(A43,'⚪设计'!$A$409:$N$432,6,FALSE)</f>
        <v>10</v>
      </c>
      <c r="G43" s="97" t="str">
        <f>IF(VLOOKUP($A43,'⚪设计'!$A$409:$N$432,7,FALSE)="","",VLOOKUP($A43,'⚪设计'!$A$409:$N$432,7,FALSE))</f>
        <v>鬼1</v>
      </c>
      <c r="H43" s="97">
        <f t="shared" si="6"/>
        <v>7</v>
      </c>
      <c r="I43" s="97">
        <f>IF(VLOOKUP($A43,'⚪设计'!$A$409:$N$432,11,FALSE)="","",VLOOKUP($A43,'⚪设计'!$A$409:$N$432,11,FALSE))</f>
        <v>1.5</v>
      </c>
      <c r="J43" s="97">
        <f>IF(G43="","",ROUND($D43*VLOOKUP($A43,'⚪设计'!$A$409:$N$432,4,FALSE)/(IF($G43="",0,VLOOKUP($G43,'⚪设计'!$B$85:$H$113,4,FALSE)*$H43)+IF($L43="",0,VLOOKUP($L43,'⚪设计'!$B$85:$H$113,4,FALSE)*$M43)+IF($Q43="",0,VLOOKUP($Q43,'⚪设计'!$B$85:$H$113,4,FALSE)*$R43)+IF($V43="",0,VLOOKUP($V43,'⚪设计'!$B$85:$H$113,4,FALSE)*$W43))*IF(G43="",0,VLOOKUP(G43,'⚪设计'!$B$85:$H$113,4,FALSE)),0))</f>
        <v>145</v>
      </c>
      <c r="K43" s="97">
        <f>IF(G43="","",ROUND(战斗节奏!$B$14/(IF($G43="",0,VLOOKUP($G43,'⚪设计'!$B$85:$H$113,5,FALSE)*$H43)+IF($L43="",0,VLOOKUP($L43,'⚪设计'!$B$85:$H$113,5,FALSE)*$M43)+IF($Q43="",0,VLOOKUP($Q43,'⚪设计'!$B$85:$H$113,5,FALSE)*$R43)+IF($V43="",0,VLOOKUP($V43,'⚪设计'!$B$85:$H$113,5,FALSE)*$W43))*IF(G43="",0,VLOOKUP(G43,'⚪设计'!$B$85:$H$113,5,FALSE)),0))</f>
        <v>4</v>
      </c>
      <c r="L43" s="97" t="str">
        <f>IF(VLOOKUP($A43,'⚪设计'!$A$409:$N$432,8,FALSE)="","",VLOOKUP($A43,'⚪设计'!$A$409:$N$432,8,FALSE))</f>
        <v>肉2</v>
      </c>
      <c r="M43" s="97">
        <f t="shared" si="7"/>
        <v>2</v>
      </c>
      <c r="N43" s="97">
        <f>IF(VLOOKUP($A43,'⚪设计'!$A$409:$N$432,12,FALSE)="","",VLOOKUP($A43,'⚪设计'!$A$409:$N$432,12,FALSE))</f>
        <v>6</v>
      </c>
      <c r="O43" s="97">
        <f>IF(L43="","",ROUND($D43*VLOOKUP($A43,'⚪设计'!$A$409:$N$432,4,FALSE)/(IF($G43="",0,VLOOKUP($G43,'⚪设计'!$B$85:$H$113,4,FALSE)*$H43)+IF($L43="",0,VLOOKUP($L43,'⚪设计'!$B$85:$H$113,4,FALSE)*$M43)+IF($Q43="",0,VLOOKUP($Q43,'⚪设计'!$B$85:$H$113,4,FALSE)*$R43)+IF($V43="",0,VLOOKUP($V43,'⚪设计'!$B$85:$H$113,4,FALSE)*$W43))*IF(L43="",0,VLOOKUP(L43,'⚪设计'!$B$85:$H$113,4,FALSE)),0))</f>
        <v>2326</v>
      </c>
      <c r="P43" s="97">
        <f>IF(L43="","",ROUND(战斗节奏!$B$14/(IF($G43="",0,VLOOKUP($G43,'⚪设计'!$B$85:$H$113,5,FALSE)*$H43)+IF($L43="",0,VLOOKUP($L43,'⚪设计'!$B$85:$H$113,5,FALSE)*$M43)+IF($Q43="",0,VLOOKUP($Q43,'⚪设计'!$B$85:$H$113,5,FALSE)*$R43)+IF($V43="",0,VLOOKUP($V43,'⚪设计'!$B$85:$H$113,5,FALSE)*$W43))*IF(L43="",0,VLOOKUP(L43,'⚪设计'!$B$85:$H$113,5,FALSE)),0))</f>
        <v>134</v>
      </c>
      <c r="Q43" s="97" t="str">
        <f>IF(VLOOKUP($A43,'⚪设计'!$A$409:$N$432,9,FALSE)="","",VLOOKUP($A43,'⚪设计'!$A$409:$N$432,9,FALSE))</f>
        <v/>
      </c>
      <c r="R43" s="97" t="str">
        <f t="shared" si="8"/>
        <v/>
      </c>
      <c r="S43" s="97" t="str">
        <f>IF(VLOOKUP($A43,'⚪设计'!$A$409:$N$432,13,FALSE)="","",VLOOKUP($A43,'⚪设计'!$A$409:$N$432,13,FALSE))</f>
        <v/>
      </c>
      <c r="T43" s="97" t="str">
        <f>IF(Q43="","",ROUND($D43*VLOOKUP($A43,'⚪设计'!$A$409:$N$432,4,FALSE)/(IF($G43="",0,VLOOKUP($G43,'⚪设计'!$B$85:$H$113,4,FALSE)*$H43)+IF($L43="",0,VLOOKUP($L43,'⚪设计'!$B$85:$H$113,4,FALSE)*$M43)+IF($Q43="",0,VLOOKUP($Q43,'⚪设计'!$B$85:$H$113,4,FALSE)*$R43)+IF($V43="",0,VLOOKUP($V43,'⚪设计'!$B$85:$H$113,4,FALSE)*$W43))*IF(Q43="",0,VLOOKUP(Q43,'⚪设计'!$B$85:$H$113,4,FALSE)),0))</f>
        <v/>
      </c>
      <c r="U43" s="97" t="str">
        <f>IF(Q43="","",ROUND(战斗节奏!$B$14/(IF($G43="",0,VLOOKUP($G43,'⚪设计'!$B$85:$H$113,5,FALSE)*$H43)+IF($L43="",0,VLOOKUP($L43,'⚪设计'!$B$85:$H$113,5,FALSE)*$M43)+IF($Q43="",0,VLOOKUP($Q43,'⚪设计'!$B$85:$H$113,5,FALSE)*$R43)+IF($V43="",0,VLOOKUP($V43,'⚪设计'!$B$85:$H$113,5,FALSE)*$W43))*IF(Q43="",0,VLOOKUP(Q43,'⚪设计'!$B$85:$H$113,5,FALSE)),0))</f>
        <v/>
      </c>
      <c r="V43" s="97" t="str">
        <f>IF(VLOOKUP($A43,'⚪设计'!$A$409:$N$432,10,FALSE)="","",VLOOKUP($A43,'⚪设计'!$A$409:$N$432,10,FALSE))</f>
        <v/>
      </c>
      <c r="W43" s="97" t="str">
        <f t="shared" si="9"/>
        <v/>
      </c>
      <c r="X43" s="97" t="str">
        <f>IF(VLOOKUP($A43,'⚪设计'!$A$409:$N$432,14,FALSE)="","",VLOOKUP($A43,'⚪设计'!$A$409:$N$432,14,FALSE))</f>
        <v/>
      </c>
      <c r="Y43" s="97" t="str">
        <f>IF(V43="","",ROUND($D43*VLOOKUP($A43,'⚪设计'!$A$409:$N$432,4,FALSE)/(IF($G43="",0,VLOOKUP($G43,'⚪设计'!$B$85:$H$113,4,FALSE)*$H43)+IF($L43="",0,VLOOKUP($L43,'⚪设计'!$B$85:$H$113,4,FALSE)*$M43)+IF($Q43="",0,VLOOKUP($Q43,'⚪设计'!$B$85:$H$113,4,FALSE)*$R43)+IF($V43="",0,VLOOKUP($V43,'⚪设计'!$B$85:$H$113,4,FALSE)*$W43))*IF(V43="",0,VLOOKUP(V43,'⚪设计'!$B$85:$H$113,4,FALSE)),0))</f>
        <v/>
      </c>
      <c r="Z43" s="97" t="str">
        <f>IF(V43="","",ROUND(战斗节奏!$B$14/(IF($G43="",0,VLOOKUP($G43,'⚪设计'!$B$85:$H$113,5,FALSE)*$H43)+IF($L43="",0,VLOOKUP($L43,'⚪设计'!$B$85:$H$113,5,FALSE)*$M43)+IF($Q43="",0,VLOOKUP($Q43,'⚪设计'!$B$85:$H$113,5,FALSE)*$R43)+IF($V43="",0,VLOOKUP($V43,'⚪设计'!$B$85:$H$113,5,FALSE)*$W43))*IF(V43="",0,VLOOKUP(V43,'⚪设计'!$B$85:$H$113,5,FALSE)),0))</f>
        <v/>
      </c>
    </row>
    <row r="44" spans="1:26" x14ac:dyDescent="0.2">
      <c r="A44" s="2" t="str">
        <f t="shared" si="5"/>
        <v>4_2</v>
      </c>
      <c r="B44" s="2">
        <v>4</v>
      </c>
      <c r="C44" s="2">
        <v>2</v>
      </c>
      <c r="D44" s="97">
        <f>VLOOKUP(C44,无限模式!$A$3:$B$22,2,FALSE)</f>
        <v>1080</v>
      </c>
      <c r="E44" s="98">
        <v>1</v>
      </c>
      <c r="F44" s="97">
        <f>VLOOKUP(A44,'⚪设计'!$A$409:$N$432,6,FALSE)</f>
        <v>12.5</v>
      </c>
      <c r="G44" s="97" t="str">
        <f>IF(VLOOKUP($A44,'⚪设计'!$A$409:$N$432,7,FALSE)="","",VLOOKUP($A44,'⚪设计'!$A$409:$N$432,7,FALSE))</f>
        <v>鬼1</v>
      </c>
      <c r="H44" s="97">
        <f t="shared" si="6"/>
        <v>8</v>
      </c>
      <c r="I44" s="97">
        <f>IF(VLOOKUP($A44,'⚪设计'!$A$409:$N$432,11,FALSE)="","",VLOOKUP($A44,'⚪设计'!$A$409:$N$432,11,FALSE))</f>
        <v>1.5</v>
      </c>
      <c r="J44" s="97">
        <f>IF(G44="","",ROUND($D44*VLOOKUP($A44,'⚪设计'!$A$409:$N$432,4,FALSE)/(IF($G44="",0,VLOOKUP($G44,'⚪设计'!$B$85:$H$113,4,FALSE)*$H44)+IF($L44="",0,VLOOKUP($L44,'⚪设计'!$B$85:$H$113,4,FALSE)*$M44)+IF($Q44="",0,VLOOKUP($Q44,'⚪设计'!$B$85:$H$113,4,FALSE)*$R44)+IF($V44="",0,VLOOKUP($V44,'⚪设计'!$B$85:$H$113,4,FALSE)*$W44))*IF(G44="",0,VLOOKUP(G44,'⚪设计'!$B$85:$H$113,4,FALSE)),0))</f>
        <v>216</v>
      </c>
      <c r="K44" s="97">
        <f>IF(G44="","",ROUND(战斗节奏!$B$14/(IF($G44="",0,VLOOKUP($G44,'⚪设计'!$B$85:$H$113,5,FALSE)*$H44)+IF($L44="",0,VLOOKUP($L44,'⚪设计'!$B$85:$H$113,5,FALSE)*$M44)+IF($Q44="",0,VLOOKUP($Q44,'⚪设计'!$B$85:$H$113,5,FALSE)*$R44)+IF($V44="",0,VLOOKUP($V44,'⚪设计'!$B$85:$H$113,5,FALSE)*$W44))*IF(G44="",0,VLOOKUP(G44,'⚪设计'!$B$85:$H$113,5,FALSE)),0))</f>
        <v>3</v>
      </c>
      <c r="L44" s="97" t="str">
        <f>IF(VLOOKUP($A44,'⚪设计'!$A$409:$N$432,8,FALSE)="","",VLOOKUP($A44,'⚪设计'!$A$409:$N$432,8,FALSE))</f>
        <v>蜜蜂2</v>
      </c>
      <c r="M44" s="97">
        <f t="shared" si="7"/>
        <v>25</v>
      </c>
      <c r="N44" s="97">
        <f>IF(VLOOKUP($A44,'⚪设计'!$A$409:$N$432,12,FALSE)="","",VLOOKUP($A44,'⚪设计'!$A$409:$N$432,12,FALSE))</f>
        <v>0.5</v>
      </c>
      <c r="O44" s="97">
        <f>IF(L44="","",ROUND($D44*VLOOKUP($A44,'⚪设计'!$A$409:$N$432,4,FALSE)/(IF($G44="",0,VLOOKUP($G44,'⚪设计'!$B$85:$H$113,4,FALSE)*$H44)+IF($L44="",0,VLOOKUP($L44,'⚪设计'!$B$85:$H$113,4,FALSE)*$M44)+IF($Q44="",0,VLOOKUP($Q44,'⚪设计'!$B$85:$H$113,4,FALSE)*$R44)+IF($V44="",0,VLOOKUP($V44,'⚪设计'!$B$85:$H$113,4,FALSE)*$W44))*IF(L44="",0,VLOOKUP(L44,'⚪设计'!$B$85:$H$113,4,FALSE)),0))</f>
        <v>432</v>
      </c>
      <c r="P44" s="97">
        <f>IF(L44="","",ROUND(战斗节奏!$B$14/(IF($G44="",0,VLOOKUP($G44,'⚪设计'!$B$85:$H$113,5,FALSE)*$H44)+IF($L44="",0,VLOOKUP($L44,'⚪设计'!$B$85:$H$113,5,FALSE)*$M44)+IF($Q44="",0,VLOOKUP($Q44,'⚪设计'!$B$85:$H$113,5,FALSE)*$R44)+IF($V44="",0,VLOOKUP($V44,'⚪设计'!$B$85:$H$113,5,FALSE)*$W44))*IF(L44="",0,VLOOKUP(L44,'⚪设计'!$B$85:$H$113,5,FALSE)),0))</f>
        <v>5</v>
      </c>
      <c r="Q44" s="97" t="str">
        <f>IF(VLOOKUP($A44,'⚪设计'!$A$409:$N$432,9,FALSE)="","",VLOOKUP($A44,'⚪设计'!$A$409:$N$432,9,FALSE))</f>
        <v>肉2</v>
      </c>
      <c r="R44" s="97">
        <f t="shared" si="8"/>
        <v>2</v>
      </c>
      <c r="S44" s="97">
        <f>IF(VLOOKUP($A44,'⚪设计'!$A$409:$N$432,13,FALSE)="","",VLOOKUP($A44,'⚪设计'!$A$409:$N$432,13,FALSE))</f>
        <v>6</v>
      </c>
      <c r="T44" s="97">
        <f>IF(Q44="","",ROUND($D44*VLOOKUP($A44,'⚪设计'!$A$409:$N$432,4,FALSE)/(IF($G44="",0,VLOOKUP($G44,'⚪设计'!$B$85:$H$113,4,FALSE)*$H44)+IF($L44="",0,VLOOKUP($L44,'⚪设计'!$B$85:$H$113,4,FALSE)*$M44)+IF($Q44="",0,VLOOKUP($Q44,'⚪设计'!$B$85:$H$113,4,FALSE)*$R44)+IF($V44="",0,VLOOKUP($V44,'⚪设计'!$B$85:$H$113,4,FALSE)*$W44))*IF(Q44="",0,VLOOKUP(Q44,'⚪设计'!$B$85:$H$113,4,FALSE)),0))</f>
        <v>3456</v>
      </c>
      <c r="U44" s="97">
        <f>IF(Q44="","",ROUND(战斗节奏!$B$14/(IF($G44="",0,VLOOKUP($G44,'⚪设计'!$B$85:$H$113,5,FALSE)*$H44)+IF($L44="",0,VLOOKUP($L44,'⚪设计'!$B$85:$H$113,5,FALSE)*$M44)+IF($Q44="",0,VLOOKUP($Q44,'⚪设计'!$B$85:$H$113,5,FALSE)*$R44)+IF($V44="",0,VLOOKUP($V44,'⚪设计'!$B$85:$H$113,5,FALSE)*$W44))*IF(Q44="",0,VLOOKUP(Q44,'⚪设计'!$B$85:$H$113,5,FALSE)),0))</f>
        <v>76</v>
      </c>
      <c r="V44" s="97" t="str">
        <f>IF(VLOOKUP($A44,'⚪设计'!$A$409:$N$432,10,FALSE)="","",VLOOKUP($A44,'⚪设计'!$A$409:$N$432,10,FALSE))</f>
        <v/>
      </c>
      <c r="W44" s="97" t="str">
        <f t="shared" si="9"/>
        <v/>
      </c>
      <c r="X44" s="97" t="str">
        <f>IF(VLOOKUP($A44,'⚪设计'!$A$409:$N$432,14,FALSE)="","",VLOOKUP($A44,'⚪设计'!$A$409:$N$432,14,FALSE))</f>
        <v/>
      </c>
      <c r="Y44" s="97" t="str">
        <f>IF(V44="","",ROUND($D44*VLOOKUP($A44,'⚪设计'!$A$409:$N$432,4,FALSE)/(IF($G44="",0,VLOOKUP($G44,'⚪设计'!$B$85:$H$113,4,FALSE)*$H44)+IF($L44="",0,VLOOKUP($L44,'⚪设计'!$B$85:$H$113,4,FALSE)*$M44)+IF($Q44="",0,VLOOKUP($Q44,'⚪设计'!$B$85:$H$113,4,FALSE)*$R44)+IF($V44="",0,VLOOKUP($V44,'⚪设计'!$B$85:$H$113,4,FALSE)*$W44))*IF(V44="",0,VLOOKUP(V44,'⚪设计'!$B$85:$H$113,4,FALSE)),0))</f>
        <v/>
      </c>
      <c r="Z44" s="97" t="str">
        <f>IF(V44="","",ROUND(战斗节奏!$B$14/(IF($G44="",0,VLOOKUP($G44,'⚪设计'!$B$85:$H$113,5,FALSE)*$H44)+IF($L44="",0,VLOOKUP($L44,'⚪设计'!$B$85:$H$113,5,FALSE)*$M44)+IF($Q44="",0,VLOOKUP($Q44,'⚪设计'!$B$85:$H$113,5,FALSE)*$R44)+IF($V44="",0,VLOOKUP($V44,'⚪设计'!$B$85:$H$113,5,FALSE)*$W44))*IF(V44="",0,VLOOKUP(V44,'⚪设计'!$B$85:$H$113,5,FALSE)),0))</f>
        <v/>
      </c>
    </row>
    <row r="45" spans="1:26" x14ac:dyDescent="0.2">
      <c r="A45" s="2" t="str">
        <f t="shared" si="5"/>
        <v>4_3</v>
      </c>
      <c r="B45" s="2">
        <v>4</v>
      </c>
      <c r="C45" s="2">
        <v>3</v>
      </c>
      <c r="D45" s="97">
        <f>VLOOKUP(C45,无限模式!$A$3:$B$22,2,FALSE)</f>
        <v>1620</v>
      </c>
      <c r="E45" s="98">
        <v>1</v>
      </c>
      <c r="F45" s="97">
        <f>VLOOKUP(A45,'⚪设计'!$A$409:$N$432,6,FALSE)</f>
        <v>15</v>
      </c>
      <c r="G45" s="97" t="str">
        <f>IF(VLOOKUP($A45,'⚪设计'!$A$409:$N$432,7,FALSE)="","",VLOOKUP($A45,'⚪设计'!$A$409:$N$432,7,FALSE))</f>
        <v>鬼1</v>
      </c>
      <c r="H45" s="97">
        <f t="shared" si="6"/>
        <v>10</v>
      </c>
      <c r="I45" s="97">
        <f>IF(VLOOKUP($A45,'⚪设计'!$A$409:$N$432,11,FALSE)="","",VLOOKUP($A45,'⚪设计'!$A$409:$N$432,11,FALSE))</f>
        <v>1.5</v>
      </c>
      <c r="J45" s="97">
        <f>IF(G45="","",ROUND($D45*VLOOKUP($A45,'⚪设计'!$A$409:$N$432,4,FALSE)/(IF($G45="",0,VLOOKUP($G45,'⚪设计'!$B$85:$H$113,4,FALSE)*$H45)+IF($L45="",0,VLOOKUP($L45,'⚪设计'!$B$85:$H$113,4,FALSE)*$M45)+IF($Q45="",0,VLOOKUP($Q45,'⚪设计'!$B$85:$H$113,4,FALSE)*$R45)+IF($V45="",0,VLOOKUP($V45,'⚪设计'!$B$85:$H$113,4,FALSE)*$W45))*IF(G45="",0,VLOOKUP(G45,'⚪设计'!$B$85:$H$113,4,FALSE)),0))</f>
        <v>233</v>
      </c>
      <c r="K45" s="97">
        <f>IF(G45="","",ROUND(战斗节奏!$B$14/(IF($G45="",0,VLOOKUP($G45,'⚪设计'!$B$85:$H$113,5,FALSE)*$H45)+IF($L45="",0,VLOOKUP($L45,'⚪设计'!$B$85:$H$113,5,FALSE)*$M45)+IF($Q45="",0,VLOOKUP($Q45,'⚪设计'!$B$85:$H$113,5,FALSE)*$R45)+IF($V45="",0,VLOOKUP($V45,'⚪设计'!$B$85:$H$113,5,FALSE)*$W45))*IF(G45="",0,VLOOKUP(G45,'⚪设计'!$B$85:$H$113,5,FALSE)),0))</f>
        <v>3</v>
      </c>
      <c r="L45" s="97" t="str">
        <f>IF(VLOOKUP($A45,'⚪设计'!$A$409:$N$432,8,FALSE)="","",VLOOKUP($A45,'⚪设计'!$A$409:$N$432,8,FALSE))</f>
        <v>蝙蝠1</v>
      </c>
      <c r="M45" s="97">
        <f t="shared" si="7"/>
        <v>30</v>
      </c>
      <c r="N45" s="97">
        <f>IF(VLOOKUP($A45,'⚪设计'!$A$409:$N$432,12,FALSE)="","",VLOOKUP($A45,'⚪设计'!$A$409:$N$432,12,FALSE))</f>
        <v>0.5</v>
      </c>
      <c r="O45" s="97">
        <f>IF(L45="","",ROUND($D45*VLOOKUP($A45,'⚪设计'!$A$409:$N$432,4,FALSE)/(IF($G45="",0,VLOOKUP($G45,'⚪设计'!$B$85:$H$113,4,FALSE)*$H45)+IF($L45="",0,VLOOKUP($L45,'⚪设计'!$B$85:$H$113,4,FALSE)*$M45)+IF($Q45="",0,VLOOKUP($Q45,'⚪设计'!$B$85:$H$113,4,FALSE)*$R45)+IF($V45="",0,VLOOKUP($V45,'⚪设计'!$B$85:$H$113,4,FALSE)*$W45))*IF(L45="",0,VLOOKUP(L45,'⚪设计'!$B$85:$H$113,4,FALSE)),0))</f>
        <v>117</v>
      </c>
      <c r="P45" s="97">
        <f>IF(L45="","",ROUND(战斗节奏!$B$14/(IF($G45="",0,VLOOKUP($G45,'⚪设计'!$B$85:$H$113,5,FALSE)*$H45)+IF($L45="",0,VLOOKUP($L45,'⚪设计'!$B$85:$H$113,5,FALSE)*$M45)+IF($Q45="",0,VLOOKUP($Q45,'⚪设计'!$B$85:$H$113,5,FALSE)*$R45)+IF($V45="",0,VLOOKUP($V45,'⚪设计'!$B$85:$H$113,5,FALSE)*$W45))*IF(L45="",0,VLOOKUP(L45,'⚪设计'!$B$85:$H$113,5,FALSE)),0))</f>
        <v>1</v>
      </c>
      <c r="Q45" s="97" t="str">
        <f>IF(VLOOKUP($A45,'⚪设计'!$A$409:$N$432,9,FALSE)="","",VLOOKUP($A45,'⚪设计'!$A$409:$N$432,9,FALSE))</f>
        <v>肉2</v>
      </c>
      <c r="R45" s="97">
        <f t="shared" si="8"/>
        <v>3</v>
      </c>
      <c r="S45" s="97">
        <f>IF(VLOOKUP($A45,'⚪设计'!$A$409:$N$432,13,FALSE)="","",VLOOKUP($A45,'⚪设计'!$A$409:$N$432,13,FALSE))</f>
        <v>6</v>
      </c>
      <c r="T45" s="97">
        <f>IF(Q45="","",ROUND($D45*VLOOKUP($A45,'⚪设计'!$A$409:$N$432,4,FALSE)/(IF($G45="",0,VLOOKUP($G45,'⚪设计'!$B$85:$H$113,4,FALSE)*$H45)+IF($L45="",0,VLOOKUP($L45,'⚪设计'!$B$85:$H$113,4,FALSE)*$M45)+IF($Q45="",0,VLOOKUP($Q45,'⚪设计'!$B$85:$H$113,4,FALSE)*$R45)+IF($V45="",0,VLOOKUP($V45,'⚪设计'!$B$85:$H$113,4,FALSE)*$W45))*IF(Q45="",0,VLOOKUP(Q45,'⚪设计'!$B$85:$H$113,4,FALSE)),0))</f>
        <v>3728</v>
      </c>
      <c r="U45" s="97">
        <f>IF(Q45="","",ROUND(战斗节奏!$B$14/(IF($G45="",0,VLOOKUP($G45,'⚪设计'!$B$85:$H$113,5,FALSE)*$H45)+IF($L45="",0,VLOOKUP($L45,'⚪设计'!$B$85:$H$113,5,FALSE)*$M45)+IF($Q45="",0,VLOOKUP($Q45,'⚪设计'!$B$85:$H$113,5,FALSE)*$R45)+IF($V45="",0,VLOOKUP($V45,'⚪设计'!$B$85:$H$113,5,FALSE)*$W45))*IF(Q45="",0,VLOOKUP(Q45,'⚪设计'!$B$85:$H$113,5,FALSE)),0))</f>
        <v>78</v>
      </c>
      <c r="V45" s="97" t="str">
        <f>IF(VLOOKUP($A45,'⚪设计'!$A$409:$N$432,10,FALSE)="","",VLOOKUP($A45,'⚪设计'!$A$409:$N$432,10,FALSE))</f>
        <v/>
      </c>
      <c r="W45" s="97" t="str">
        <f t="shared" si="9"/>
        <v/>
      </c>
      <c r="X45" s="97" t="str">
        <f>IF(VLOOKUP($A45,'⚪设计'!$A$409:$N$432,14,FALSE)="","",VLOOKUP($A45,'⚪设计'!$A$409:$N$432,14,FALSE))</f>
        <v/>
      </c>
      <c r="Y45" s="97" t="str">
        <f>IF(V45="","",ROUND($D45*VLOOKUP($A45,'⚪设计'!$A$409:$N$432,4,FALSE)/(IF($G45="",0,VLOOKUP($G45,'⚪设计'!$B$85:$H$113,4,FALSE)*$H45)+IF($L45="",0,VLOOKUP($L45,'⚪设计'!$B$85:$H$113,4,FALSE)*$M45)+IF($Q45="",0,VLOOKUP($Q45,'⚪设计'!$B$85:$H$113,4,FALSE)*$R45)+IF($V45="",0,VLOOKUP($V45,'⚪设计'!$B$85:$H$113,4,FALSE)*$W45))*IF(V45="",0,VLOOKUP(V45,'⚪设计'!$B$85:$H$113,4,FALSE)),0))</f>
        <v/>
      </c>
      <c r="Z45" s="97" t="str">
        <f>IF(V45="","",ROUND(战斗节奏!$B$14/(IF($G45="",0,VLOOKUP($G45,'⚪设计'!$B$85:$H$113,5,FALSE)*$H45)+IF($L45="",0,VLOOKUP($L45,'⚪设计'!$B$85:$H$113,5,FALSE)*$M45)+IF($Q45="",0,VLOOKUP($Q45,'⚪设计'!$B$85:$H$113,5,FALSE)*$R45)+IF($V45="",0,VLOOKUP($V45,'⚪设计'!$B$85:$H$113,5,FALSE)*$W45))*IF(V45="",0,VLOOKUP(V45,'⚪设计'!$B$85:$H$113,5,FALSE)),0))</f>
        <v/>
      </c>
    </row>
    <row r="46" spans="1:26" x14ac:dyDescent="0.2">
      <c r="A46" s="2" t="str">
        <f t="shared" si="5"/>
        <v>4_4</v>
      </c>
      <c r="B46" s="2">
        <v>4</v>
      </c>
      <c r="C46" s="2">
        <v>4</v>
      </c>
      <c r="D46" s="97">
        <f>VLOOKUP(C46,无限模式!$A$3:$B$22,2,FALSE)</f>
        <v>2160</v>
      </c>
      <c r="E46" s="98">
        <v>1</v>
      </c>
      <c r="F46" s="97">
        <f>VLOOKUP(A46,'⚪设计'!$A$409:$N$432,6,FALSE)</f>
        <v>17.5</v>
      </c>
      <c r="G46" s="97" t="str">
        <f>IF(VLOOKUP($A46,'⚪设计'!$A$409:$N$432,7,FALSE)="","",VLOOKUP($A46,'⚪设计'!$A$409:$N$432,7,FALSE))</f>
        <v>鬼1</v>
      </c>
      <c r="H46" s="97">
        <f t="shared" si="6"/>
        <v>12</v>
      </c>
      <c r="I46" s="97">
        <f>IF(VLOOKUP($A46,'⚪设计'!$A$409:$N$432,11,FALSE)="","",VLOOKUP($A46,'⚪设计'!$A$409:$N$432,11,FALSE))</f>
        <v>1.5</v>
      </c>
      <c r="J46" s="97">
        <f>IF(G46="","",ROUND($D46*VLOOKUP($A46,'⚪设计'!$A$409:$N$432,4,FALSE)/(IF($G46="",0,VLOOKUP($G46,'⚪设计'!$B$85:$H$113,4,FALSE)*$H46)+IF($L46="",0,VLOOKUP($L46,'⚪设计'!$B$85:$H$113,4,FALSE)*$M46)+IF($Q46="",0,VLOOKUP($Q46,'⚪设计'!$B$85:$H$113,4,FALSE)*$R46)+IF($V46="",0,VLOOKUP($V46,'⚪设计'!$B$85:$H$113,4,FALSE)*$W46))*IF(G46="",0,VLOOKUP(G46,'⚪设计'!$B$85:$H$113,4,FALSE)),0))</f>
        <v>351</v>
      </c>
      <c r="K46" s="97">
        <f>IF(G46="","",ROUND(战斗节奏!$B$14/(IF($G46="",0,VLOOKUP($G46,'⚪设计'!$B$85:$H$113,5,FALSE)*$H46)+IF($L46="",0,VLOOKUP($L46,'⚪设计'!$B$85:$H$113,5,FALSE)*$M46)+IF($Q46="",0,VLOOKUP($Q46,'⚪设计'!$B$85:$H$113,5,FALSE)*$R46)+IF($V46="",0,VLOOKUP($V46,'⚪设计'!$B$85:$H$113,5,FALSE)*$W46))*IF(G46="",0,VLOOKUP(G46,'⚪设计'!$B$85:$H$113,5,FALSE)),0))</f>
        <v>2</v>
      </c>
      <c r="L46" s="97" t="str">
        <f>IF(VLOOKUP($A46,'⚪设计'!$A$409:$N$432,8,FALSE)="","",VLOOKUP($A46,'⚪设计'!$A$409:$N$432,8,FALSE))</f>
        <v>蜘蛛1</v>
      </c>
      <c r="M46" s="97">
        <f t="shared" si="7"/>
        <v>44</v>
      </c>
      <c r="N46" s="97">
        <f>IF(VLOOKUP($A46,'⚪设计'!$A$409:$N$432,12,FALSE)="","",VLOOKUP($A46,'⚪设计'!$A$409:$N$432,12,FALSE))</f>
        <v>0.4</v>
      </c>
      <c r="O46" s="97">
        <f>IF(L46="","",ROUND($D46*VLOOKUP($A46,'⚪设计'!$A$409:$N$432,4,FALSE)/(IF($G46="",0,VLOOKUP($G46,'⚪设计'!$B$85:$H$113,4,FALSE)*$H46)+IF($L46="",0,VLOOKUP($L46,'⚪设计'!$B$85:$H$113,4,FALSE)*$M46)+IF($Q46="",0,VLOOKUP($Q46,'⚪设计'!$B$85:$H$113,4,FALSE)*$R46)+IF($V46="",0,VLOOKUP($V46,'⚪设计'!$B$85:$H$113,4,FALSE)*$W46))*IF(L46="",0,VLOOKUP(L46,'⚪设计'!$B$85:$H$113,4,FALSE)),0))</f>
        <v>351</v>
      </c>
      <c r="P46" s="97">
        <f>IF(L46="","",ROUND(战斗节奏!$B$14/(IF($G46="",0,VLOOKUP($G46,'⚪设计'!$B$85:$H$113,5,FALSE)*$H46)+IF($L46="",0,VLOOKUP($L46,'⚪设计'!$B$85:$H$113,5,FALSE)*$M46)+IF($Q46="",0,VLOOKUP($Q46,'⚪设计'!$B$85:$H$113,5,FALSE)*$R46)+IF($V46="",0,VLOOKUP($V46,'⚪设计'!$B$85:$H$113,5,FALSE)*$W46))*IF(L46="",0,VLOOKUP(L46,'⚪设计'!$B$85:$H$113,5,FALSE)),0))</f>
        <v>2</v>
      </c>
      <c r="Q46" s="97" t="str">
        <f>IF(VLOOKUP($A46,'⚪设计'!$A$409:$N$432,9,FALSE)="","",VLOOKUP($A46,'⚪设计'!$A$409:$N$432,9,FALSE))</f>
        <v>肉2</v>
      </c>
      <c r="R46" s="97">
        <f t="shared" si="8"/>
        <v>4</v>
      </c>
      <c r="S46" s="97">
        <f>IF(VLOOKUP($A46,'⚪设计'!$A$409:$N$432,13,FALSE)="","",VLOOKUP($A46,'⚪设计'!$A$409:$N$432,13,FALSE))</f>
        <v>4</v>
      </c>
      <c r="T46" s="97">
        <f>IF(Q46="","",ROUND($D46*VLOOKUP($A46,'⚪设计'!$A$409:$N$432,4,FALSE)/(IF($G46="",0,VLOOKUP($G46,'⚪设计'!$B$85:$H$113,4,FALSE)*$H46)+IF($L46="",0,VLOOKUP($L46,'⚪设计'!$B$85:$H$113,4,FALSE)*$M46)+IF($Q46="",0,VLOOKUP($Q46,'⚪设计'!$B$85:$H$113,4,FALSE)*$R46)+IF($V46="",0,VLOOKUP($V46,'⚪设计'!$B$85:$H$113,4,FALSE)*$W46))*IF(Q46="",0,VLOOKUP(Q46,'⚪设计'!$B$85:$H$113,4,FALSE)),0))</f>
        <v>5616</v>
      </c>
      <c r="U46" s="97">
        <f>IF(Q46="","",ROUND(战斗节奏!$B$14/(IF($G46="",0,VLOOKUP($G46,'⚪设计'!$B$85:$H$113,5,FALSE)*$H46)+IF($L46="",0,VLOOKUP($L46,'⚪设计'!$B$85:$H$113,5,FALSE)*$M46)+IF($Q46="",0,VLOOKUP($Q46,'⚪设计'!$B$85:$H$113,5,FALSE)*$R46)+IF($V46="",0,VLOOKUP($V46,'⚪设计'!$B$85:$H$113,5,FALSE)*$W46))*IF(Q46="",0,VLOOKUP(Q46,'⚪设计'!$B$85:$H$113,5,FALSE)),0))</f>
        <v>51</v>
      </c>
      <c r="V46" s="97" t="str">
        <f>IF(VLOOKUP($A46,'⚪设计'!$A$409:$N$432,10,FALSE)="","",VLOOKUP($A46,'⚪设计'!$A$409:$N$432,10,FALSE))</f>
        <v/>
      </c>
      <c r="W46" s="97" t="str">
        <f t="shared" si="9"/>
        <v/>
      </c>
      <c r="X46" s="97" t="str">
        <f>IF(VLOOKUP($A46,'⚪设计'!$A$409:$N$432,14,FALSE)="","",VLOOKUP($A46,'⚪设计'!$A$409:$N$432,14,FALSE))</f>
        <v/>
      </c>
      <c r="Y46" s="97" t="str">
        <f>IF(V46="","",ROUND($D46*VLOOKUP($A46,'⚪设计'!$A$409:$N$432,4,FALSE)/(IF($G46="",0,VLOOKUP($G46,'⚪设计'!$B$85:$H$113,4,FALSE)*$H46)+IF($L46="",0,VLOOKUP($L46,'⚪设计'!$B$85:$H$113,4,FALSE)*$M46)+IF($Q46="",0,VLOOKUP($Q46,'⚪设计'!$B$85:$H$113,4,FALSE)*$R46)+IF($V46="",0,VLOOKUP($V46,'⚪设计'!$B$85:$H$113,4,FALSE)*$W46))*IF(V46="",0,VLOOKUP(V46,'⚪设计'!$B$85:$H$113,4,FALSE)),0))</f>
        <v/>
      </c>
      <c r="Z46" s="97" t="str">
        <f>IF(V46="","",ROUND(战斗节奏!$B$14/(IF($G46="",0,VLOOKUP($G46,'⚪设计'!$B$85:$H$113,5,FALSE)*$H46)+IF($L46="",0,VLOOKUP($L46,'⚪设计'!$B$85:$H$113,5,FALSE)*$M46)+IF($Q46="",0,VLOOKUP($Q46,'⚪设计'!$B$85:$H$113,5,FALSE)*$R46)+IF($V46="",0,VLOOKUP($V46,'⚪设计'!$B$85:$H$113,5,FALSE)*$W46))*IF(V46="",0,VLOOKUP(V46,'⚪设计'!$B$85:$H$113,5,FALSE)),0))</f>
        <v/>
      </c>
    </row>
    <row r="47" spans="1:26" x14ac:dyDescent="0.2">
      <c r="A47" s="2" t="str">
        <f t="shared" si="5"/>
        <v>4_5</v>
      </c>
      <c r="B47" s="2">
        <v>4</v>
      </c>
      <c r="C47" s="2">
        <v>5</v>
      </c>
      <c r="D47" s="97">
        <f>VLOOKUP(C47,无限模式!$A$3:$B$22,2,FALSE)</f>
        <v>2700</v>
      </c>
      <c r="E47" s="98">
        <v>1</v>
      </c>
      <c r="F47" s="97">
        <f>VLOOKUP(A47,'⚪设计'!$A$409:$N$432,6,FALSE)</f>
        <v>20</v>
      </c>
      <c r="G47" s="97" t="str">
        <f>IF(VLOOKUP($A47,'⚪设计'!$A$409:$N$432,7,FALSE)="","",VLOOKUP($A47,'⚪设计'!$A$409:$N$432,7,FALSE))</f>
        <v>鬼1</v>
      </c>
      <c r="H47" s="97">
        <f t="shared" si="6"/>
        <v>40</v>
      </c>
      <c r="I47" s="97">
        <f>IF(VLOOKUP($A47,'⚪设计'!$A$409:$N$432,11,FALSE)="","",VLOOKUP($A47,'⚪设计'!$A$409:$N$432,11,FALSE))</f>
        <v>0.5</v>
      </c>
      <c r="J47" s="97">
        <f>IF(G47="","",ROUND($D47*VLOOKUP($A47,'⚪设计'!$A$409:$N$432,4,FALSE)/(IF($G47="",0,VLOOKUP($G47,'⚪设计'!$B$85:$H$113,4,FALSE)*$H47)+IF($L47="",0,VLOOKUP($L47,'⚪设计'!$B$85:$H$113,4,FALSE)*$M47)+IF($Q47="",0,VLOOKUP($Q47,'⚪设计'!$B$85:$H$113,4,FALSE)*$R47)+IF($V47="",0,VLOOKUP($V47,'⚪设计'!$B$85:$H$113,4,FALSE)*$W47))*IF(G47="",0,VLOOKUP(G47,'⚪设计'!$B$85:$H$113,4,FALSE)),0))</f>
        <v>360</v>
      </c>
      <c r="K47" s="97">
        <f>IF(G47="","",ROUND(战斗节奏!$B$14/(IF($G47="",0,VLOOKUP($G47,'⚪设计'!$B$85:$H$113,5,FALSE)*$H47)+IF($L47="",0,VLOOKUP($L47,'⚪设计'!$B$85:$H$113,5,FALSE)*$M47)+IF($Q47="",0,VLOOKUP($Q47,'⚪设计'!$B$85:$H$113,5,FALSE)*$R47)+IF($V47="",0,VLOOKUP($V47,'⚪设计'!$B$85:$H$113,5,FALSE)*$W47))*IF(G47="",0,VLOOKUP(G47,'⚪设计'!$B$85:$H$113,5,FALSE)),0))</f>
        <v>1</v>
      </c>
      <c r="L47" s="97" t="str">
        <f>IF(VLOOKUP($A47,'⚪设计'!$A$409:$N$432,8,FALSE)="","",VLOOKUP($A47,'⚪设计'!$A$409:$N$432,8,FALSE))</f>
        <v>种子1</v>
      </c>
      <c r="M47" s="97">
        <f t="shared" si="7"/>
        <v>10</v>
      </c>
      <c r="N47" s="97">
        <f>IF(VLOOKUP($A47,'⚪设计'!$A$409:$N$432,12,FALSE)="","",VLOOKUP($A47,'⚪设计'!$A$409:$N$432,12,FALSE))</f>
        <v>2</v>
      </c>
      <c r="O47" s="97">
        <f>IF(L47="","",ROUND($D47*VLOOKUP($A47,'⚪设计'!$A$409:$N$432,4,FALSE)/(IF($G47="",0,VLOOKUP($G47,'⚪设计'!$B$85:$H$113,4,FALSE)*$H47)+IF($L47="",0,VLOOKUP($L47,'⚪设计'!$B$85:$H$113,4,FALSE)*$M47)+IF($Q47="",0,VLOOKUP($Q47,'⚪设计'!$B$85:$H$113,4,FALSE)*$R47)+IF($V47="",0,VLOOKUP($V47,'⚪设计'!$B$85:$H$113,4,FALSE)*$W47))*IF(L47="",0,VLOOKUP(L47,'⚪设计'!$B$85:$H$113,4,FALSE)),0))</f>
        <v>1080</v>
      </c>
      <c r="P47" s="97">
        <f>IF(L47="","",ROUND(战斗节奏!$B$14/(IF($G47="",0,VLOOKUP($G47,'⚪设计'!$B$85:$H$113,5,FALSE)*$H47)+IF($L47="",0,VLOOKUP($L47,'⚪设计'!$B$85:$H$113,5,FALSE)*$M47)+IF($Q47="",0,VLOOKUP($Q47,'⚪设计'!$B$85:$H$113,5,FALSE)*$R47)+IF($V47="",0,VLOOKUP($V47,'⚪设计'!$B$85:$H$113,5,FALSE)*$W47))*IF(L47="",0,VLOOKUP(L47,'⚪设计'!$B$85:$H$113,5,FALSE)),0))</f>
        <v>3</v>
      </c>
      <c r="Q47" s="97" t="str">
        <f>IF(VLOOKUP($A47,'⚪设计'!$A$409:$N$432,9,FALSE)="","",VLOOKUP($A47,'⚪设计'!$A$409:$N$432,9,FALSE))</f>
        <v>肉2</v>
      </c>
      <c r="R47" s="97">
        <f t="shared" si="8"/>
        <v>5</v>
      </c>
      <c r="S47" s="97">
        <f>IF(VLOOKUP($A47,'⚪设计'!$A$409:$N$432,13,FALSE)="","",VLOOKUP($A47,'⚪设计'!$A$409:$N$432,13,FALSE))</f>
        <v>4</v>
      </c>
      <c r="T47" s="97">
        <f>IF(Q47="","",ROUND($D47*VLOOKUP($A47,'⚪设计'!$A$409:$N$432,4,FALSE)/(IF($G47="",0,VLOOKUP($G47,'⚪设计'!$B$85:$H$113,4,FALSE)*$H47)+IF($L47="",0,VLOOKUP($L47,'⚪设计'!$B$85:$H$113,4,FALSE)*$M47)+IF($Q47="",0,VLOOKUP($Q47,'⚪设计'!$B$85:$H$113,4,FALSE)*$R47)+IF($V47="",0,VLOOKUP($V47,'⚪设计'!$B$85:$H$113,4,FALSE)*$W47))*IF(Q47="",0,VLOOKUP(Q47,'⚪设计'!$B$85:$H$113,4,FALSE)),0))</f>
        <v>5760</v>
      </c>
      <c r="U47" s="97">
        <f>IF(Q47="","",ROUND(战斗节奏!$B$14/(IF($G47="",0,VLOOKUP($G47,'⚪设计'!$B$85:$H$113,5,FALSE)*$H47)+IF($L47="",0,VLOOKUP($L47,'⚪设计'!$B$85:$H$113,5,FALSE)*$M47)+IF($Q47="",0,VLOOKUP($Q47,'⚪设计'!$B$85:$H$113,5,FALSE)*$R47)+IF($V47="",0,VLOOKUP($V47,'⚪设计'!$B$85:$H$113,5,FALSE)*$W47))*IF(Q47="",0,VLOOKUP(Q47,'⚪设计'!$B$85:$H$113,5,FALSE)),0))</f>
        <v>43</v>
      </c>
      <c r="V47" s="97" t="str">
        <f>IF(VLOOKUP($A47,'⚪设计'!$A$409:$N$432,10,FALSE)="","",VLOOKUP($A47,'⚪设计'!$A$409:$N$432,10,FALSE))</f>
        <v/>
      </c>
      <c r="W47" s="97" t="str">
        <f t="shared" si="9"/>
        <v/>
      </c>
      <c r="X47" s="97" t="str">
        <f>IF(VLOOKUP($A47,'⚪设计'!$A$409:$N$432,14,FALSE)="","",VLOOKUP($A47,'⚪设计'!$A$409:$N$432,14,FALSE))</f>
        <v/>
      </c>
      <c r="Y47" s="97" t="str">
        <f>IF(V47="","",ROUND($D47*VLOOKUP($A47,'⚪设计'!$A$409:$N$432,4,FALSE)/(IF($G47="",0,VLOOKUP($G47,'⚪设计'!$B$85:$H$113,4,FALSE)*$H47)+IF($L47="",0,VLOOKUP($L47,'⚪设计'!$B$85:$H$113,4,FALSE)*$M47)+IF($Q47="",0,VLOOKUP($Q47,'⚪设计'!$B$85:$H$113,4,FALSE)*$R47)+IF($V47="",0,VLOOKUP($V47,'⚪设计'!$B$85:$H$113,4,FALSE)*$W47))*IF(V47="",0,VLOOKUP(V47,'⚪设计'!$B$85:$H$113,4,FALSE)),0))</f>
        <v/>
      </c>
      <c r="Z47" s="97" t="str">
        <f>IF(V47="","",ROUND(战斗节奏!$B$14/(IF($G47="",0,VLOOKUP($G47,'⚪设计'!$B$85:$H$113,5,FALSE)*$H47)+IF($L47="",0,VLOOKUP($L47,'⚪设计'!$B$85:$H$113,5,FALSE)*$M47)+IF($Q47="",0,VLOOKUP($Q47,'⚪设计'!$B$85:$H$113,5,FALSE)*$R47)+IF($V47="",0,VLOOKUP($V47,'⚪设计'!$B$85:$H$113,5,FALSE)*$W47))*IF(V47="",0,VLOOKUP(V47,'⚪设计'!$B$85:$H$113,5,FALSE)),0))</f>
        <v/>
      </c>
    </row>
    <row r="48" spans="1:26" x14ac:dyDescent="0.2">
      <c r="A48" s="2" t="str">
        <f t="shared" si="5"/>
        <v>5_1</v>
      </c>
      <c r="B48" s="2">
        <v>5</v>
      </c>
      <c r="C48" s="2">
        <v>1</v>
      </c>
      <c r="D48" s="97">
        <f>VLOOKUP(C48,无限模式!$A$3:$B$22,2,FALSE)</f>
        <v>540</v>
      </c>
      <c r="E48" s="98">
        <v>1</v>
      </c>
      <c r="F48" s="97">
        <f>VLOOKUP(A48,'⚪设计'!$A$409:$N$432,6,FALSE)</f>
        <v>10</v>
      </c>
      <c r="G48" s="97" t="str">
        <f>IF(VLOOKUP($A48,'⚪设计'!$A$409:$N$432,7,FALSE)="","",VLOOKUP($A48,'⚪设计'!$A$409:$N$432,7,FALSE))</f>
        <v>蛋2</v>
      </c>
      <c r="H48" s="97">
        <f t="shared" si="6"/>
        <v>7</v>
      </c>
      <c r="I48" s="97">
        <f>IF(VLOOKUP($A48,'⚪设计'!$A$409:$N$432,11,FALSE)="","",VLOOKUP($A48,'⚪设计'!$A$409:$N$432,11,FALSE))</f>
        <v>1.5</v>
      </c>
      <c r="J48" s="97">
        <f>IF(G48="","",ROUND($D48*VLOOKUP($A48,'⚪设计'!$A$409:$N$432,4,FALSE)/(IF($G48="",0,VLOOKUP($G48,'⚪设计'!$B$85:$H$113,4,FALSE)*$H48)+IF($L48="",0,VLOOKUP($L48,'⚪设计'!$B$85:$H$113,4,FALSE)*$M48)+IF($Q48="",0,VLOOKUP($Q48,'⚪设计'!$B$85:$H$113,4,FALSE)*$R48)+IF($V48="",0,VLOOKUP($V48,'⚪设计'!$B$85:$H$113,4,FALSE)*$W48))*IF(G48="",0,VLOOKUP(G48,'⚪设计'!$B$85:$H$113,4,FALSE)),0))</f>
        <v>456</v>
      </c>
      <c r="K48" s="97">
        <f>IF(G48="","",ROUND(战斗节奏!$B$14/(IF($G48="",0,VLOOKUP($G48,'⚪设计'!$B$85:$H$113,5,FALSE)*$H48)+IF($L48="",0,VLOOKUP($L48,'⚪设计'!$B$85:$H$113,5,FALSE)*$M48)+IF($Q48="",0,VLOOKUP($Q48,'⚪设计'!$B$85:$H$113,5,FALSE)*$R48)+IF($V48="",0,VLOOKUP($V48,'⚪设计'!$B$85:$H$113,5,FALSE)*$W48))*IF(G48="",0,VLOOKUP(G48,'⚪设计'!$B$85:$H$113,5,FALSE)),0))</f>
        <v>8</v>
      </c>
      <c r="L48" s="97" t="str">
        <f>IF(VLOOKUP($A48,'⚪设计'!$A$409:$N$432,8,FALSE)="","",VLOOKUP($A48,'⚪设计'!$A$409:$N$432,8,FALSE))</f>
        <v>肉2</v>
      </c>
      <c r="M48" s="97">
        <f t="shared" si="7"/>
        <v>2</v>
      </c>
      <c r="N48" s="97">
        <f>IF(VLOOKUP($A48,'⚪设计'!$A$409:$N$432,12,FALSE)="","",VLOOKUP($A48,'⚪设计'!$A$409:$N$432,12,FALSE))</f>
        <v>6</v>
      </c>
      <c r="O48" s="97">
        <f>IF(L48="","",ROUND($D48*VLOOKUP($A48,'⚪设计'!$A$409:$N$432,4,FALSE)/(IF($G48="",0,VLOOKUP($G48,'⚪设计'!$B$85:$H$113,4,FALSE)*$H48)+IF($L48="",0,VLOOKUP($L48,'⚪设计'!$B$85:$H$113,4,FALSE)*$M48)+IF($Q48="",0,VLOOKUP($Q48,'⚪设计'!$B$85:$H$113,4,FALSE)*$R48)+IF($V48="",0,VLOOKUP($V48,'⚪设计'!$B$85:$H$113,4,FALSE)*$W48))*IF(L48="",0,VLOOKUP(L48,'⚪设计'!$B$85:$H$113,4,FALSE)),0))</f>
        <v>1823</v>
      </c>
      <c r="P48" s="97">
        <f>IF(L48="","",ROUND(战斗节奏!$B$14/(IF($G48="",0,VLOOKUP($G48,'⚪设计'!$B$85:$H$113,5,FALSE)*$H48)+IF($L48="",0,VLOOKUP($L48,'⚪设计'!$B$85:$H$113,5,FALSE)*$M48)+IF($Q48="",0,VLOOKUP($Q48,'⚪设计'!$B$85:$H$113,5,FALSE)*$R48)+IF($V48="",0,VLOOKUP($V48,'⚪设计'!$B$85:$H$113,5,FALSE)*$W48))*IF(L48="",0,VLOOKUP(L48,'⚪设计'!$B$85:$H$113,5,FALSE)),0))</f>
        <v>122</v>
      </c>
      <c r="Q48" s="97" t="str">
        <f>IF(VLOOKUP($A48,'⚪设计'!$A$409:$N$432,9,FALSE)="","",VLOOKUP($A48,'⚪设计'!$A$409:$N$432,9,FALSE))</f>
        <v/>
      </c>
      <c r="R48" s="97" t="str">
        <f t="shared" si="8"/>
        <v/>
      </c>
      <c r="S48" s="97" t="str">
        <f>IF(VLOOKUP($A48,'⚪设计'!$A$409:$N$432,13,FALSE)="","",VLOOKUP($A48,'⚪设计'!$A$409:$N$432,13,FALSE))</f>
        <v/>
      </c>
      <c r="T48" s="97" t="str">
        <f>IF(Q48="","",ROUND($D48*VLOOKUP($A48,'⚪设计'!$A$409:$N$432,4,FALSE)/(IF($G48="",0,VLOOKUP($G48,'⚪设计'!$B$85:$H$113,4,FALSE)*$H48)+IF($L48="",0,VLOOKUP($L48,'⚪设计'!$B$85:$H$113,4,FALSE)*$M48)+IF($Q48="",0,VLOOKUP($Q48,'⚪设计'!$B$85:$H$113,4,FALSE)*$R48)+IF($V48="",0,VLOOKUP($V48,'⚪设计'!$B$85:$H$113,4,FALSE)*$W48))*IF(Q48="",0,VLOOKUP(Q48,'⚪设计'!$B$85:$H$113,4,FALSE)),0))</f>
        <v/>
      </c>
      <c r="U48" s="97" t="str">
        <f>IF(Q48="","",ROUND(战斗节奏!$B$14/(IF($G48="",0,VLOOKUP($G48,'⚪设计'!$B$85:$H$113,5,FALSE)*$H48)+IF($L48="",0,VLOOKUP($L48,'⚪设计'!$B$85:$H$113,5,FALSE)*$M48)+IF($Q48="",0,VLOOKUP($Q48,'⚪设计'!$B$85:$H$113,5,FALSE)*$R48)+IF($V48="",0,VLOOKUP($V48,'⚪设计'!$B$85:$H$113,5,FALSE)*$W48))*IF(Q48="",0,VLOOKUP(Q48,'⚪设计'!$B$85:$H$113,5,FALSE)),0))</f>
        <v/>
      </c>
      <c r="V48" s="97" t="str">
        <f>IF(VLOOKUP($A48,'⚪设计'!$A$409:$N$432,10,FALSE)="","",VLOOKUP($A48,'⚪设计'!$A$409:$N$432,10,FALSE))</f>
        <v/>
      </c>
      <c r="W48" s="97" t="str">
        <f t="shared" si="9"/>
        <v/>
      </c>
      <c r="X48" s="97" t="str">
        <f>IF(VLOOKUP($A48,'⚪设计'!$A$409:$N$432,14,FALSE)="","",VLOOKUP($A48,'⚪设计'!$A$409:$N$432,14,FALSE))</f>
        <v/>
      </c>
      <c r="Y48" s="97" t="str">
        <f>IF(V48="","",ROUND($D48*VLOOKUP($A48,'⚪设计'!$A$409:$N$432,4,FALSE)/(IF($G48="",0,VLOOKUP($G48,'⚪设计'!$B$85:$H$113,4,FALSE)*$H48)+IF($L48="",0,VLOOKUP($L48,'⚪设计'!$B$85:$H$113,4,FALSE)*$M48)+IF($Q48="",0,VLOOKUP($Q48,'⚪设计'!$B$85:$H$113,4,FALSE)*$R48)+IF($V48="",0,VLOOKUP($V48,'⚪设计'!$B$85:$H$113,4,FALSE)*$W48))*IF(V48="",0,VLOOKUP(V48,'⚪设计'!$B$85:$H$113,4,FALSE)),0))</f>
        <v/>
      </c>
      <c r="Z48" s="97" t="str">
        <f>IF(V48="","",ROUND(战斗节奏!$B$14/(IF($G48="",0,VLOOKUP($G48,'⚪设计'!$B$85:$H$113,5,FALSE)*$H48)+IF($L48="",0,VLOOKUP($L48,'⚪设计'!$B$85:$H$113,5,FALSE)*$M48)+IF($Q48="",0,VLOOKUP($Q48,'⚪设计'!$B$85:$H$113,5,FALSE)*$R48)+IF($V48="",0,VLOOKUP($V48,'⚪设计'!$B$85:$H$113,5,FALSE)*$W48))*IF(V48="",0,VLOOKUP(V48,'⚪设计'!$B$85:$H$113,5,FALSE)),0))</f>
        <v/>
      </c>
    </row>
    <row r="49" spans="1:26" x14ac:dyDescent="0.2">
      <c r="A49" s="2" t="str">
        <f t="shared" si="5"/>
        <v>5_2</v>
      </c>
      <c r="B49" s="2">
        <v>5</v>
      </c>
      <c r="C49" s="2">
        <v>2</v>
      </c>
      <c r="D49" s="97">
        <f>VLOOKUP(C49,无限模式!$A$3:$B$22,2,FALSE)</f>
        <v>1080</v>
      </c>
      <c r="E49" s="98">
        <v>1</v>
      </c>
      <c r="F49" s="97">
        <f>VLOOKUP(A49,'⚪设计'!$A$409:$N$432,6,FALSE)</f>
        <v>12.5</v>
      </c>
      <c r="G49" s="97" t="str">
        <f>IF(VLOOKUP($A49,'⚪设计'!$A$409:$N$432,7,FALSE)="","",VLOOKUP($A49,'⚪设计'!$A$409:$N$432,7,FALSE))</f>
        <v>蛋2</v>
      </c>
      <c r="H49" s="97">
        <f t="shared" si="6"/>
        <v>8</v>
      </c>
      <c r="I49" s="97">
        <f>IF(VLOOKUP($A49,'⚪设计'!$A$409:$N$432,11,FALSE)="","",VLOOKUP($A49,'⚪设计'!$A$409:$N$432,11,FALSE))</f>
        <v>1.5</v>
      </c>
      <c r="J49" s="97">
        <f>IF(G49="","",ROUND($D49*VLOOKUP($A49,'⚪设计'!$A$409:$N$432,4,FALSE)/(IF($G49="",0,VLOOKUP($G49,'⚪设计'!$B$85:$H$113,4,FALSE)*$H49)+IF($L49="",0,VLOOKUP($L49,'⚪设计'!$B$85:$H$113,4,FALSE)*$M49)+IF($Q49="",0,VLOOKUP($Q49,'⚪设计'!$B$85:$H$113,4,FALSE)*$R49)+IF($V49="",0,VLOOKUP($V49,'⚪设计'!$B$85:$H$113,4,FALSE)*$W49))*IF(G49="",0,VLOOKUP(G49,'⚪设计'!$B$85:$H$113,4,FALSE)),0))</f>
        <v>715</v>
      </c>
      <c r="K49" s="97">
        <f>IF(G49="","",ROUND(战斗节奏!$B$14/(IF($G49="",0,VLOOKUP($G49,'⚪设计'!$B$85:$H$113,5,FALSE)*$H49)+IF($L49="",0,VLOOKUP($L49,'⚪设计'!$B$85:$H$113,5,FALSE)*$M49)+IF($Q49="",0,VLOOKUP($Q49,'⚪设计'!$B$85:$H$113,5,FALSE)*$R49)+IF($V49="",0,VLOOKUP($V49,'⚪设计'!$B$85:$H$113,5,FALSE)*$W49))*IF(G49="",0,VLOOKUP(G49,'⚪设计'!$B$85:$H$113,5,FALSE)),0))</f>
        <v>7</v>
      </c>
      <c r="L49" s="97" t="str">
        <f>IF(VLOOKUP($A49,'⚪设计'!$A$409:$N$432,8,FALSE)="","",VLOOKUP($A49,'⚪设计'!$A$409:$N$432,8,FALSE))</f>
        <v>蝙蝠1</v>
      </c>
      <c r="M49" s="97">
        <f t="shared" si="7"/>
        <v>25</v>
      </c>
      <c r="N49" s="97">
        <f>IF(VLOOKUP($A49,'⚪设计'!$A$409:$N$432,12,FALSE)="","",VLOOKUP($A49,'⚪设计'!$A$409:$N$432,12,FALSE))</f>
        <v>0.5</v>
      </c>
      <c r="O49" s="97">
        <f>IF(L49="","",ROUND($D49*VLOOKUP($A49,'⚪设计'!$A$409:$N$432,4,FALSE)/(IF($G49="",0,VLOOKUP($G49,'⚪设计'!$B$85:$H$113,4,FALSE)*$H49)+IF($L49="",0,VLOOKUP($L49,'⚪设计'!$B$85:$H$113,4,FALSE)*$M49)+IF($Q49="",0,VLOOKUP($Q49,'⚪设计'!$B$85:$H$113,4,FALSE)*$R49)+IF($V49="",0,VLOOKUP($V49,'⚪设计'!$B$85:$H$113,4,FALSE)*$W49))*IF(L49="",0,VLOOKUP(L49,'⚪设计'!$B$85:$H$113,4,FALSE)),0))</f>
        <v>89</v>
      </c>
      <c r="P49" s="97">
        <f>IF(L49="","",ROUND(战斗节奏!$B$14/(IF($G49="",0,VLOOKUP($G49,'⚪设计'!$B$85:$H$113,5,FALSE)*$H49)+IF($L49="",0,VLOOKUP($L49,'⚪设计'!$B$85:$H$113,5,FALSE)*$M49)+IF($Q49="",0,VLOOKUP($Q49,'⚪设计'!$B$85:$H$113,5,FALSE)*$R49)+IF($V49="",0,VLOOKUP($V49,'⚪设计'!$B$85:$H$113,5,FALSE)*$W49))*IF(L49="",0,VLOOKUP(L49,'⚪设计'!$B$85:$H$113,5,FALSE)),0))</f>
        <v>2</v>
      </c>
      <c r="Q49" s="97" t="str">
        <f>IF(VLOOKUP($A49,'⚪设计'!$A$409:$N$432,9,FALSE)="","",VLOOKUP($A49,'⚪设计'!$A$409:$N$432,9,FALSE))</f>
        <v>肉2</v>
      </c>
      <c r="R49" s="97">
        <f t="shared" si="8"/>
        <v>2</v>
      </c>
      <c r="S49" s="97">
        <f>IF(VLOOKUP($A49,'⚪设计'!$A$409:$N$432,13,FALSE)="","",VLOOKUP($A49,'⚪设计'!$A$409:$N$432,13,FALSE))</f>
        <v>6</v>
      </c>
      <c r="T49" s="97">
        <f>IF(Q49="","",ROUND($D49*VLOOKUP($A49,'⚪设计'!$A$409:$N$432,4,FALSE)/(IF($G49="",0,VLOOKUP($G49,'⚪设计'!$B$85:$H$113,4,FALSE)*$H49)+IF($L49="",0,VLOOKUP($L49,'⚪设计'!$B$85:$H$113,4,FALSE)*$M49)+IF($Q49="",0,VLOOKUP($Q49,'⚪设计'!$B$85:$H$113,4,FALSE)*$R49)+IF($V49="",0,VLOOKUP($V49,'⚪设计'!$B$85:$H$113,4,FALSE)*$W49))*IF(Q49="",0,VLOOKUP(Q49,'⚪设计'!$B$85:$H$113,4,FALSE)),0))</f>
        <v>2859</v>
      </c>
      <c r="U49" s="97">
        <f>IF(Q49="","",ROUND(战斗节奏!$B$14/(IF($G49="",0,VLOOKUP($G49,'⚪设计'!$B$85:$H$113,5,FALSE)*$H49)+IF($L49="",0,VLOOKUP($L49,'⚪设计'!$B$85:$H$113,5,FALSE)*$M49)+IF($Q49="",0,VLOOKUP($Q49,'⚪设计'!$B$85:$H$113,5,FALSE)*$R49)+IF($V49="",0,VLOOKUP($V49,'⚪设计'!$B$85:$H$113,5,FALSE)*$W49))*IF(Q49="",0,VLOOKUP(Q49,'⚪设计'!$B$85:$H$113,5,FALSE)),0))</f>
        <v>102</v>
      </c>
      <c r="V49" s="97" t="str">
        <f>IF(VLOOKUP($A49,'⚪设计'!$A$409:$N$432,10,FALSE)="","",VLOOKUP($A49,'⚪设计'!$A$409:$N$432,10,FALSE))</f>
        <v/>
      </c>
      <c r="W49" s="97" t="str">
        <f t="shared" si="9"/>
        <v/>
      </c>
      <c r="X49" s="97" t="str">
        <f>IF(VLOOKUP($A49,'⚪设计'!$A$409:$N$432,14,FALSE)="","",VLOOKUP($A49,'⚪设计'!$A$409:$N$432,14,FALSE))</f>
        <v/>
      </c>
      <c r="Y49" s="97" t="str">
        <f>IF(V49="","",ROUND($D49*VLOOKUP($A49,'⚪设计'!$A$409:$N$432,4,FALSE)/(IF($G49="",0,VLOOKUP($G49,'⚪设计'!$B$85:$H$113,4,FALSE)*$H49)+IF($L49="",0,VLOOKUP($L49,'⚪设计'!$B$85:$H$113,4,FALSE)*$M49)+IF($Q49="",0,VLOOKUP($Q49,'⚪设计'!$B$85:$H$113,4,FALSE)*$R49)+IF($V49="",0,VLOOKUP($V49,'⚪设计'!$B$85:$H$113,4,FALSE)*$W49))*IF(V49="",0,VLOOKUP(V49,'⚪设计'!$B$85:$H$113,4,FALSE)),0))</f>
        <v/>
      </c>
      <c r="Z49" s="97" t="str">
        <f>IF(V49="","",ROUND(战斗节奏!$B$14/(IF($G49="",0,VLOOKUP($G49,'⚪设计'!$B$85:$H$113,5,FALSE)*$H49)+IF($L49="",0,VLOOKUP($L49,'⚪设计'!$B$85:$H$113,5,FALSE)*$M49)+IF($Q49="",0,VLOOKUP($Q49,'⚪设计'!$B$85:$H$113,5,FALSE)*$R49)+IF($V49="",0,VLOOKUP($V49,'⚪设计'!$B$85:$H$113,5,FALSE)*$W49))*IF(V49="",0,VLOOKUP(V49,'⚪设计'!$B$85:$H$113,5,FALSE)),0))</f>
        <v/>
      </c>
    </row>
    <row r="50" spans="1:26" x14ac:dyDescent="0.2">
      <c r="A50" s="2" t="str">
        <f t="shared" si="5"/>
        <v>5_3</v>
      </c>
      <c r="B50" s="2">
        <v>5</v>
      </c>
      <c r="C50" s="2">
        <v>3</v>
      </c>
      <c r="D50" s="97">
        <f>VLOOKUP(C50,无限模式!$A$3:$B$22,2,FALSE)</f>
        <v>1620</v>
      </c>
      <c r="E50" s="98">
        <v>1</v>
      </c>
      <c r="F50" s="97">
        <f>VLOOKUP(A50,'⚪设计'!$A$409:$N$432,6,FALSE)</f>
        <v>15</v>
      </c>
      <c r="G50" s="97" t="str">
        <f>IF(VLOOKUP($A50,'⚪设计'!$A$409:$N$432,7,FALSE)="","",VLOOKUP($A50,'⚪设计'!$A$409:$N$432,7,FALSE))</f>
        <v>蛋2</v>
      </c>
      <c r="H50" s="97">
        <f t="shared" si="6"/>
        <v>10</v>
      </c>
      <c r="I50" s="97">
        <f>IF(VLOOKUP($A50,'⚪设计'!$A$409:$N$432,11,FALSE)="","",VLOOKUP($A50,'⚪设计'!$A$409:$N$432,11,FALSE))</f>
        <v>1.5</v>
      </c>
      <c r="J50" s="97">
        <f>IF(G50="","",ROUND($D50*VLOOKUP($A50,'⚪设计'!$A$409:$N$432,4,FALSE)/(IF($G50="",0,VLOOKUP($G50,'⚪设计'!$B$85:$H$113,4,FALSE)*$H50)+IF($L50="",0,VLOOKUP($L50,'⚪设计'!$B$85:$H$113,4,FALSE)*$M50)+IF($Q50="",0,VLOOKUP($Q50,'⚪设计'!$B$85:$H$113,4,FALSE)*$R50)+IF($V50="",0,VLOOKUP($V50,'⚪设计'!$B$85:$H$113,4,FALSE)*$W50))*IF(G50="",0,VLOOKUP(G50,'⚪设计'!$B$85:$H$113,4,FALSE)),0))</f>
        <v>724</v>
      </c>
      <c r="K50" s="97">
        <f>IF(G50="","",ROUND(战斗节奏!$B$14/(IF($G50="",0,VLOOKUP($G50,'⚪设计'!$B$85:$H$113,5,FALSE)*$H50)+IF($L50="",0,VLOOKUP($L50,'⚪设计'!$B$85:$H$113,5,FALSE)*$M50)+IF($Q50="",0,VLOOKUP($Q50,'⚪设计'!$B$85:$H$113,5,FALSE)*$R50)+IF($V50="",0,VLOOKUP($V50,'⚪设计'!$B$85:$H$113,5,FALSE)*$W50))*IF(G50="",0,VLOOKUP(G50,'⚪设计'!$B$85:$H$113,5,FALSE)),0))</f>
        <v>4</v>
      </c>
      <c r="L50" s="97" t="str">
        <f>IF(VLOOKUP($A50,'⚪设计'!$A$409:$N$432,8,FALSE)="","",VLOOKUP($A50,'⚪设计'!$A$409:$N$432,8,FALSE))</f>
        <v>蜘蛛1</v>
      </c>
      <c r="M50" s="97">
        <f t="shared" si="7"/>
        <v>38</v>
      </c>
      <c r="N50" s="97">
        <f>IF(VLOOKUP($A50,'⚪设计'!$A$409:$N$432,12,FALSE)="","",VLOOKUP($A50,'⚪设计'!$A$409:$N$432,12,FALSE))</f>
        <v>0.4</v>
      </c>
      <c r="O50" s="97">
        <f>IF(L50="","",ROUND($D50*VLOOKUP($A50,'⚪设计'!$A$409:$N$432,4,FALSE)/(IF($G50="",0,VLOOKUP($G50,'⚪设计'!$B$85:$H$113,4,FALSE)*$H50)+IF($L50="",0,VLOOKUP($L50,'⚪设计'!$B$85:$H$113,4,FALSE)*$M50)+IF($Q50="",0,VLOOKUP($Q50,'⚪设计'!$B$85:$H$113,4,FALSE)*$R50)+IF($V50="",0,VLOOKUP($V50,'⚪设计'!$B$85:$H$113,4,FALSE)*$W50))*IF(L50="",0,VLOOKUP(L50,'⚪设计'!$B$85:$H$113,4,FALSE)),0))</f>
        <v>181</v>
      </c>
      <c r="P50" s="97">
        <f>IF(L50="","",ROUND(战斗节奏!$B$14/(IF($G50="",0,VLOOKUP($G50,'⚪设计'!$B$85:$H$113,5,FALSE)*$H50)+IF($L50="",0,VLOOKUP($L50,'⚪设计'!$B$85:$H$113,5,FALSE)*$M50)+IF($Q50="",0,VLOOKUP($Q50,'⚪设计'!$B$85:$H$113,5,FALSE)*$R50)+IF($V50="",0,VLOOKUP($V50,'⚪设计'!$B$85:$H$113,5,FALSE)*$W50))*IF(L50="",0,VLOOKUP(L50,'⚪设计'!$B$85:$H$113,5,FALSE)),0))</f>
        <v>2</v>
      </c>
      <c r="Q50" s="97" t="str">
        <f>IF(VLOOKUP($A50,'⚪设计'!$A$409:$N$432,9,FALSE)="","",VLOOKUP($A50,'⚪设计'!$A$409:$N$432,9,FALSE))</f>
        <v>鬼1</v>
      </c>
      <c r="R50" s="97">
        <f t="shared" si="8"/>
        <v>10</v>
      </c>
      <c r="S50" s="97">
        <f>IF(VLOOKUP($A50,'⚪设计'!$A$409:$N$432,13,FALSE)="","",VLOOKUP($A50,'⚪设计'!$A$409:$N$432,13,FALSE))</f>
        <v>1.5</v>
      </c>
      <c r="T50" s="97">
        <f>IF(Q50="","",ROUND($D50*VLOOKUP($A50,'⚪设计'!$A$409:$N$432,4,FALSE)/(IF($G50="",0,VLOOKUP($G50,'⚪设计'!$B$85:$H$113,4,FALSE)*$H50)+IF($L50="",0,VLOOKUP($L50,'⚪设计'!$B$85:$H$113,4,FALSE)*$M50)+IF($Q50="",0,VLOOKUP($Q50,'⚪设计'!$B$85:$H$113,4,FALSE)*$R50)+IF($V50="",0,VLOOKUP($V50,'⚪设计'!$B$85:$H$113,4,FALSE)*$W50))*IF(Q50="",0,VLOOKUP(Q50,'⚪设计'!$B$85:$H$113,4,FALSE)),0))</f>
        <v>181</v>
      </c>
      <c r="U50" s="97">
        <f>IF(Q50="","",ROUND(战斗节奏!$B$14/(IF($G50="",0,VLOOKUP($G50,'⚪设计'!$B$85:$H$113,5,FALSE)*$H50)+IF($L50="",0,VLOOKUP($L50,'⚪设计'!$B$85:$H$113,5,FALSE)*$M50)+IF($Q50="",0,VLOOKUP($Q50,'⚪设计'!$B$85:$H$113,5,FALSE)*$R50)+IF($V50="",0,VLOOKUP($V50,'⚪设计'!$B$85:$H$113,5,FALSE)*$W50))*IF(Q50="",0,VLOOKUP(Q50,'⚪设计'!$B$85:$H$113,5,FALSE)),0))</f>
        <v>2</v>
      </c>
      <c r="V50" s="97" t="str">
        <f>IF(VLOOKUP($A50,'⚪设计'!$A$409:$N$432,10,FALSE)="","",VLOOKUP($A50,'⚪设计'!$A$409:$N$432,10,FALSE))</f>
        <v>肉2</v>
      </c>
      <c r="W50" s="97">
        <f t="shared" si="9"/>
        <v>3</v>
      </c>
      <c r="X50" s="97">
        <f>IF(VLOOKUP($A50,'⚪设计'!$A$409:$N$432,14,FALSE)="","",VLOOKUP($A50,'⚪设计'!$A$409:$N$432,14,FALSE))</f>
        <v>6</v>
      </c>
      <c r="Y50" s="97">
        <f>IF(V50="","",ROUND($D50*VLOOKUP($A50,'⚪设计'!$A$409:$N$432,4,FALSE)/(IF($G50="",0,VLOOKUP($G50,'⚪设计'!$B$85:$H$113,4,FALSE)*$H50)+IF($L50="",0,VLOOKUP($L50,'⚪设计'!$B$85:$H$113,4,FALSE)*$M50)+IF($Q50="",0,VLOOKUP($Q50,'⚪设计'!$B$85:$H$113,4,FALSE)*$R50)+IF($V50="",0,VLOOKUP($V50,'⚪设计'!$B$85:$H$113,4,FALSE)*$W50))*IF(V50="",0,VLOOKUP(V50,'⚪设计'!$B$85:$H$113,4,FALSE)),0))</f>
        <v>2895</v>
      </c>
      <c r="Z50" s="97">
        <f>IF(V50="","",ROUND(战斗节奏!$B$14/(IF($G50="",0,VLOOKUP($G50,'⚪设计'!$B$85:$H$113,5,FALSE)*$H50)+IF($L50="",0,VLOOKUP($L50,'⚪设计'!$B$85:$H$113,5,FALSE)*$M50)+IF($Q50="",0,VLOOKUP($Q50,'⚪设计'!$B$85:$H$113,5,FALSE)*$R50)+IF($V50="",0,VLOOKUP($V50,'⚪设计'!$B$85:$H$113,5,FALSE)*$W50))*IF(V50="",0,VLOOKUP(V50,'⚪设计'!$B$85:$H$113,5,FALSE)),0))</f>
        <v>57</v>
      </c>
    </row>
    <row r="51" spans="1:26" x14ac:dyDescent="0.2">
      <c r="A51" s="2" t="str">
        <f t="shared" si="5"/>
        <v>5_4</v>
      </c>
      <c r="B51" s="2">
        <v>5</v>
      </c>
      <c r="C51" s="2">
        <v>4</v>
      </c>
      <c r="D51" s="97">
        <f>VLOOKUP(C51,无限模式!$A$3:$B$22,2,FALSE)</f>
        <v>2160</v>
      </c>
      <c r="E51" s="98">
        <v>1</v>
      </c>
      <c r="F51" s="97">
        <f>VLOOKUP(A51,'⚪设计'!$A$409:$N$432,6,FALSE)</f>
        <v>17.5</v>
      </c>
      <c r="G51" s="97" t="str">
        <f>IF(VLOOKUP($A51,'⚪设计'!$A$409:$N$432,7,FALSE)="","",VLOOKUP($A51,'⚪设计'!$A$409:$N$432,7,FALSE))</f>
        <v>蛋2</v>
      </c>
      <c r="H51" s="97">
        <f t="shared" si="6"/>
        <v>12</v>
      </c>
      <c r="I51" s="97">
        <f>IF(VLOOKUP($A51,'⚪设计'!$A$409:$N$432,11,FALSE)="","",VLOOKUP($A51,'⚪设计'!$A$409:$N$432,11,FALSE))</f>
        <v>1.5</v>
      </c>
      <c r="J51" s="97">
        <f>IF(G51="","",ROUND($D51*VLOOKUP($A51,'⚪设计'!$A$409:$N$432,4,FALSE)/(IF($G51="",0,VLOOKUP($G51,'⚪设计'!$B$85:$H$113,4,FALSE)*$H51)+IF($L51="",0,VLOOKUP($L51,'⚪设计'!$B$85:$H$113,4,FALSE)*$M51)+IF($Q51="",0,VLOOKUP($Q51,'⚪设计'!$B$85:$H$113,4,FALSE)*$R51)+IF($V51="",0,VLOOKUP($V51,'⚪设计'!$B$85:$H$113,4,FALSE)*$W51))*IF(G51="",0,VLOOKUP(G51,'⚪设计'!$B$85:$H$113,4,FALSE)),0))</f>
        <v>1002</v>
      </c>
      <c r="K51" s="97">
        <f>IF(G51="","",ROUND(战斗节奏!$B$14/(IF($G51="",0,VLOOKUP($G51,'⚪设计'!$B$85:$H$113,5,FALSE)*$H51)+IF($L51="",0,VLOOKUP($L51,'⚪设计'!$B$85:$H$113,5,FALSE)*$M51)+IF($Q51="",0,VLOOKUP($Q51,'⚪设计'!$B$85:$H$113,5,FALSE)*$R51)+IF($V51="",0,VLOOKUP($V51,'⚪设计'!$B$85:$H$113,5,FALSE)*$W51))*IF(G51="",0,VLOOKUP(G51,'⚪设计'!$B$85:$H$113,5,FALSE)),0))</f>
        <v>4</v>
      </c>
      <c r="L51" s="97" t="str">
        <f>IF(VLOOKUP($A51,'⚪设计'!$A$409:$N$432,8,FALSE)="","",VLOOKUP($A51,'⚪设计'!$A$409:$N$432,8,FALSE))</f>
        <v>鬼1</v>
      </c>
      <c r="M51" s="97">
        <f t="shared" si="7"/>
        <v>35</v>
      </c>
      <c r="N51" s="97">
        <f>IF(VLOOKUP($A51,'⚪设计'!$A$409:$N$432,12,FALSE)="","",VLOOKUP($A51,'⚪设计'!$A$409:$N$432,12,FALSE))</f>
        <v>0.5</v>
      </c>
      <c r="O51" s="97">
        <f>IF(L51="","",ROUND($D51*VLOOKUP($A51,'⚪设计'!$A$409:$N$432,4,FALSE)/(IF($G51="",0,VLOOKUP($G51,'⚪设计'!$B$85:$H$113,4,FALSE)*$H51)+IF($L51="",0,VLOOKUP($L51,'⚪设计'!$B$85:$H$113,4,FALSE)*$M51)+IF($Q51="",0,VLOOKUP($Q51,'⚪设计'!$B$85:$H$113,4,FALSE)*$R51)+IF($V51="",0,VLOOKUP($V51,'⚪设计'!$B$85:$H$113,4,FALSE)*$W51))*IF(L51="",0,VLOOKUP(L51,'⚪设计'!$B$85:$H$113,4,FALSE)),0))</f>
        <v>250</v>
      </c>
      <c r="P51" s="97">
        <f>IF(L51="","",ROUND(战斗节奏!$B$14/(IF($G51="",0,VLOOKUP($G51,'⚪设计'!$B$85:$H$113,5,FALSE)*$H51)+IF($L51="",0,VLOOKUP($L51,'⚪设计'!$B$85:$H$113,5,FALSE)*$M51)+IF($Q51="",0,VLOOKUP($Q51,'⚪设计'!$B$85:$H$113,5,FALSE)*$R51)+IF($V51="",0,VLOOKUP($V51,'⚪设计'!$B$85:$H$113,5,FALSE)*$W51))*IF(L51="",0,VLOOKUP(L51,'⚪设计'!$B$85:$H$113,5,FALSE)),0))</f>
        <v>2</v>
      </c>
      <c r="Q51" s="97" t="str">
        <f>IF(VLOOKUP($A51,'⚪设计'!$A$409:$N$432,9,FALSE)="","",VLOOKUP($A51,'⚪设计'!$A$409:$N$432,9,FALSE))</f>
        <v>肉2</v>
      </c>
      <c r="R51" s="97">
        <f t="shared" si="8"/>
        <v>3</v>
      </c>
      <c r="S51" s="97">
        <f>IF(VLOOKUP($A51,'⚪设计'!$A$409:$N$432,13,FALSE)="","",VLOOKUP($A51,'⚪设计'!$A$409:$N$432,13,FALSE))</f>
        <v>6</v>
      </c>
      <c r="T51" s="97">
        <f>IF(Q51="","",ROUND($D51*VLOOKUP($A51,'⚪设计'!$A$409:$N$432,4,FALSE)/(IF($G51="",0,VLOOKUP($G51,'⚪设计'!$B$85:$H$113,4,FALSE)*$H51)+IF($L51="",0,VLOOKUP($L51,'⚪设计'!$B$85:$H$113,4,FALSE)*$M51)+IF($Q51="",0,VLOOKUP($Q51,'⚪设计'!$B$85:$H$113,4,FALSE)*$R51)+IF($V51="",0,VLOOKUP($V51,'⚪设计'!$B$85:$H$113,4,FALSE)*$W51))*IF(Q51="",0,VLOOKUP(Q51,'⚪设计'!$B$85:$H$113,4,FALSE)),0))</f>
        <v>4007</v>
      </c>
      <c r="U51" s="97">
        <f>IF(Q51="","",ROUND(战斗节奏!$B$14/(IF($G51="",0,VLOOKUP($G51,'⚪设计'!$B$85:$H$113,5,FALSE)*$H51)+IF($L51="",0,VLOOKUP($L51,'⚪设计'!$B$85:$H$113,5,FALSE)*$M51)+IF($Q51="",0,VLOOKUP($Q51,'⚪设计'!$B$85:$H$113,5,FALSE)*$R51)+IF($V51="",0,VLOOKUP($V51,'⚪设计'!$B$85:$H$113,5,FALSE)*$W51))*IF(Q51="",0,VLOOKUP(Q51,'⚪设计'!$B$85:$H$113,5,FALSE)),0))</f>
        <v>60</v>
      </c>
      <c r="V51" s="97" t="str">
        <f>IF(VLOOKUP($A51,'⚪设计'!$A$409:$N$432,10,FALSE)="","",VLOOKUP($A51,'⚪设计'!$A$409:$N$432,10,FALSE))</f>
        <v/>
      </c>
      <c r="W51" s="97" t="str">
        <f t="shared" si="9"/>
        <v/>
      </c>
      <c r="X51" s="97" t="str">
        <f>IF(VLOOKUP($A51,'⚪设计'!$A$409:$N$432,14,FALSE)="","",VLOOKUP($A51,'⚪设计'!$A$409:$N$432,14,FALSE))</f>
        <v/>
      </c>
      <c r="Y51" s="97" t="str">
        <f>IF(V51="","",ROUND($D51*VLOOKUP($A51,'⚪设计'!$A$409:$N$432,4,FALSE)/(IF($G51="",0,VLOOKUP($G51,'⚪设计'!$B$85:$H$113,4,FALSE)*$H51)+IF($L51="",0,VLOOKUP($L51,'⚪设计'!$B$85:$H$113,4,FALSE)*$M51)+IF($Q51="",0,VLOOKUP($Q51,'⚪设计'!$B$85:$H$113,4,FALSE)*$R51)+IF($V51="",0,VLOOKUP($V51,'⚪设计'!$B$85:$H$113,4,FALSE)*$W51))*IF(V51="",0,VLOOKUP(V51,'⚪设计'!$B$85:$H$113,4,FALSE)),0))</f>
        <v/>
      </c>
      <c r="Z51" s="97" t="str">
        <f>IF(V51="","",ROUND(战斗节奏!$B$14/(IF($G51="",0,VLOOKUP($G51,'⚪设计'!$B$85:$H$113,5,FALSE)*$H51)+IF($L51="",0,VLOOKUP($L51,'⚪设计'!$B$85:$H$113,5,FALSE)*$M51)+IF($Q51="",0,VLOOKUP($Q51,'⚪设计'!$B$85:$H$113,5,FALSE)*$R51)+IF($V51="",0,VLOOKUP($V51,'⚪设计'!$B$85:$H$113,5,FALSE)*$W51))*IF(V51="",0,VLOOKUP(V51,'⚪设计'!$B$85:$H$113,5,FALSE)),0))</f>
        <v/>
      </c>
    </row>
    <row r="52" spans="1:26" x14ac:dyDescent="0.2">
      <c r="A52" s="2" t="str">
        <f t="shared" si="5"/>
        <v>5_5</v>
      </c>
      <c r="B52" s="2">
        <v>5</v>
      </c>
      <c r="C52" s="2">
        <v>5</v>
      </c>
      <c r="D52" s="97">
        <f>VLOOKUP(C52,无限模式!$A$3:$B$22,2,FALSE)</f>
        <v>2700</v>
      </c>
      <c r="E52" s="98">
        <v>1</v>
      </c>
      <c r="F52" s="97">
        <f>VLOOKUP(A52,'⚪设计'!$A$409:$N$432,6,FALSE)</f>
        <v>20</v>
      </c>
      <c r="G52" s="97" t="str">
        <f>IF(VLOOKUP($A52,'⚪设计'!$A$409:$N$432,7,FALSE)="","",VLOOKUP($A52,'⚪设计'!$A$409:$N$432,7,FALSE))</f>
        <v>蛋2</v>
      </c>
      <c r="H52" s="97">
        <f t="shared" si="6"/>
        <v>13</v>
      </c>
      <c r="I52" s="97">
        <f>IF(VLOOKUP($A52,'⚪设计'!$A$409:$N$432,11,FALSE)="","",VLOOKUP($A52,'⚪设计'!$A$409:$N$432,11,FALSE))</f>
        <v>1.5</v>
      </c>
      <c r="J52" s="97">
        <f>IF(G52="","",ROUND($D52*VLOOKUP($A52,'⚪设计'!$A$409:$N$432,4,FALSE)/(IF($G52="",0,VLOOKUP($G52,'⚪设计'!$B$85:$H$113,4,FALSE)*$H52)+IF($L52="",0,VLOOKUP($L52,'⚪设计'!$B$85:$H$113,4,FALSE)*$M52)+IF($Q52="",0,VLOOKUP($Q52,'⚪设计'!$B$85:$H$113,4,FALSE)*$R52)+IF($V52="",0,VLOOKUP($V52,'⚪设计'!$B$85:$H$113,4,FALSE)*$W52))*IF(G52="",0,VLOOKUP(G52,'⚪设计'!$B$85:$H$113,4,FALSE)),0))</f>
        <v>1203</v>
      </c>
      <c r="K52" s="97">
        <f>IF(G52="","",ROUND(战斗节奏!$B$14/(IF($G52="",0,VLOOKUP($G52,'⚪设计'!$B$85:$H$113,5,FALSE)*$H52)+IF($L52="",0,VLOOKUP($L52,'⚪设计'!$B$85:$H$113,5,FALSE)*$M52)+IF($Q52="",0,VLOOKUP($Q52,'⚪设计'!$B$85:$H$113,5,FALSE)*$R52)+IF($V52="",0,VLOOKUP($V52,'⚪设计'!$B$85:$H$113,5,FALSE)*$W52))*IF(G52="",0,VLOOKUP(G52,'⚪设计'!$B$85:$H$113,5,FALSE)),0))</f>
        <v>3</v>
      </c>
      <c r="L52" s="97" t="str">
        <f>IF(VLOOKUP($A52,'⚪设计'!$A$409:$N$432,8,FALSE)="","",VLOOKUP($A52,'⚪设计'!$A$409:$N$432,8,FALSE))</f>
        <v>鬼1</v>
      </c>
      <c r="M52" s="97">
        <f t="shared" si="7"/>
        <v>40</v>
      </c>
      <c r="N52" s="97">
        <f>IF(VLOOKUP($A52,'⚪设计'!$A$409:$N$432,12,FALSE)="","",VLOOKUP($A52,'⚪设计'!$A$409:$N$432,12,FALSE))</f>
        <v>0.5</v>
      </c>
      <c r="O52" s="97">
        <f>IF(L52="","",ROUND($D52*VLOOKUP($A52,'⚪设计'!$A$409:$N$432,4,FALSE)/(IF($G52="",0,VLOOKUP($G52,'⚪设计'!$B$85:$H$113,4,FALSE)*$H52)+IF($L52="",0,VLOOKUP($L52,'⚪设计'!$B$85:$H$113,4,FALSE)*$M52)+IF($Q52="",0,VLOOKUP($Q52,'⚪设计'!$B$85:$H$113,4,FALSE)*$R52)+IF($V52="",0,VLOOKUP($V52,'⚪设计'!$B$85:$H$113,4,FALSE)*$W52))*IF(L52="",0,VLOOKUP(L52,'⚪设计'!$B$85:$H$113,4,FALSE)),0))</f>
        <v>301</v>
      </c>
      <c r="P52" s="97">
        <f>IF(L52="","",ROUND(战斗节奏!$B$14/(IF($G52="",0,VLOOKUP($G52,'⚪设计'!$B$85:$H$113,5,FALSE)*$H52)+IF($L52="",0,VLOOKUP($L52,'⚪设计'!$B$85:$H$113,5,FALSE)*$M52)+IF($Q52="",0,VLOOKUP($Q52,'⚪设计'!$B$85:$H$113,5,FALSE)*$R52)+IF($V52="",0,VLOOKUP($V52,'⚪设计'!$B$85:$H$113,5,FALSE)*$W52))*IF(L52="",0,VLOOKUP(L52,'⚪设计'!$B$85:$H$113,5,FALSE)),0))</f>
        <v>1</v>
      </c>
      <c r="Q52" s="97" t="str">
        <f>IF(VLOOKUP($A52,'⚪设计'!$A$409:$N$432,9,FALSE)="","",VLOOKUP($A52,'⚪设计'!$A$409:$N$432,9,FALSE))</f>
        <v>种子1</v>
      </c>
      <c r="R52" s="97">
        <f t="shared" si="8"/>
        <v>10</v>
      </c>
      <c r="S52" s="97">
        <f>IF(VLOOKUP($A52,'⚪设计'!$A$409:$N$432,13,FALSE)="","",VLOOKUP($A52,'⚪设计'!$A$409:$N$432,13,FALSE))</f>
        <v>2</v>
      </c>
      <c r="T52" s="97">
        <f>IF(Q52="","",ROUND($D52*VLOOKUP($A52,'⚪设计'!$A$409:$N$432,4,FALSE)/(IF($G52="",0,VLOOKUP($G52,'⚪设计'!$B$85:$H$113,4,FALSE)*$H52)+IF($L52="",0,VLOOKUP($L52,'⚪设计'!$B$85:$H$113,4,FALSE)*$M52)+IF($Q52="",0,VLOOKUP($Q52,'⚪设计'!$B$85:$H$113,4,FALSE)*$R52)+IF($V52="",0,VLOOKUP($V52,'⚪设计'!$B$85:$H$113,4,FALSE)*$W52))*IF(Q52="",0,VLOOKUP(Q52,'⚪设计'!$B$85:$H$113,4,FALSE)),0))</f>
        <v>902</v>
      </c>
      <c r="U52" s="97">
        <f>IF(Q52="","",ROUND(战斗节奏!$B$14/(IF($G52="",0,VLOOKUP($G52,'⚪设计'!$B$85:$H$113,5,FALSE)*$H52)+IF($L52="",0,VLOOKUP($L52,'⚪设计'!$B$85:$H$113,5,FALSE)*$M52)+IF($Q52="",0,VLOOKUP($Q52,'⚪设计'!$B$85:$H$113,5,FALSE)*$R52)+IF($V52="",0,VLOOKUP($V52,'⚪设计'!$B$85:$H$113,5,FALSE)*$W52))*IF(Q52="",0,VLOOKUP(Q52,'⚪设计'!$B$85:$H$113,5,FALSE)),0))</f>
        <v>3</v>
      </c>
      <c r="V52" s="97" t="str">
        <f>IF(VLOOKUP($A52,'⚪设计'!$A$409:$N$432,10,FALSE)="","",VLOOKUP($A52,'⚪设计'!$A$409:$N$432,10,FALSE))</f>
        <v>肉2</v>
      </c>
      <c r="W52" s="97">
        <f t="shared" si="9"/>
        <v>5</v>
      </c>
      <c r="X52" s="97">
        <f>IF(VLOOKUP($A52,'⚪设计'!$A$409:$N$432,14,FALSE)="","",VLOOKUP($A52,'⚪设计'!$A$409:$N$432,14,FALSE))</f>
        <v>4</v>
      </c>
      <c r="Y52" s="97">
        <f>IF(V52="","",ROUND($D52*VLOOKUP($A52,'⚪设计'!$A$409:$N$432,4,FALSE)/(IF($G52="",0,VLOOKUP($G52,'⚪设计'!$B$85:$H$113,4,FALSE)*$H52)+IF($L52="",0,VLOOKUP($L52,'⚪设计'!$B$85:$H$113,4,FALSE)*$M52)+IF($Q52="",0,VLOOKUP($Q52,'⚪设计'!$B$85:$H$113,4,FALSE)*$R52)+IF($V52="",0,VLOOKUP($V52,'⚪设计'!$B$85:$H$113,4,FALSE)*$W52))*IF(V52="",0,VLOOKUP(V52,'⚪设计'!$B$85:$H$113,4,FALSE)),0))</f>
        <v>4812</v>
      </c>
      <c r="Z52" s="97">
        <f>IF(V52="","",ROUND(战斗节奏!$B$14/(IF($G52="",0,VLOOKUP($G52,'⚪设计'!$B$85:$H$113,5,FALSE)*$H52)+IF($L52="",0,VLOOKUP($L52,'⚪设计'!$B$85:$H$113,5,FALSE)*$M52)+IF($Q52="",0,VLOOKUP($Q52,'⚪设计'!$B$85:$H$113,5,FALSE)*$R52)+IF($V52="",0,VLOOKUP($V52,'⚪设计'!$B$85:$H$113,5,FALSE)*$W52))*IF(V52="",0,VLOOKUP(V52,'⚪设计'!$B$85:$H$113,5,FALSE)),0))</f>
        <v>38</v>
      </c>
    </row>
    <row r="53" spans="1:26" x14ac:dyDescent="0.2">
      <c r="A53" s="2" t="str">
        <f t="shared" si="5"/>
        <v>5_6</v>
      </c>
      <c r="B53" s="2">
        <v>5</v>
      </c>
      <c r="C53" s="2">
        <v>6</v>
      </c>
      <c r="D53" s="97">
        <f>VLOOKUP(C53,无限模式!$A$3:$B$22,2,FALSE)</f>
        <v>3240</v>
      </c>
      <c r="E53" s="98">
        <v>1</v>
      </c>
      <c r="F53" s="97">
        <f>VLOOKUP(A53,'⚪设计'!$A$409:$N$432,6,FALSE)</f>
        <v>22.5</v>
      </c>
      <c r="G53" s="97" t="str">
        <f>IF(VLOOKUP($A53,'⚪设计'!$A$409:$N$432,7,FALSE)="","",VLOOKUP($A53,'⚪设计'!$A$409:$N$432,7,FALSE))</f>
        <v>蛋2</v>
      </c>
      <c r="H53" s="97">
        <f t="shared" si="6"/>
        <v>15</v>
      </c>
      <c r="I53" s="97">
        <f>IF(VLOOKUP($A53,'⚪设计'!$A$409:$N$432,11,FALSE)="","",VLOOKUP($A53,'⚪设计'!$A$409:$N$432,11,FALSE))</f>
        <v>1.5</v>
      </c>
      <c r="J53" s="97">
        <f>IF(G53="","",ROUND($D53*VLOOKUP($A53,'⚪设计'!$A$409:$N$432,4,FALSE)/(IF($G53="",0,VLOOKUP($G53,'⚪设计'!$B$85:$H$113,4,FALSE)*$H53)+IF($L53="",0,VLOOKUP($L53,'⚪设计'!$B$85:$H$113,4,FALSE)*$M53)+IF($Q53="",0,VLOOKUP($Q53,'⚪设计'!$B$85:$H$113,4,FALSE)*$R53)+IF($V53="",0,VLOOKUP($V53,'⚪设计'!$B$85:$H$113,4,FALSE)*$W53))*IF(G53="",0,VLOOKUP(G53,'⚪设计'!$B$85:$H$113,4,FALSE)),0))</f>
        <v>1157</v>
      </c>
      <c r="K53" s="97">
        <f>IF(G53="","",ROUND(战斗节奏!$B$14/(IF($G53="",0,VLOOKUP($G53,'⚪设计'!$B$85:$H$113,5,FALSE)*$H53)+IF($L53="",0,VLOOKUP($L53,'⚪设计'!$B$85:$H$113,5,FALSE)*$M53)+IF($Q53="",0,VLOOKUP($Q53,'⚪设计'!$B$85:$H$113,5,FALSE)*$R53)+IF($V53="",0,VLOOKUP($V53,'⚪设计'!$B$85:$H$113,5,FALSE)*$W53))*IF(G53="",0,VLOOKUP(G53,'⚪设计'!$B$85:$H$113,5,FALSE)),0))</f>
        <v>2</v>
      </c>
      <c r="L53" s="97" t="str">
        <f>IF(VLOOKUP($A53,'⚪设计'!$A$409:$N$432,8,FALSE)="","",VLOOKUP($A53,'⚪设计'!$A$409:$N$432,8,FALSE))</f>
        <v>种子2</v>
      </c>
      <c r="M53" s="97">
        <f t="shared" si="7"/>
        <v>11</v>
      </c>
      <c r="N53" s="97">
        <f>IF(VLOOKUP($A53,'⚪设计'!$A$409:$N$432,12,FALSE)="","",VLOOKUP($A53,'⚪设计'!$A$409:$N$432,12,FALSE))</f>
        <v>2</v>
      </c>
      <c r="O53" s="97">
        <f>IF(L53="","",ROUND($D53*VLOOKUP($A53,'⚪设计'!$A$409:$N$432,4,FALSE)/(IF($G53="",0,VLOOKUP($G53,'⚪设计'!$B$85:$H$113,4,FALSE)*$H53)+IF($L53="",0,VLOOKUP($L53,'⚪设计'!$B$85:$H$113,4,FALSE)*$M53)+IF($Q53="",0,VLOOKUP($Q53,'⚪设计'!$B$85:$H$113,4,FALSE)*$R53)+IF($V53="",0,VLOOKUP($V53,'⚪设计'!$B$85:$H$113,4,FALSE)*$W53))*IF(L53="",0,VLOOKUP(L53,'⚪设计'!$B$85:$H$113,4,FALSE)),0))</f>
        <v>1736</v>
      </c>
      <c r="P53" s="97">
        <f>IF(L53="","",ROUND(战斗节奏!$B$14/(IF($G53="",0,VLOOKUP($G53,'⚪设计'!$B$85:$H$113,5,FALSE)*$H53)+IF($L53="",0,VLOOKUP($L53,'⚪设计'!$B$85:$H$113,5,FALSE)*$M53)+IF($Q53="",0,VLOOKUP($Q53,'⚪设计'!$B$85:$H$113,5,FALSE)*$R53)+IF($V53="",0,VLOOKUP($V53,'⚪设计'!$B$85:$H$113,5,FALSE)*$W53))*IF(L53="",0,VLOOKUP(L53,'⚪设计'!$B$85:$H$113,5,FALSE)),0))</f>
        <v>2</v>
      </c>
      <c r="Q53" s="97" t="str">
        <f>IF(VLOOKUP($A53,'⚪设计'!$A$409:$N$432,9,FALSE)="","",VLOOKUP($A53,'⚪设计'!$A$409:$N$432,9,FALSE))</f>
        <v>蜘蛛2</v>
      </c>
      <c r="R53" s="97">
        <f t="shared" si="8"/>
        <v>15</v>
      </c>
      <c r="S53" s="97">
        <f>IF(VLOOKUP($A53,'⚪设计'!$A$409:$N$432,13,FALSE)="","",VLOOKUP($A53,'⚪设计'!$A$409:$N$432,13,FALSE))</f>
        <v>1.5</v>
      </c>
      <c r="T53" s="97">
        <f>IF(Q53="","",ROUND($D53*VLOOKUP($A53,'⚪设计'!$A$409:$N$432,4,FALSE)/(IF($G53="",0,VLOOKUP($G53,'⚪设计'!$B$85:$H$113,4,FALSE)*$H53)+IF($L53="",0,VLOOKUP($L53,'⚪设计'!$B$85:$H$113,4,FALSE)*$M53)+IF($Q53="",0,VLOOKUP($Q53,'⚪设计'!$B$85:$H$113,4,FALSE)*$R53)+IF($V53="",0,VLOOKUP($V53,'⚪设计'!$B$85:$H$113,4,FALSE)*$W53))*IF(Q53="",0,VLOOKUP(Q53,'⚪设计'!$B$85:$H$113,4,FALSE)),0))</f>
        <v>579</v>
      </c>
      <c r="U53" s="97">
        <f>IF(Q53="","",ROUND(战斗节奏!$B$14/(IF($G53="",0,VLOOKUP($G53,'⚪设计'!$B$85:$H$113,5,FALSE)*$H53)+IF($L53="",0,VLOOKUP($L53,'⚪设计'!$B$85:$H$113,5,FALSE)*$M53)+IF($Q53="",0,VLOOKUP($Q53,'⚪设计'!$B$85:$H$113,5,FALSE)*$R53)+IF($V53="",0,VLOOKUP($V53,'⚪设计'!$B$85:$H$113,5,FALSE)*$W53))*IF(Q53="",0,VLOOKUP(Q53,'⚪设计'!$B$85:$H$113,5,FALSE)),0))</f>
        <v>1</v>
      </c>
      <c r="V53" s="97" t="str">
        <f>IF(VLOOKUP($A53,'⚪设计'!$A$409:$N$432,10,FALSE)="","",VLOOKUP($A53,'⚪设计'!$A$409:$N$432,10,FALSE))</f>
        <v>肉2</v>
      </c>
      <c r="W53" s="97">
        <f t="shared" si="9"/>
        <v>6</v>
      </c>
      <c r="X53" s="97">
        <f>IF(VLOOKUP($A53,'⚪设计'!$A$409:$N$432,14,FALSE)="","",VLOOKUP($A53,'⚪设计'!$A$409:$N$432,14,FALSE))</f>
        <v>4</v>
      </c>
      <c r="Y53" s="97">
        <f>IF(V53="","",ROUND($D53*VLOOKUP($A53,'⚪设计'!$A$409:$N$432,4,FALSE)/(IF($G53="",0,VLOOKUP($G53,'⚪设计'!$B$85:$H$113,4,FALSE)*$H53)+IF($L53="",0,VLOOKUP($L53,'⚪设计'!$B$85:$H$113,4,FALSE)*$M53)+IF($Q53="",0,VLOOKUP($Q53,'⚪设计'!$B$85:$H$113,4,FALSE)*$R53)+IF($V53="",0,VLOOKUP($V53,'⚪设计'!$B$85:$H$113,4,FALSE)*$W53))*IF(V53="",0,VLOOKUP(V53,'⚪设计'!$B$85:$H$113,4,FALSE)),0))</f>
        <v>4629</v>
      </c>
      <c r="Z53" s="97">
        <f>IF(V53="","",ROUND(战斗节奏!$B$14/(IF($G53="",0,VLOOKUP($G53,'⚪设计'!$B$85:$H$113,5,FALSE)*$H53)+IF($L53="",0,VLOOKUP($L53,'⚪设计'!$B$85:$H$113,5,FALSE)*$M53)+IF($Q53="",0,VLOOKUP($Q53,'⚪设计'!$B$85:$H$113,5,FALSE)*$R53)+IF($V53="",0,VLOOKUP($V53,'⚪设计'!$B$85:$H$113,5,FALSE)*$W53))*IF(V53="",0,VLOOKUP(V53,'⚪设计'!$B$85:$H$113,5,FALSE)),0))</f>
        <v>36</v>
      </c>
    </row>
    <row r="54" spans="1:26" x14ac:dyDescent="0.2">
      <c r="A54" s="2" t="str">
        <f t="shared" si="5"/>
        <v>5_7</v>
      </c>
      <c r="B54" s="2">
        <v>5</v>
      </c>
      <c r="C54" s="2">
        <v>7</v>
      </c>
      <c r="D54" s="97">
        <f>VLOOKUP(C54,无限模式!$A$3:$B$22,2,FALSE)</f>
        <v>3780</v>
      </c>
      <c r="E54" s="98">
        <v>1</v>
      </c>
      <c r="F54" s="97">
        <f>VLOOKUP(A54,'⚪设计'!$A$409:$N$432,6,FALSE)</f>
        <v>25</v>
      </c>
      <c r="G54" s="97" t="str">
        <f>IF(VLOOKUP($A54,'⚪设计'!$A$409:$N$432,7,FALSE)="","",VLOOKUP($A54,'⚪设计'!$A$409:$N$432,7,FALSE))</f>
        <v>蛋2</v>
      </c>
      <c r="H54" s="97">
        <f t="shared" si="6"/>
        <v>25</v>
      </c>
      <c r="I54" s="97">
        <f>IF(VLOOKUP($A54,'⚪设计'!$A$409:$N$432,11,FALSE)="","",VLOOKUP($A54,'⚪设计'!$A$409:$N$432,11,FALSE))</f>
        <v>1</v>
      </c>
      <c r="J54" s="97">
        <f>IF(G54="","",ROUND($D54*VLOOKUP($A54,'⚪设计'!$A$409:$N$432,4,FALSE)/(IF($G54="",0,VLOOKUP($G54,'⚪设计'!$B$85:$H$113,4,FALSE)*$H54)+IF($L54="",0,VLOOKUP($L54,'⚪设计'!$B$85:$H$113,4,FALSE)*$M54)+IF($Q54="",0,VLOOKUP($Q54,'⚪设计'!$B$85:$H$113,4,FALSE)*$R54)+IF($V54="",0,VLOOKUP($V54,'⚪设计'!$B$85:$H$113,4,FALSE)*$W54))*IF(G54="",0,VLOOKUP(G54,'⚪设计'!$B$85:$H$113,4,FALSE)),0))</f>
        <v>1293</v>
      </c>
      <c r="K54" s="97">
        <f>IF(G54="","",ROUND(战斗节奏!$B$14/(IF($G54="",0,VLOOKUP($G54,'⚪设计'!$B$85:$H$113,5,FALSE)*$H54)+IF($L54="",0,VLOOKUP($L54,'⚪设计'!$B$85:$H$113,5,FALSE)*$M54)+IF($Q54="",0,VLOOKUP($Q54,'⚪设计'!$B$85:$H$113,5,FALSE)*$R54)+IF($V54="",0,VLOOKUP($V54,'⚪设计'!$B$85:$H$113,5,FALSE)*$W54))*IF(G54="",0,VLOOKUP(G54,'⚪设计'!$B$85:$H$113,5,FALSE)),0))</f>
        <v>2</v>
      </c>
      <c r="L54" s="97" t="str">
        <f>IF(VLOOKUP($A54,'⚪设计'!$A$409:$N$432,8,FALSE)="","",VLOOKUP($A54,'⚪设计'!$A$409:$N$432,8,FALSE))</f>
        <v>鬼2</v>
      </c>
      <c r="M54" s="97">
        <f t="shared" si="7"/>
        <v>25</v>
      </c>
      <c r="N54" s="97">
        <f>IF(VLOOKUP($A54,'⚪设计'!$A$409:$N$432,12,FALSE)="","",VLOOKUP($A54,'⚪设计'!$A$409:$N$432,12,FALSE))</f>
        <v>1</v>
      </c>
      <c r="O54" s="97">
        <f>IF(L54="","",ROUND($D54*VLOOKUP($A54,'⚪设计'!$A$409:$N$432,4,FALSE)/(IF($G54="",0,VLOOKUP($G54,'⚪设计'!$B$85:$H$113,4,FALSE)*$H54)+IF($L54="",0,VLOOKUP($L54,'⚪设计'!$B$85:$H$113,4,FALSE)*$M54)+IF($Q54="",0,VLOOKUP($Q54,'⚪设计'!$B$85:$H$113,4,FALSE)*$R54)+IF($V54="",0,VLOOKUP($V54,'⚪设计'!$B$85:$H$113,4,FALSE)*$W54))*IF(L54="",0,VLOOKUP(L54,'⚪设计'!$B$85:$H$113,4,FALSE)),0))</f>
        <v>646</v>
      </c>
      <c r="P54" s="97">
        <f>IF(L54="","",ROUND(战斗节奏!$B$14/(IF($G54="",0,VLOOKUP($G54,'⚪设计'!$B$85:$H$113,5,FALSE)*$H54)+IF($L54="",0,VLOOKUP($L54,'⚪设计'!$B$85:$H$113,5,FALSE)*$M54)+IF($Q54="",0,VLOOKUP($Q54,'⚪设计'!$B$85:$H$113,5,FALSE)*$R54)+IF($V54="",0,VLOOKUP($V54,'⚪设计'!$B$85:$H$113,5,FALSE)*$W54))*IF(L54="",0,VLOOKUP(L54,'⚪设计'!$B$85:$H$113,5,FALSE)),0))</f>
        <v>1</v>
      </c>
      <c r="Q54" s="97" t="str">
        <f>IF(VLOOKUP($A54,'⚪设计'!$A$409:$N$432,9,FALSE)="","",VLOOKUP($A54,'⚪设计'!$A$409:$N$432,9,FALSE))</f>
        <v>蝙蝠2</v>
      </c>
      <c r="R54" s="97">
        <f t="shared" si="8"/>
        <v>50</v>
      </c>
      <c r="S54" s="97">
        <f>IF(VLOOKUP($A54,'⚪设计'!$A$409:$N$432,13,FALSE)="","",VLOOKUP($A54,'⚪设计'!$A$409:$N$432,13,FALSE))</f>
        <v>0.5</v>
      </c>
      <c r="T54" s="97">
        <f>IF(Q54="","",ROUND($D54*VLOOKUP($A54,'⚪设计'!$A$409:$N$432,4,FALSE)/(IF($G54="",0,VLOOKUP($G54,'⚪设计'!$B$85:$H$113,4,FALSE)*$H54)+IF($L54="",0,VLOOKUP($L54,'⚪设计'!$B$85:$H$113,4,FALSE)*$M54)+IF($Q54="",0,VLOOKUP($Q54,'⚪设计'!$B$85:$H$113,4,FALSE)*$R54)+IF($V54="",0,VLOOKUP($V54,'⚪设计'!$B$85:$H$113,4,FALSE)*$W54))*IF(Q54="",0,VLOOKUP(Q54,'⚪设计'!$B$85:$H$113,4,FALSE)),0))</f>
        <v>323</v>
      </c>
      <c r="U54" s="97">
        <f>IF(Q54="","",ROUND(战斗节奏!$B$14/(IF($G54="",0,VLOOKUP($G54,'⚪设计'!$B$85:$H$113,5,FALSE)*$H54)+IF($L54="",0,VLOOKUP($L54,'⚪设计'!$B$85:$H$113,5,FALSE)*$M54)+IF($Q54="",0,VLOOKUP($Q54,'⚪设计'!$B$85:$H$113,5,FALSE)*$R54)+IF($V54="",0,VLOOKUP($V54,'⚪设计'!$B$85:$H$113,5,FALSE)*$W54))*IF(Q54="",0,VLOOKUP(Q54,'⚪设计'!$B$85:$H$113,5,FALSE)),0))</f>
        <v>1</v>
      </c>
      <c r="V54" s="97" t="str">
        <f>IF(VLOOKUP($A54,'⚪设计'!$A$409:$N$432,10,FALSE)="","",VLOOKUP($A54,'⚪设计'!$A$409:$N$432,10,FALSE))</f>
        <v>肉2</v>
      </c>
      <c r="W54" s="97">
        <f t="shared" si="9"/>
        <v>6</v>
      </c>
      <c r="X54" s="97">
        <f>IF(VLOOKUP($A54,'⚪设计'!$A$409:$N$432,14,FALSE)="","",VLOOKUP($A54,'⚪设计'!$A$409:$N$432,14,FALSE))</f>
        <v>4</v>
      </c>
      <c r="Y54" s="97">
        <f>IF(V54="","",ROUND($D54*VLOOKUP($A54,'⚪设计'!$A$409:$N$432,4,FALSE)/(IF($G54="",0,VLOOKUP($G54,'⚪设计'!$B$85:$H$113,4,FALSE)*$H54)+IF($L54="",0,VLOOKUP($L54,'⚪设计'!$B$85:$H$113,4,FALSE)*$M54)+IF($Q54="",0,VLOOKUP($Q54,'⚪设计'!$B$85:$H$113,4,FALSE)*$R54)+IF($V54="",0,VLOOKUP($V54,'⚪设计'!$B$85:$H$113,4,FALSE)*$W54))*IF(V54="",0,VLOOKUP(V54,'⚪设计'!$B$85:$H$113,4,FALSE)),0))</f>
        <v>5172</v>
      </c>
      <c r="Z54" s="97">
        <f>IF(V54="","",ROUND(战斗节奏!$B$14/(IF($G54="",0,VLOOKUP($G54,'⚪设计'!$B$85:$H$113,5,FALSE)*$H54)+IF($L54="",0,VLOOKUP($L54,'⚪设计'!$B$85:$H$113,5,FALSE)*$M54)+IF($Q54="",0,VLOOKUP($Q54,'⚪设计'!$B$85:$H$113,5,FALSE)*$R54)+IF($V54="",0,VLOOKUP($V54,'⚪设计'!$B$85:$H$113,5,FALSE)*$W54))*IF(V54="",0,VLOOKUP(V54,'⚪设计'!$B$85:$H$113,5,FALSE)),0))</f>
        <v>32</v>
      </c>
    </row>
    <row r="55" spans="1:26" x14ac:dyDescent="0.2">
      <c r="A55" s="2" t="str">
        <f t="shared" si="5"/>
        <v>5_8</v>
      </c>
      <c r="B55" s="2">
        <v>5</v>
      </c>
      <c r="C55" s="2">
        <v>8</v>
      </c>
      <c r="D55" s="97">
        <f>VLOOKUP(C55,无限模式!$A$3:$B$22,2,FALSE)</f>
        <v>4320</v>
      </c>
      <c r="E55" s="98">
        <v>1</v>
      </c>
      <c r="F55" s="97">
        <f>VLOOKUP(A55,'⚪设计'!$A$409:$N$432,6,FALSE)</f>
        <v>27.5</v>
      </c>
      <c r="G55" s="97" t="str">
        <f>IF(VLOOKUP($A55,'⚪设计'!$A$409:$N$432,7,FALSE)="","",VLOOKUP($A55,'⚪设计'!$A$409:$N$432,7,FALSE))</f>
        <v>蛋3</v>
      </c>
      <c r="H55" s="97">
        <f t="shared" si="6"/>
        <v>1</v>
      </c>
      <c r="I55" s="97">
        <f>IF(VLOOKUP($A55,'⚪设计'!$A$409:$N$432,11,FALSE)="","",VLOOKUP($A55,'⚪设计'!$A$409:$N$432,11,FALSE))</f>
        <v>0</v>
      </c>
      <c r="J55" s="97">
        <f>IF(G55="","",ROUND($D55*VLOOKUP($A55,'⚪设计'!$A$409:$N$432,4,FALSE)/(IF($G55="",0,VLOOKUP($G55,'⚪设计'!$B$85:$H$113,4,FALSE)*$H55)+IF($L55="",0,VLOOKUP($L55,'⚪设计'!$B$85:$H$113,4,FALSE)*$M55)+IF($Q55="",0,VLOOKUP($Q55,'⚪设计'!$B$85:$H$113,4,FALSE)*$R55)+IF($V55="",0,VLOOKUP($V55,'⚪设计'!$B$85:$H$113,4,FALSE)*$W55))*IF(G55="",0,VLOOKUP(G55,'⚪设计'!$B$85:$H$113,4,FALSE)),0))</f>
        <v>18383</v>
      </c>
      <c r="K55" s="97">
        <f>IF(G55="","",ROUND(战斗节奏!$B$14/(IF($G55="",0,VLOOKUP($G55,'⚪设计'!$B$85:$H$113,5,FALSE)*$H55)+IF($L55="",0,VLOOKUP($L55,'⚪设计'!$B$85:$H$113,5,FALSE)*$M55)+IF($Q55="",0,VLOOKUP($Q55,'⚪设计'!$B$85:$H$113,5,FALSE)*$R55)+IF($V55="",0,VLOOKUP($V55,'⚪设计'!$B$85:$H$113,5,FALSE)*$W55))*IF(G55="",0,VLOOKUP(G55,'⚪设计'!$B$85:$H$113,5,FALSE)),0))</f>
        <v>49</v>
      </c>
      <c r="L55" s="97" t="str">
        <f>IF(VLOOKUP($A55,'⚪设计'!$A$409:$N$432,8,FALSE)="","",VLOOKUP($A55,'⚪设计'!$A$409:$N$432,8,FALSE))</f>
        <v>鬼2</v>
      </c>
      <c r="M55" s="97">
        <f t="shared" si="7"/>
        <v>55</v>
      </c>
      <c r="N55" s="97">
        <f>IF(VLOOKUP($A55,'⚪设计'!$A$409:$N$432,12,FALSE)="","",VLOOKUP($A55,'⚪设计'!$A$409:$N$432,12,FALSE))</f>
        <v>0.5</v>
      </c>
      <c r="O55" s="97">
        <f>IF(L55="","",ROUND($D55*VLOOKUP($A55,'⚪设计'!$A$409:$N$432,4,FALSE)/(IF($G55="",0,VLOOKUP($G55,'⚪设计'!$B$85:$H$113,4,FALSE)*$H55)+IF($L55="",0,VLOOKUP($L55,'⚪设计'!$B$85:$H$113,4,FALSE)*$M55)+IF($Q55="",0,VLOOKUP($Q55,'⚪设计'!$B$85:$H$113,4,FALSE)*$R55)+IF($V55="",0,VLOOKUP($V55,'⚪设计'!$B$85:$H$113,4,FALSE)*$W55))*IF(L55="",0,VLOOKUP(L55,'⚪设计'!$B$85:$H$113,4,FALSE)),0))</f>
        <v>919</v>
      </c>
      <c r="P55" s="97">
        <f>IF(L55="","",ROUND(战斗节奏!$B$14/(IF($G55="",0,VLOOKUP($G55,'⚪设计'!$B$85:$H$113,5,FALSE)*$H55)+IF($L55="",0,VLOOKUP($L55,'⚪设计'!$B$85:$H$113,5,FALSE)*$M55)+IF($Q55="",0,VLOOKUP($Q55,'⚪设计'!$B$85:$H$113,5,FALSE)*$R55)+IF($V55="",0,VLOOKUP($V55,'⚪设计'!$B$85:$H$113,5,FALSE)*$W55))*IF(L55="",0,VLOOKUP(L55,'⚪设计'!$B$85:$H$113,5,FALSE)),0))</f>
        <v>1</v>
      </c>
      <c r="Q55" s="97" t="str">
        <f>IF(VLOOKUP($A55,'⚪设计'!$A$409:$N$432,9,FALSE)="","",VLOOKUP($A55,'⚪设计'!$A$409:$N$432,9,FALSE))</f>
        <v>种子2</v>
      </c>
      <c r="R55" s="97">
        <f t="shared" si="8"/>
        <v>14</v>
      </c>
      <c r="S55" s="97">
        <f>IF(VLOOKUP($A55,'⚪设计'!$A$409:$N$432,13,FALSE)="","",VLOOKUP($A55,'⚪设计'!$A$409:$N$432,13,FALSE))</f>
        <v>2</v>
      </c>
      <c r="T55" s="97">
        <f>IF(Q55="","",ROUND($D55*VLOOKUP($A55,'⚪设计'!$A$409:$N$432,4,FALSE)/(IF($G55="",0,VLOOKUP($G55,'⚪设计'!$B$85:$H$113,4,FALSE)*$H55)+IF($L55="",0,VLOOKUP($L55,'⚪设计'!$B$85:$H$113,4,FALSE)*$M55)+IF($Q55="",0,VLOOKUP($Q55,'⚪设计'!$B$85:$H$113,4,FALSE)*$R55)+IF($V55="",0,VLOOKUP($V55,'⚪设计'!$B$85:$H$113,4,FALSE)*$W55))*IF(Q55="",0,VLOOKUP(Q55,'⚪设计'!$B$85:$H$113,4,FALSE)),0))</f>
        <v>2757</v>
      </c>
      <c r="U55" s="97">
        <f>IF(Q55="","",ROUND(战斗节奏!$B$14/(IF($G55="",0,VLOOKUP($G55,'⚪设计'!$B$85:$H$113,5,FALSE)*$H55)+IF($L55="",0,VLOOKUP($L55,'⚪设计'!$B$85:$H$113,5,FALSE)*$M55)+IF($Q55="",0,VLOOKUP($Q55,'⚪设计'!$B$85:$H$113,5,FALSE)*$R55)+IF($V55="",0,VLOOKUP($V55,'⚪设计'!$B$85:$H$113,5,FALSE)*$W55))*IF(Q55="",0,VLOOKUP(Q55,'⚪设计'!$B$85:$H$113,5,FALSE)),0))</f>
        <v>2</v>
      </c>
      <c r="V55" s="97" t="str">
        <f>IF(VLOOKUP($A55,'⚪设计'!$A$409:$N$432,10,FALSE)="","",VLOOKUP($A55,'⚪设计'!$A$409:$N$432,10,FALSE))</f>
        <v>肉3</v>
      </c>
      <c r="W55" s="97">
        <f t="shared" si="9"/>
        <v>3</v>
      </c>
      <c r="X55" s="97">
        <f>IF(VLOOKUP($A55,'⚪设计'!$A$409:$N$432,14,FALSE)="","",VLOOKUP($A55,'⚪设计'!$A$409:$N$432,14,FALSE))</f>
        <v>8</v>
      </c>
      <c r="Y55" s="97">
        <f>IF(V55="","",ROUND($D55*VLOOKUP($A55,'⚪设计'!$A$409:$N$432,4,FALSE)/(IF($G55="",0,VLOOKUP($G55,'⚪设计'!$B$85:$H$113,4,FALSE)*$H55)+IF($L55="",0,VLOOKUP($L55,'⚪设计'!$B$85:$H$113,4,FALSE)*$M55)+IF($Q55="",0,VLOOKUP($Q55,'⚪设计'!$B$85:$H$113,4,FALSE)*$R55)+IF($V55="",0,VLOOKUP($V55,'⚪设计'!$B$85:$H$113,4,FALSE)*$W55))*IF(V55="",0,VLOOKUP(V55,'⚪设计'!$B$85:$H$113,4,FALSE)),0))</f>
        <v>7353</v>
      </c>
      <c r="Z55" s="97">
        <f>IF(V55="","",ROUND(战斗节奏!$B$14/(IF($G55="",0,VLOOKUP($G55,'⚪设计'!$B$85:$H$113,5,FALSE)*$H55)+IF($L55="",0,VLOOKUP($L55,'⚪设计'!$B$85:$H$113,5,FALSE)*$M55)+IF($Q55="",0,VLOOKUP($Q55,'⚪设计'!$B$85:$H$113,5,FALSE)*$R55)+IF($V55="",0,VLOOKUP($V55,'⚪设计'!$B$85:$H$113,5,FALSE)*$W55))*IF(V55="",0,VLOOKUP(V55,'⚪设计'!$B$85:$H$113,5,FALSE)),0))</f>
        <v>49</v>
      </c>
    </row>
    <row r="57" spans="1:26" s="161" customFormat="1" x14ac:dyDescent="0.2">
      <c r="A57" s="161" t="s">
        <v>1975</v>
      </c>
    </row>
    <row r="58" spans="1:26" x14ac:dyDescent="0.2">
      <c r="A58" s="158" t="s">
        <v>665</v>
      </c>
      <c r="B58" s="158" t="s">
        <v>62</v>
      </c>
      <c r="C58" s="158" t="s">
        <v>380</v>
      </c>
      <c r="D58" s="158" t="s">
        <v>428</v>
      </c>
      <c r="E58" s="160" t="s">
        <v>430</v>
      </c>
      <c r="F58" s="160" t="s">
        <v>396</v>
      </c>
      <c r="G58" s="158" t="s">
        <v>400</v>
      </c>
      <c r="H58" s="159"/>
      <c r="I58" s="159"/>
      <c r="J58" s="159"/>
      <c r="K58" s="159"/>
      <c r="L58" s="158" t="s">
        <v>401</v>
      </c>
      <c r="M58" s="159"/>
      <c r="N58" s="159"/>
      <c r="O58" s="159"/>
      <c r="P58" s="159"/>
      <c r="Q58" s="158" t="s">
        <v>402</v>
      </c>
      <c r="R58" s="159"/>
      <c r="S58" s="159"/>
      <c r="T58" s="159"/>
      <c r="U58" s="159"/>
      <c r="V58" s="158" t="s">
        <v>403</v>
      </c>
      <c r="W58" s="159"/>
      <c r="X58" s="159"/>
      <c r="Y58" s="159"/>
      <c r="Z58" s="160"/>
    </row>
    <row r="59" spans="1:26" x14ac:dyDescent="0.2">
      <c r="A59" s="85"/>
      <c r="B59" s="85"/>
      <c r="C59" s="85"/>
      <c r="D59" s="85"/>
      <c r="E59" s="86"/>
      <c r="F59" s="86"/>
      <c r="G59" s="85" t="s">
        <v>397</v>
      </c>
      <c r="H59" s="87" t="s">
        <v>283</v>
      </c>
      <c r="I59" s="87" t="s">
        <v>404</v>
      </c>
      <c r="J59" s="87" t="s">
        <v>398</v>
      </c>
      <c r="K59" s="87" t="s">
        <v>399</v>
      </c>
      <c r="L59" s="85" t="s">
        <v>397</v>
      </c>
      <c r="M59" s="87" t="s">
        <v>283</v>
      </c>
      <c r="N59" s="87" t="s">
        <v>404</v>
      </c>
      <c r="O59" s="87" t="s">
        <v>398</v>
      </c>
      <c r="P59" s="87" t="s">
        <v>399</v>
      </c>
      <c r="Q59" s="85" t="s">
        <v>397</v>
      </c>
      <c r="R59" s="87" t="s">
        <v>283</v>
      </c>
      <c r="S59" s="87" t="s">
        <v>404</v>
      </c>
      <c r="T59" s="87" t="s">
        <v>398</v>
      </c>
      <c r="U59" s="87" t="s">
        <v>399</v>
      </c>
      <c r="V59" s="85" t="s">
        <v>397</v>
      </c>
      <c r="W59" s="87" t="s">
        <v>283</v>
      </c>
      <c r="X59" s="87" t="s">
        <v>404</v>
      </c>
      <c r="Y59" s="87" t="s">
        <v>398</v>
      </c>
      <c r="Z59" s="86" t="s">
        <v>399</v>
      </c>
    </row>
    <row r="60" spans="1:26" x14ac:dyDescent="0.2">
      <c r="A60" s="2" t="str">
        <f>B60&amp;"_"&amp;C60</f>
        <v>1_1</v>
      </c>
      <c r="B60" s="2">
        <v>1</v>
      </c>
      <c r="C60" s="2">
        <v>1</v>
      </c>
      <c r="D60" s="97">
        <f>VLOOKUP(C60,无限模式!$A$3:$B$22,2,FALSE)</f>
        <v>540</v>
      </c>
      <c r="E60" s="98">
        <v>1</v>
      </c>
      <c r="F60" s="97">
        <f>VLOOKUP(A60,'⚪设计'!$A$436:$N$459,6,FALSE)</f>
        <v>10</v>
      </c>
      <c r="G60" s="97" t="str">
        <f>IF(VLOOKUP($A60,'⚪设计'!$A$436:$N$459,7,FALSE)="","",VLOOKUP($A60,'⚪设计'!$A$436:$N$459,7,FALSE))</f>
        <v>蜜蜂1</v>
      </c>
      <c r="H60" s="97">
        <f>IF(I60=0,1,IF(I60="","",ROUND($F60/I60,0)))</f>
        <v>5</v>
      </c>
      <c r="I60" s="97">
        <f>IF(VLOOKUP($A60,'⚪设计'!$A$436:$N$459,11,FALSE)="","",VLOOKUP($A60,'⚪设计'!$A$436:$N$459,11,FALSE))</f>
        <v>2</v>
      </c>
      <c r="J60" s="97">
        <f>IF(G60="","",ROUND($D60*VLOOKUP($A60,'⚪设计'!$A$436:$N$459,4,FALSE)/(IF($G60="",0,VLOOKUP($G60,'⚪设计'!$B$85:$H$113,4,FALSE)*$H60)+IF($L60="",0,VLOOKUP($L60,'⚪设计'!$B$85:$H$113,4,FALSE)*$M60)+IF($Q60="",0,VLOOKUP($Q60,'⚪设计'!$B$85:$H$113,4,FALSE)*$R60)+IF($V60="",0,VLOOKUP($V60,'⚪设计'!$B$85:$H$113,4,FALSE)*$W60))*IF(G60="",0,VLOOKUP(G60,'⚪设计'!$B$85:$H$113,4,FALSE)),0))</f>
        <v>47</v>
      </c>
      <c r="K60" s="97">
        <f>IF(G60="","",ROUND(战斗节奏!$B$14/(IF($G60="",0,VLOOKUP($G60,'⚪设计'!$B$85:$H$113,5,FALSE)*$H60)+IF($L60="",0,VLOOKUP($L60,'⚪设计'!$B$85:$H$113,5,FALSE)*$M60)+IF($Q60="",0,VLOOKUP($Q60,'⚪设计'!$B$85:$H$113,5,FALSE)*$R60)+IF($V60="",0,VLOOKUP($V60,'⚪设计'!$B$85:$H$113,5,FALSE)*$W60))*IF(G60="",0,VLOOKUP(G60,'⚪设计'!$B$85:$H$113,5,FALSE)),0))</f>
        <v>18</v>
      </c>
      <c r="L60" s="97" t="str">
        <f>IF(VLOOKUP($A60,'⚪设计'!$A$436:$N$459,8,FALSE)="","",VLOOKUP($A60,'⚪设计'!$A$436:$N$459,8,FALSE))</f>
        <v>雪人1</v>
      </c>
      <c r="M60" s="97">
        <f>IF(N60=0,1,IF(N60="","",ROUND($F60/N60,0)))</f>
        <v>3</v>
      </c>
      <c r="N60" s="97">
        <f>IF(VLOOKUP($A60,'⚪设计'!$A$436:$N$459,12,FALSE)="","",VLOOKUP($A60,'⚪设计'!$A$436:$N$459,12,FALSE))</f>
        <v>3</v>
      </c>
      <c r="O60" s="97">
        <f>IF(L60="","",ROUND($D60*VLOOKUP($A60,'⚪设计'!$A$436:$N$459,4,FALSE)/(IF($G60="",0,VLOOKUP($G60,'⚪设计'!$B$85:$H$113,4,FALSE)*$H60)+IF($L60="",0,VLOOKUP($L60,'⚪设计'!$B$85:$H$113,4,FALSE)*$M60)+IF($Q60="",0,VLOOKUP($Q60,'⚪设计'!$B$85:$H$113,4,FALSE)*$R60)+IF($V60="",0,VLOOKUP($V60,'⚪设计'!$B$85:$H$113,4,FALSE)*$W60))*IF(L60="",0,VLOOKUP(L60,'⚪设计'!$B$85:$H$113,4,FALSE)),0))</f>
        <v>947</v>
      </c>
      <c r="P60" s="97">
        <f>IF(L60="","",ROUND(战斗节奏!$B$14/(IF($G60="",0,VLOOKUP($G60,'⚪设计'!$B$85:$H$113,5,FALSE)*$H60)+IF($L60="",0,VLOOKUP($L60,'⚪设计'!$B$85:$H$113,5,FALSE)*$M60)+IF($Q60="",0,VLOOKUP($Q60,'⚪设计'!$B$85:$H$113,5,FALSE)*$R60)+IF($V60="",0,VLOOKUP($V60,'⚪设计'!$B$85:$H$113,5,FALSE)*$W60))*IF(L60="",0,VLOOKUP(L60,'⚪设计'!$B$85:$H$113,5,FALSE)),0))</f>
        <v>71</v>
      </c>
      <c r="Q60" s="97" t="str">
        <f>IF(VLOOKUP($A60,'⚪设计'!$A$436:$N$459,9,FALSE)="","",VLOOKUP($A60,'⚪设计'!$A$436:$N$459,9,FALSE))</f>
        <v/>
      </c>
      <c r="R60" s="97" t="str">
        <f>IF(S60=0,1,IF(S60="","",ROUND($F60/S60,0)))</f>
        <v/>
      </c>
      <c r="S60" s="97" t="str">
        <f>IF(VLOOKUP($A60,'⚪设计'!$A$436:$N$459,13,FALSE)="","",VLOOKUP($A60,'⚪设计'!$A$436:$N$459,13,FALSE))</f>
        <v/>
      </c>
      <c r="T60" s="97" t="str">
        <f>IF(Q60="","",ROUND($D60*VLOOKUP($A60,'⚪设计'!$A$436:$N$459,4,FALSE)/(IF($G60="",0,VLOOKUP($G60,'⚪设计'!$B$85:$H$113,4,FALSE)*$H60)+IF($L60="",0,VLOOKUP($L60,'⚪设计'!$B$85:$H$113,4,FALSE)*$M60)+IF($Q60="",0,VLOOKUP($Q60,'⚪设计'!$B$85:$H$113,4,FALSE)*$R60)+IF($V60="",0,VLOOKUP($V60,'⚪设计'!$B$85:$H$113,4,FALSE)*$W60))*IF(Q60="",0,VLOOKUP(Q60,'⚪设计'!$B$85:$H$113,4,FALSE)),0))</f>
        <v/>
      </c>
      <c r="U60" s="97" t="str">
        <f>IF(Q60="","",ROUND(战斗节奏!$B$14/(IF($G60="",0,VLOOKUP($G60,'⚪设计'!$B$85:$H$113,5,FALSE)*$H60)+IF($L60="",0,VLOOKUP($L60,'⚪设计'!$B$85:$H$113,5,FALSE)*$M60)+IF($Q60="",0,VLOOKUP($Q60,'⚪设计'!$B$85:$H$113,5,FALSE)*$R60)+IF($V60="",0,VLOOKUP($V60,'⚪设计'!$B$85:$H$113,5,FALSE)*$W60))*IF(Q60="",0,VLOOKUP(Q60,'⚪设计'!$B$85:$H$113,5,FALSE)),0))</f>
        <v/>
      </c>
      <c r="V60" s="97" t="str">
        <f>IF(VLOOKUP($A60,'⚪设计'!$A$436:$N$459,10,FALSE)="","",VLOOKUP($A60,'⚪设计'!$A$436:$N$459,10,FALSE))</f>
        <v/>
      </c>
      <c r="W60" s="97" t="str">
        <f>IF(X60=0,1,IF(X60="","",ROUND($F60/X60,0)))</f>
        <v/>
      </c>
      <c r="X60" s="97" t="str">
        <f>IF(VLOOKUP($A60,'⚪设计'!$A$436:$N$459,14,FALSE)="","",VLOOKUP($A60,'⚪设计'!$A$436:$N$459,14,FALSE))</f>
        <v/>
      </c>
      <c r="Y60" s="97" t="str">
        <f>IF(V60="","",ROUND($D60*VLOOKUP($A60,'⚪设计'!$A$436:$N$459,4,FALSE)/(IF($G60="",0,VLOOKUP($G60,'⚪设计'!$B$85:$H$113,4,FALSE)*$H60)+IF($L60="",0,VLOOKUP($L60,'⚪设计'!$B$85:$H$113,4,FALSE)*$M60)+IF($Q60="",0,VLOOKUP($Q60,'⚪设计'!$B$85:$H$113,4,FALSE)*$R60)+IF($V60="",0,VLOOKUP($V60,'⚪设计'!$B$85:$H$113,4,FALSE)*$W60))*IF(V60="",0,VLOOKUP(V60,'⚪设计'!$B$85:$H$113,4,FALSE)),0))</f>
        <v/>
      </c>
      <c r="Z60" s="97" t="str">
        <f>IF(V60="","",ROUND(战斗节奏!$B$14/(IF($G60="",0,VLOOKUP($G60,'⚪设计'!$B$85:$H$113,5,FALSE)*$H60)+IF($L60="",0,VLOOKUP($L60,'⚪设计'!$B$85:$H$113,5,FALSE)*$M60)+IF($Q60="",0,VLOOKUP($Q60,'⚪设计'!$B$85:$H$113,5,FALSE)*$R60)+IF($V60="",0,VLOOKUP($V60,'⚪设计'!$B$85:$H$113,5,FALSE)*$W60))*IF(V60="",0,VLOOKUP(V60,'⚪设计'!$B$85:$H$113,5,FALSE)),0))</f>
        <v/>
      </c>
    </row>
    <row r="61" spans="1:26" x14ac:dyDescent="0.2">
      <c r="A61" s="2" t="str">
        <f t="shared" ref="A61:A83" si="10">B61&amp;"_"&amp;C61</f>
        <v>1_2</v>
      </c>
      <c r="B61" s="2">
        <v>1</v>
      </c>
      <c r="C61" s="2">
        <v>2</v>
      </c>
      <c r="D61" s="97">
        <f>VLOOKUP(C61,无限模式!$A$3:$B$22,2,FALSE)</f>
        <v>1080</v>
      </c>
      <c r="E61" s="98">
        <v>1</v>
      </c>
      <c r="F61" s="97">
        <f>VLOOKUP(A61,'⚪设计'!$A$436:$N$459,6,FALSE)</f>
        <v>12.5</v>
      </c>
      <c r="G61" s="97" t="str">
        <f>IF(VLOOKUP($A61,'⚪设计'!$A$436:$N$459,7,FALSE)="","",VLOOKUP($A61,'⚪设计'!$A$436:$N$459,7,FALSE))</f>
        <v>蜜蜂1</v>
      </c>
      <c r="H61" s="97">
        <f t="shared" ref="H61:H83" si="11">IF(I61=0,1,IF(I61="","",ROUND($F61/I61,0)))</f>
        <v>25</v>
      </c>
      <c r="I61" s="97">
        <f>IF(VLOOKUP($A61,'⚪设计'!$A$436:$N$459,11,FALSE)="","",VLOOKUP($A61,'⚪设计'!$A$436:$N$459,11,FALSE))</f>
        <v>0.5</v>
      </c>
      <c r="J61" s="97">
        <f>IF(G61="","",ROUND($D61*VLOOKUP($A61,'⚪设计'!$A$436:$N$459,4,FALSE)/(IF($G61="",0,VLOOKUP($G61,'⚪设计'!$B$85:$H$113,4,FALSE)*$H61)+IF($L61="",0,VLOOKUP($L61,'⚪设计'!$B$85:$H$113,4,FALSE)*$M61)+IF($Q61="",0,VLOOKUP($Q61,'⚪设计'!$B$85:$H$113,4,FALSE)*$R61)+IF($V61="",0,VLOOKUP($V61,'⚪设计'!$B$85:$H$113,4,FALSE)*$W61))*IF(G61="",0,VLOOKUP(G61,'⚪设计'!$B$85:$H$113,4,FALSE)),0))</f>
        <v>79</v>
      </c>
      <c r="K61" s="97">
        <f>IF(G61="","",ROUND(战斗节奏!$B$14/(IF($G61="",0,VLOOKUP($G61,'⚪设计'!$B$85:$H$113,5,FALSE)*$H61)+IF($L61="",0,VLOOKUP($L61,'⚪设计'!$B$85:$H$113,5,FALSE)*$M61)+IF($Q61="",0,VLOOKUP($Q61,'⚪设计'!$B$85:$H$113,5,FALSE)*$R61)+IF($V61="",0,VLOOKUP($V61,'⚪设计'!$B$85:$H$113,5,FALSE)*$W61))*IF(G61="",0,VLOOKUP(G61,'⚪设计'!$B$85:$H$113,5,FALSE)),0))</f>
        <v>7</v>
      </c>
      <c r="L61" s="97" t="str">
        <f>IF(VLOOKUP($A61,'⚪设计'!$A$436:$N$459,8,FALSE)="","",VLOOKUP($A61,'⚪设计'!$A$436:$N$459,8,FALSE))</f>
        <v>雪人1</v>
      </c>
      <c r="M61" s="97">
        <f t="shared" ref="M61:M83" si="12">IF(N61=0,1,IF(N61="","",ROUND($F61/N61,0)))</f>
        <v>4</v>
      </c>
      <c r="N61" s="97">
        <f>IF(VLOOKUP($A61,'⚪设计'!$A$436:$N$459,12,FALSE)="","",VLOOKUP($A61,'⚪设计'!$A$436:$N$459,12,FALSE))</f>
        <v>3</v>
      </c>
      <c r="O61" s="97">
        <f>IF(L61="","",ROUND($D61*VLOOKUP($A61,'⚪设计'!$A$436:$N$459,4,FALSE)/(IF($G61="",0,VLOOKUP($G61,'⚪设计'!$B$85:$H$113,4,FALSE)*$H61)+IF($L61="",0,VLOOKUP($L61,'⚪设计'!$B$85:$H$113,4,FALSE)*$M61)+IF($Q61="",0,VLOOKUP($Q61,'⚪设计'!$B$85:$H$113,4,FALSE)*$R61)+IF($V61="",0,VLOOKUP($V61,'⚪设计'!$B$85:$H$113,4,FALSE)*$W61))*IF(L61="",0,VLOOKUP(L61,'⚪设计'!$B$85:$H$113,4,FALSE)),0))</f>
        <v>1574</v>
      </c>
      <c r="P61" s="97">
        <f>IF(L61="","",ROUND(战斗节奏!$B$14/(IF($G61="",0,VLOOKUP($G61,'⚪设计'!$B$85:$H$113,5,FALSE)*$H61)+IF($L61="",0,VLOOKUP($L61,'⚪设计'!$B$85:$H$113,5,FALSE)*$M61)+IF($Q61="",0,VLOOKUP($Q61,'⚪设计'!$B$85:$H$113,5,FALSE)*$R61)+IF($V61="",0,VLOOKUP($V61,'⚪设计'!$B$85:$H$113,5,FALSE)*$W61))*IF(L61="",0,VLOOKUP(L61,'⚪设计'!$B$85:$H$113,5,FALSE)),0))</f>
        <v>29</v>
      </c>
      <c r="Q61" s="97" t="str">
        <f>IF(VLOOKUP($A61,'⚪设计'!$A$436:$N$459,9,FALSE)="","",VLOOKUP($A61,'⚪设计'!$A$436:$N$459,9,FALSE))</f>
        <v/>
      </c>
      <c r="R61" s="97" t="str">
        <f t="shared" ref="R61:R83" si="13">IF(S61=0,1,IF(S61="","",ROUND($F61/S61,0)))</f>
        <v/>
      </c>
      <c r="S61" s="97" t="str">
        <f>IF(VLOOKUP($A61,'⚪设计'!$A$436:$N$459,13,FALSE)="","",VLOOKUP($A61,'⚪设计'!$A$436:$N$459,13,FALSE))</f>
        <v/>
      </c>
      <c r="T61" s="97" t="str">
        <f>IF(Q61="","",ROUND($D61*VLOOKUP($A61,'⚪设计'!$A$436:$N$459,4,FALSE)/(IF($G61="",0,VLOOKUP($G61,'⚪设计'!$B$85:$H$113,4,FALSE)*$H61)+IF($L61="",0,VLOOKUP($L61,'⚪设计'!$B$85:$H$113,4,FALSE)*$M61)+IF($Q61="",0,VLOOKUP($Q61,'⚪设计'!$B$85:$H$113,4,FALSE)*$R61)+IF($V61="",0,VLOOKUP($V61,'⚪设计'!$B$85:$H$113,4,FALSE)*$W61))*IF(Q61="",0,VLOOKUP(Q61,'⚪设计'!$B$85:$H$113,4,FALSE)),0))</f>
        <v/>
      </c>
      <c r="U61" s="97" t="str">
        <f>IF(Q61="","",ROUND(战斗节奏!$B$14/(IF($G61="",0,VLOOKUP($G61,'⚪设计'!$B$85:$H$113,5,FALSE)*$H61)+IF($L61="",0,VLOOKUP($L61,'⚪设计'!$B$85:$H$113,5,FALSE)*$M61)+IF($Q61="",0,VLOOKUP($Q61,'⚪设计'!$B$85:$H$113,5,FALSE)*$R61)+IF($V61="",0,VLOOKUP($V61,'⚪设计'!$B$85:$H$113,5,FALSE)*$W61))*IF(Q61="",0,VLOOKUP(Q61,'⚪设计'!$B$85:$H$113,5,FALSE)),0))</f>
        <v/>
      </c>
      <c r="V61" s="97" t="str">
        <f>IF(VLOOKUP($A61,'⚪设计'!$A$436:$N$459,10,FALSE)="","",VLOOKUP($A61,'⚪设计'!$A$436:$N$459,10,FALSE))</f>
        <v/>
      </c>
      <c r="W61" s="97" t="str">
        <f t="shared" ref="W61:W83" si="14">IF(X61=0,1,IF(X61="","",ROUND($F61/X61,0)))</f>
        <v/>
      </c>
      <c r="X61" s="97" t="str">
        <f>IF(VLOOKUP($A61,'⚪设计'!$A$436:$N$459,14,FALSE)="","",VLOOKUP($A61,'⚪设计'!$A$436:$N$459,14,FALSE))</f>
        <v/>
      </c>
      <c r="Y61" s="97" t="str">
        <f>IF(V61="","",ROUND($D61*VLOOKUP($A61,'⚪设计'!$A$436:$N$459,4,FALSE)/(IF($G61="",0,VLOOKUP($G61,'⚪设计'!$B$85:$H$113,4,FALSE)*$H61)+IF($L61="",0,VLOOKUP($L61,'⚪设计'!$B$85:$H$113,4,FALSE)*$M61)+IF($Q61="",0,VLOOKUP($Q61,'⚪设计'!$B$85:$H$113,4,FALSE)*$R61)+IF($V61="",0,VLOOKUP($V61,'⚪设计'!$B$85:$H$113,4,FALSE)*$W61))*IF(V61="",0,VLOOKUP(V61,'⚪设计'!$B$85:$H$113,4,FALSE)),0))</f>
        <v/>
      </c>
      <c r="Z61" s="97" t="str">
        <f>IF(V61="","",ROUND(战斗节奏!$B$14/(IF($G61="",0,VLOOKUP($G61,'⚪设计'!$B$85:$H$113,5,FALSE)*$H61)+IF($L61="",0,VLOOKUP($L61,'⚪设计'!$B$85:$H$113,5,FALSE)*$M61)+IF($Q61="",0,VLOOKUP($Q61,'⚪设计'!$B$85:$H$113,5,FALSE)*$R61)+IF($V61="",0,VLOOKUP($V61,'⚪设计'!$B$85:$H$113,5,FALSE)*$W61))*IF(V61="",0,VLOOKUP(V61,'⚪设计'!$B$85:$H$113,5,FALSE)),0))</f>
        <v/>
      </c>
    </row>
    <row r="62" spans="1:26" x14ac:dyDescent="0.2">
      <c r="A62" s="2" t="str">
        <f t="shared" si="10"/>
        <v>1_3</v>
      </c>
      <c r="B62" s="2">
        <v>1</v>
      </c>
      <c r="C62" s="2">
        <v>3</v>
      </c>
      <c r="D62" s="97">
        <f>VLOOKUP(C62,无限模式!$A$3:$B$22,2,FALSE)</f>
        <v>1620</v>
      </c>
      <c r="E62" s="98">
        <v>1</v>
      </c>
      <c r="F62" s="97">
        <f>VLOOKUP(A62,'⚪设计'!$A$436:$N$459,6,FALSE)</f>
        <v>15</v>
      </c>
      <c r="G62" s="97" t="str">
        <f>IF(VLOOKUP($A62,'⚪设计'!$A$436:$N$459,7,FALSE)="","",VLOOKUP($A62,'⚪设计'!$A$436:$N$459,7,FALSE))</f>
        <v>蜜蜂1</v>
      </c>
      <c r="H62" s="97">
        <f t="shared" si="11"/>
        <v>30</v>
      </c>
      <c r="I62" s="97">
        <f>IF(VLOOKUP($A62,'⚪设计'!$A$436:$N$459,11,FALSE)="","",VLOOKUP($A62,'⚪设计'!$A$436:$N$459,11,FALSE))</f>
        <v>0.5</v>
      </c>
      <c r="J62" s="97">
        <f>IF(G62="","",ROUND($D62*VLOOKUP($A62,'⚪设计'!$A$436:$N$459,4,FALSE)/(IF($G62="",0,VLOOKUP($G62,'⚪设计'!$B$85:$H$113,4,FALSE)*$H62)+IF($L62="",0,VLOOKUP($L62,'⚪设计'!$B$85:$H$113,4,FALSE)*$M62)+IF($Q62="",0,VLOOKUP($Q62,'⚪设计'!$B$85:$H$113,4,FALSE)*$R62)+IF($V62="",0,VLOOKUP($V62,'⚪设计'!$B$85:$H$113,4,FALSE)*$W62))*IF(G62="",0,VLOOKUP(G62,'⚪设计'!$B$85:$H$113,4,FALSE)),0))</f>
        <v>90</v>
      </c>
      <c r="K62" s="97">
        <f>IF(G62="","",ROUND(战斗节奏!$B$14/(IF($G62="",0,VLOOKUP($G62,'⚪设计'!$B$85:$H$113,5,FALSE)*$H62)+IF($L62="",0,VLOOKUP($L62,'⚪设计'!$B$85:$H$113,5,FALSE)*$M62)+IF($Q62="",0,VLOOKUP($Q62,'⚪设计'!$B$85:$H$113,5,FALSE)*$R62)+IF($V62="",0,VLOOKUP($V62,'⚪设计'!$B$85:$H$113,5,FALSE)*$W62))*IF(G62="",0,VLOOKUP(G62,'⚪设计'!$B$85:$H$113,5,FALSE)),0))</f>
        <v>3</v>
      </c>
      <c r="L62" s="97" t="str">
        <f>IF(VLOOKUP($A62,'⚪设计'!$A$436:$N$459,8,FALSE)="","",VLOOKUP($A62,'⚪设计'!$A$436:$N$459,8,FALSE))</f>
        <v>蜜蜂2</v>
      </c>
      <c r="M62" s="97">
        <f t="shared" si="12"/>
        <v>5</v>
      </c>
      <c r="N62" s="97">
        <f>IF(VLOOKUP($A62,'⚪设计'!$A$436:$N$459,12,FALSE)="","",VLOOKUP($A62,'⚪设计'!$A$436:$N$459,12,FALSE))</f>
        <v>3</v>
      </c>
      <c r="O62" s="97">
        <f>IF(L62="","",ROUND($D62*VLOOKUP($A62,'⚪设计'!$A$436:$N$459,4,FALSE)/(IF($G62="",0,VLOOKUP($G62,'⚪设计'!$B$85:$H$113,4,FALSE)*$H62)+IF($L62="",0,VLOOKUP($L62,'⚪设计'!$B$85:$H$113,4,FALSE)*$M62)+IF($Q62="",0,VLOOKUP($Q62,'⚪设计'!$B$85:$H$113,4,FALSE)*$R62)+IF($V62="",0,VLOOKUP($V62,'⚪设计'!$B$85:$H$113,4,FALSE)*$W62))*IF(L62="",0,VLOOKUP(L62,'⚪设计'!$B$85:$H$113,4,FALSE)),0))</f>
        <v>360</v>
      </c>
      <c r="P62" s="97">
        <f>IF(L62="","",ROUND(战斗节奏!$B$14/(IF($G62="",0,VLOOKUP($G62,'⚪设计'!$B$85:$H$113,5,FALSE)*$H62)+IF($L62="",0,VLOOKUP($L62,'⚪设计'!$B$85:$H$113,5,FALSE)*$M62)+IF($Q62="",0,VLOOKUP($Q62,'⚪设计'!$B$85:$H$113,5,FALSE)*$R62)+IF($V62="",0,VLOOKUP($V62,'⚪设计'!$B$85:$H$113,5,FALSE)*$W62))*IF(L62="",0,VLOOKUP(L62,'⚪设计'!$B$85:$H$113,5,FALSE)),0))</f>
        <v>13</v>
      </c>
      <c r="Q62" s="97" t="str">
        <f>IF(VLOOKUP($A62,'⚪设计'!$A$436:$N$459,9,FALSE)="","",VLOOKUP($A62,'⚪设计'!$A$436:$N$459,9,FALSE))</f>
        <v>雪人1</v>
      </c>
      <c r="R62" s="97">
        <f t="shared" si="13"/>
        <v>10</v>
      </c>
      <c r="S62" s="97">
        <f>IF(VLOOKUP($A62,'⚪设计'!$A$436:$N$459,13,FALSE)="","",VLOOKUP($A62,'⚪设计'!$A$436:$N$459,13,FALSE))</f>
        <v>1.5</v>
      </c>
      <c r="T62" s="97">
        <f>IF(Q62="","",ROUND($D62*VLOOKUP($A62,'⚪设计'!$A$436:$N$459,4,FALSE)/(IF($G62="",0,VLOOKUP($G62,'⚪设计'!$B$85:$H$113,4,FALSE)*$H62)+IF($L62="",0,VLOOKUP($L62,'⚪设计'!$B$85:$H$113,4,FALSE)*$M62)+IF($Q62="",0,VLOOKUP($Q62,'⚪设计'!$B$85:$H$113,4,FALSE)*$R62)+IF($V62="",0,VLOOKUP($V62,'⚪设计'!$B$85:$H$113,4,FALSE)*$W62))*IF(Q62="",0,VLOOKUP(Q62,'⚪设计'!$B$85:$H$113,4,FALSE)),0))</f>
        <v>1801</v>
      </c>
      <c r="U62" s="97">
        <f>IF(Q62="","",ROUND(战斗节奏!$B$14/(IF($G62="",0,VLOOKUP($G62,'⚪设计'!$B$85:$H$113,5,FALSE)*$H62)+IF($L62="",0,VLOOKUP($L62,'⚪设计'!$B$85:$H$113,5,FALSE)*$M62)+IF($Q62="",0,VLOOKUP($Q62,'⚪设计'!$B$85:$H$113,5,FALSE)*$R62)+IF($V62="",0,VLOOKUP($V62,'⚪设计'!$B$85:$H$113,5,FALSE)*$W62))*IF(Q62="",0,VLOOKUP(Q62,'⚪设计'!$B$85:$H$113,5,FALSE)),0))</f>
        <v>13</v>
      </c>
      <c r="V62" s="97" t="str">
        <f>IF(VLOOKUP($A62,'⚪设计'!$A$436:$N$459,10,FALSE)="","",VLOOKUP($A62,'⚪设计'!$A$436:$N$459,10,FALSE))</f>
        <v/>
      </c>
      <c r="W62" s="97" t="str">
        <f t="shared" si="14"/>
        <v/>
      </c>
      <c r="X62" s="97" t="str">
        <f>IF(VLOOKUP($A62,'⚪设计'!$A$436:$N$459,14,FALSE)="","",VLOOKUP($A62,'⚪设计'!$A$436:$N$459,14,FALSE))</f>
        <v/>
      </c>
      <c r="Y62" s="97" t="str">
        <f>IF(V62="","",ROUND($D62*VLOOKUP($A62,'⚪设计'!$A$436:$N$459,4,FALSE)/(IF($G62="",0,VLOOKUP($G62,'⚪设计'!$B$85:$H$113,4,FALSE)*$H62)+IF($L62="",0,VLOOKUP($L62,'⚪设计'!$B$85:$H$113,4,FALSE)*$M62)+IF($Q62="",0,VLOOKUP($Q62,'⚪设计'!$B$85:$H$113,4,FALSE)*$R62)+IF($V62="",0,VLOOKUP($V62,'⚪设计'!$B$85:$H$113,4,FALSE)*$W62))*IF(V62="",0,VLOOKUP(V62,'⚪设计'!$B$85:$H$113,4,FALSE)),0))</f>
        <v/>
      </c>
      <c r="Z62" s="97" t="str">
        <f>IF(V62="","",ROUND(战斗节奏!$B$14/(IF($G62="",0,VLOOKUP($G62,'⚪设计'!$B$85:$H$113,5,FALSE)*$H62)+IF($L62="",0,VLOOKUP($L62,'⚪设计'!$B$85:$H$113,5,FALSE)*$M62)+IF($Q62="",0,VLOOKUP($Q62,'⚪设计'!$B$85:$H$113,5,FALSE)*$R62)+IF($V62="",0,VLOOKUP($V62,'⚪设计'!$B$85:$H$113,5,FALSE)*$W62))*IF(V62="",0,VLOOKUP(V62,'⚪设计'!$B$85:$H$113,5,FALSE)),0))</f>
        <v/>
      </c>
    </row>
    <row r="63" spans="1:26" x14ac:dyDescent="0.2">
      <c r="A63" s="2" t="str">
        <f t="shared" si="10"/>
        <v>2_1</v>
      </c>
      <c r="B63" s="2">
        <v>2</v>
      </c>
      <c r="C63" s="2">
        <v>1</v>
      </c>
      <c r="D63" s="97">
        <f>VLOOKUP(C63,无限模式!$A$3:$B$22,2,FALSE)</f>
        <v>540</v>
      </c>
      <c r="E63" s="98">
        <v>1</v>
      </c>
      <c r="F63" s="97">
        <f>VLOOKUP(A63,'⚪设计'!$A$436:$N$459,6,FALSE)</f>
        <v>10</v>
      </c>
      <c r="G63" s="97" t="str">
        <f>IF(VLOOKUP($A63,'⚪设计'!$A$436:$N$459,7,FALSE)="","",VLOOKUP($A63,'⚪设计'!$A$436:$N$459,7,FALSE))</f>
        <v>蜘蛛1</v>
      </c>
      <c r="H63" s="97">
        <f t="shared" si="11"/>
        <v>5</v>
      </c>
      <c r="I63" s="97">
        <f>IF(VLOOKUP($A63,'⚪设计'!$A$436:$N$459,11,FALSE)="","",VLOOKUP($A63,'⚪设计'!$A$436:$N$459,11,FALSE))</f>
        <v>2</v>
      </c>
      <c r="J63" s="97">
        <f>IF(G63="","",ROUND($D63*VLOOKUP($A63,'⚪设计'!$A$436:$N$459,4,FALSE)/(IF($G63="",0,VLOOKUP($G63,'⚪设计'!$B$85:$H$113,4,FALSE)*$H63)+IF($L63="",0,VLOOKUP($L63,'⚪设计'!$B$85:$H$113,4,FALSE)*$M63)+IF($Q63="",0,VLOOKUP($Q63,'⚪设计'!$B$85:$H$113,4,FALSE)*$R63)+IF($V63="",0,VLOOKUP($V63,'⚪设计'!$B$85:$H$113,4,FALSE)*$W63))*IF(G63="",0,VLOOKUP(G63,'⚪设计'!$B$85:$H$113,4,FALSE)),0))</f>
        <v>90</v>
      </c>
      <c r="K63" s="97">
        <f>IF(G63="","",ROUND(战斗节奏!$B$14/(IF($G63="",0,VLOOKUP($G63,'⚪设计'!$B$85:$H$113,5,FALSE)*$H63)+IF($L63="",0,VLOOKUP($L63,'⚪设计'!$B$85:$H$113,5,FALSE)*$M63)+IF($Q63="",0,VLOOKUP($Q63,'⚪设计'!$B$85:$H$113,5,FALSE)*$R63)+IF($V63="",0,VLOOKUP($V63,'⚪设计'!$B$85:$H$113,5,FALSE)*$W63))*IF(G63="",0,VLOOKUP(G63,'⚪设计'!$B$85:$H$113,5,FALSE)),0))</f>
        <v>20</v>
      </c>
      <c r="L63" s="97" t="str">
        <f>IF(VLOOKUP($A63,'⚪设计'!$A$436:$N$459,8,FALSE)="","",VLOOKUP($A63,'⚪设计'!$A$436:$N$459,8,FALSE))</f>
        <v>雪人1</v>
      </c>
      <c r="M63" s="97">
        <f t="shared" si="12"/>
        <v>5</v>
      </c>
      <c r="N63" s="97">
        <f>IF(VLOOKUP($A63,'⚪设计'!$A$436:$N$459,12,FALSE)="","",VLOOKUP($A63,'⚪设计'!$A$436:$N$459,12,FALSE))</f>
        <v>2</v>
      </c>
      <c r="O63" s="97">
        <f>IF(L63="","",ROUND($D63*VLOOKUP($A63,'⚪设计'!$A$436:$N$459,4,FALSE)/(IF($G63="",0,VLOOKUP($G63,'⚪设计'!$B$85:$H$113,4,FALSE)*$H63)+IF($L63="",0,VLOOKUP($L63,'⚪设计'!$B$85:$H$113,4,FALSE)*$M63)+IF($Q63="",0,VLOOKUP($Q63,'⚪设计'!$B$85:$H$113,4,FALSE)*$R63)+IF($V63="",0,VLOOKUP($V63,'⚪设计'!$B$85:$H$113,4,FALSE)*$W63))*IF(L63="",0,VLOOKUP(L63,'⚪设计'!$B$85:$H$113,4,FALSE)),0))</f>
        <v>898</v>
      </c>
      <c r="P63" s="97">
        <f>IF(L63="","",ROUND(战斗节奏!$B$14/(IF($G63="",0,VLOOKUP($G63,'⚪设计'!$B$85:$H$113,5,FALSE)*$H63)+IF($L63="",0,VLOOKUP($L63,'⚪设计'!$B$85:$H$113,5,FALSE)*$M63)+IF($Q63="",0,VLOOKUP($Q63,'⚪设计'!$B$85:$H$113,5,FALSE)*$R63)+IF($V63="",0,VLOOKUP($V63,'⚪设计'!$B$85:$H$113,5,FALSE)*$W63))*IF(L63="",0,VLOOKUP(L63,'⚪设计'!$B$85:$H$113,5,FALSE)),0))</f>
        <v>40</v>
      </c>
      <c r="Q63" s="97" t="str">
        <f>IF(VLOOKUP($A63,'⚪设计'!$A$436:$N$459,9,FALSE)="","",VLOOKUP($A63,'⚪设计'!$A$436:$N$459,9,FALSE))</f>
        <v/>
      </c>
      <c r="R63" s="97" t="str">
        <f t="shared" si="13"/>
        <v/>
      </c>
      <c r="S63" s="97" t="str">
        <f>IF(VLOOKUP($A63,'⚪设计'!$A$436:$N$459,13,FALSE)="","",VLOOKUP($A63,'⚪设计'!$A$436:$N$459,13,FALSE))</f>
        <v/>
      </c>
      <c r="T63" s="97" t="str">
        <f>IF(Q63="","",ROUND($D63*VLOOKUP($A63,'⚪设计'!$A$436:$N$459,4,FALSE)/(IF($G63="",0,VLOOKUP($G63,'⚪设计'!$B$85:$H$113,4,FALSE)*$H63)+IF($L63="",0,VLOOKUP($L63,'⚪设计'!$B$85:$H$113,4,FALSE)*$M63)+IF($Q63="",0,VLOOKUP($Q63,'⚪设计'!$B$85:$H$113,4,FALSE)*$R63)+IF($V63="",0,VLOOKUP($V63,'⚪设计'!$B$85:$H$113,4,FALSE)*$W63))*IF(Q63="",0,VLOOKUP(Q63,'⚪设计'!$B$85:$H$113,4,FALSE)),0))</f>
        <v/>
      </c>
      <c r="U63" s="97" t="str">
        <f>IF(Q63="","",ROUND(战斗节奏!$B$14/(IF($G63="",0,VLOOKUP($G63,'⚪设计'!$B$85:$H$113,5,FALSE)*$H63)+IF($L63="",0,VLOOKUP($L63,'⚪设计'!$B$85:$H$113,5,FALSE)*$M63)+IF($Q63="",0,VLOOKUP($Q63,'⚪设计'!$B$85:$H$113,5,FALSE)*$R63)+IF($V63="",0,VLOOKUP($V63,'⚪设计'!$B$85:$H$113,5,FALSE)*$W63))*IF(Q63="",0,VLOOKUP(Q63,'⚪设计'!$B$85:$H$113,5,FALSE)),0))</f>
        <v/>
      </c>
      <c r="V63" s="97" t="str">
        <f>IF(VLOOKUP($A63,'⚪设计'!$A$436:$N$459,10,FALSE)="","",VLOOKUP($A63,'⚪设计'!$A$436:$N$459,10,FALSE))</f>
        <v/>
      </c>
      <c r="W63" s="97" t="str">
        <f t="shared" si="14"/>
        <v/>
      </c>
      <c r="X63" s="97" t="str">
        <f>IF(VLOOKUP($A63,'⚪设计'!$A$436:$N$459,14,FALSE)="","",VLOOKUP($A63,'⚪设计'!$A$436:$N$459,14,FALSE))</f>
        <v/>
      </c>
      <c r="Y63" s="97" t="str">
        <f>IF(V63="","",ROUND($D63*VLOOKUP($A63,'⚪设计'!$A$436:$N$459,4,FALSE)/(IF($G63="",0,VLOOKUP($G63,'⚪设计'!$B$85:$H$113,4,FALSE)*$H63)+IF($L63="",0,VLOOKUP($L63,'⚪设计'!$B$85:$H$113,4,FALSE)*$M63)+IF($Q63="",0,VLOOKUP($Q63,'⚪设计'!$B$85:$H$113,4,FALSE)*$R63)+IF($V63="",0,VLOOKUP($V63,'⚪设计'!$B$85:$H$113,4,FALSE)*$W63))*IF(V63="",0,VLOOKUP(V63,'⚪设计'!$B$85:$H$113,4,FALSE)),0))</f>
        <v/>
      </c>
      <c r="Z63" s="97" t="str">
        <f>IF(V63="","",ROUND(战斗节奏!$B$14/(IF($G63="",0,VLOOKUP($G63,'⚪设计'!$B$85:$H$113,5,FALSE)*$H63)+IF($L63="",0,VLOOKUP($L63,'⚪设计'!$B$85:$H$113,5,FALSE)*$M63)+IF($Q63="",0,VLOOKUP($Q63,'⚪设计'!$B$85:$H$113,5,FALSE)*$R63)+IF($V63="",0,VLOOKUP($V63,'⚪设计'!$B$85:$H$113,5,FALSE)*$W63))*IF(V63="",0,VLOOKUP(V63,'⚪设计'!$B$85:$H$113,5,FALSE)),0))</f>
        <v/>
      </c>
    </row>
    <row r="64" spans="1:26" x14ac:dyDescent="0.2">
      <c r="A64" s="2" t="str">
        <f t="shared" si="10"/>
        <v>2_2</v>
      </c>
      <c r="B64" s="2">
        <v>2</v>
      </c>
      <c r="C64" s="2">
        <v>2</v>
      </c>
      <c r="D64" s="97">
        <f>VLOOKUP(C64,无限模式!$A$3:$B$22,2,FALSE)</f>
        <v>1080</v>
      </c>
      <c r="E64" s="98">
        <v>1</v>
      </c>
      <c r="F64" s="97">
        <f>VLOOKUP(A64,'⚪设计'!$A$436:$N$459,6,FALSE)</f>
        <v>12.5</v>
      </c>
      <c r="G64" s="97" t="str">
        <f>IF(VLOOKUP($A64,'⚪设计'!$A$436:$N$459,7,FALSE)="","",VLOOKUP($A64,'⚪设计'!$A$436:$N$459,7,FALSE))</f>
        <v>蜘蛛1</v>
      </c>
      <c r="H64" s="97">
        <f t="shared" si="11"/>
        <v>6</v>
      </c>
      <c r="I64" s="97">
        <f>IF(VLOOKUP($A64,'⚪设计'!$A$436:$N$459,11,FALSE)="","",VLOOKUP($A64,'⚪设计'!$A$436:$N$459,11,FALSE))</f>
        <v>2</v>
      </c>
      <c r="J64" s="97">
        <f>IF(G64="","",ROUND($D64*VLOOKUP($A64,'⚪设计'!$A$436:$N$459,4,FALSE)/(IF($G64="",0,VLOOKUP($G64,'⚪设计'!$B$85:$H$113,4,FALSE)*$H64)+IF($L64="",0,VLOOKUP($L64,'⚪设计'!$B$85:$H$113,4,FALSE)*$M64)+IF($Q64="",0,VLOOKUP($Q64,'⚪设计'!$B$85:$H$113,4,FALSE)*$R64)+IF($V64="",0,VLOOKUP($V64,'⚪设计'!$B$85:$H$113,4,FALSE)*$W64))*IF(G64="",0,VLOOKUP(G64,'⚪设计'!$B$85:$H$113,4,FALSE)),0))</f>
        <v>144</v>
      </c>
      <c r="K64" s="97">
        <f>IF(G64="","",ROUND(战斗节奏!$B$14/(IF($G64="",0,VLOOKUP($G64,'⚪设计'!$B$85:$H$113,5,FALSE)*$H64)+IF($L64="",0,VLOOKUP($L64,'⚪设计'!$B$85:$H$113,5,FALSE)*$M64)+IF($Q64="",0,VLOOKUP($Q64,'⚪设计'!$B$85:$H$113,5,FALSE)*$R64)+IF($V64="",0,VLOOKUP($V64,'⚪设计'!$B$85:$H$113,5,FALSE)*$W64))*IF(G64="",0,VLOOKUP(G64,'⚪设计'!$B$85:$H$113,5,FALSE)),0))</f>
        <v>10</v>
      </c>
      <c r="L64" s="97" t="str">
        <f>IF(VLOOKUP($A64,'⚪设计'!$A$436:$N$459,8,FALSE)="","",VLOOKUP($A64,'⚪设计'!$A$436:$N$459,8,FALSE))</f>
        <v>蜜蜂2</v>
      </c>
      <c r="M64" s="97">
        <f t="shared" si="12"/>
        <v>6</v>
      </c>
      <c r="N64" s="97">
        <f>IF(VLOOKUP($A64,'⚪设计'!$A$436:$N$459,12,FALSE)="","",VLOOKUP($A64,'⚪设计'!$A$436:$N$459,12,FALSE))</f>
        <v>2</v>
      </c>
      <c r="O64" s="97">
        <f>IF(L64="","",ROUND($D64*VLOOKUP($A64,'⚪设计'!$A$436:$N$459,4,FALSE)/(IF($G64="",0,VLOOKUP($G64,'⚪设计'!$B$85:$H$113,4,FALSE)*$H64)+IF($L64="",0,VLOOKUP($L64,'⚪设计'!$B$85:$H$113,4,FALSE)*$M64)+IF($Q64="",0,VLOOKUP($Q64,'⚪设计'!$B$85:$H$113,4,FALSE)*$R64)+IF($V64="",0,VLOOKUP($V64,'⚪设计'!$B$85:$H$113,4,FALSE)*$W64))*IF(L64="",0,VLOOKUP(L64,'⚪设计'!$B$85:$H$113,4,FALSE)),0))</f>
        <v>288</v>
      </c>
      <c r="P64" s="97">
        <f>IF(L64="","",ROUND(战斗节奏!$B$14/(IF($G64="",0,VLOOKUP($G64,'⚪设计'!$B$85:$H$113,5,FALSE)*$H64)+IF($L64="",0,VLOOKUP($L64,'⚪设计'!$B$85:$H$113,5,FALSE)*$M64)+IF($Q64="",0,VLOOKUP($Q64,'⚪设计'!$B$85:$H$113,5,FALSE)*$R64)+IF($V64="",0,VLOOKUP($V64,'⚪设计'!$B$85:$H$113,5,FALSE)*$W64))*IF(L64="",0,VLOOKUP(L64,'⚪设计'!$B$85:$H$113,5,FALSE)),0))</f>
        <v>20</v>
      </c>
      <c r="Q64" s="97" t="str">
        <f>IF(VLOOKUP($A64,'⚪设计'!$A$436:$N$459,9,FALSE)="","",VLOOKUP($A64,'⚪设计'!$A$436:$N$459,9,FALSE))</f>
        <v>雪人1</v>
      </c>
      <c r="R64" s="97">
        <f t="shared" si="13"/>
        <v>6</v>
      </c>
      <c r="S64" s="97">
        <f>IF(VLOOKUP($A64,'⚪设计'!$A$436:$N$459,13,FALSE)="","",VLOOKUP($A64,'⚪设计'!$A$436:$N$459,13,FALSE))</f>
        <v>2</v>
      </c>
      <c r="T64" s="97">
        <f>IF(Q64="","",ROUND($D64*VLOOKUP($A64,'⚪设计'!$A$436:$N$459,4,FALSE)/(IF($G64="",0,VLOOKUP($G64,'⚪设计'!$B$85:$H$113,4,FALSE)*$H64)+IF($L64="",0,VLOOKUP($L64,'⚪设计'!$B$85:$H$113,4,FALSE)*$M64)+IF($Q64="",0,VLOOKUP($Q64,'⚪设计'!$B$85:$H$113,4,FALSE)*$R64)+IF($V64="",0,VLOOKUP($V64,'⚪设计'!$B$85:$H$113,4,FALSE)*$W64))*IF(Q64="",0,VLOOKUP(Q64,'⚪设计'!$B$85:$H$113,4,FALSE)),0))</f>
        <v>1440</v>
      </c>
      <c r="U64" s="97">
        <f>IF(Q64="","",ROUND(战斗节奏!$B$14/(IF($G64="",0,VLOOKUP($G64,'⚪设计'!$B$85:$H$113,5,FALSE)*$H64)+IF($L64="",0,VLOOKUP($L64,'⚪设计'!$B$85:$H$113,5,FALSE)*$M64)+IF($Q64="",0,VLOOKUP($Q64,'⚪设计'!$B$85:$H$113,5,FALSE)*$R64)+IF($V64="",0,VLOOKUP($V64,'⚪设计'!$B$85:$H$113,5,FALSE)*$W64))*IF(Q64="",0,VLOOKUP(Q64,'⚪设计'!$B$85:$H$113,5,FALSE)),0))</f>
        <v>20</v>
      </c>
      <c r="V64" s="97" t="str">
        <f>IF(VLOOKUP($A64,'⚪设计'!$A$436:$N$459,10,FALSE)="","",VLOOKUP($A64,'⚪设计'!$A$436:$N$459,10,FALSE))</f>
        <v/>
      </c>
      <c r="W64" s="97" t="str">
        <f t="shared" si="14"/>
        <v/>
      </c>
      <c r="X64" s="97" t="str">
        <f>IF(VLOOKUP($A64,'⚪设计'!$A$436:$N$459,14,FALSE)="","",VLOOKUP($A64,'⚪设计'!$A$436:$N$459,14,FALSE))</f>
        <v/>
      </c>
      <c r="Y64" s="97" t="str">
        <f>IF(V64="","",ROUND($D64*VLOOKUP($A64,'⚪设计'!$A$436:$N$459,4,FALSE)/(IF($G64="",0,VLOOKUP($G64,'⚪设计'!$B$85:$H$113,4,FALSE)*$H64)+IF($L64="",0,VLOOKUP($L64,'⚪设计'!$B$85:$H$113,4,FALSE)*$M64)+IF($Q64="",0,VLOOKUP($Q64,'⚪设计'!$B$85:$H$113,4,FALSE)*$R64)+IF($V64="",0,VLOOKUP($V64,'⚪设计'!$B$85:$H$113,4,FALSE)*$W64))*IF(V64="",0,VLOOKUP(V64,'⚪设计'!$B$85:$H$113,4,FALSE)),0))</f>
        <v/>
      </c>
      <c r="Z64" s="97" t="str">
        <f>IF(V64="","",ROUND(战斗节奏!$B$14/(IF($G64="",0,VLOOKUP($G64,'⚪设计'!$B$85:$H$113,5,FALSE)*$H64)+IF($L64="",0,VLOOKUP($L64,'⚪设计'!$B$85:$H$113,5,FALSE)*$M64)+IF($Q64="",0,VLOOKUP($Q64,'⚪设计'!$B$85:$H$113,5,FALSE)*$R64)+IF($V64="",0,VLOOKUP($V64,'⚪设计'!$B$85:$H$113,5,FALSE)*$W64))*IF(V64="",0,VLOOKUP(V64,'⚪设计'!$B$85:$H$113,5,FALSE)),0))</f>
        <v/>
      </c>
    </row>
    <row r="65" spans="1:26" x14ac:dyDescent="0.2">
      <c r="A65" s="2" t="str">
        <f t="shared" si="10"/>
        <v>2_3</v>
      </c>
      <c r="B65" s="2">
        <v>2</v>
      </c>
      <c r="C65" s="2">
        <v>3</v>
      </c>
      <c r="D65" s="97">
        <f>VLOOKUP(C65,无限模式!$A$3:$B$22,2,FALSE)</f>
        <v>1620</v>
      </c>
      <c r="E65" s="98">
        <v>1</v>
      </c>
      <c r="F65" s="97">
        <f>VLOOKUP(A65,'⚪设计'!$A$436:$N$459,6,FALSE)</f>
        <v>15</v>
      </c>
      <c r="G65" s="97" t="str">
        <f>IF(VLOOKUP($A65,'⚪设计'!$A$436:$N$459,7,FALSE)="","",VLOOKUP($A65,'⚪设计'!$A$436:$N$459,7,FALSE))</f>
        <v>蜘蛛1</v>
      </c>
      <c r="H65" s="97">
        <f t="shared" si="11"/>
        <v>15</v>
      </c>
      <c r="I65" s="97">
        <f>IF(VLOOKUP($A65,'⚪设计'!$A$436:$N$459,11,FALSE)="","",VLOOKUP($A65,'⚪设计'!$A$436:$N$459,11,FALSE))</f>
        <v>1</v>
      </c>
      <c r="J65" s="97">
        <f>IF(G65="","",ROUND($D65*VLOOKUP($A65,'⚪设计'!$A$436:$N$459,4,FALSE)/(IF($G65="",0,VLOOKUP($G65,'⚪设计'!$B$85:$H$113,4,FALSE)*$H65)+IF($L65="",0,VLOOKUP($L65,'⚪设计'!$B$85:$H$113,4,FALSE)*$M65)+IF($Q65="",0,VLOOKUP($Q65,'⚪设计'!$B$85:$H$113,4,FALSE)*$R65)+IF($V65="",0,VLOOKUP($V65,'⚪设计'!$B$85:$H$113,4,FALSE)*$W65))*IF(G65="",0,VLOOKUP(G65,'⚪设计'!$B$85:$H$113,4,FALSE)),0))</f>
        <v>154</v>
      </c>
      <c r="K65" s="97">
        <f>IF(G65="","",ROUND(战斗节奏!$B$14/(IF($G65="",0,VLOOKUP($G65,'⚪设计'!$B$85:$H$113,5,FALSE)*$H65)+IF($L65="",0,VLOOKUP($L65,'⚪设计'!$B$85:$H$113,5,FALSE)*$M65)+IF($Q65="",0,VLOOKUP($Q65,'⚪设计'!$B$85:$H$113,5,FALSE)*$R65)+IF($V65="",0,VLOOKUP($V65,'⚪设计'!$B$85:$H$113,5,FALSE)*$W65))*IF(G65="",0,VLOOKUP(G65,'⚪设计'!$B$85:$H$113,5,FALSE)),0))</f>
        <v>6</v>
      </c>
      <c r="L65" s="97" t="str">
        <f>IF(VLOOKUP($A65,'⚪设计'!$A$436:$N$459,8,FALSE)="","",VLOOKUP($A65,'⚪设计'!$A$436:$N$459,8,FALSE))</f>
        <v>蝙蝠1</v>
      </c>
      <c r="M65" s="97">
        <f t="shared" si="12"/>
        <v>15</v>
      </c>
      <c r="N65" s="97">
        <f>IF(VLOOKUP($A65,'⚪设计'!$A$436:$N$459,12,FALSE)="","",VLOOKUP($A65,'⚪设计'!$A$436:$N$459,12,FALSE))</f>
        <v>1</v>
      </c>
      <c r="O65" s="97">
        <f>IF(L65="","",ROUND($D65*VLOOKUP($A65,'⚪设计'!$A$436:$N$459,4,FALSE)/(IF($G65="",0,VLOOKUP($G65,'⚪设计'!$B$85:$H$113,4,FALSE)*$H65)+IF($L65="",0,VLOOKUP($L65,'⚪设计'!$B$85:$H$113,4,FALSE)*$M65)+IF($Q65="",0,VLOOKUP($Q65,'⚪设计'!$B$85:$H$113,4,FALSE)*$R65)+IF($V65="",0,VLOOKUP($V65,'⚪设计'!$B$85:$H$113,4,FALSE)*$W65))*IF(L65="",0,VLOOKUP(L65,'⚪设计'!$B$85:$H$113,4,FALSE)),0))</f>
        <v>77</v>
      </c>
      <c r="P65" s="97">
        <f>IF(L65="","",ROUND(战斗节奏!$B$14/(IF($G65="",0,VLOOKUP($G65,'⚪设计'!$B$85:$H$113,5,FALSE)*$H65)+IF($L65="",0,VLOOKUP($L65,'⚪设计'!$B$85:$H$113,5,FALSE)*$M65)+IF($Q65="",0,VLOOKUP($Q65,'⚪设计'!$B$85:$H$113,5,FALSE)*$R65)+IF($V65="",0,VLOOKUP($V65,'⚪设计'!$B$85:$H$113,5,FALSE)*$W65))*IF(L65="",0,VLOOKUP(L65,'⚪设计'!$B$85:$H$113,5,FALSE)),0))</f>
        <v>3</v>
      </c>
      <c r="Q65" s="97" t="str">
        <f>IF(VLOOKUP($A65,'⚪设计'!$A$436:$N$459,9,FALSE)="","",VLOOKUP($A65,'⚪设计'!$A$436:$N$459,9,FALSE))</f>
        <v>雪人1</v>
      </c>
      <c r="R65" s="97">
        <f t="shared" si="13"/>
        <v>15</v>
      </c>
      <c r="S65" s="97">
        <f>IF(VLOOKUP($A65,'⚪设计'!$A$436:$N$459,13,FALSE)="","",VLOOKUP($A65,'⚪设计'!$A$436:$N$459,13,FALSE))</f>
        <v>1</v>
      </c>
      <c r="T65" s="97">
        <f>IF(Q65="","",ROUND($D65*VLOOKUP($A65,'⚪设计'!$A$436:$N$459,4,FALSE)/(IF($G65="",0,VLOOKUP($G65,'⚪设计'!$B$85:$H$113,4,FALSE)*$H65)+IF($L65="",0,VLOOKUP($L65,'⚪设计'!$B$85:$H$113,4,FALSE)*$M65)+IF($Q65="",0,VLOOKUP($Q65,'⚪设计'!$B$85:$H$113,4,FALSE)*$R65)+IF($V65="",0,VLOOKUP($V65,'⚪设计'!$B$85:$H$113,4,FALSE)*$W65))*IF(Q65="",0,VLOOKUP(Q65,'⚪设计'!$B$85:$H$113,4,FALSE)),0))</f>
        <v>1540</v>
      </c>
      <c r="U65" s="97">
        <f>IF(Q65="","",ROUND(战斗节奏!$B$14/(IF($G65="",0,VLOOKUP($G65,'⚪设计'!$B$85:$H$113,5,FALSE)*$H65)+IF($L65="",0,VLOOKUP($L65,'⚪设计'!$B$85:$H$113,5,FALSE)*$M65)+IF($Q65="",0,VLOOKUP($Q65,'⚪设计'!$B$85:$H$113,5,FALSE)*$R65)+IF($V65="",0,VLOOKUP($V65,'⚪设计'!$B$85:$H$113,5,FALSE)*$W65))*IF(Q65="",0,VLOOKUP(Q65,'⚪设计'!$B$85:$H$113,5,FALSE)),0))</f>
        <v>11</v>
      </c>
      <c r="V65" s="97" t="str">
        <f>IF(VLOOKUP($A65,'⚪设计'!$A$436:$N$459,10,FALSE)="","",VLOOKUP($A65,'⚪设计'!$A$436:$N$459,10,FALSE))</f>
        <v/>
      </c>
      <c r="W65" s="97" t="str">
        <f t="shared" si="14"/>
        <v/>
      </c>
      <c r="X65" s="97" t="str">
        <f>IF(VLOOKUP($A65,'⚪设计'!$A$436:$N$459,14,FALSE)="","",VLOOKUP($A65,'⚪设计'!$A$436:$N$459,14,FALSE))</f>
        <v/>
      </c>
      <c r="Y65" s="97" t="str">
        <f>IF(V65="","",ROUND($D65*VLOOKUP($A65,'⚪设计'!$A$436:$N$459,4,FALSE)/(IF($G65="",0,VLOOKUP($G65,'⚪设计'!$B$85:$H$113,4,FALSE)*$H65)+IF($L65="",0,VLOOKUP($L65,'⚪设计'!$B$85:$H$113,4,FALSE)*$M65)+IF($Q65="",0,VLOOKUP($Q65,'⚪设计'!$B$85:$H$113,4,FALSE)*$R65)+IF($V65="",0,VLOOKUP($V65,'⚪设计'!$B$85:$H$113,4,FALSE)*$W65))*IF(V65="",0,VLOOKUP(V65,'⚪设计'!$B$85:$H$113,4,FALSE)),0))</f>
        <v/>
      </c>
      <c r="Z65" s="97" t="str">
        <f>IF(V65="","",ROUND(战斗节奏!$B$14/(IF($G65="",0,VLOOKUP($G65,'⚪设计'!$B$85:$H$113,5,FALSE)*$H65)+IF($L65="",0,VLOOKUP($L65,'⚪设计'!$B$85:$H$113,5,FALSE)*$M65)+IF($Q65="",0,VLOOKUP($Q65,'⚪设计'!$B$85:$H$113,5,FALSE)*$R65)+IF($V65="",0,VLOOKUP($V65,'⚪设计'!$B$85:$H$113,5,FALSE)*$W65))*IF(V65="",0,VLOOKUP(V65,'⚪设计'!$B$85:$H$113,5,FALSE)),0))</f>
        <v/>
      </c>
    </row>
    <row r="66" spans="1:26" x14ac:dyDescent="0.2">
      <c r="A66" s="2" t="str">
        <f t="shared" si="10"/>
        <v>2_4</v>
      </c>
      <c r="B66" s="2">
        <v>2</v>
      </c>
      <c r="C66" s="2">
        <v>4</v>
      </c>
      <c r="D66" s="97">
        <f>VLOOKUP(C66,无限模式!$A$3:$B$22,2,FALSE)</f>
        <v>2160</v>
      </c>
      <c r="E66" s="98">
        <v>1</v>
      </c>
      <c r="F66" s="97">
        <f>VLOOKUP(A66,'⚪设计'!$A$436:$N$459,6,FALSE)</f>
        <v>17.5</v>
      </c>
      <c r="G66" s="97" t="str">
        <f>IF(VLOOKUP($A66,'⚪设计'!$A$436:$N$459,7,FALSE)="","",VLOOKUP($A66,'⚪设计'!$A$436:$N$459,7,FALSE))</f>
        <v>蜘蛛1</v>
      </c>
      <c r="H66" s="97">
        <f t="shared" si="11"/>
        <v>18</v>
      </c>
      <c r="I66" s="97">
        <f>IF(VLOOKUP($A66,'⚪设计'!$A$436:$N$459,11,FALSE)="","",VLOOKUP($A66,'⚪设计'!$A$436:$N$459,11,FALSE))</f>
        <v>1</v>
      </c>
      <c r="J66" s="97">
        <f>IF(G66="","",ROUND($D66*VLOOKUP($A66,'⚪设计'!$A$436:$N$459,4,FALSE)/(IF($G66="",0,VLOOKUP($G66,'⚪设计'!$B$85:$H$113,4,FALSE)*$H66)+IF($L66="",0,VLOOKUP($L66,'⚪设计'!$B$85:$H$113,4,FALSE)*$M66)+IF($Q66="",0,VLOOKUP($Q66,'⚪设计'!$B$85:$H$113,4,FALSE)*$R66)+IF($V66="",0,VLOOKUP($V66,'⚪设计'!$B$85:$H$113,4,FALSE)*$W66))*IF(G66="",0,VLOOKUP(G66,'⚪设计'!$B$85:$H$113,4,FALSE)),0))</f>
        <v>200</v>
      </c>
      <c r="K66" s="97">
        <f>IF(G66="","",ROUND(战斗节奏!$B$14/(IF($G66="",0,VLOOKUP($G66,'⚪设计'!$B$85:$H$113,5,FALSE)*$H66)+IF($L66="",0,VLOOKUP($L66,'⚪设计'!$B$85:$H$113,5,FALSE)*$M66)+IF($Q66="",0,VLOOKUP($Q66,'⚪设计'!$B$85:$H$113,5,FALSE)*$R66)+IF($V66="",0,VLOOKUP($V66,'⚪设计'!$B$85:$H$113,5,FALSE)*$W66))*IF(G66="",0,VLOOKUP(G66,'⚪设计'!$B$85:$H$113,5,FALSE)),0))</f>
        <v>4</v>
      </c>
      <c r="L66" s="97" t="str">
        <f>IF(VLOOKUP($A66,'⚪设计'!$A$436:$N$459,8,FALSE)="","",VLOOKUP($A66,'⚪设计'!$A$436:$N$459,8,FALSE))</f>
        <v>蝙蝠1</v>
      </c>
      <c r="M66" s="97">
        <f t="shared" si="12"/>
        <v>18</v>
      </c>
      <c r="N66" s="97">
        <f>IF(VLOOKUP($A66,'⚪设计'!$A$436:$N$459,12,FALSE)="","",VLOOKUP($A66,'⚪设计'!$A$436:$N$459,12,FALSE))</f>
        <v>1</v>
      </c>
      <c r="O66" s="97">
        <f>IF(L66="","",ROUND($D66*VLOOKUP($A66,'⚪设计'!$A$436:$N$459,4,FALSE)/(IF($G66="",0,VLOOKUP($G66,'⚪设计'!$B$85:$H$113,4,FALSE)*$H66)+IF($L66="",0,VLOOKUP($L66,'⚪设计'!$B$85:$H$113,4,FALSE)*$M66)+IF($Q66="",0,VLOOKUP($Q66,'⚪设计'!$B$85:$H$113,4,FALSE)*$R66)+IF($V66="",0,VLOOKUP($V66,'⚪设计'!$B$85:$H$113,4,FALSE)*$W66))*IF(L66="",0,VLOOKUP(L66,'⚪设计'!$B$85:$H$113,4,FALSE)),0))</f>
        <v>100</v>
      </c>
      <c r="P66" s="97">
        <f>IF(L66="","",ROUND(战斗节奏!$B$14/(IF($G66="",0,VLOOKUP($G66,'⚪设计'!$B$85:$H$113,5,FALSE)*$H66)+IF($L66="",0,VLOOKUP($L66,'⚪设计'!$B$85:$H$113,5,FALSE)*$M66)+IF($Q66="",0,VLOOKUP($Q66,'⚪设计'!$B$85:$H$113,5,FALSE)*$R66)+IF($V66="",0,VLOOKUP($V66,'⚪设计'!$B$85:$H$113,5,FALSE)*$W66))*IF(L66="",0,VLOOKUP(L66,'⚪设计'!$B$85:$H$113,5,FALSE)),0))</f>
        <v>2</v>
      </c>
      <c r="Q66" s="97" t="str">
        <f>IF(VLOOKUP($A66,'⚪设计'!$A$436:$N$459,9,FALSE)="","",VLOOKUP($A66,'⚪设计'!$A$436:$N$459,9,FALSE))</f>
        <v>蜜蜂2</v>
      </c>
      <c r="R66" s="97">
        <f t="shared" si="13"/>
        <v>9</v>
      </c>
      <c r="S66" s="97">
        <f>IF(VLOOKUP($A66,'⚪设计'!$A$436:$N$459,13,FALSE)="","",VLOOKUP($A66,'⚪设计'!$A$436:$N$459,13,FALSE))</f>
        <v>2</v>
      </c>
      <c r="T66" s="97">
        <f>IF(Q66="","",ROUND($D66*VLOOKUP($A66,'⚪设计'!$A$436:$N$459,4,FALSE)/(IF($G66="",0,VLOOKUP($G66,'⚪设计'!$B$85:$H$113,4,FALSE)*$H66)+IF($L66="",0,VLOOKUP($L66,'⚪设计'!$B$85:$H$113,4,FALSE)*$M66)+IF($Q66="",0,VLOOKUP($Q66,'⚪设计'!$B$85:$H$113,4,FALSE)*$R66)+IF($V66="",0,VLOOKUP($V66,'⚪设计'!$B$85:$H$113,4,FALSE)*$W66))*IF(Q66="",0,VLOOKUP(Q66,'⚪设计'!$B$85:$H$113,4,FALSE)),0))</f>
        <v>400</v>
      </c>
      <c r="U66" s="97">
        <f>IF(Q66="","",ROUND(战斗节奏!$B$14/(IF($G66="",0,VLOOKUP($G66,'⚪设计'!$B$85:$H$113,5,FALSE)*$H66)+IF($L66="",0,VLOOKUP($L66,'⚪设计'!$B$85:$H$113,5,FALSE)*$M66)+IF($Q66="",0,VLOOKUP($Q66,'⚪设计'!$B$85:$H$113,5,FALSE)*$R66)+IF($V66="",0,VLOOKUP($V66,'⚪设计'!$B$85:$H$113,5,FALSE)*$W66))*IF(Q66="",0,VLOOKUP(Q66,'⚪设计'!$B$85:$H$113,5,FALSE)),0))</f>
        <v>7</v>
      </c>
      <c r="V66" s="97" t="str">
        <f>IF(VLOOKUP($A66,'⚪设计'!$A$436:$N$459,10,FALSE)="","",VLOOKUP($A66,'⚪设计'!$A$436:$N$459,10,FALSE))</f>
        <v>雪人1</v>
      </c>
      <c r="W66" s="97">
        <f t="shared" si="14"/>
        <v>18</v>
      </c>
      <c r="X66" s="97">
        <f>IF(VLOOKUP($A66,'⚪设计'!$A$436:$N$459,14,FALSE)="","",VLOOKUP($A66,'⚪设计'!$A$436:$N$459,14,FALSE))</f>
        <v>1</v>
      </c>
      <c r="Y66" s="97">
        <f>IF(V66="","",ROUND($D66*VLOOKUP($A66,'⚪设计'!$A$436:$N$459,4,FALSE)/(IF($G66="",0,VLOOKUP($G66,'⚪设计'!$B$85:$H$113,4,FALSE)*$H66)+IF($L66="",0,VLOOKUP($L66,'⚪设计'!$B$85:$H$113,4,FALSE)*$M66)+IF($Q66="",0,VLOOKUP($Q66,'⚪设计'!$B$85:$H$113,4,FALSE)*$R66)+IF($V66="",0,VLOOKUP($V66,'⚪设计'!$B$85:$H$113,4,FALSE)*$W66))*IF(V66="",0,VLOOKUP(V66,'⚪设计'!$B$85:$H$113,4,FALSE)),0))</f>
        <v>2002</v>
      </c>
      <c r="Z66" s="97">
        <f>IF(V66="","",ROUND(战斗节奏!$B$14/(IF($G66="",0,VLOOKUP($G66,'⚪设计'!$B$85:$H$113,5,FALSE)*$H66)+IF($L66="",0,VLOOKUP($L66,'⚪设计'!$B$85:$H$113,5,FALSE)*$M66)+IF($Q66="",0,VLOOKUP($Q66,'⚪设计'!$B$85:$H$113,5,FALSE)*$R66)+IF($V66="",0,VLOOKUP($V66,'⚪设计'!$B$85:$H$113,5,FALSE)*$W66))*IF(V66="",0,VLOOKUP(V66,'⚪设计'!$B$85:$H$113,5,FALSE)),0))</f>
        <v>7</v>
      </c>
    </row>
    <row r="67" spans="1:26" x14ac:dyDescent="0.2">
      <c r="A67" s="2" t="str">
        <f t="shared" si="10"/>
        <v>2_5</v>
      </c>
      <c r="B67" s="2">
        <v>2</v>
      </c>
      <c r="C67" s="2">
        <v>5</v>
      </c>
      <c r="D67" s="97">
        <f>VLOOKUP(C67,无限模式!$A$3:$B$22,2,FALSE)</f>
        <v>2700</v>
      </c>
      <c r="E67" s="98">
        <v>1</v>
      </c>
      <c r="F67" s="97">
        <f>VLOOKUP(A67,'⚪设计'!$A$436:$N$459,6,FALSE)</f>
        <v>20</v>
      </c>
      <c r="G67" s="97" t="str">
        <f>IF(VLOOKUP($A67,'⚪设计'!$A$436:$N$459,7,FALSE)="","",VLOOKUP($A67,'⚪设计'!$A$436:$N$459,7,FALSE))</f>
        <v>蜘蛛1</v>
      </c>
      <c r="H67" s="97">
        <f t="shared" si="11"/>
        <v>20</v>
      </c>
      <c r="I67" s="97">
        <f>IF(VLOOKUP($A67,'⚪设计'!$A$436:$N$459,11,FALSE)="","",VLOOKUP($A67,'⚪设计'!$A$436:$N$459,11,FALSE))</f>
        <v>1</v>
      </c>
      <c r="J67" s="97">
        <f>IF(G67="","",ROUND($D67*VLOOKUP($A67,'⚪设计'!$A$436:$N$459,4,FALSE)/(IF($G67="",0,VLOOKUP($G67,'⚪设计'!$B$85:$H$113,4,FALSE)*$H67)+IF($L67="",0,VLOOKUP($L67,'⚪设计'!$B$85:$H$113,4,FALSE)*$M67)+IF($Q67="",0,VLOOKUP($Q67,'⚪设计'!$B$85:$H$113,4,FALSE)*$R67)+IF($V67="",0,VLOOKUP($V67,'⚪设计'!$B$85:$H$113,4,FALSE)*$W67))*IF(G67="",0,VLOOKUP(G67,'⚪设计'!$B$85:$H$113,4,FALSE)),0))</f>
        <v>282</v>
      </c>
      <c r="K67" s="97">
        <f>IF(G67="","",ROUND(战斗节奏!$B$14/(IF($G67="",0,VLOOKUP($G67,'⚪设计'!$B$85:$H$113,5,FALSE)*$H67)+IF($L67="",0,VLOOKUP($L67,'⚪设计'!$B$85:$H$113,5,FALSE)*$M67)+IF($Q67="",0,VLOOKUP($Q67,'⚪设计'!$B$85:$H$113,5,FALSE)*$R67)+IF($V67="",0,VLOOKUP($V67,'⚪设计'!$B$85:$H$113,5,FALSE)*$W67))*IF(G67="",0,VLOOKUP(G67,'⚪设计'!$B$85:$H$113,5,FALSE)),0))</f>
        <v>3</v>
      </c>
      <c r="L67" s="97" t="str">
        <f>IF(VLOOKUP($A67,'⚪设计'!$A$436:$N$459,8,FALSE)="","",VLOOKUP($A67,'⚪设计'!$A$436:$N$459,8,FALSE))</f>
        <v>蝙蝠1</v>
      </c>
      <c r="M67" s="97">
        <f t="shared" si="12"/>
        <v>40</v>
      </c>
      <c r="N67" s="97">
        <f>IF(VLOOKUP($A67,'⚪设计'!$A$436:$N$459,12,FALSE)="","",VLOOKUP($A67,'⚪设计'!$A$436:$N$459,12,FALSE))</f>
        <v>0.5</v>
      </c>
      <c r="O67" s="97">
        <f>IF(L67="","",ROUND($D67*VLOOKUP($A67,'⚪设计'!$A$436:$N$459,4,FALSE)/(IF($G67="",0,VLOOKUP($G67,'⚪设计'!$B$85:$H$113,4,FALSE)*$H67)+IF($L67="",0,VLOOKUP($L67,'⚪设计'!$B$85:$H$113,4,FALSE)*$M67)+IF($Q67="",0,VLOOKUP($Q67,'⚪设计'!$B$85:$H$113,4,FALSE)*$R67)+IF($V67="",0,VLOOKUP($V67,'⚪设计'!$B$85:$H$113,4,FALSE)*$W67))*IF(L67="",0,VLOOKUP(L67,'⚪设计'!$B$85:$H$113,4,FALSE)),0))</f>
        <v>141</v>
      </c>
      <c r="P67" s="97">
        <f>IF(L67="","",ROUND(战斗节奏!$B$14/(IF($G67="",0,VLOOKUP($G67,'⚪设计'!$B$85:$H$113,5,FALSE)*$H67)+IF($L67="",0,VLOOKUP($L67,'⚪设计'!$B$85:$H$113,5,FALSE)*$M67)+IF($Q67="",0,VLOOKUP($Q67,'⚪设计'!$B$85:$H$113,5,FALSE)*$R67)+IF($V67="",0,VLOOKUP($V67,'⚪设计'!$B$85:$H$113,5,FALSE)*$W67))*IF(L67="",0,VLOOKUP(L67,'⚪设计'!$B$85:$H$113,5,FALSE)),0))</f>
        <v>1</v>
      </c>
      <c r="Q67" s="97" t="str">
        <f>IF(VLOOKUP($A67,'⚪设计'!$A$436:$N$459,9,FALSE)="","",VLOOKUP($A67,'⚪设计'!$A$436:$N$459,9,FALSE))</f>
        <v>蜜蜂2</v>
      </c>
      <c r="R67" s="97">
        <f t="shared" si="13"/>
        <v>20</v>
      </c>
      <c r="S67" s="97">
        <f>IF(VLOOKUP($A67,'⚪设计'!$A$436:$N$459,13,FALSE)="","",VLOOKUP($A67,'⚪设计'!$A$436:$N$459,13,FALSE))</f>
        <v>1</v>
      </c>
      <c r="T67" s="97">
        <f>IF(Q67="","",ROUND($D67*VLOOKUP($A67,'⚪设计'!$A$436:$N$459,4,FALSE)/(IF($G67="",0,VLOOKUP($G67,'⚪设计'!$B$85:$H$113,4,FALSE)*$H67)+IF($L67="",0,VLOOKUP($L67,'⚪设计'!$B$85:$H$113,4,FALSE)*$M67)+IF($Q67="",0,VLOOKUP($Q67,'⚪设计'!$B$85:$H$113,4,FALSE)*$R67)+IF($V67="",0,VLOOKUP($V67,'⚪设计'!$B$85:$H$113,4,FALSE)*$W67))*IF(Q67="",0,VLOOKUP(Q67,'⚪设计'!$B$85:$H$113,4,FALSE)),0))</f>
        <v>563</v>
      </c>
      <c r="U67" s="97">
        <f>IF(Q67="","",ROUND(战斗节奏!$B$14/(IF($G67="",0,VLOOKUP($G67,'⚪设计'!$B$85:$H$113,5,FALSE)*$H67)+IF($L67="",0,VLOOKUP($L67,'⚪设计'!$B$85:$H$113,5,FALSE)*$M67)+IF($Q67="",0,VLOOKUP($Q67,'⚪设计'!$B$85:$H$113,5,FALSE)*$R67)+IF($V67="",0,VLOOKUP($V67,'⚪设计'!$B$85:$H$113,5,FALSE)*$W67))*IF(Q67="",0,VLOOKUP(Q67,'⚪设计'!$B$85:$H$113,5,FALSE)),0))</f>
        <v>5</v>
      </c>
      <c r="V67" s="97" t="str">
        <f>IF(VLOOKUP($A67,'⚪设计'!$A$436:$N$459,10,FALSE)="","",VLOOKUP($A67,'⚪设计'!$A$436:$N$459,10,FALSE))</f>
        <v>雪人1</v>
      </c>
      <c r="W67" s="97">
        <f t="shared" si="14"/>
        <v>20</v>
      </c>
      <c r="X67" s="97">
        <f>IF(VLOOKUP($A67,'⚪设计'!$A$436:$N$459,14,FALSE)="","",VLOOKUP($A67,'⚪设计'!$A$436:$N$459,14,FALSE))</f>
        <v>1</v>
      </c>
      <c r="Y67" s="97">
        <f>IF(V67="","",ROUND($D67*VLOOKUP($A67,'⚪设计'!$A$436:$N$459,4,FALSE)/(IF($G67="",0,VLOOKUP($G67,'⚪设计'!$B$85:$H$113,4,FALSE)*$H67)+IF($L67="",0,VLOOKUP($L67,'⚪设计'!$B$85:$H$113,4,FALSE)*$M67)+IF($Q67="",0,VLOOKUP($Q67,'⚪设计'!$B$85:$H$113,4,FALSE)*$R67)+IF($V67="",0,VLOOKUP($V67,'⚪设计'!$B$85:$H$113,4,FALSE)*$W67))*IF(V67="",0,VLOOKUP(V67,'⚪设计'!$B$85:$H$113,4,FALSE)),0))</f>
        <v>2816</v>
      </c>
      <c r="Z67" s="97">
        <f>IF(V67="","",ROUND(战斗节奏!$B$14/(IF($G67="",0,VLOOKUP($G67,'⚪设计'!$B$85:$H$113,5,FALSE)*$H67)+IF($L67="",0,VLOOKUP($L67,'⚪设计'!$B$85:$H$113,5,FALSE)*$M67)+IF($Q67="",0,VLOOKUP($Q67,'⚪设计'!$B$85:$H$113,5,FALSE)*$R67)+IF($V67="",0,VLOOKUP($V67,'⚪设计'!$B$85:$H$113,5,FALSE)*$W67))*IF(V67="",0,VLOOKUP(V67,'⚪设计'!$B$85:$H$113,5,FALSE)),0))</f>
        <v>5</v>
      </c>
    </row>
    <row r="68" spans="1:26" x14ac:dyDescent="0.2">
      <c r="A68" s="2" t="str">
        <f t="shared" si="10"/>
        <v>3_1</v>
      </c>
      <c r="B68" s="2">
        <v>3</v>
      </c>
      <c r="C68" s="2">
        <v>1</v>
      </c>
      <c r="D68" s="97">
        <f>VLOOKUP(C68,无限模式!$A$3:$B$22,2,FALSE)</f>
        <v>540</v>
      </c>
      <c r="E68" s="98">
        <v>1</v>
      </c>
      <c r="F68" s="97">
        <f>VLOOKUP(A68,'⚪设计'!$A$436:$N$459,6,FALSE)</f>
        <v>10</v>
      </c>
      <c r="G68" s="97" t="str">
        <f>IF(VLOOKUP($A68,'⚪设计'!$A$436:$N$459,7,FALSE)="","",VLOOKUP($A68,'⚪设计'!$A$436:$N$459,7,FALSE))</f>
        <v>种子1</v>
      </c>
      <c r="H68" s="97">
        <f t="shared" si="11"/>
        <v>5</v>
      </c>
      <c r="I68" s="97">
        <f>IF(VLOOKUP($A68,'⚪设计'!$A$436:$N$459,11,FALSE)="","",VLOOKUP($A68,'⚪设计'!$A$436:$N$459,11,FALSE))</f>
        <v>2</v>
      </c>
      <c r="J68" s="97">
        <f>IF(G68="","",ROUND($D68*VLOOKUP($A68,'⚪设计'!$A$436:$N$459,4,FALSE)/(IF($G68="",0,VLOOKUP($G68,'⚪设计'!$B$85:$H$113,4,FALSE)*$H68)+IF($L68="",0,VLOOKUP($L68,'⚪设计'!$B$85:$H$113,4,FALSE)*$M68)+IF($Q68="",0,VLOOKUP($Q68,'⚪设计'!$B$85:$H$113,4,FALSE)*$R68)+IF($V68="",0,VLOOKUP($V68,'⚪设计'!$B$85:$H$113,4,FALSE)*$W68))*IF(G68="",0,VLOOKUP(G68,'⚪设计'!$B$85:$H$113,4,FALSE)),0))</f>
        <v>278</v>
      </c>
      <c r="K68" s="97">
        <f>IF(G68="","",ROUND(战斗节奏!$B$14/(IF($G68="",0,VLOOKUP($G68,'⚪设计'!$B$85:$H$113,5,FALSE)*$H68)+IF($L68="",0,VLOOKUP($L68,'⚪设计'!$B$85:$H$113,5,FALSE)*$M68)+IF($Q68="",0,VLOOKUP($Q68,'⚪设计'!$B$85:$H$113,5,FALSE)*$R68)+IF($V68="",0,VLOOKUP($V68,'⚪设计'!$B$85:$H$113,5,FALSE)*$W68))*IF(G68="",0,VLOOKUP(G68,'⚪设计'!$B$85:$H$113,5,FALSE)),0))</f>
        <v>30</v>
      </c>
      <c r="L68" s="97" t="str">
        <f>IF(VLOOKUP($A68,'⚪设计'!$A$436:$N$459,8,FALSE)="","",VLOOKUP($A68,'⚪设计'!$A$436:$N$459,8,FALSE))</f>
        <v>雪人2</v>
      </c>
      <c r="M68" s="97">
        <f t="shared" si="12"/>
        <v>5</v>
      </c>
      <c r="N68" s="97">
        <f>IF(VLOOKUP($A68,'⚪设计'!$A$436:$N$459,12,FALSE)="","",VLOOKUP($A68,'⚪设计'!$A$436:$N$459,12,FALSE))</f>
        <v>2</v>
      </c>
      <c r="O68" s="97">
        <f>IF(L68="","",ROUND($D68*VLOOKUP($A68,'⚪设计'!$A$436:$N$459,4,FALSE)/(IF($G68="",0,VLOOKUP($G68,'⚪设计'!$B$85:$H$113,4,FALSE)*$H68)+IF($L68="",0,VLOOKUP($L68,'⚪设计'!$B$85:$H$113,4,FALSE)*$M68)+IF($Q68="",0,VLOOKUP($Q68,'⚪设计'!$B$85:$H$113,4,FALSE)*$R68)+IF($V68="",0,VLOOKUP($V68,'⚪设计'!$B$85:$H$113,4,FALSE)*$W68))*IF(L68="",0,VLOOKUP(L68,'⚪设计'!$B$85:$H$113,4,FALSE)),0))</f>
        <v>1850</v>
      </c>
      <c r="P68" s="97">
        <f>IF(L68="","",ROUND(战斗节奏!$B$14/(IF($G68="",0,VLOOKUP($G68,'⚪设计'!$B$85:$H$113,5,FALSE)*$H68)+IF($L68="",0,VLOOKUP($L68,'⚪设计'!$B$85:$H$113,5,FALSE)*$M68)+IF($Q68="",0,VLOOKUP($Q68,'⚪设计'!$B$85:$H$113,5,FALSE)*$R68)+IF($V68="",0,VLOOKUP($V68,'⚪设计'!$B$85:$H$113,5,FALSE)*$W68))*IF(L68="",0,VLOOKUP(L68,'⚪设计'!$B$85:$H$113,5,FALSE)),0))</f>
        <v>30</v>
      </c>
      <c r="Q68" s="97" t="str">
        <f>IF(VLOOKUP($A68,'⚪设计'!$A$436:$N$459,9,FALSE)="","",VLOOKUP($A68,'⚪设计'!$A$436:$N$459,9,FALSE))</f>
        <v/>
      </c>
      <c r="R68" s="97" t="str">
        <f t="shared" si="13"/>
        <v/>
      </c>
      <c r="S68" s="97" t="str">
        <f>IF(VLOOKUP($A68,'⚪设计'!$A$436:$N$459,13,FALSE)="","",VLOOKUP($A68,'⚪设计'!$A$436:$N$459,13,FALSE))</f>
        <v/>
      </c>
      <c r="T68" s="97" t="str">
        <f>IF(Q68="","",ROUND($D68*VLOOKUP($A68,'⚪设计'!$A$436:$N$459,4,FALSE)/(IF($G68="",0,VLOOKUP($G68,'⚪设计'!$B$85:$H$113,4,FALSE)*$H68)+IF($L68="",0,VLOOKUP($L68,'⚪设计'!$B$85:$H$113,4,FALSE)*$M68)+IF($Q68="",0,VLOOKUP($Q68,'⚪设计'!$B$85:$H$113,4,FALSE)*$R68)+IF($V68="",0,VLOOKUP($V68,'⚪设计'!$B$85:$H$113,4,FALSE)*$W68))*IF(Q68="",0,VLOOKUP(Q68,'⚪设计'!$B$85:$H$113,4,FALSE)),0))</f>
        <v/>
      </c>
      <c r="U68" s="97" t="str">
        <f>IF(Q68="","",ROUND(战斗节奏!$B$14/(IF($G68="",0,VLOOKUP($G68,'⚪设计'!$B$85:$H$113,5,FALSE)*$H68)+IF($L68="",0,VLOOKUP($L68,'⚪设计'!$B$85:$H$113,5,FALSE)*$M68)+IF($Q68="",0,VLOOKUP($Q68,'⚪设计'!$B$85:$H$113,5,FALSE)*$R68)+IF($V68="",0,VLOOKUP($V68,'⚪设计'!$B$85:$H$113,5,FALSE)*$W68))*IF(Q68="",0,VLOOKUP(Q68,'⚪设计'!$B$85:$H$113,5,FALSE)),0))</f>
        <v/>
      </c>
      <c r="V68" s="97" t="str">
        <f>IF(VLOOKUP($A68,'⚪设计'!$A$436:$N$459,10,FALSE)="","",VLOOKUP($A68,'⚪设计'!$A$436:$N$459,10,FALSE))</f>
        <v/>
      </c>
      <c r="W68" s="97" t="str">
        <f t="shared" si="14"/>
        <v/>
      </c>
      <c r="X68" s="97" t="str">
        <f>IF(VLOOKUP($A68,'⚪设计'!$A$436:$N$459,14,FALSE)="","",VLOOKUP($A68,'⚪设计'!$A$436:$N$459,14,FALSE))</f>
        <v/>
      </c>
      <c r="Y68" s="97" t="str">
        <f>IF(V68="","",ROUND($D68*VLOOKUP($A68,'⚪设计'!$A$436:$N$459,4,FALSE)/(IF($G68="",0,VLOOKUP($G68,'⚪设计'!$B$85:$H$113,4,FALSE)*$H68)+IF($L68="",0,VLOOKUP($L68,'⚪设计'!$B$85:$H$113,4,FALSE)*$M68)+IF($Q68="",0,VLOOKUP($Q68,'⚪设计'!$B$85:$H$113,4,FALSE)*$R68)+IF($V68="",0,VLOOKUP($V68,'⚪设计'!$B$85:$H$113,4,FALSE)*$W68))*IF(V68="",0,VLOOKUP(V68,'⚪设计'!$B$85:$H$113,4,FALSE)),0))</f>
        <v/>
      </c>
      <c r="Z68" s="97" t="str">
        <f>IF(V68="","",ROUND(战斗节奏!$B$14/(IF($G68="",0,VLOOKUP($G68,'⚪设计'!$B$85:$H$113,5,FALSE)*$H68)+IF($L68="",0,VLOOKUP($L68,'⚪设计'!$B$85:$H$113,5,FALSE)*$M68)+IF($Q68="",0,VLOOKUP($Q68,'⚪设计'!$B$85:$H$113,5,FALSE)*$R68)+IF($V68="",0,VLOOKUP($V68,'⚪设计'!$B$85:$H$113,5,FALSE)*$W68))*IF(V68="",0,VLOOKUP(V68,'⚪设计'!$B$85:$H$113,5,FALSE)),0))</f>
        <v/>
      </c>
    </row>
    <row r="69" spans="1:26" x14ac:dyDescent="0.2">
      <c r="A69" s="2" t="str">
        <f t="shared" si="10"/>
        <v>3_2</v>
      </c>
      <c r="B69" s="2">
        <v>3</v>
      </c>
      <c r="C69" s="2">
        <v>2</v>
      </c>
      <c r="D69" s="97">
        <f>VLOOKUP(C69,无限模式!$A$3:$B$22,2,FALSE)</f>
        <v>1080</v>
      </c>
      <c r="E69" s="98">
        <v>1</v>
      </c>
      <c r="F69" s="97">
        <f>VLOOKUP(A69,'⚪设计'!$A$436:$N$459,6,FALSE)</f>
        <v>12.5</v>
      </c>
      <c r="G69" s="97" t="str">
        <f>IF(VLOOKUP($A69,'⚪设计'!$A$436:$N$459,7,FALSE)="","",VLOOKUP($A69,'⚪设计'!$A$436:$N$459,7,FALSE))</f>
        <v>种子1</v>
      </c>
      <c r="H69" s="97">
        <f t="shared" si="11"/>
        <v>6</v>
      </c>
      <c r="I69" s="97">
        <f>IF(VLOOKUP($A69,'⚪设计'!$A$436:$N$459,11,FALSE)="","",VLOOKUP($A69,'⚪设计'!$A$436:$N$459,11,FALSE))</f>
        <v>2</v>
      </c>
      <c r="J69" s="97">
        <f>IF(G69="","",ROUND($D69*VLOOKUP($A69,'⚪设计'!$A$436:$N$459,4,FALSE)/(IF($G69="",0,VLOOKUP($G69,'⚪设计'!$B$85:$H$113,4,FALSE)*$H69)+IF($L69="",0,VLOOKUP($L69,'⚪设计'!$B$85:$H$113,4,FALSE)*$M69)+IF($Q69="",0,VLOOKUP($Q69,'⚪设计'!$B$85:$H$113,4,FALSE)*$R69)+IF($V69="",0,VLOOKUP($V69,'⚪设计'!$B$85:$H$113,4,FALSE)*$W69))*IF(G69="",0,VLOOKUP(G69,'⚪设计'!$B$85:$H$113,4,FALSE)),0))</f>
        <v>449</v>
      </c>
      <c r="K69" s="97">
        <f>IF(G69="","",ROUND(战斗节奏!$B$14/(IF($G69="",0,VLOOKUP($G69,'⚪设计'!$B$85:$H$113,5,FALSE)*$H69)+IF($L69="",0,VLOOKUP($L69,'⚪设计'!$B$85:$H$113,5,FALSE)*$M69)+IF($Q69="",0,VLOOKUP($Q69,'⚪设计'!$B$85:$H$113,5,FALSE)*$R69)+IF($V69="",0,VLOOKUP($V69,'⚪设计'!$B$85:$H$113,5,FALSE)*$W69))*IF(G69="",0,VLOOKUP(G69,'⚪设计'!$B$85:$H$113,5,FALSE)),0))</f>
        <v>17</v>
      </c>
      <c r="L69" s="97" t="str">
        <f>IF(VLOOKUP($A69,'⚪设计'!$A$436:$N$459,8,FALSE)="","",VLOOKUP($A69,'⚪设计'!$A$436:$N$459,8,FALSE))</f>
        <v>蜜蜂2</v>
      </c>
      <c r="M69" s="97">
        <f t="shared" si="12"/>
        <v>6</v>
      </c>
      <c r="N69" s="97">
        <f>IF(VLOOKUP($A69,'⚪设计'!$A$436:$N$459,12,FALSE)="","",VLOOKUP($A69,'⚪设计'!$A$436:$N$459,12,FALSE))</f>
        <v>2</v>
      </c>
      <c r="O69" s="97">
        <f>IF(L69="","",ROUND($D69*VLOOKUP($A69,'⚪设计'!$A$436:$N$459,4,FALSE)/(IF($G69="",0,VLOOKUP($G69,'⚪设计'!$B$85:$H$113,4,FALSE)*$H69)+IF($L69="",0,VLOOKUP($L69,'⚪设计'!$B$85:$H$113,4,FALSE)*$M69)+IF($Q69="",0,VLOOKUP($Q69,'⚪设计'!$B$85:$H$113,4,FALSE)*$R69)+IF($V69="",0,VLOOKUP($V69,'⚪设计'!$B$85:$H$113,4,FALSE)*$W69))*IF(L69="",0,VLOOKUP(L69,'⚪设计'!$B$85:$H$113,4,FALSE)),0))</f>
        <v>300</v>
      </c>
      <c r="P69" s="97">
        <f>IF(L69="","",ROUND(战斗节奏!$B$14/(IF($G69="",0,VLOOKUP($G69,'⚪设计'!$B$85:$H$113,5,FALSE)*$H69)+IF($L69="",0,VLOOKUP($L69,'⚪设计'!$B$85:$H$113,5,FALSE)*$M69)+IF($Q69="",0,VLOOKUP($Q69,'⚪设计'!$B$85:$H$113,5,FALSE)*$R69)+IF($V69="",0,VLOOKUP($V69,'⚪设计'!$B$85:$H$113,5,FALSE)*$W69))*IF(L69="",0,VLOOKUP(L69,'⚪设计'!$B$85:$H$113,5,FALSE)),0))</f>
        <v>17</v>
      </c>
      <c r="Q69" s="97" t="str">
        <f>IF(VLOOKUP($A69,'⚪设计'!$A$436:$N$459,9,FALSE)="","",VLOOKUP($A69,'⚪设计'!$A$436:$N$459,9,FALSE))</f>
        <v>雪人2</v>
      </c>
      <c r="R69" s="97">
        <f t="shared" si="13"/>
        <v>6</v>
      </c>
      <c r="S69" s="97">
        <f>IF(VLOOKUP($A69,'⚪设计'!$A$436:$N$459,13,FALSE)="","",VLOOKUP($A69,'⚪设计'!$A$436:$N$459,13,FALSE))</f>
        <v>2</v>
      </c>
      <c r="T69" s="97">
        <f>IF(Q69="","",ROUND($D69*VLOOKUP($A69,'⚪设计'!$A$436:$N$459,4,FALSE)/(IF($G69="",0,VLOOKUP($G69,'⚪设计'!$B$85:$H$113,4,FALSE)*$H69)+IF($L69="",0,VLOOKUP($L69,'⚪设计'!$B$85:$H$113,4,FALSE)*$M69)+IF($Q69="",0,VLOOKUP($Q69,'⚪设计'!$B$85:$H$113,4,FALSE)*$R69)+IF($V69="",0,VLOOKUP($V69,'⚪设计'!$B$85:$H$113,4,FALSE)*$W69))*IF(Q69="",0,VLOOKUP(Q69,'⚪设计'!$B$85:$H$113,4,FALSE)),0))</f>
        <v>2995</v>
      </c>
      <c r="U69" s="97">
        <f>IF(Q69="","",ROUND(战斗节奏!$B$14/(IF($G69="",0,VLOOKUP($G69,'⚪设计'!$B$85:$H$113,5,FALSE)*$H69)+IF($L69="",0,VLOOKUP($L69,'⚪设计'!$B$85:$H$113,5,FALSE)*$M69)+IF($Q69="",0,VLOOKUP($Q69,'⚪设计'!$B$85:$H$113,5,FALSE)*$R69)+IF($V69="",0,VLOOKUP($V69,'⚪设计'!$B$85:$H$113,5,FALSE)*$W69))*IF(Q69="",0,VLOOKUP(Q69,'⚪设计'!$B$85:$H$113,5,FALSE)),0))</f>
        <v>17</v>
      </c>
      <c r="V69" s="97" t="str">
        <f>IF(VLOOKUP($A69,'⚪设计'!$A$436:$N$459,10,FALSE)="","",VLOOKUP($A69,'⚪设计'!$A$436:$N$459,10,FALSE))</f>
        <v/>
      </c>
      <c r="W69" s="97" t="str">
        <f t="shared" si="14"/>
        <v/>
      </c>
      <c r="X69" s="97" t="str">
        <f>IF(VLOOKUP($A69,'⚪设计'!$A$436:$N$459,14,FALSE)="","",VLOOKUP($A69,'⚪设计'!$A$436:$N$459,14,FALSE))</f>
        <v/>
      </c>
      <c r="Y69" s="97" t="str">
        <f>IF(V69="","",ROUND($D69*VLOOKUP($A69,'⚪设计'!$A$436:$N$459,4,FALSE)/(IF($G69="",0,VLOOKUP($G69,'⚪设计'!$B$85:$H$113,4,FALSE)*$H69)+IF($L69="",0,VLOOKUP($L69,'⚪设计'!$B$85:$H$113,4,FALSE)*$M69)+IF($Q69="",0,VLOOKUP($Q69,'⚪设计'!$B$85:$H$113,4,FALSE)*$R69)+IF($V69="",0,VLOOKUP($V69,'⚪设计'!$B$85:$H$113,4,FALSE)*$W69))*IF(V69="",0,VLOOKUP(V69,'⚪设计'!$B$85:$H$113,4,FALSE)),0))</f>
        <v/>
      </c>
      <c r="Z69" s="97" t="str">
        <f>IF(V69="","",ROUND(战斗节奏!$B$14/(IF($G69="",0,VLOOKUP($G69,'⚪设计'!$B$85:$H$113,5,FALSE)*$H69)+IF($L69="",0,VLOOKUP($L69,'⚪设计'!$B$85:$H$113,5,FALSE)*$M69)+IF($Q69="",0,VLOOKUP($Q69,'⚪设计'!$B$85:$H$113,5,FALSE)*$R69)+IF($V69="",0,VLOOKUP($V69,'⚪设计'!$B$85:$H$113,5,FALSE)*$W69))*IF(V69="",0,VLOOKUP(V69,'⚪设计'!$B$85:$H$113,5,FALSE)),0))</f>
        <v/>
      </c>
    </row>
    <row r="70" spans="1:26" x14ac:dyDescent="0.2">
      <c r="A70" s="2" t="str">
        <f t="shared" si="10"/>
        <v>3_3</v>
      </c>
      <c r="B70" s="2">
        <v>3</v>
      </c>
      <c r="C70" s="2">
        <v>3</v>
      </c>
      <c r="D70" s="97">
        <f>VLOOKUP(C70,无限模式!$A$3:$B$22,2,FALSE)</f>
        <v>1620</v>
      </c>
      <c r="E70" s="98">
        <v>1</v>
      </c>
      <c r="F70" s="97">
        <f>VLOOKUP(A70,'⚪设计'!$A$436:$N$459,6,FALSE)</f>
        <v>15</v>
      </c>
      <c r="G70" s="97" t="str">
        <f>IF(VLOOKUP($A70,'⚪设计'!$A$436:$N$459,7,FALSE)="","",VLOOKUP($A70,'⚪设计'!$A$436:$N$459,7,FALSE))</f>
        <v>种子1</v>
      </c>
      <c r="H70" s="97">
        <f t="shared" si="11"/>
        <v>8</v>
      </c>
      <c r="I70" s="97">
        <f>IF(VLOOKUP($A70,'⚪设计'!$A$436:$N$459,11,FALSE)="","",VLOOKUP($A70,'⚪设计'!$A$436:$N$459,11,FALSE))</f>
        <v>2</v>
      </c>
      <c r="J70" s="97">
        <f>IF(G70="","",ROUND($D70*VLOOKUP($A70,'⚪设计'!$A$436:$N$459,4,FALSE)/(IF($G70="",0,VLOOKUP($G70,'⚪设计'!$B$85:$H$113,4,FALSE)*$H70)+IF($L70="",0,VLOOKUP($L70,'⚪设计'!$B$85:$H$113,4,FALSE)*$M70)+IF($Q70="",0,VLOOKUP($Q70,'⚪设计'!$B$85:$H$113,4,FALSE)*$R70)+IF($V70="",0,VLOOKUP($V70,'⚪设计'!$B$85:$H$113,4,FALSE)*$W70))*IF(G70="",0,VLOOKUP(G70,'⚪设计'!$B$85:$H$113,4,FALSE)),0))</f>
        <v>688</v>
      </c>
      <c r="K70" s="97">
        <f>IF(G70="","",ROUND(战斗节奏!$B$14/(IF($G70="",0,VLOOKUP($G70,'⚪设计'!$B$85:$H$113,5,FALSE)*$H70)+IF($L70="",0,VLOOKUP($L70,'⚪设计'!$B$85:$H$113,5,FALSE)*$M70)+IF($Q70="",0,VLOOKUP($Q70,'⚪设计'!$B$85:$H$113,5,FALSE)*$R70)+IF($V70="",0,VLOOKUP($V70,'⚪设计'!$B$85:$H$113,5,FALSE)*$W70))*IF(G70="",0,VLOOKUP(G70,'⚪设计'!$B$85:$H$113,5,FALSE)),0))</f>
        <v>15</v>
      </c>
      <c r="L70" s="97" t="str">
        <f>IF(VLOOKUP($A70,'⚪设计'!$A$436:$N$459,8,FALSE)="","",VLOOKUP($A70,'⚪设计'!$A$436:$N$459,8,FALSE))</f>
        <v>蝙蝠1</v>
      </c>
      <c r="M70" s="97">
        <f t="shared" si="12"/>
        <v>15</v>
      </c>
      <c r="N70" s="97">
        <f>IF(VLOOKUP($A70,'⚪设计'!$A$436:$N$459,12,FALSE)="","",VLOOKUP($A70,'⚪设计'!$A$436:$N$459,12,FALSE))</f>
        <v>1</v>
      </c>
      <c r="O70" s="97">
        <f>IF(L70="","",ROUND($D70*VLOOKUP($A70,'⚪设计'!$A$436:$N$459,4,FALSE)/(IF($G70="",0,VLOOKUP($G70,'⚪设计'!$B$85:$H$113,4,FALSE)*$H70)+IF($L70="",0,VLOOKUP($L70,'⚪设计'!$B$85:$H$113,4,FALSE)*$M70)+IF($Q70="",0,VLOOKUP($Q70,'⚪设计'!$B$85:$H$113,4,FALSE)*$R70)+IF($V70="",0,VLOOKUP($V70,'⚪设计'!$B$85:$H$113,4,FALSE)*$W70))*IF(L70="",0,VLOOKUP(L70,'⚪设计'!$B$85:$H$113,4,FALSE)),0))</f>
        <v>115</v>
      </c>
      <c r="P70" s="97">
        <f>IF(L70="","",ROUND(战斗节奏!$B$14/(IF($G70="",0,VLOOKUP($G70,'⚪设计'!$B$85:$H$113,5,FALSE)*$H70)+IF($L70="",0,VLOOKUP($L70,'⚪设计'!$B$85:$H$113,5,FALSE)*$M70)+IF($Q70="",0,VLOOKUP($Q70,'⚪设计'!$B$85:$H$113,5,FALSE)*$R70)+IF($V70="",0,VLOOKUP($V70,'⚪设计'!$B$85:$H$113,5,FALSE)*$W70))*IF(L70="",0,VLOOKUP(L70,'⚪设计'!$B$85:$H$113,5,FALSE)),0))</f>
        <v>4</v>
      </c>
      <c r="Q70" s="97" t="str">
        <f>IF(VLOOKUP($A70,'⚪设计'!$A$436:$N$459,9,FALSE)="","",VLOOKUP($A70,'⚪设计'!$A$436:$N$459,9,FALSE))</f>
        <v>雪人2</v>
      </c>
      <c r="R70" s="97">
        <f t="shared" si="13"/>
        <v>8</v>
      </c>
      <c r="S70" s="97">
        <f>IF(VLOOKUP($A70,'⚪设计'!$A$436:$N$459,13,FALSE)="","",VLOOKUP($A70,'⚪设计'!$A$436:$N$459,13,FALSE))</f>
        <v>2</v>
      </c>
      <c r="T70" s="97">
        <f>IF(Q70="","",ROUND($D70*VLOOKUP($A70,'⚪设计'!$A$436:$N$459,4,FALSE)/(IF($G70="",0,VLOOKUP($G70,'⚪设计'!$B$85:$H$113,4,FALSE)*$H70)+IF($L70="",0,VLOOKUP($L70,'⚪设计'!$B$85:$H$113,4,FALSE)*$M70)+IF($Q70="",0,VLOOKUP($Q70,'⚪设计'!$B$85:$H$113,4,FALSE)*$R70)+IF($V70="",0,VLOOKUP($V70,'⚪设计'!$B$85:$H$113,4,FALSE)*$W70))*IF(Q70="",0,VLOOKUP(Q70,'⚪设计'!$B$85:$H$113,4,FALSE)),0))</f>
        <v>4585</v>
      </c>
      <c r="U70" s="97">
        <f>IF(Q70="","",ROUND(战斗节奏!$B$14/(IF($G70="",0,VLOOKUP($G70,'⚪设计'!$B$85:$H$113,5,FALSE)*$H70)+IF($L70="",0,VLOOKUP($L70,'⚪设计'!$B$85:$H$113,5,FALSE)*$M70)+IF($Q70="",0,VLOOKUP($Q70,'⚪设计'!$B$85:$H$113,5,FALSE)*$R70)+IF($V70="",0,VLOOKUP($V70,'⚪设计'!$B$85:$H$113,5,FALSE)*$W70))*IF(Q70="",0,VLOOKUP(Q70,'⚪设计'!$B$85:$H$113,5,FALSE)),0))</f>
        <v>15</v>
      </c>
      <c r="V70" s="97" t="str">
        <f>IF(VLOOKUP($A70,'⚪设计'!$A$436:$N$459,10,FALSE)="","",VLOOKUP($A70,'⚪设计'!$A$436:$N$459,10,FALSE))</f>
        <v/>
      </c>
      <c r="W70" s="97" t="str">
        <f t="shared" si="14"/>
        <v/>
      </c>
      <c r="X70" s="97" t="str">
        <f>IF(VLOOKUP($A70,'⚪设计'!$A$436:$N$459,14,FALSE)="","",VLOOKUP($A70,'⚪设计'!$A$436:$N$459,14,FALSE))</f>
        <v/>
      </c>
      <c r="Y70" s="97" t="str">
        <f>IF(V70="","",ROUND($D70*VLOOKUP($A70,'⚪设计'!$A$436:$N$459,4,FALSE)/(IF($G70="",0,VLOOKUP($G70,'⚪设计'!$B$85:$H$113,4,FALSE)*$H70)+IF($L70="",0,VLOOKUP($L70,'⚪设计'!$B$85:$H$113,4,FALSE)*$M70)+IF($Q70="",0,VLOOKUP($Q70,'⚪设计'!$B$85:$H$113,4,FALSE)*$R70)+IF($V70="",0,VLOOKUP($V70,'⚪设计'!$B$85:$H$113,4,FALSE)*$W70))*IF(V70="",0,VLOOKUP(V70,'⚪设计'!$B$85:$H$113,4,FALSE)),0))</f>
        <v/>
      </c>
      <c r="Z70" s="97" t="str">
        <f>IF(V70="","",ROUND(战斗节奏!$B$14/(IF($G70="",0,VLOOKUP($G70,'⚪设计'!$B$85:$H$113,5,FALSE)*$H70)+IF($L70="",0,VLOOKUP($L70,'⚪设计'!$B$85:$H$113,5,FALSE)*$M70)+IF($Q70="",0,VLOOKUP($Q70,'⚪设计'!$B$85:$H$113,5,FALSE)*$R70)+IF($V70="",0,VLOOKUP($V70,'⚪设计'!$B$85:$H$113,5,FALSE)*$W70))*IF(V70="",0,VLOOKUP(V70,'⚪设计'!$B$85:$H$113,5,FALSE)),0))</f>
        <v/>
      </c>
    </row>
    <row r="71" spans="1:26" x14ac:dyDescent="0.2">
      <c r="A71" s="2" t="str">
        <f t="shared" si="10"/>
        <v>4_1</v>
      </c>
      <c r="B71" s="2">
        <v>4</v>
      </c>
      <c r="C71" s="2">
        <v>1</v>
      </c>
      <c r="D71" s="97">
        <f>VLOOKUP(C71,无限模式!$A$3:$B$22,2,FALSE)</f>
        <v>540</v>
      </c>
      <c r="E71" s="98">
        <v>1</v>
      </c>
      <c r="F71" s="97">
        <f>VLOOKUP(A71,'⚪设计'!$A$436:$N$459,6,FALSE)</f>
        <v>10</v>
      </c>
      <c r="G71" s="97" t="str">
        <f>IF(VLOOKUP($A71,'⚪设计'!$A$436:$N$459,7,FALSE)="","",VLOOKUP($A71,'⚪设计'!$A$436:$N$459,7,FALSE))</f>
        <v>鬼1</v>
      </c>
      <c r="H71" s="97">
        <f t="shared" si="11"/>
        <v>7</v>
      </c>
      <c r="I71" s="97">
        <f>IF(VLOOKUP($A71,'⚪设计'!$A$436:$N$459,11,FALSE)="","",VLOOKUP($A71,'⚪设计'!$A$436:$N$459,11,FALSE))</f>
        <v>1.5</v>
      </c>
      <c r="J71" s="97">
        <f>IF(G71="","",ROUND($D71*VLOOKUP($A71,'⚪设计'!$A$436:$N$459,4,FALSE)/(IF($G71="",0,VLOOKUP($G71,'⚪设计'!$B$85:$H$113,4,FALSE)*$H71)+IF($L71="",0,VLOOKUP($L71,'⚪设计'!$B$85:$H$113,4,FALSE)*$M71)+IF($Q71="",0,VLOOKUP($Q71,'⚪设计'!$B$85:$H$113,4,FALSE)*$R71)+IF($V71="",0,VLOOKUP($V71,'⚪设计'!$B$85:$H$113,4,FALSE)*$W71))*IF(G71="",0,VLOOKUP(G71,'⚪设计'!$B$85:$H$113,4,FALSE)),0))</f>
        <v>150</v>
      </c>
      <c r="K71" s="97">
        <f>IF(G71="","",ROUND(战斗节奏!$B$14/(IF($G71="",0,VLOOKUP($G71,'⚪设计'!$B$85:$H$113,5,FALSE)*$H71)+IF($L71="",0,VLOOKUP($L71,'⚪设计'!$B$85:$H$113,5,FALSE)*$M71)+IF($Q71="",0,VLOOKUP($Q71,'⚪设计'!$B$85:$H$113,5,FALSE)*$R71)+IF($V71="",0,VLOOKUP($V71,'⚪设计'!$B$85:$H$113,5,FALSE)*$W71))*IF(G71="",0,VLOOKUP(G71,'⚪设计'!$B$85:$H$113,5,FALSE)),0))</f>
        <v>18</v>
      </c>
      <c r="L71" s="97" t="str">
        <f>IF(VLOOKUP($A71,'⚪设计'!$A$436:$N$459,8,FALSE)="","",VLOOKUP($A71,'⚪设计'!$A$436:$N$459,8,FALSE))</f>
        <v>雪人2</v>
      </c>
      <c r="M71" s="97">
        <f t="shared" si="12"/>
        <v>5</v>
      </c>
      <c r="N71" s="97">
        <f>IF(VLOOKUP($A71,'⚪设计'!$A$436:$N$459,12,FALSE)="","",VLOOKUP($A71,'⚪设计'!$A$436:$N$459,12,FALSE))</f>
        <v>2</v>
      </c>
      <c r="O71" s="97">
        <f>IF(L71="","",ROUND($D71*VLOOKUP($A71,'⚪设计'!$A$436:$N$459,4,FALSE)/(IF($G71="",0,VLOOKUP($G71,'⚪设计'!$B$85:$H$113,4,FALSE)*$H71)+IF($L71="",0,VLOOKUP($L71,'⚪设计'!$B$85:$H$113,4,FALSE)*$M71)+IF($Q71="",0,VLOOKUP($Q71,'⚪设计'!$B$85:$H$113,4,FALSE)*$R71)+IF($V71="",0,VLOOKUP($V71,'⚪设计'!$B$85:$H$113,4,FALSE)*$W71))*IF(L71="",0,VLOOKUP(L71,'⚪设计'!$B$85:$H$113,4,FALSE)),0))</f>
        <v>3008</v>
      </c>
      <c r="P71" s="97">
        <f>IF(L71="","",ROUND(战斗节奏!$B$14/(IF($G71="",0,VLOOKUP($G71,'⚪设计'!$B$85:$H$113,5,FALSE)*$H71)+IF($L71="",0,VLOOKUP($L71,'⚪设计'!$B$85:$H$113,5,FALSE)*$M71)+IF($Q71="",0,VLOOKUP($Q71,'⚪设计'!$B$85:$H$113,5,FALSE)*$R71)+IF($V71="",0,VLOOKUP($V71,'⚪设计'!$B$85:$H$113,5,FALSE)*$W71))*IF(L71="",0,VLOOKUP(L71,'⚪设计'!$B$85:$H$113,5,FALSE)),0))</f>
        <v>35</v>
      </c>
      <c r="Q71" s="97" t="str">
        <f>IF(VLOOKUP($A71,'⚪设计'!$A$436:$N$459,9,FALSE)="","",VLOOKUP($A71,'⚪设计'!$A$436:$N$459,9,FALSE))</f>
        <v/>
      </c>
      <c r="R71" s="97" t="str">
        <f t="shared" si="13"/>
        <v/>
      </c>
      <c r="S71" s="97" t="str">
        <f>IF(VLOOKUP($A71,'⚪设计'!$A$436:$N$459,13,FALSE)="","",VLOOKUP($A71,'⚪设计'!$A$436:$N$459,13,FALSE))</f>
        <v/>
      </c>
      <c r="T71" s="97" t="str">
        <f>IF(Q71="","",ROUND($D71*VLOOKUP($A71,'⚪设计'!$A$436:$N$459,4,FALSE)/(IF($G71="",0,VLOOKUP($G71,'⚪设计'!$B$85:$H$113,4,FALSE)*$H71)+IF($L71="",0,VLOOKUP($L71,'⚪设计'!$B$85:$H$113,4,FALSE)*$M71)+IF($Q71="",0,VLOOKUP($Q71,'⚪设计'!$B$85:$H$113,4,FALSE)*$R71)+IF($V71="",0,VLOOKUP($V71,'⚪设计'!$B$85:$H$113,4,FALSE)*$W71))*IF(Q71="",0,VLOOKUP(Q71,'⚪设计'!$B$85:$H$113,4,FALSE)),0))</f>
        <v/>
      </c>
      <c r="U71" s="97" t="str">
        <f>IF(Q71="","",ROUND(战斗节奏!$B$14/(IF($G71="",0,VLOOKUP($G71,'⚪设计'!$B$85:$H$113,5,FALSE)*$H71)+IF($L71="",0,VLOOKUP($L71,'⚪设计'!$B$85:$H$113,5,FALSE)*$M71)+IF($Q71="",0,VLOOKUP($Q71,'⚪设计'!$B$85:$H$113,5,FALSE)*$R71)+IF($V71="",0,VLOOKUP($V71,'⚪设计'!$B$85:$H$113,5,FALSE)*$W71))*IF(Q71="",0,VLOOKUP(Q71,'⚪设计'!$B$85:$H$113,5,FALSE)),0))</f>
        <v/>
      </c>
      <c r="V71" s="97" t="str">
        <f>IF(VLOOKUP($A71,'⚪设计'!$A$436:$N$459,10,FALSE)="","",VLOOKUP($A71,'⚪设计'!$A$436:$N$459,10,FALSE))</f>
        <v/>
      </c>
      <c r="W71" s="97" t="str">
        <f t="shared" si="14"/>
        <v/>
      </c>
      <c r="X71" s="97" t="str">
        <f>IF(VLOOKUP($A71,'⚪设计'!$A$436:$N$459,14,FALSE)="","",VLOOKUP($A71,'⚪设计'!$A$436:$N$459,14,FALSE))</f>
        <v/>
      </c>
      <c r="Y71" s="97" t="str">
        <f>IF(V71="","",ROUND($D71*VLOOKUP($A71,'⚪设计'!$A$436:$N$459,4,FALSE)/(IF($G71="",0,VLOOKUP($G71,'⚪设计'!$B$85:$H$113,4,FALSE)*$H71)+IF($L71="",0,VLOOKUP($L71,'⚪设计'!$B$85:$H$113,4,FALSE)*$M71)+IF($Q71="",0,VLOOKUP($Q71,'⚪设计'!$B$85:$H$113,4,FALSE)*$R71)+IF($V71="",0,VLOOKUP($V71,'⚪设计'!$B$85:$H$113,4,FALSE)*$W71))*IF(V71="",0,VLOOKUP(V71,'⚪设计'!$B$85:$H$113,4,FALSE)),0))</f>
        <v/>
      </c>
      <c r="Z71" s="97" t="str">
        <f>IF(V71="","",ROUND(战斗节奏!$B$14/(IF($G71="",0,VLOOKUP($G71,'⚪设计'!$B$85:$H$113,5,FALSE)*$H71)+IF($L71="",0,VLOOKUP($L71,'⚪设计'!$B$85:$H$113,5,FALSE)*$M71)+IF($Q71="",0,VLOOKUP($Q71,'⚪设计'!$B$85:$H$113,5,FALSE)*$R71)+IF($V71="",0,VLOOKUP($V71,'⚪设计'!$B$85:$H$113,5,FALSE)*$W71))*IF(V71="",0,VLOOKUP(V71,'⚪设计'!$B$85:$H$113,5,FALSE)),0))</f>
        <v/>
      </c>
    </row>
    <row r="72" spans="1:26" x14ac:dyDescent="0.2">
      <c r="A72" s="2" t="str">
        <f t="shared" si="10"/>
        <v>4_2</v>
      </c>
      <c r="B72" s="2">
        <v>4</v>
      </c>
      <c r="C72" s="2">
        <v>2</v>
      </c>
      <c r="D72" s="97">
        <f>VLOOKUP(C72,无限模式!$A$3:$B$22,2,FALSE)</f>
        <v>1080</v>
      </c>
      <c r="E72" s="98">
        <v>1</v>
      </c>
      <c r="F72" s="97">
        <f>VLOOKUP(A72,'⚪设计'!$A$436:$N$459,6,FALSE)</f>
        <v>12.5</v>
      </c>
      <c r="G72" s="97" t="str">
        <f>IF(VLOOKUP($A72,'⚪设计'!$A$436:$N$459,7,FALSE)="","",VLOOKUP($A72,'⚪设计'!$A$436:$N$459,7,FALSE))</f>
        <v>鬼1</v>
      </c>
      <c r="H72" s="97">
        <f t="shared" si="11"/>
        <v>8</v>
      </c>
      <c r="I72" s="97">
        <f>IF(VLOOKUP($A72,'⚪设计'!$A$436:$N$459,11,FALSE)="","",VLOOKUP($A72,'⚪设计'!$A$436:$N$459,11,FALSE))</f>
        <v>1.5</v>
      </c>
      <c r="J72" s="97">
        <f>IF(G72="","",ROUND($D72*VLOOKUP($A72,'⚪设计'!$A$436:$N$459,4,FALSE)/(IF($G72="",0,VLOOKUP($G72,'⚪设计'!$B$85:$H$113,4,FALSE)*$H72)+IF($L72="",0,VLOOKUP($L72,'⚪设计'!$B$85:$H$113,4,FALSE)*$M72)+IF($Q72="",0,VLOOKUP($Q72,'⚪设计'!$B$85:$H$113,4,FALSE)*$R72)+IF($V72="",0,VLOOKUP($V72,'⚪设计'!$B$85:$H$113,4,FALSE)*$W72))*IF(G72="",0,VLOOKUP(G72,'⚪设计'!$B$85:$H$113,4,FALSE)),0))</f>
        <v>224</v>
      </c>
      <c r="K72" s="97">
        <f>IF(G72="","",ROUND(战斗节奏!$B$14/(IF($G72="",0,VLOOKUP($G72,'⚪设计'!$B$85:$H$113,5,FALSE)*$H72)+IF($L72="",0,VLOOKUP($L72,'⚪设计'!$B$85:$H$113,5,FALSE)*$M72)+IF($Q72="",0,VLOOKUP($Q72,'⚪设计'!$B$85:$H$113,5,FALSE)*$R72)+IF($V72="",0,VLOOKUP($V72,'⚪设计'!$B$85:$H$113,5,FALSE)*$W72))*IF(G72="",0,VLOOKUP(G72,'⚪设计'!$B$85:$H$113,5,FALSE)),0))</f>
        <v>4</v>
      </c>
      <c r="L72" s="97" t="str">
        <f>IF(VLOOKUP($A72,'⚪设计'!$A$436:$N$459,8,FALSE)="","",VLOOKUP($A72,'⚪设计'!$A$436:$N$459,8,FALSE))</f>
        <v>蜜蜂2</v>
      </c>
      <c r="M72" s="97">
        <f t="shared" si="12"/>
        <v>25</v>
      </c>
      <c r="N72" s="97">
        <f>IF(VLOOKUP($A72,'⚪设计'!$A$436:$N$459,12,FALSE)="","",VLOOKUP($A72,'⚪设计'!$A$436:$N$459,12,FALSE))</f>
        <v>0.5</v>
      </c>
      <c r="O72" s="97">
        <f>IF(L72="","",ROUND($D72*VLOOKUP($A72,'⚪设计'!$A$436:$N$459,4,FALSE)/(IF($G72="",0,VLOOKUP($G72,'⚪设计'!$B$85:$H$113,4,FALSE)*$H72)+IF($L72="",0,VLOOKUP($L72,'⚪设计'!$B$85:$H$113,4,FALSE)*$M72)+IF($Q72="",0,VLOOKUP($Q72,'⚪设计'!$B$85:$H$113,4,FALSE)*$R72)+IF($V72="",0,VLOOKUP($V72,'⚪设计'!$B$85:$H$113,4,FALSE)*$W72))*IF(L72="",0,VLOOKUP(L72,'⚪设计'!$B$85:$H$113,4,FALSE)),0))</f>
        <v>448</v>
      </c>
      <c r="P72" s="97">
        <f>IF(L72="","",ROUND(战斗节奏!$B$14/(IF($G72="",0,VLOOKUP($G72,'⚪设计'!$B$85:$H$113,5,FALSE)*$H72)+IF($L72="",0,VLOOKUP($L72,'⚪设计'!$B$85:$H$113,5,FALSE)*$M72)+IF($Q72="",0,VLOOKUP($Q72,'⚪设计'!$B$85:$H$113,5,FALSE)*$R72)+IF($V72="",0,VLOOKUP($V72,'⚪设计'!$B$85:$H$113,5,FALSE)*$W72))*IF(L72="",0,VLOOKUP(L72,'⚪设计'!$B$85:$H$113,5,FALSE)),0))</f>
        <v>9</v>
      </c>
      <c r="Q72" s="97" t="str">
        <f>IF(VLOOKUP($A72,'⚪设计'!$A$436:$N$459,9,FALSE)="","",VLOOKUP($A72,'⚪设计'!$A$436:$N$459,9,FALSE))</f>
        <v>雪人2</v>
      </c>
      <c r="R72" s="97">
        <f t="shared" si="13"/>
        <v>6</v>
      </c>
      <c r="S72" s="97">
        <f>IF(VLOOKUP($A72,'⚪设计'!$A$436:$N$459,13,FALSE)="","",VLOOKUP($A72,'⚪设计'!$A$436:$N$459,13,FALSE))</f>
        <v>2</v>
      </c>
      <c r="T72" s="97">
        <f>IF(Q72="","",ROUND($D72*VLOOKUP($A72,'⚪设计'!$A$436:$N$459,4,FALSE)/(IF($G72="",0,VLOOKUP($G72,'⚪设计'!$B$85:$H$113,4,FALSE)*$H72)+IF($L72="",0,VLOOKUP($L72,'⚪设计'!$B$85:$H$113,4,FALSE)*$M72)+IF($Q72="",0,VLOOKUP($Q72,'⚪设计'!$B$85:$H$113,4,FALSE)*$R72)+IF($V72="",0,VLOOKUP($V72,'⚪设计'!$B$85:$H$113,4,FALSE)*$W72))*IF(Q72="",0,VLOOKUP(Q72,'⚪设计'!$B$85:$H$113,4,FALSE)),0))</f>
        <v>4478</v>
      </c>
      <c r="U72" s="97">
        <f>IF(Q72="","",ROUND(战斗节奏!$B$14/(IF($G72="",0,VLOOKUP($G72,'⚪设计'!$B$85:$H$113,5,FALSE)*$H72)+IF($L72="",0,VLOOKUP($L72,'⚪设计'!$B$85:$H$113,5,FALSE)*$M72)+IF($Q72="",0,VLOOKUP($Q72,'⚪设计'!$B$85:$H$113,5,FALSE)*$R72)+IF($V72="",0,VLOOKUP($V72,'⚪设计'!$B$85:$H$113,5,FALSE)*$W72))*IF(Q72="",0,VLOOKUP(Q72,'⚪设计'!$B$85:$H$113,5,FALSE)),0))</f>
        <v>9</v>
      </c>
      <c r="V72" s="97" t="str">
        <f>IF(VLOOKUP($A72,'⚪设计'!$A$436:$N$459,10,FALSE)="","",VLOOKUP($A72,'⚪设计'!$A$436:$N$459,10,FALSE))</f>
        <v/>
      </c>
      <c r="W72" s="97" t="str">
        <f t="shared" si="14"/>
        <v/>
      </c>
      <c r="X72" s="97" t="str">
        <f>IF(VLOOKUP($A72,'⚪设计'!$A$436:$N$459,14,FALSE)="","",VLOOKUP($A72,'⚪设计'!$A$436:$N$459,14,FALSE))</f>
        <v/>
      </c>
      <c r="Y72" s="97" t="str">
        <f>IF(V72="","",ROUND($D72*VLOOKUP($A72,'⚪设计'!$A$436:$N$459,4,FALSE)/(IF($G72="",0,VLOOKUP($G72,'⚪设计'!$B$85:$H$113,4,FALSE)*$H72)+IF($L72="",0,VLOOKUP($L72,'⚪设计'!$B$85:$H$113,4,FALSE)*$M72)+IF($Q72="",0,VLOOKUP($Q72,'⚪设计'!$B$85:$H$113,4,FALSE)*$R72)+IF($V72="",0,VLOOKUP($V72,'⚪设计'!$B$85:$H$113,4,FALSE)*$W72))*IF(V72="",0,VLOOKUP(V72,'⚪设计'!$B$85:$H$113,4,FALSE)),0))</f>
        <v/>
      </c>
      <c r="Z72" s="97" t="str">
        <f>IF(V72="","",ROUND(战斗节奏!$B$14/(IF($G72="",0,VLOOKUP($G72,'⚪设计'!$B$85:$H$113,5,FALSE)*$H72)+IF($L72="",0,VLOOKUP($L72,'⚪设计'!$B$85:$H$113,5,FALSE)*$M72)+IF($Q72="",0,VLOOKUP($Q72,'⚪设计'!$B$85:$H$113,5,FALSE)*$R72)+IF($V72="",0,VLOOKUP($V72,'⚪设计'!$B$85:$H$113,5,FALSE)*$W72))*IF(V72="",0,VLOOKUP(V72,'⚪设计'!$B$85:$H$113,5,FALSE)),0))</f>
        <v/>
      </c>
    </row>
    <row r="73" spans="1:26" x14ac:dyDescent="0.2">
      <c r="A73" s="2" t="str">
        <f t="shared" si="10"/>
        <v>4_3</v>
      </c>
      <c r="B73" s="2">
        <v>4</v>
      </c>
      <c r="C73" s="2">
        <v>3</v>
      </c>
      <c r="D73" s="97">
        <f>VLOOKUP(C73,无限模式!$A$3:$B$22,2,FALSE)</f>
        <v>1620</v>
      </c>
      <c r="E73" s="98">
        <v>1</v>
      </c>
      <c r="F73" s="97">
        <f>VLOOKUP(A73,'⚪设计'!$A$436:$N$459,6,FALSE)</f>
        <v>15</v>
      </c>
      <c r="G73" s="97" t="str">
        <f>IF(VLOOKUP($A73,'⚪设计'!$A$436:$N$459,7,FALSE)="","",VLOOKUP($A73,'⚪设计'!$A$436:$N$459,7,FALSE))</f>
        <v>鬼1</v>
      </c>
      <c r="H73" s="97">
        <f t="shared" si="11"/>
        <v>10</v>
      </c>
      <c r="I73" s="97">
        <f>IF(VLOOKUP($A73,'⚪设计'!$A$436:$N$459,11,FALSE)="","",VLOOKUP($A73,'⚪设计'!$A$436:$N$459,11,FALSE))</f>
        <v>1.5</v>
      </c>
      <c r="J73" s="97">
        <f>IF(G73="","",ROUND($D73*VLOOKUP($A73,'⚪设计'!$A$436:$N$459,4,FALSE)/(IF($G73="",0,VLOOKUP($G73,'⚪设计'!$B$85:$H$113,4,FALSE)*$H73)+IF($L73="",0,VLOOKUP($L73,'⚪设计'!$B$85:$H$113,4,FALSE)*$M73)+IF($Q73="",0,VLOOKUP($Q73,'⚪设计'!$B$85:$H$113,4,FALSE)*$R73)+IF($V73="",0,VLOOKUP($V73,'⚪设计'!$B$85:$H$113,4,FALSE)*$W73))*IF(G73="",0,VLOOKUP(G73,'⚪设计'!$B$85:$H$113,4,FALSE)),0))</f>
        <v>227</v>
      </c>
      <c r="K73" s="97">
        <f>IF(G73="","",ROUND(战斗节奏!$B$14/(IF($G73="",0,VLOOKUP($G73,'⚪设计'!$B$85:$H$113,5,FALSE)*$H73)+IF($L73="",0,VLOOKUP($L73,'⚪设计'!$B$85:$H$113,5,FALSE)*$M73)+IF($Q73="",0,VLOOKUP($Q73,'⚪设计'!$B$85:$H$113,5,FALSE)*$R73)+IF($V73="",0,VLOOKUP($V73,'⚪设计'!$B$85:$H$113,5,FALSE)*$W73))*IF(G73="",0,VLOOKUP(G73,'⚪设计'!$B$85:$H$113,5,FALSE)),0))</f>
        <v>7</v>
      </c>
      <c r="L73" s="97" t="str">
        <f>IF(VLOOKUP($A73,'⚪设计'!$A$436:$N$459,8,FALSE)="","",VLOOKUP($A73,'⚪设计'!$A$436:$N$459,8,FALSE))</f>
        <v>蝙蝠1</v>
      </c>
      <c r="M73" s="97">
        <f t="shared" si="12"/>
        <v>30</v>
      </c>
      <c r="N73" s="97">
        <f>IF(VLOOKUP($A73,'⚪设计'!$A$436:$N$459,12,FALSE)="","",VLOOKUP($A73,'⚪设计'!$A$436:$N$459,12,FALSE))</f>
        <v>0.5</v>
      </c>
      <c r="O73" s="97">
        <f>IF(L73="","",ROUND($D73*VLOOKUP($A73,'⚪设计'!$A$436:$N$459,4,FALSE)/(IF($G73="",0,VLOOKUP($G73,'⚪设计'!$B$85:$H$113,4,FALSE)*$H73)+IF($L73="",0,VLOOKUP($L73,'⚪设计'!$B$85:$H$113,4,FALSE)*$M73)+IF($Q73="",0,VLOOKUP($Q73,'⚪设计'!$B$85:$H$113,4,FALSE)*$R73)+IF($V73="",0,VLOOKUP($V73,'⚪设计'!$B$85:$H$113,4,FALSE)*$W73))*IF(L73="",0,VLOOKUP(L73,'⚪设计'!$B$85:$H$113,4,FALSE)),0))</f>
        <v>113</v>
      </c>
      <c r="P73" s="97">
        <f>IF(L73="","",ROUND(战斗节奏!$B$14/(IF($G73="",0,VLOOKUP($G73,'⚪设计'!$B$85:$H$113,5,FALSE)*$H73)+IF($L73="",0,VLOOKUP($L73,'⚪设计'!$B$85:$H$113,5,FALSE)*$M73)+IF($Q73="",0,VLOOKUP($Q73,'⚪设计'!$B$85:$H$113,5,FALSE)*$R73)+IF($V73="",0,VLOOKUP($V73,'⚪设计'!$B$85:$H$113,5,FALSE)*$W73))*IF(L73="",0,VLOOKUP(L73,'⚪设计'!$B$85:$H$113,5,FALSE)),0))</f>
        <v>4</v>
      </c>
      <c r="Q73" s="97" t="str">
        <f>IF(VLOOKUP($A73,'⚪设计'!$A$436:$N$459,9,FALSE)="","",VLOOKUP($A73,'⚪设计'!$A$436:$N$459,9,FALSE))</f>
        <v>雪人2</v>
      </c>
      <c r="R73" s="97">
        <f t="shared" si="13"/>
        <v>8</v>
      </c>
      <c r="S73" s="97">
        <f>IF(VLOOKUP($A73,'⚪设计'!$A$436:$N$459,13,FALSE)="","",VLOOKUP($A73,'⚪设计'!$A$436:$N$459,13,FALSE))</f>
        <v>2</v>
      </c>
      <c r="T73" s="97">
        <f>IF(Q73="","",ROUND($D73*VLOOKUP($A73,'⚪设计'!$A$436:$N$459,4,FALSE)/(IF($G73="",0,VLOOKUP($G73,'⚪设计'!$B$85:$H$113,4,FALSE)*$H73)+IF($L73="",0,VLOOKUP($L73,'⚪设计'!$B$85:$H$113,4,FALSE)*$M73)+IF($Q73="",0,VLOOKUP($Q73,'⚪设计'!$B$85:$H$113,4,FALSE)*$R73)+IF($V73="",0,VLOOKUP($V73,'⚪设计'!$B$85:$H$113,4,FALSE)*$W73))*IF(Q73="",0,VLOOKUP(Q73,'⚪设计'!$B$85:$H$113,4,FALSE)),0))</f>
        <v>4536</v>
      </c>
      <c r="U73" s="97">
        <f>IF(Q73="","",ROUND(战斗节奏!$B$14/(IF($G73="",0,VLOOKUP($G73,'⚪设计'!$B$85:$H$113,5,FALSE)*$H73)+IF($L73="",0,VLOOKUP($L73,'⚪设计'!$B$85:$H$113,5,FALSE)*$M73)+IF($Q73="",0,VLOOKUP($Q73,'⚪设计'!$B$85:$H$113,5,FALSE)*$R73)+IF($V73="",0,VLOOKUP($V73,'⚪设计'!$B$85:$H$113,5,FALSE)*$W73))*IF(Q73="",0,VLOOKUP(Q73,'⚪设计'!$B$85:$H$113,5,FALSE)),0))</f>
        <v>15</v>
      </c>
      <c r="V73" s="97" t="str">
        <f>IF(VLOOKUP($A73,'⚪设计'!$A$436:$N$459,10,FALSE)="","",VLOOKUP($A73,'⚪设计'!$A$436:$N$459,10,FALSE))</f>
        <v/>
      </c>
      <c r="W73" s="97" t="str">
        <f t="shared" si="14"/>
        <v/>
      </c>
      <c r="X73" s="97" t="str">
        <f>IF(VLOOKUP($A73,'⚪设计'!$A$436:$N$459,14,FALSE)="","",VLOOKUP($A73,'⚪设计'!$A$436:$N$459,14,FALSE))</f>
        <v/>
      </c>
      <c r="Y73" s="97" t="str">
        <f>IF(V73="","",ROUND($D73*VLOOKUP($A73,'⚪设计'!$A$436:$N$459,4,FALSE)/(IF($G73="",0,VLOOKUP($G73,'⚪设计'!$B$85:$H$113,4,FALSE)*$H73)+IF($L73="",0,VLOOKUP($L73,'⚪设计'!$B$85:$H$113,4,FALSE)*$M73)+IF($Q73="",0,VLOOKUP($Q73,'⚪设计'!$B$85:$H$113,4,FALSE)*$R73)+IF($V73="",0,VLOOKUP($V73,'⚪设计'!$B$85:$H$113,4,FALSE)*$W73))*IF(V73="",0,VLOOKUP(V73,'⚪设计'!$B$85:$H$113,4,FALSE)),0))</f>
        <v/>
      </c>
      <c r="Z73" s="97" t="str">
        <f>IF(V73="","",ROUND(战斗节奏!$B$14/(IF($G73="",0,VLOOKUP($G73,'⚪设计'!$B$85:$H$113,5,FALSE)*$H73)+IF($L73="",0,VLOOKUP($L73,'⚪设计'!$B$85:$H$113,5,FALSE)*$M73)+IF($Q73="",0,VLOOKUP($Q73,'⚪设计'!$B$85:$H$113,5,FALSE)*$R73)+IF($V73="",0,VLOOKUP($V73,'⚪设计'!$B$85:$H$113,5,FALSE)*$W73))*IF(V73="",0,VLOOKUP(V73,'⚪设计'!$B$85:$H$113,5,FALSE)),0))</f>
        <v/>
      </c>
    </row>
    <row r="74" spans="1:26" x14ac:dyDescent="0.2">
      <c r="A74" s="2" t="str">
        <f t="shared" si="10"/>
        <v>4_4</v>
      </c>
      <c r="B74" s="2">
        <v>4</v>
      </c>
      <c r="C74" s="2">
        <v>4</v>
      </c>
      <c r="D74" s="97">
        <f>VLOOKUP(C74,无限模式!$A$3:$B$22,2,FALSE)</f>
        <v>2160</v>
      </c>
      <c r="E74" s="98">
        <v>1</v>
      </c>
      <c r="F74" s="97">
        <f>VLOOKUP(A74,'⚪设计'!$A$436:$N$459,6,FALSE)</f>
        <v>17.5</v>
      </c>
      <c r="G74" s="97" t="str">
        <f>IF(VLOOKUP($A74,'⚪设计'!$A$436:$N$459,7,FALSE)="","",VLOOKUP($A74,'⚪设计'!$A$436:$N$459,7,FALSE))</f>
        <v>鬼1</v>
      </c>
      <c r="H74" s="97">
        <f t="shared" si="11"/>
        <v>12</v>
      </c>
      <c r="I74" s="97">
        <f>IF(VLOOKUP($A74,'⚪设计'!$A$436:$N$459,11,FALSE)="","",VLOOKUP($A74,'⚪设计'!$A$436:$N$459,11,FALSE))</f>
        <v>1.5</v>
      </c>
      <c r="J74" s="97">
        <f>IF(G74="","",ROUND($D74*VLOOKUP($A74,'⚪设计'!$A$436:$N$459,4,FALSE)/(IF($G74="",0,VLOOKUP($G74,'⚪设计'!$B$85:$H$113,4,FALSE)*$H74)+IF($L74="",0,VLOOKUP($L74,'⚪设计'!$B$85:$H$113,4,FALSE)*$M74)+IF($Q74="",0,VLOOKUP($Q74,'⚪设计'!$B$85:$H$113,4,FALSE)*$R74)+IF($V74="",0,VLOOKUP($V74,'⚪设计'!$B$85:$H$113,4,FALSE)*$W74))*IF(G74="",0,VLOOKUP(G74,'⚪设计'!$B$85:$H$113,4,FALSE)),0))</f>
        <v>355</v>
      </c>
      <c r="K74" s="97">
        <f>IF(G74="","",ROUND(战斗节奏!$B$14/(IF($G74="",0,VLOOKUP($G74,'⚪设计'!$B$85:$H$113,5,FALSE)*$H74)+IF($L74="",0,VLOOKUP($L74,'⚪设计'!$B$85:$H$113,5,FALSE)*$M74)+IF($Q74="",0,VLOOKUP($Q74,'⚪设计'!$B$85:$H$113,5,FALSE)*$R74)+IF($V74="",0,VLOOKUP($V74,'⚪设计'!$B$85:$H$113,5,FALSE)*$W74))*IF(G74="",0,VLOOKUP(G74,'⚪设计'!$B$85:$H$113,5,FALSE)),0))</f>
        <v>3</v>
      </c>
      <c r="L74" s="97" t="str">
        <f>IF(VLOOKUP($A74,'⚪设计'!$A$436:$N$459,8,FALSE)="","",VLOOKUP($A74,'⚪设计'!$A$436:$N$459,8,FALSE))</f>
        <v>蜘蛛1</v>
      </c>
      <c r="M74" s="97">
        <f t="shared" si="12"/>
        <v>44</v>
      </c>
      <c r="N74" s="97">
        <f>IF(VLOOKUP($A74,'⚪设计'!$A$436:$N$459,12,FALSE)="","",VLOOKUP($A74,'⚪设计'!$A$436:$N$459,12,FALSE))</f>
        <v>0.4</v>
      </c>
      <c r="O74" s="97">
        <f>IF(L74="","",ROUND($D74*VLOOKUP($A74,'⚪设计'!$A$436:$N$459,4,FALSE)/(IF($G74="",0,VLOOKUP($G74,'⚪设计'!$B$85:$H$113,4,FALSE)*$H74)+IF($L74="",0,VLOOKUP($L74,'⚪设计'!$B$85:$H$113,4,FALSE)*$M74)+IF($Q74="",0,VLOOKUP($Q74,'⚪设计'!$B$85:$H$113,4,FALSE)*$R74)+IF($V74="",0,VLOOKUP($V74,'⚪设计'!$B$85:$H$113,4,FALSE)*$W74))*IF(L74="",0,VLOOKUP(L74,'⚪设计'!$B$85:$H$113,4,FALSE)),0))</f>
        <v>355</v>
      </c>
      <c r="P74" s="97">
        <f>IF(L74="","",ROUND(战斗节奏!$B$14/(IF($G74="",0,VLOOKUP($G74,'⚪设计'!$B$85:$H$113,5,FALSE)*$H74)+IF($L74="",0,VLOOKUP($L74,'⚪设计'!$B$85:$H$113,5,FALSE)*$M74)+IF($Q74="",0,VLOOKUP($Q74,'⚪设计'!$B$85:$H$113,5,FALSE)*$R74)+IF($V74="",0,VLOOKUP($V74,'⚪设计'!$B$85:$H$113,5,FALSE)*$W74))*IF(L74="",0,VLOOKUP(L74,'⚪设计'!$B$85:$H$113,5,FALSE)),0))</f>
        <v>3</v>
      </c>
      <c r="Q74" s="97" t="str">
        <f>IF(VLOOKUP($A74,'⚪设计'!$A$436:$N$459,9,FALSE)="","",VLOOKUP($A74,'⚪设计'!$A$436:$N$459,9,FALSE))</f>
        <v>雪人2</v>
      </c>
      <c r="R74" s="97">
        <f t="shared" si="13"/>
        <v>18</v>
      </c>
      <c r="S74" s="97">
        <f>IF(VLOOKUP($A74,'⚪设计'!$A$436:$N$459,13,FALSE)="","",VLOOKUP($A74,'⚪设计'!$A$436:$N$459,13,FALSE))</f>
        <v>1</v>
      </c>
      <c r="T74" s="97">
        <f>IF(Q74="","",ROUND($D74*VLOOKUP($A74,'⚪设计'!$A$436:$N$459,4,FALSE)/(IF($G74="",0,VLOOKUP($G74,'⚪设计'!$B$85:$H$113,4,FALSE)*$H74)+IF($L74="",0,VLOOKUP($L74,'⚪设计'!$B$85:$H$113,4,FALSE)*$M74)+IF($Q74="",0,VLOOKUP($Q74,'⚪设计'!$B$85:$H$113,4,FALSE)*$R74)+IF($V74="",0,VLOOKUP($V74,'⚪设计'!$B$85:$H$113,4,FALSE)*$W74))*IF(Q74="",0,VLOOKUP(Q74,'⚪设计'!$B$85:$H$113,4,FALSE)),0))</f>
        <v>7093</v>
      </c>
      <c r="U74" s="97">
        <f>IF(Q74="","",ROUND(战斗节奏!$B$14/(IF($G74="",0,VLOOKUP($G74,'⚪设计'!$B$85:$H$113,5,FALSE)*$H74)+IF($L74="",0,VLOOKUP($L74,'⚪设计'!$B$85:$H$113,5,FALSE)*$M74)+IF($Q74="",0,VLOOKUP($Q74,'⚪设计'!$B$85:$H$113,5,FALSE)*$R74)+IF($V74="",0,VLOOKUP($V74,'⚪设计'!$B$85:$H$113,5,FALSE)*$W74))*IF(Q74="",0,VLOOKUP(Q74,'⚪设计'!$B$85:$H$113,5,FALSE)),0))</f>
        <v>7</v>
      </c>
      <c r="V74" s="97" t="str">
        <f>IF(VLOOKUP($A74,'⚪设计'!$A$436:$N$459,10,FALSE)="","",VLOOKUP($A74,'⚪设计'!$A$436:$N$459,10,FALSE))</f>
        <v/>
      </c>
      <c r="W74" s="97" t="str">
        <f t="shared" si="14"/>
        <v/>
      </c>
      <c r="X74" s="97" t="str">
        <f>IF(VLOOKUP($A74,'⚪设计'!$A$436:$N$459,14,FALSE)="","",VLOOKUP($A74,'⚪设计'!$A$436:$N$459,14,FALSE))</f>
        <v/>
      </c>
      <c r="Y74" s="97" t="str">
        <f>IF(V74="","",ROUND($D74*VLOOKUP($A74,'⚪设计'!$A$436:$N$459,4,FALSE)/(IF($G74="",0,VLOOKUP($G74,'⚪设计'!$B$85:$H$113,4,FALSE)*$H74)+IF($L74="",0,VLOOKUP($L74,'⚪设计'!$B$85:$H$113,4,FALSE)*$M74)+IF($Q74="",0,VLOOKUP($Q74,'⚪设计'!$B$85:$H$113,4,FALSE)*$R74)+IF($V74="",0,VLOOKUP($V74,'⚪设计'!$B$85:$H$113,4,FALSE)*$W74))*IF(V74="",0,VLOOKUP(V74,'⚪设计'!$B$85:$H$113,4,FALSE)),0))</f>
        <v/>
      </c>
      <c r="Z74" s="97" t="str">
        <f>IF(V74="","",ROUND(战斗节奏!$B$14/(IF($G74="",0,VLOOKUP($G74,'⚪设计'!$B$85:$H$113,5,FALSE)*$H74)+IF($L74="",0,VLOOKUP($L74,'⚪设计'!$B$85:$H$113,5,FALSE)*$M74)+IF($Q74="",0,VLOOKUP($Q74,'⚪设计'!$B$85:$H$113,5,FALSE)*$R74)+IF($V74="",0,VLOOKUP($V74,'⚪设计'!$B$85:$H$113,5,FALSE)*$W74))*IF(V74="",0,VLOOKUP(V74,'⚪设计'!$B$85:$H$113,5,FALSE)),0))</f>
        <v/>
      </c>
    </row>
    <row r="75" spans="1:26" x14ac:dyDescent="0.2">
      <c r="A75" s="2" t="str">
        <f t="shared" si="10"/>
        <v>4_5</v>
      </c>
      <c r="B75" s="2">
        <v>4</v>
      </c>
      <c r="C75" s="2">
        <v>5</v>
      </c>
      <c r="D75" s="97">
        <f>VLOOKUP(C75,无限模式!$A$3:$B$22,2,FALSE)</f>
        <v>2700</v>
      </c>
      <c r="E75" s="98">
        <v>1</v>
      </c>
      <c r="F75" s="97">
        <f>VLOOKUP(A75,'⚪设计'!$A$436:$N$459,6,FALSE)</f>
        <v>20</v>
      </c>
      <c r="G75" s="97" t="str">
        <f>IF(VLOOKUP($A75,'⚪设计'!$A$436:$N$459,7,FALSE)="","",VLOOKUP($A75,'⚪设计'!$A$436:$N$459,7,FALSE))</f>
        <v>鬼1</v>
      </c>
      <c r="H75" s="97">
        <f t="shared" si="11"/>
        <v>40</v>
      </c>
      <c r="I75" s="97">
        <f>IF(VLOOKUP($A75,'⚪设计'!$A$436:$N$459,11,FALSE)="","",VLOOKUP($A75,'⚪设计'!$A$436:$N$459,11,FALSE))</f>
        <v>0.5</v>
      </c>
      <c r="J75" s="97">
        <f>IF(G75="","",ROUND($D75*VLOOKUP($A75,'⚪设计'!$A$436:$N$459,4,FALSE)/(IF($G75="",0,VLOOKUP($G75,'⚪设计'!$B$85:$H$113,4,FALSE)*$H75)+IF($L75="",0,VLOOKUP($L75,'⚪设计'!$B$85:$H$113,4,FALSE)*$M75)+IF($Q75="",0,VLOOKUP($Q75,'⚪设计'!$B$85:$H$113,4,FALSE)*$R75)+IF($V75="",0,VLOOKUP($V75,'⚪设计'!$B$85:$H$113,4,FALSE)*$W75))*IF(G75="",0,VLOOKUP(G75,'⚪设计'!$B$85:$H$113,4,FALSE)),0))</f>
        <v>396</v>
      </c>
      <c r="K75" s="97">
        <f>IF(G75="","",ROUND(战斗节奏!$B$14/(IF($G75="",0,VLOOKUP($G75,'⚪设计'!$B$85:$H$113,5,FALSE)*$H75)+IF($L75="",0,VLOOKUP($L75,'⚪设计'!$B$85:$H$113,5,FALSE)*$M75)+IF($Q75="",0,VLOOKUP($Q75,'⚪设计'!$B$85:$H$113,5,FALSE)*$R75)+IF($V75="",0,VLOOKUP($V75,'⚪设计'!$B$85:$H$113,5,FALSE)*$W75))*IF(G75="",0,VLOOKUP(G75,'⚪设计'!$B$85:$H$113,5,FALSE)),0))</f>
        <v>3</v>
      </c>
      <c r="L75" s="97" t="str">
        <f>IF(VLOOKUP($A75,'⚪设计'!$A$436:$N$459,8,FALSE)="","",VLOOKUP($A75,'⚪设计'!$A$436:$N$459,8,FALSE))</f>
        <v>种子1</v>
      </c>
      <c r="M75" s="97">
        <f t="shared" si="12"/>
        <v>10</v>
      </c>
      <c r="N75" s="97">
        <f>IF(VLOOKUP($A75,'⚪设计'!$A$436:$N$459,12,FALSE)="","",VLOOKUP($A75,'⚪设计'!$A$436:$N$459,12,FALSE))</f>
        <v>2</v>
      </c>
      <c r="O75" s="97">
        <f>IF(L75="","",ROUND($D75*VLOOKUP($A75,'⚪设计'!$A$436:$N$459,4,FALSE)/(IF($G75="",0,VLOOKUP($G75,'⚪设计'!$B$85:$H$113,4,FALSE)*$H75)+IF($L75="",0,VLOOKUP($L75,'⚪设计'!$B$85:$H$113,4,FALSE)*$M75)+IF($Q75="",0,VLOOKUP($Q75,'⚪设计'!$B$85:$H$113,4,FALSE)*$R75)+IF($V75="",0,VLOOKUP($V75,'⚪设计'!$B$85:$H$113,4,FALSE)*$W75))*IF(L75="",0,VLOOKUP(L75,'⚪设计'!$B$85:$H$113,4,FALSE)),0))</f>
        <v>1187</v>
      </c>
      <c r="P75" s="97">
        <f>IF(L75="","",ROUND(战斗节奏!$B$14/(IF($G75="",0,VLOOKUP($G75,'⚪设计'!$B$85:$H$113,5,FALSE)*$H75)+IF($L75="",0,VLOOKUP($L75,'⚪设计'!$B$85:$H$113,5,FALSE)*$M75)+IF($Q75="",0,VLOOKUP($Q75,'⚪设计'!$B$85:$H$113,5,FALSE)*$R75)+IF($V75="",0,VLOOKUP($V75,'⚪设计'!$B$85:$H$113,5,FALSE)*$W75))*IF(L75="",0,VLOOKUP(L75,'⚪设计'!$B$85:$H$113,5,FALSE)),0))</f>
        <v>6</v>
      </c>
      <c r="Q75" s="97" t="str">
        <f>IF(VLOOKUP($A75,'⚪设计'!$A$436:$N$459,9,FALSE)="","",VLOOKUP($A75,'⚪设计'!$A$436:$N$459,9,FALSE))</f>
        <v>雪人2</v>
      </c>
      <c r="R75" s="97">
        <f t="shared" si="13"/>
        <v>20</v>
      </c>
      <c r="S75" s="97">
        <f>IF(VLOOKUP($A75,'⚪设计'!$A$436:$N$459,13,FALSE)="","",VLOOKUP($A75,'⚪设计'!$A$436:$N$459,13,FALSE))</f>
        <v>1</v>
      </c>
      <c r="T75" s="97">
        <f>IF(Q75="","",ROUND($D75*VLOOKUP($A75,'⚪设计'!$A$436:$N$459,4,FALSE)/(IF($G75="",0,VLOOKUP($G75,'⚪设计'!$B$85:$H$113,4,FALSE)*$H75)+IF($L75="",0,VLOOKUP($L75,'⚪设计'!$B$85:$H$113,4,FALSE)*$M75)+IF($Q75="",0,VLOOKUP($Q75,'⚪设计'!$B$85:$H$113,4,FALSE)*$R75)+IF($V75="",0,VLOOKUP($V75,'⚪设计'!$B$85:$H$113,4,FALSE)*$W75))*IF(Q75="",0,VLOOKUP(Q75,'⚪设计'!$B$85:$H$113,4,FALSE)),0))</f>
        <v>7916</v>
      </c>
      <c r="U75" s="97">
        <f>IF(Q75="","",ROUND(战斗节奏!$B$14/(IF($G75="",0,VLOOKUP($G75,'⚪设计'!$B$85:$H$113,5,FALSE)*$H75)+IF($L75="",0,VLOOKUP($L75,'⚪设计'!$B$85:$H$113,5,FALSE)*$M75)+IF($Q75="",0,VLOOKUP($Q75,'⚪设计'!$B$85:$H$113,5,FALSE)*$R75)+IF($V75="",0,VLOOKUP($V75,'⚪设计'!$B$85:$H$113,5,FALSE)*$W75))*IF(Q75="",0,VLOOKUP(Q75,'⚪设计'!$B$85:$H$113,5,FALSE)),0))</f>
        <v>6</v>
      </c>
      <c r="V75" s="97" t="str">
        <f>IF(VLOOKUP($A75,'⚪设计'!$A$436:$N$459,10,FALSE)="","",VLOOKUP($A75,'⚪设计'!$A$436:$N$459,10,FALSE))</f>
        <v/>
      </c>
      <c r="W75" s="97" t="str">
        <f t="shared" si="14"/>
        <v/>
      </c>
      <c r="X75" s="97" t="str">
        <f>IF(VLOOKUP($A75,'⚪设计'!$A$436:$N$459,14,FALSE)="","",VLOOKUP($A75,'⚪设计'!$A$436:$N$459,14,FALSE))</f>
        <v/>
      </c>
      <c r="Y75" s="97" t="str">
        <f>IF(V75="","",ROUND($D75*VLOOKUP($A75,'⚪设计'!$A$436:$N$459,4,FALSE)/(IF($G75="",0,VLOOKUP($G75,'⚪设计'!$B$85:$H$113,4,FALSE)*$H75)+IF($L75="",0,VLOOKUP($L75,'⚪设计'!$B$85:$H$113,4,FALSE)*$M75)+IF($Q75="",0,VLOOKUP($Q75,'⚪设计'!$B$85:$H$113,4,FALSE)*$R75)+IF($V75="",0,VLOOKUP($V75,'⚪设计'!$B$85:$H$113,4,FALSE)*$W75))*IF(V75="",0,VLOOKUP(V75,'⚪设计'!$B$85:$H$113,4,FALSE)),0))</f>
        <v/>
      </c>
      <c r="Z75" s="97" t="str">
        <f>IF(V75="","",ROUND(战斗节奏!$B$14/(IF($G75="",0,VLOOKUP($G75,'⚪设计'!$B$85:$H$113,5,FALSE)*$H75)+IF($L75="",0,VLOOKUP($L75,'⚪设计'!$B$85:$H$113,5,FALSE)*$M75)+IF($Q75="",0,VLOOKUP($Q75,'⚪设计'!$B$85:$H$113,5,FALSE)*$R75)+IF($V75="",0,VLOOKUP($V75,'⚪设计'!$B$85:$H$113,5,FALSE)*$W75))*IF(V75="",0,VLOOKUP(V75,'⚪设计'!$B$85:$H$113,5,FALSE)),0))</f>
        <v/>
      </c>
    </row>
    <row r="76" spans="1:26" x14ac:dyDescent="0.2">
      <c r="A76" s="2" t="str">
        <f t="shared" si="10"/>
        <v>5_1</v>
      </c>
      <c r="B76" s="2">
        <v>5</v>
      </c>
      <c r="C76" s="2">
        <v>1</v>
      </c>
      <c r="D76" s="97">
        <f>VLOOKUP(C76,无限模式!$A$3:$B$22,2,FALSE)</f>
        <v>540</v>
      </c>
      <c r="E76" s="98">
        <v>1</v>
      </c>
      <c r="F76" s="97">
        <f>VLOOKUP(A76,'⚪设计'!$A$436:$N$459,6,FALSE)</f>
        <v>10</v>
      </c>
      <c r="G76" s="97" t="str">
        <f>IF(VLOOKUP($A76,'⚪设计'!$A$436:$N$459,7,FALSE)="","",VLOOKUP($A76,'⚪设计'!$A$436:$N$459,7,FALSE))</f>
        <v>蛋2</v>
      </c>
      <c r="H76" s="97">
        <f t="shared" si="11"/>
        <v>7</v>
      </c>
      <c r="I76" s="97">
        <f>IF(VLOOKUP($A76,'⚪设计'!$A$436:$N$459,11,FALSE)="","",VLOOKUP($A76,'⚪设计'!$A$436:$N$459,11,FALSE))</f>
        <v>1.5</v>
      </c>
      <c r="J76" s="97">
        <f>IF(G76="","",ROUND($D76*VLOOKUP($A76,'⚪设计'!$A$436:$N$459,4,FALSE)/(IF($G76="",0,VLOOKUP($G76,'⚪设计'!$B$85:$H$113,4,FALSE)*$H76)+IF($L76="",0,VLOOKUP($L76,'⚪设计'!$B$85:$H$113,4,FALSE)*$M76)+IF($Q76="",0,VLOOKUP($Q76,'⚪设计'!$B$85:$H$113,4,FALSE)*$R76)+IF($V76="",0,VLOOKUP($V76,'⚪设计'!$B$85:$H$113,4,FALSE)*$W76))*IF(G76="",0,VLOOKUP(G76,'⚪设计'!$B$85:$H$113,4,FALSE)),0))</f>
        <v>675</v>
      </c>
      <c r="K76" s="97">
        <f>IF(G76="","",ROUND(战斗节奏!$B$14/(IF($G76="",0,VLOOKUP($G76,'⚪设计'!$B$85:$H$113,5,FALSE)*$H76)+IF($L76="",0,VLOOKUP($L76,'⚪设计'!$B$85:$H$113,5,FALSE)*$M76)+IF($Q76="",0,VLOOKUP($Q76,'⚪设计'!$B$85:$H$113,5,FALSE)*$R76)+IF($V76="",0,VLOOKUP($V76,'⚪设计'!$B$85:$H$113,5,FALSE)*$W76))*IF(G76="",0,VLOOKUP(G76,'⚪设计'!$B$85:$H$113,5,FALSE)),0))</f>
        <v>25</v>
      </c>
      <c r="L76" s="97" t="str">
        <f>IF(VLOOKUP($A76,'⚪设计'!$A$436:$N$459,8,FALSE)="","",VLOOKUP($A76,'⚪设计'!$A$436:$N$459,8,FALSE))</f>
        <v>雪人2</v>
      </c>
      <c r="M76" s="97">
        <f t="shared" si="12"/>
        <v>5</v>
      </c>
      <c r="N76" s="97">
        <f>IF(VLOOKUP($A76,'⚪设计'!$A$436:$N$459,12,FALSE)="","",VLOOKUP($A76,'⚪设计'!$A$436:$N$459,12,FALSE))</f>
        <v>2</v>
      </c>
      <c r="O76" s="97">
        <f>IF(L76="","",ROUND($D76*VLOOKUP($A76,'⚪设计'!$A$436:$N$459,4,FALSE)/(IF($G76="",0,VLOOKUP($G76,'⚪设计'!$B$85:$H$113,4,FALSE)*$H76)+IF($L76="",0,VLOOKUP($L76,'⚪设计'!$B$85:$H$113,4,FALSE)*$M76)+IF($Q76="",0,VLOOKUP($Q76,'⚪设计'!$B$85:$H$113,4,FALSE)*$R76)+IF($V76="",0,VLOOKUP($V76,'⚪设计'!$B$85:$H$113,4,FALSE)*$W76))*IF(L76="",0,VLOOKUP(L76,'⚪设计'!$B$85:$H$113,4,FALSE)),0))</f>
        <v>3375</v>
      </c>
      <c r="P76" s="97">
        <f>IF(L76="","",ROUND(战斗节奏!$B$14/(IF($G76="",0,VLOOKUP($G76,'⚪设计'!$B$85:$H$113,5,FALSE)*$H76)+IF($L76="",0,VLOOKUP($L76,'⚪设计'!$B$85:$H$113,5,FALSE)*$M76)+IF($Q76="",0,VLOOKUP($Q76,'⚪设计'!$B$85:$H$113,5,FALSE)*$R76)+IF($V76="",0,VLOOKUP($V76,'⚪设计'!$B$85:$H$113,5,FALSE)*$W76))*IF(L76="",0,VLOOKUP(L76,'⚪设计'!$B$85:$H$113,5,FALSE)),0))</f>
        <v>25</v>
      </c>
      <c r="Q76" s="97" t="str">
        <f>IF(VLOOKUP($A76,'⚪设计'!$A$436:$N$459,9,FALSE)="","",VLOOKUP($A76,'⚪设计'!$A$436:$N$459,9,FALSE))</f>
        <v/>
      </c>
      <c r="R76" s="97" t="str">
        <f t="shared" si="13"/>
        <v/>
      </c>
      <c r="S76" s="97" t="str">
        <f>IF(VLOOKUP($A76,'⚪设计'!$A$436:$N$459,13,FALSE)="","",VLOOKUP($A76,'⚪设计'!$A$436:$N$459,13,FALSE))</f>
        <v/>
      </c>
      <c r="T76" s="97" t="str">
        <f>IF(Q76="","",ROUND($D76*VLOOKUP($A76,'⚪设计'!$A$436:$N$459,4,FALSE)/(IF($G76="",0,VLOOKUP($G76,'⚪设计'!$B$85:$H$113,4,FALSE)*$H76)+IF($L76="",0,VLOOKUP($L76,'⚪设计'!$B$85:$H$113,4,FALSE)*$M76)+IF($Q76="",0,VLOOKUP($Q76,'⚪设计'!$B$85:$H$113,4,FALSE)*$R76)+IF($V76="",0,VLOOKUP($V76,'⚪设计'!$B$85:$H$113,4,FALSE)*$W76))*IF(Q76="",0,VLOOKUP(Q76,'⚪设计'!$B$85:$H$113,4,FALSE)),0))</f>
        <v/>
      </c>
      <c r="U76" s="97" t="str">
        <f>IF(Q76="","",ROUND(战斗节奏!$B$14/(IF($G76="",0,VLOOKUP($G76,'⚪设计'!$B$85:$H$113,5,FALSE)*$H76)+IF($L76="",0,VLOOKUP($L76,'⚪设计'!$B$85:$H$113,5,FALSE)*$M76)+IF($Q76="",0,VLOOKUP($Q76,'⚪设计'!$B$85:$H$113,5,FALSE)*$R76)+IF($V76="",0,VLOOKUP($V76,'⚪设计'!$B$85:$H$113,5,FALSE)*$W76))*IF(Q76="",0,VLOOKUP(Q76,'⚪设计'!$B$85:$H$113,5,FALSE)),0))</f>
        <v/>
      </c>
      <c r="V76" s="97" t="str">
        <f>IF(VLOOKUP($A76,'⚪设计'!$A$436:$N$459,10,FALSE)="","",VLOOKUP($A76,'⚪设计'!$A$436:$N$459,10,FALSE))</f>
        <v/>
      </c>
      <c r="W76" s="97" t="str">
        <f t="shared" si="14"/>
        <v/>
      </c>
      <c r="X76" s="97" t="str">
        <f>IF(VLOOKUP($A76,'⚪设计'!$A$436:$N$459,14,FALSE)="","",VLOOKUP($A76,'⚪设计'!$A$436:$N$459,14,FALSE))</f>
        <v/>
      </c>
      <c r="Y76" s="97" t="str">
        <f>IF(V76="","",ROUND($D76*VLOOKUP($A76,'⚪设计'!$A$436:$N$459,4,FALSE)/(IF($G76="",0,VLOOKUP($G76,'⚪设计'!$B$85:$H$113,4,FALSE)*$H76)+IF($L76="",0,VLOOKUP($L76,'⚪设计'!$B$85:$H$113,4,FALSE)*$M76)+IF($Q76="",0,VLOOKUP($Q76,'⚪设计'!$B$85:$H$113,4,FALSE)*$R76)+IF($V76="",0,VLOOKUP($V76,'⚪设计'!$B$85:$H$113,4,FALSE)*$W76))*IF(V76="",0,VLOOKUP(V76,'⚪设计'!$B$85:$H$113,4,FALSE)),0))</f>
        <v/>
      </c>
      <c r="Z76" s="97" t="str">
        <f>IF(V76="","",ROUND(战斗节奏!$B$14/(IF($G76="",0,VLOOKUP($G76,'⚪设计'!$B$85:$H$113,5,FALSE)*$H76)+IF($L76="",0,VLOOKUP($L76,'⚪设计'!$B$85:$H$113,5,FALSE)*$M76)+IF($Q76="",0,VLOOKUP($Q76,'⚪设计'!$B$85:$H$113,5,FALSE)*$R76)+IF($V76="",0,VLOOKUP($V76,'⚪设计'!$B$85:$H$113,5,FALSE)*$W76))*IF(V76="",0,VLOOKUP(V76,'⚪设计'!$B$85:$H$113,5,FALSE)),0))</f>
        <v/>
      </c>
    </row>
    <row r="77" spans="1:26" x14ac:dyDescent="0.2">
      <c r="A77" s="2" t="str">
        <f t="shared" si="10"/>
        <v>5_2</v>
      </c>
      <c r="B77" s="2">
        <v>5</v>
      </c>
      <c r="C77" s="2">
        <v>2</v>
      </c>
      <c r="D77" s="97">
        <f>VLOOKUP(C77,无限模式!$A$3:$B$22,2,FALSE)</f>
        <v>1080</v>
      </c>
      <c r="E77" s="98">
        <v>1</v>
      </c>
      <c r="F77" s="97">
        <f>VLOOKUP(A77,'⚪设计'!$A$436:$N$459,6,FALSE)</f>
        <v>12.5</v>
      </c>
      <c r="G77" s="97" t="str">
        <f>IF(VLOOKUP($A77,'⚪设计'!$A$436:$N$459,7,FALSE)="","",VLOOKUP($A77,'⚪设计'!$A$436:$N$459,7,FALSE))</f>
        <v>蛋2</v>
      </c>
      <c r="H77" s="97">
        <f t="shared" si="11"/>
        <v>8</v>
      </c>
      <c r="I77" s="97">
        <f>IF(VLOOKUP($A77,'⚪设计'!$A$436:$N$459,11,FALSE)="","",VLOOKUP($A77,'⚪设计'!$A$436:$N$459,11,FALSE))</f>
        <v>1.5</v>
      </c>
      <c r="J77" s="97">
        <f>IF(G77="","",ROUND($D77*VLOOKUP($A77,'⚪设计'!$A$436:$N$459,4,FALSE)/(IF($G77="",0,VLOOKUP($G77,'⚪设计'!$B$85:$H$113,4,FALSE)*$H77)+IF($L77="",0,VLOOKUP($L77,'⚪设计'!$B$85:$H$113,4,FALSE)*$M77)+IF($Q77="",0,VLOOKUP($Q77,'⚪设计'!$B$85:$H$113,4,FALSE)*$R77)+IF($V77="",0,VLOOKUP($V77,'⚪设计'!$B$85:$H$113,4,FALSE)*$W77))*IF(G77="",0,VLOOKUP(G77,'⚪设计'!$B$85:$H$113,4,FALSE)),0))</f>
        <v>945</v>
      </c>
      <c r="K77" s="97">
        <f>IF(G77="","",ROUND(战斗节奏!$B$14/(IF($G77="",0,VLOOKUP($G77,'⚪设计'!$B$85:$H$113,5,FALSE)*$H77)+IF($L77="",0,VLOOKUP($L77,'⚪设计'!$B$85:$H$113,5,FALSE)*$M77)+IF($Q77="",0,VLOOKUP($Q77,'⚪设计'!$B$85:$H$113,5,FALSE)*$R77)+IF($V77="",0,VLOOKUP($V77,'⚪设计'!$B$85:$H$113,5,FALSE)*$W77))*IF(G77="",0,VLOOKUP(G77,'⚪设计'!$B$85:$H$113,5,FALSE)),0))</f>
        <v>15</v>
      </c>
      <c r="L77" s="97" t="str">
        <f>IF(VLOOKUP($A77,'⚪设计'!$A$436:$N$459,8,FALSE)="","",VLOOKUP($A77,'⚪设计'!$A$436:$N$459,8,FALSE))</f>
        <v>蝙蝠1</v>
      </c>
      <c r="M77" s="97">
        <f t="shared" si="12"/>
        <v>25</v>
      </c>
      <c r="N77" s="97">
        <f>IF(VLOOKUP($A77,'⚪设计'!$A$436:$N$459,12,FALSE)="","",VLOOKUP($A77,'⚪设计'!$A$436:$N$459,12,FALSE))</f>
        <v>0.5</v>
      </c>
      <c r="O77" s="97">
        <f>IF(L77="","",ROUND($D77*VLOOKUP($A77,'⚪设计'!$A$436:$N$459,4,FALSE)/(IF($G77="",0,VLOOKUP($G77,'⚪设计'!$B$85:$H$113,4,FALSE)*$H77)+IF($L77="",0,VLOOKUP($L77,'⚪设计'!$B$85:$H$113,4,FALSE)*$M77)+IF($Q77="",0,VLOOKUP($Q77,'⚪设计'!$B$85:$H$113,4,FALSE)*$R77)+IF($V77="",0,VLOOKUP($V77,'⚪设计'!$B$85:$H$113,4,FALSE)*$W77))*IF(L77="",0,VLOOKUP(L77,'⚪设计'!$B$85:$H$113,4,FALSE)),0))</f>
        <v>118</v>
      </c>
      <c r="P77" s="97">
        <f>IF(L77="","",ROUND(战斗节奏!$B$14/(IF($G77="",0,VLOOKUP($G77,'⚪设计'!$B$85:$H$113,5,FALSE)*$H77)+IF($L77="",0,VLOOKUP($L77,'⚪设计'!$B$85:$H$113,5,FALSE)*$M77)+IF($Q77="",0,VLOOKUP($Q77,'⚪设计'!$B$85:$H$113,5,FALSE)*$R77)+IF($V77="",0,VLOOKUP($V77,'⚪设计'!$B$85:$H$113,5,FALSE)*$W77))*IF(L77="",0,VLOOKUP(L77,'⚪设计'!$B$85:$H$113,5,FALSE)),0))</f>
        <v>4</v>
      </c>
      <c r="Q77" s="97" t="str">
        <f>IF(VLOOKUP($A77,'⚪设计'!$A$436:$N$459,9,FALSE)="","",VLOOKUP($A77,'⚪设计'!$A$436:$N$459,9,FALSE))</f>
        <v>雪人2</v>
      </c>
      <c r="R77" s="97">
        <f t="shared" si="13"/>
        <v>6</v>
      </c>
      <c r="S77" s="97">
        <f>IF(VLOOKUP($A77,'⚪设计'!$A$436:$N$459,13,FALSE)="","",VLOOKUP($A77,'⚪设计'!$A$436:$N$459,13,FALSE))</f>
        <v>2</v>
      </c>
      <c r="T77" s="97">
        <f>IF(Q77="","",ROUND($D77*VLOOKUP($A77,'⚪设计'!$A$436:$N$459,4,FALSE)/(IF($G77="",0,VLOOKUP($G77,'⚪设计'!$B$85:$H$113,4,FALSE)*$H77)+IF($L77="",0,VLOOKUP($L77,'⚪设计'!$B$85:$H$113,4,FALSE)*$M77)+IF($Q77="",0,VLOOKUP($Q77,'⚪设计'!$B$85:$H$113,4,FALSE)*$R77)+IF($V77="",0,VLOOKUP($V77,'⚪设计'!$B$85:$H$113,4,FALSE)*$W77))*IF(Q77="",0,VLOOKUP(Q77,'⚪设计'!$B$85:$H$113,4,FALSE)),0))</f>
        <v>4727</v>
      </c>
      <c r="U77" s="97">
        <f>IF(Q77="","",ROUND(战斗节奏!$B$14/(IF($G77="",0,VLOOKUP($G77,'⚪设计'!$B$85:$H$113,5,FALSE)*$H77)+IF($L77="",0,VLOOKUP($L77,'⚪设计'!$B$85:$H$113,5,FALSE)*$M77)+IF($Q77="",0,VLOOKUP($Q77,'⚪设计'!$B$85:$H$113,5,FALSE)*$R77)+IF($V77="",0,VLOOKUP($V77,'⚪设计'!$B$85:$H$113,5,FALSE)*$W77))*IF(Q77="",0,VLOOKUP(Q77,'⚪设计'!$B$85:$H$113,5,FALSE)),0))</f>
        <v>15</v>
      </c>
      <c r="V77" s="97" t="str">
        <f>IF(VLOOKUP($A77,'⚪设计'!$A$436:$N$459,10,FALSE)="","",VLOOKUP($A77,'⚪设计'!$A$436:$N$459,10,FALSE))</f>
        <v/>
      </c>
      <c r="W77" s="97" t="str">
        <f t="shared" si="14"/>
        <v/>
      </c>
      <c r="X77" s="97" t="str">
        <f>IF(VLOOKUP($A77,'⚪设计'!$A$436:$N$459,14,FALSE)="","",VLOOKUP($A77,'⚪设计'!$A$436:$N$459,14,FALSE))</f>
        <v/>
      </c>
      <c r="Y77" s="97" t="str">
        <f>IF(V77="","",ROUND($D77*VLOOKUP($A77,'⚪设计'!$A$436:$N$459,4,FALSE)/(IF($G77="",0,VLOOKUP($G77,'⚪设计'!$B$85:$H$113,4,FALSE)*$H77)+IF($L77="",0,VLOOKUP($L77,'⚪设计'!$B$85:$H$113,4,FALSE)*$M77)+IF($Q77="",0,VLOOKUP($Q77,'⚪设计'!$B$85:$H$113,4,FALSE)*$R77)+IF($V77="",0,VLOOKUP($V77,'⚪设计'!$B$85:$H$113,4,FALSE)*$W77))*IF(V77="",0,VLOOKUP(V77,'⚪设计'!$B$85:$H$113,4,FALSE)),0))</f>
        <v/>
      </c>
      <c r="Z77" s="97" t="str">
        <f>IF(V77="","",ROUND(战斗节奏!$B$14/(IF($G77="",0,VLOOKUP($G77,'⚪设计'!$B$85:$H$113,5,FALSE)*$H77)+IF($L77="",0,VLOOKUP($L77,'⚪设计'!$B$85:$H$113,5,FALSE)*$M77)+IF($Q77="",0,VLOOKUP($Q77,'⚪设计'!$B$85:$H$113,5,FALSE)*$R77)+IF($V77="",0,VLOOKUP($V77,'⚪设计'!$B$85:$H$113,5,FALSE)*$W77))*IF(V77="",0,VLOOKUP(V77,'⚪设计'!$B$85:$H$113,5,FALSE)),0))</f>
        <v/>
      </c>
    </row>
    <row r="78" spans="1:26" x14ac:dyDescent="0.2">
      <c r="A78" s="2" t="str">
        <f t="shared" si="10"/>
        <v>5_3</v>
      </c>
      <c r="B78" s="2">
        <v>5</v>
      </c>
      <c r="C78" s="2">
        <v>3</v>
      </c>
      <c r="D78" s="97">
        <f>VLOOKUP(C78,无限模式!$A$3:$B$22,2,FALSE)</f>
        <v>1620</v>
      </c>
      <c r="E78" s="98">
        <v>1</v>
      </c>
      <c r="F78" s="97">
        <f>VLOOKUP(A78,'⚪设计'!$A$436:$N$459,6,FALSE)</f>
        <v>15</v>
      </c>
      <c r="G78" s="97" t="str">
        <f>IF(VLOOKUP($A78,'⚪设计'!$A$436:$N$459,7,FALSE)="","",VLOOKUP($A78,'⚪设计'!$A$436:$N$459,7,FALSE))</f>
        <v>蛋2</v>
      </c>
      <c r="H78" s="97">
        <f t="shared" si="11"/>
        <v>10</v>
      </c>
      <c r="I78" s="97">
        <f>IF(VLOOKUP($A78,'⚪设计'!$A$436:$N$459,11,FALSE)="","",VLOOKUP($A78,'⚪设计'!$A$436:$N$459,11,FALSE))</f>
        <v>1.5</v>
      </c>
      <c r="J78" s="97">
        <f>IF(G78="","",ROUND($D78*VLOOKUP($A78,'⚪设计'!$A$436:$N$459,4,FALSE)/(IF($G78="",0,VLOOKUP($G78,'⚪设计'!$B$85:$H$113,4,FALSE)*$H78)+IF($L78="",0,VLOOKUP($L78,'⚪设计'!$B$85:$H$113,4,FALSE)*$M78)+IF($Q78="",0,VLOOKUP($Q78,'⚪设计'!$B$85:$H$113,4,FALSE)*$R78)+IF($V78="",0,VLOOKUP($V78,'⚪设计'!$B$85:$H$113,4,FALSE)*$W78))*IF(G78="",0,VLOOKUP(G78,'⚪设计'!$B$85:$H$113,4,FALSE)),0))</f>
        <v>972</v>
      </c>
      <c r="K78" s="97">
        <f>IF(G78="","",ROUND(战斗节奏!$B$14/(IF($G78="",0,VLOOKUP($G78,'⚪设计'!$B$85:$H$113,5,FALSE)*$H78)+IF($L78="",0,VLOOKUP($L78,'⚪设计'!$B$85:$H$113,5,FALSE)*$M78)+IF($Q78="",0,VLOOKUP($Q78,'⚪设计'!$B$85:$H$113,5,FALSE)*$R78)+IF($V78="",0,VLOOKUP($V78,'⚪设计'!$B$85:$H$113,5,FALSE)*$W78))*IF(G78="",0,VLOOKUP(G78,'⚪设计'!$B$85:$H$113,5,FALSE)),0))</f>
        <v>7</v>
      </c>
      <c r="L78" s="97" t="str">
        <f>IF(VLOOKUP($A78,'⚪设计'!$A$436:$N$459,8,FALSE)="","",VLOOKUP($A78,'⚪设计'!$A$436:$N$459,8,FALSE))</f>
        <v>蜘蛛1</v>
      </c>
      <c r="M78" s="97">
        <f t="shared" si="12"/>
        <v>38</v>
      </c>
      <c r="N78" s="97">
        <f>IF(VLOOKUP($A78,'⚪设计'!$A$436:$N$459,12,FALSE)="","",VLOOKUP($A78,'⚪设计'!$A$436:$N$459,12,FALSE))</f>
        <v>0.4</v>
      </c>
      <c r="O78" s="97">
        <f>IF(L78="","",ROUND($D78*VLOOKUP($A78,'⚪设计'!$A$436:$N$459,4,FALSE)/(IF($G78="",0,VLOOKUP($G78,'⚪设计'!$B$85:$H$113,4,FALSE)*$H78)+IF($L78="",0,VLOOKUP($L78,'⚪设计'!$B$85:$H$113,4,FALSE)*$M78)+IF($Q78="",0,VLOOKUP($Q78,'⚪设计'!$B$85:$H$113,4,FALSE)*$R78)+IF($V78="",0,VLOOKUP($V78,'⚪设计'!$B$85:$H$113,4,FALSE)*$W78))*IF(L78="",0,VLOOKUP(L78,'⚪设计'!$B$85:$H$113,4,FALSE)),0))</f>
        <v>243</v>
      </c>
      <c r="P78" s="97">
        <f>IF(L78="","",ROUND(战斗节奏!$B$14/(IF($G78="",0,VLOOKUP($G78,'⚪设计'!$B$85:$H$113,5,FALSE)*$H78)+IF($L78="",0,VLOOKUP($L78,'⚪设计'!$B$85:$H$113,5,FALSE)*$M78)+IF($Q78="",0,VLOOKUP($Q78,'⚪设计'!$B$85:$H$113,5,FALSE)*$R78)+IF($V78="",0,VLOOKUP($V78,'⚪设计'!$B$85:$H$113,5,FALSE)*$W78))*IF(L78="",0,VLOOKUP(L78,'⚪设计'!$B$85:$H$113,5,FALSE)),0))</f>
        <v>4</v>
      </c>
      <c r="Q78" s="97" t="str">
        <f>IF(VLOOKUP($A78,'⚪设计'!$A$436:$N$459,9,FALSE)="","",VLOOKUP($A78,'⚪设计'!$A$436:$N$459,9,FALSE))</f>
        <v>鬼1</v>
      </c>
      <c r="R78" s="97">
        <f t="shared" si="13"/>
        <v>10</v>
      </c>
      <c r="S78" s="97">
        <f>IF(VLOOKUP($A78,'⚪设计'!$A$436:$N$459,13,FALSE)="","",VLOOKUP($A78,'⚪设计'!$A$436:$N$459,13,FALSE))</f>
        <v>1.5</v>
      </c>
      <c r="T78" s="97">
        <f>IF(Q78="","",ROUND($D78*VLOOKUP($A78,'⚪设计'!$A$436:$N$459,4,FALSE)/(IF($G78="",0,VLOOKUP($G78,'⚪设计'!$B$85:$H$113,4,FALSE)*$H78)+IF($L78="",0,VLOOKUP($L78,'⚪设计'!$B$85:$H$113,4,FALSE)*$M78)+IF($Q78="",0,VLOOKUP($Q78,'⚪设计'!$B$85:$H$113,4,FALSE)*$R78)+IF($V78="",0,VLOOKUP($V78,'⚪设计'!$B$85:$H$113,4,FALSE)*$W78))*IF(Q78="",0,VLOOKUP(Q78,'⚪设计'!$B$85:$H$113,4,FALSE)),0))</f>
        <v>243</v>
      </c>
      <c r="U78" s="97">
        <f>IF(Q78="","",ROUND(战斗节奏!$B$14/(IF($G78="",0,VLOOKUP($G78,'⚪设计'!$B$85:$H$113,5,FALSE)*$H78)+IF($L78="",0,VLOOKUP($L78,'⚪设计'!$B$85:$H$113,5,FALSE)*$M78)+IF($Q78="",0,VLOOKUP($Q78,'⚪设计'!$B$85:$H$113,5,FALSE)*$R78)+IF($V78="",0,VLOOKUP($V78,'⚪设计'!$B$85:$H$113,5,FALSE)*$W78))*IF(Q78="",0,VLOOKUP(Q78,'⚪设计'!$B$85:$H$113,5,FALSE)),0))</f>
        <v>4</v>
      </c>
      <c r="V78" s="97" t="str">
        <f>IF(VLOOKUP($A78,'⚪设计'!$A$436:$N$459,10,FALSE)="","",VLOOKUP($A78,'⚪设计'!$A$436:$N$459,10,FALSE))</f>
        <v>雪人2</v>
      </c>
      <c r="W78" s="97">
        <f t="shared" si="14"/>
        <v>8</v>
      </c>
      <c r="X78" s="97">
        <f>IF(VLOOKUP($A78,'⚪设计'!$A$436:$N$459,14,FALSE)="","",VLOOKUP($A78,'⚪设计'!$A$436:$N$459,14,FALSE))</f>
        <v>2</v>
      </c>
      <c r="Y78" s="97">
        <f>IF(V78="","",ROUND($D78*VLOOKUP($A78,'⚪设计'!$A$436:$N$459,4,FALSE)/(IF($G78="",0,VLOOKUP($G78,'⚪设计'!$B$85:$H$113,4,FALSE)*$H78)+IF($L78="",0,VLOOKUP($L78,'⚪设计'!$B$85:$H$113,4,FALSE)*$M78)+IF($Q78="",0,VLOOKUP($Q78,'⚪设计'!$B$85:$H$113,4,FALSE)*$R78)+IF($V78="",0,VLOOKUP($V78,'⚪设计'!$B$85:$H$113,4,FALSE)*$W78))*IF(V78="",0,VLOOKUP(V78,'⚪设计'!$B$85:$H$113,4,FALSE)),0))</f>
        <v>4860</v>
      </c>
      <c r="Z78" s="97">
        <f>IF(V78="","",ROUND(战斗节奏!$B$14/(IF($G78="",0,VLOOKUP($G78,'⚪设计'!$B$85:$H$113,5,FALSE)*$H78)+IF($L78="",0,VLOOKUP($L78,'⚪设计'!$B$85:$H$113,5,FALSE)*$M78)+IF($Q78="",0,VLOOKUP($Q78,'⚪设计'!$B$85:$H$113,5,FALSE)*$R78)+IF($V78="",0,VLOOKUP($V78,'⚪设计'!$B$85:$H$113,5,FALSE)*$W78))*IF(V78="",0,VLOOKUP(V78,'⚪设计'!$B$85:$H$113,5,FALSE)),0))</f>
        <v>7</v>
      </c>
    </row>
    <row r="79" spans="1:26" x14ac:dyDescent="0.2">
      <c r="A79" s="2" t="str">
        <f t="shared" si="10"/>
        <v>5_4</v>
      </c>
      <c r="B79" s="2">
        <v>5</v>
      </c>
      <c r="C79" s="2">
        <v>4</v>
      </c>
      <c r="D79" s="97">
        <f>VLOOKUP(C79,无限模式!$A$3:$B$22,2,FALSE)</f>
        <v>2160</v>
      </c>
      <c r="E79" s="98">
        <v>1</v>
      </c>
      <c r="F79" s="97">
        <f>VLOOKUP(A79,'⚪设计'!$A$436:$N$459,6,FALSE)</f>
        <v>17.5</v>
      </c>
      <c r="G79" s="97" t="str">
        <f>IF(VLOOKUP($A79,'⚪设计'!$A$436:$N$459,7,FALSE)="","",VLOOKUP($A79,'⚪设计'!$A$436:$N$459,7,FALSE))</f>
        <v>蛋2</v>
      </c>
      <c r="H79" s="97">
        <f t="shared" si="11"/>
        <v>12</v>
      </c>
      <c r="I79" s="97">
        <f>IF(VLOOKUP($A79,'⚪设计'!$A$436:$N$459,11,FALSE)="","",VLOOKUP($A79,'⚪设计'!$A$436:$N$459,11,FALSE))</f>
        <v>1.5</v>
      </c>
      <c r="J79" s="97">
        <f>IF(G79="","",ROUND($D79*VLOOKUP($A79,'⚪设计'!$A$436:$N$459,4,FALSE)/(IF($G79="",0,VLOOKUP($G79,'⚪设计'!$B$85:$H$113,4,FALSE)*$H79)+IF($L79="",0,VLOOKUP($L79,'⚪设计'!$B$85:$H$113,4,FALSE)*$M79)+IF($Q79="",0,VLOOKUP($Q79,'⚪设计'!$B$85:$H$113,4,FALSE)*$R79)+IF($V79="",0,VLOOKUP($V79,'⚪设计'!$B$85:$H$113,4,FALSE)*$W79))*IF(G79="",0,VLOOKUP(G79,'⚪设计'!$B$85:$H$113,4,FALSE)),0))</f>
        <v>1452</v>
      </c>
      <c r="K79" s="97">
        <f>IF(G79="","",ROUND(战斗节奏!$B$14/(IF($G79="",0,VLOOKUP($G79,'⚪设计'!$B$85:$H$113,5,FALSE)*$H79)+IF($L79="",0,VLOOKUP($L79,'⚪设计'!$B$85:$H$113,5,FALSE)*$M79)+IF($Q79="",0,VLOOKUP($Q79,'⚪设计'!$B$85:$H$113,5,FALSE)*$R79)+IF($V79="",0,VLOOKUP($V79,'⚪设计'!$B$85:$H$113,5,FALSE)*$W79))*IF(G79="",0,VLOOKUP(G79,'⚪设计'!$B$85:$H$113,5,FALSE)),0))</f>
        <v>8</v>
      </c>
      <c r="L79" s="97" t="str">
        <f>IF(VLOOKUP($A79,'⚪设计'!$A$436:$N$459,8,FALSE)="","",VLOOKUP($A79,'⚪设计'!$A$436:$N$459,8,FALSE))</f>
        <v>鬼1</v>
      </c>
      <c r="M79" s="97">
        <f t="shared" si="12"/>
        <v>35</v>
      </c>
      <c r="N79" s="97">
        <f>IF(VLOOKUP($A79,'⚪设计'!$A$436:$N$459,12,FALSE)="","",VLOOKUP($A79,'⚪设计'!$A$436:$N$459,12,FALSE))</f>
        <v>0.5</v>
      </c>
      <c r="O79" s="97">
        <f>IF(L79="","",ROUND($D79*VLOOKUP($A79,'⚪设计'!$A$436:$N$459,4,FALSE)/(IF($G79="",0,VLOOKUP($G79,'⚪设计'!$B$85:$H$113,4,FALSE)*$H79)+IF($L79="",0,VLOOKUP($L79,'⚪设计'!$B$85:$H$113,4,FALSE)*$M79)+IF($Q79="",0,VLOOKUP($Q79,'⚪设计'!$B$85:$H$113,4,FALSE)*$R79)+IF($V79="",0,VLOOKUP($V79,'⚪设计'!$B$85:$H$113,4,FALSE)*$W79))*IF(L79="",0,VLOOKUP(L79,'⚪设计'!$B$85:$H$113,4,FALSE)),0))</f>
        <v>363</v>
      </c>
      <c r="P79" s="97">
        <f>IF(L79="","",ROUND(战斗节奏!$B$14/(IF($G79="",0,VLOOKUP($G79,'⚪设计'!$B$85:$H$113,5,FALSE)*$H79)+IF($L79="",0,VLOOKUP($L79,'⚪设计'!$B$85:$H$113,5,FALSE)*$M79)+IF($Q79="",0,VLOOKUP($Q79,'⚪设计'!$B$85:$H$113,5,FALSE)*$R79)+IF($V79="",0,VLOOKUP($V79,'⚪设计'!$B$85:$H$113,5,FALSE)*$W79))*IF(L79="",0,VLOOKUP(L79,'⚪设计'!$B$85:$H$113,5,FALSE)),0))</f>
        <v>4</v>
      </c>
      <c r="Q79" s="97" t="str">
        <f>IF(VLOOKUP($A79,'⚪设计'!$A$436:$N$459,9,FALSE)="","",VLOOKUP($A79,'⚪设计'!$A$436:$N$459,9,FALSE))</f>
        <v>雪人2</v>
      </c>
      <c r="R79" s="97">
        <f t="shared" si="13"/>
        <v>9</v>
      </c>
      <c r="S79" s="97">
        <f>IF(VLOOKUP($A79,'⚪设计'!$A$436:$N$459,13,FALSE)="","",VLOOKUP($A79,'⚪设计'!$A$436:$N$459,13,FALSE))</f>
        <v>2</v>
      </c>
      <c r="T79" s="97">
        <f>IF(Q79="","",ROUND($D79*VLOOKUP($A79,'⚪设计'!$A$436:$N$459,4,FALSE)/(IF($G79="",0,VLOOKUP($G79,'⚪设计'!$B$85:$H$113,4,FALSE)*$H79)+IF($L79="",0,VLOOKUP($L79,'⚪设计'!$B$85:$H$113,4,FALSE)*$M79)+IF($Q79="",0,VLOOKUP($Q79,'⚪设计'!$B$85:$H$113,4,FALSE)*$R79)+IF($V79="",0,VLOOKUP($V79,'⚪设计'!$B$85:$H$113,4,FALSE)*$W79))*IF(Q79="",0,VLOOKUP(Q79,'⚪设计'!$B$85:$H$113,4,FALSE)),0))</f>
        <v>7260</v>
      </c>
      <c r="U79" s="97">
        <f>IF(Q79="","",ROUND(战斗节奏!$B$14/(IF($G79="",0,VLOOKUP($G79,'⚪设计'!$B$85:$H$113,5,FALSE)*$H79)+IF($L79="",0,VLOOKUP($L79,'⚪设计'!$B$85:$H$113,5,FALSE)*$M79)+IF($Q79="",0,VLOOKUP($Q79,'⚪设计'!$B$85:$H$113,5,FALSE)*$R79)+IF($V79="",0,VLOOKUP($V79,'⚪设计'!$B$85:$H$113,5,FALSE)*$W79))*IF(Q79="",0,VLOOKUP(Q79,'⚪设计'!$B$85:$H$113,5,FALSE)),0))</f>
        <v>8</v>
      </c>
      <c r="V79" s="97" t="str">
        <f>IF(VLOOKUP($A79,'⚪设计'!$A$436:$N$459,10,FALSE)="","",VLOOKUP($A79,'⚪设计'!$A$436:$N$459,10,FALSE))</f>
        <v/>
      </c>
      <c r="W79" s="97" t="str">
        <f t="shared" si="14"/>
        <v/>
      </c>
      <c r="X79" s="97" t="str">
        <f>IF(VLOOKUP($A79,'⚪设计'!$A$436:$N$459,14,FALSE)="","",VLOOKUP($A79,'⚪设计'!$A$436:$N$459,14,FALSE))</f>
        <v/>
      </c>
      <c r="Y79" s="97" t="str">
        <f>IF(V79="","",ROUND($D79*VLOOKUP($A79,'⚪设计'!$A$436:$N$459,4,FALSE)/(IF($G79="",0,VLOOKUP($G79,'⚪设计'!$B$85:$H$113,4,FALSE)*$H79)+IF($L79="",0,VLOOKUP($L79,'⚪设计'!$B$85:$H$113,4,FALSE)*$M79)+IF($Q79="",0,VLOOKUP($Q79,'⚪设计'!$B$85:$H$113,4,FALSE)*$R79)+IF($V79="",0,VLOOKUP($V79,'⚪设计'!$B$85:$H$113,4,FALSE)*$W79))*IF(V79="",0,VLOOKUP(V79,'⚪设计'!$B$85:$H$113,4,FALSE)),0))</f>
        <v/>
      </c>
      <c r="Z79" s="97" t="str">
        <f>IF(V79="","",ROUND(战斗节奏!$B$14/(IF($G79="",0,VLOOKUP($G79,'⚪设计'!$B$85:$H$113,5,FALSE)*$H79)+IF($L79="",0,VLOOKUP($L79,'⚪设计'!$B$85:$H$113,5,FALSE)*$M79)+IF($Q79="",0,VLOOKUP($Q79,'⚪设计'!$B$85:$H$113,5,FALSE)*$R79)+IF($V79="",0,VLOOKUP($V79,'⚪设计'!$B$85:$H$113,5,FALSE)*$W79))*IF(V79="",0,VLOOKUP(V79,'⚪设计'!$B$85:$H$113,5,FALSE)),0))</f>
        <v/>
      </c>
    </row>
    <row r="80" spans="1:26" x14ac:dyDescent="0.2">
      <c r="A80" s="2" t="str">
        <f t="shared" si="10"/>
        <v>5_5</v>
      </c>
      <c r="B80" s="2">
        <v>5</v>
      </c>
      <c r="C80" s="2">
        <v>5</v>
      </c>
      <c r="D80" s="97">
        <f>VLOOKUP(C80,无限模式!$A$3:$B$22,2,FALSE)</f>
        <v>2700</v>
      </c>
      <c r="E80" s="98">
        <v>1</v>
      </c>
      <c r="F80" s="97">
        <f>VLOOKUP(A80,'⚪设计'!$A$436:$N$459,6,FALSE)</f>
        <v>20</v>
      </c>
      <c r="G80" s="97" t="str">
        <f>IF(VLOOKUP($A80,'⚪设计'!$A$436:$N$459,7,FALSE)="","",VLOOKUP($A80,'⚪设计'!$A$436:$N$459,7,FALSE))</f>
        <v>蛋2</v>
      </c>
      <c r="H80" s="97">
        <f t="shared" si="11"/>
        <v>13</v>
      </c>
      <c r="I80" s="97">
        <f>IF(VLOOKUP($A80,'⚪设计'!$A$436:$N$459,11,FALSE)="","",VLOOKUP($A80,'⚪设计'!$A$436:$N$459,11,FALSE))</f>
        <v>1.5</v>
      </c>
      <c r="J80" s="97">
        <f>IF(G80="","",ROUND($D80*VLOOKUP($A80,'⚪设计'!$A$436:$N$459,4,FALSE)/(IF($G80="",0,VLOOKUP($G80,'⚪设计'!$B$85:$H$113,4,FALSE)*$H80)+IF($L80="",0,VLOOKUP($L80,'⚪设计'!$B$85:$H$113,4,FALSE)*$M80)+IF($Q80="",0,VLOOKUP($Q80,'⚪设计'!$B$85:$H$113,4,FALSE)*$R80)+IF($V80="",0,VLOOKUP($V80,'⚪设计'!$B$85:$H$113,4,FALSE)*$W80))*IF(G80="",0,VLOOKUP(G80,'⚪设计'!$B$85:$H$113,4,FALSE)),0))</f>
        <v>1070</v>
      </c>
      <c r="K80" s="97">
        <f>IF(G80="","",ROUND(战斗节奏!$B$14/(IF($G80="",0,VLOOKUP($G80,'⚪设计'!$B$85:$H$113,5,FALSE)*$H80)+IF($L80="",0,VLOOKUP($L80,'⚪设计'!$B$85:$H$113,5,FALSE)*$M80)+IF($Q80="",0,VLOOKUP($Q80,'⚪设计'!$B$85:$H$113,5,FALSE)*$R80)+IF($V80="",0,VLOOKUP($V80,'⚪设计'!$B$85:$H$113,5,FALSE)*$W80))*IF(G80="",0,VLOOKUP(G80,'⚪设计'!$B$85:$H$113,5,FALSE)),0))</f>
        <v>5</v>
      </c>
      <c r="L80" s="97" t="str">
        <f>IF(VLOOKUP($A80,'⚪设计'!$A$436:$N$459,8,FALSE)="","",VLOOKUP($A80,'⚪设计'!$A$436:$N$459,8,FALSE))</f>
        <v>鬼1</v>
      </c>
      <c r="M80" s="97">
        <f t="shared" si="12"/>
        <v>40</v>
      </c>
      <c r="N80" s="97">
        <f>IF(VLOOKUP($A80,'⚪设计'!$A$436:$N$459,12,FALSE)="","",VLOOKUP($A80,'⚪设计'!$A$436:$N$459,12,FALSE))</f>
        <v>0.5</v>
      </c>
      <c r="O80" s="97">
        <f>IF(L80="","",ROUND($D80*VLOOKUP($A80,'⚪设计'!$A$436:$N$459,4,FALSE)/(IF($G80="",0,VLOOKUP($G80,'⚪设计'!$B$85:$H$113,4,FALSE)*$H80)+IF($L80="",0,VLOOKUP($L80,'⚪设计'!$B$85:$H$113,4,FALSE)*$M80)+IF($Q80="",0,VLOOKUP($Q80,'⚪设计'!$B$85:$H$113,4,FALSE)*$R80)+IF($V80="",0,VLOOKUP($V80,'⚪设计'!$B$85:$H$113,4,FALSE)*$W80))*IF(L80="",0,VLOOKUP(L80,'⚪设计'!$B$85:$H$113,4,FALSE)),0))</f>
        <v>267</v>
      </c>
      <c r="P80" s="97">
        <f>IF(L80="","",ROUND(战斗节奏!$B$14/(IF($G80="",0,VLOOKUP($G80,'⚪设计'!$B$85:$H$113,5,FALSE)*$H80)+IF($L80="",0,VLOOKUP($L80,'⚪设计'!$B$85:$H$113,5,FALSE)*$M80)+IF($Q80="",0,VLOOKUP($Q80,'⚪设计'!$B$85:$H$113,5,FALSE)*$R80)+IF($V80="",0,VLOOKUP($V80,'⚪设计'!$B$85:$H$113,5,FALSE)*$W80))*IF(L80="",0,VLOOKUP(L80,'⚪设计'!$B$85:$H$113,5,FALSE)),0))</f>
        <v>2</v>
      </c>
      <c r="Q80" s="97" t="str">
        <f>IF(VLOOKUP($A80,'⚪设计'!$A$436:$N$459,9,FALSE)="","",VLOOKUP($A80,'⚪设计'!$A$436:$N$459,9,FALSE))</f>
        <v>种子1</v>
      </c>
      <c r="R80" s="97">
        <f t="shared" si="13"/>
        <v>10</v>
      </c>
      <c r="S80" s="97">
        <f>IF(VLOOKUP($A80,'⚪设计'!$A$436:$N$459,13,FALSE)="","",VLOOKUP($A80,'⚪设计'!$A$436:$N$459,13,FALSE))</f>
        <v>2</v>
      </c>
      <c r="T80" s="97">
        <f>IF(Q80="","",ROUND($D80*VLOOKUP($A80,'⚪设计'!$A$436:$N$459,4,FALSE)/(IF($G80="",0,VLOOKUP($G80,'⚪设计'!$B$85:$H$113,4,FALSE)*$H80)+IF($L80="",0,VLOOKUP($L80,'⚪设计'!$B$85:$H$113,4,FALSE)*$M80)+IF($Q80="",0,VLOOKUP($Q80,'⚪设计'!$B$85:$H$113,4,FALSE)*$R80)+IF($V80="",0,VLOOKUP($V80,'⚪设计'!$B$85:$H$113,4,FALSE)*$W80))*IF(Q80="",0,VLOOKUP(Q80,'⚪设计'!$B$85:$H$113,4,FALSE)),0))</f>
        <v>802</v>
      </c>
      <c r="U80" s="97">
        <f>IF(Q80="","",ROUND(战斗节奏!$B$14/(IF($G80="",0,VLOOKUP($G80,'⚪设计'!$B$85:$H$113,5,FALSE)*$H80)+IF($L80="",0,VLOOKUP($L80,'⚪设计'!$B$85:$H$113,5,FALSE)*$M80)+IF($Q80="",0,VLOOKUP($Q80,'⚪设计'!$B$85:$H$113,5,FALSE)*$R80)+IF($V80="",0,VLOOKUP($V80,'⚪设计'!$B$85:$H$113,5,FALSE)*$W80))*IF(Q80="",0,VLOOKUP(Q80,'⚪设计'!$B$85:$H$113,5,FALSE)),0))</f>
        <v>5</v>
      </c>
      <c r="V80" s="97" t="str">
        <f>IF(VLOOKUP($A80,'⚪设计'!$A$436:$N$459,10,FALSE)="","",VLOOKUP($A80,'⚪设计'!$A$436:$N$459,10,FALSE))</f>
        <v>雪人2</v>
      </c>
      <c r="W80" s="97">
        <f t="shared" si="14"/>
        <v>20</v>
      </c>
      <c r="X80" s="97">
        <f>IF(VLOOKUP($A80,'⚪设计'!$A$436:$N$459,14,FALSE)="","",VLOOKUP($A80,'⚪设计'!$A$436:$N$459,14,FALSE))</f>
        <v>1</v>
      </c>
      <c r="Y80" s="97">
        <f>IF(V80="","",ROUND($D80*VLOOKUP($A80,'⚪设计'!$A$436:$N$459,4,FALSE)/(IF($G80="",0,VLOOKUP($G80,'⚪设计'!$B$85:$H$113,4,FALSE)*$H80)+IF($L80="",0,VLOOKUP($L80,'⚪设计'!$B$85:$H$113,4,FALSE)*$M80)+IF($Q80="",0,VLOOKUP($Q80,'⚪设计'!$B$85:$H$113,4,FALSE)*$R80)+IF($V80="",0,VLOOKUP($V80,'⚪设计'!$B$85:$H$113,4,FALSE)*$W80))*IF(V80="",0,VLOOKUP(V80,'⚪设计'!$B$85:$H$113,4,FALSE)),0))</f>
        <v>5348</v>
      </c>
      <c r="Z80" s="97">
        <f>IF(V80="","",ROUND(战斗节奏!$B$14/(IF($G80="",0,VLOOKUP($G80,'⚪设计'!$B$85:$H$113,5,FALSE)*$H80)+IF($L80="",0,VLOOKUP($L80,'⚪设计'!$B$85:$H$113,5,FALSE)*$M80)+IF($Q80="",0,VLOOKUP($Q80,'⚪设计'!$B$85:$H$113,5,FALSE)*$R80)+IF($V80="",0,VLOOKUP($V80,'⚪设计'!$B$85:$H$113,5,FALSE)*$W80))*IF(V80="",0,VLOOKUP(V80,'⚪设计'!$B$85:$H$113,5,FALSE)),0))</f>
        <v>5</v>
      </c>
    </row>
    <row r="81" spans="1:26" x14ac:dyDescent="0.2">
      <c r="A81" s="2" t="str">
        <f t="shared" si="10"/>
        <v>5_6</v>
      </c>
      <c r="B81" s="2">
        <v>5</v>
      </c>
      <c r="C81" s="2">
        <v>6</v>
      </c>
      <c r="D81" s="97">
        <f>VLOOKUP(C81,无限模式!$A$3:$B$22,2,FALSE)</f>
        <v>3240</v>
      </c>
      <c r="E81" s="98">
        <v>1</v>
      </c>
      <c r="F81" s="97">
        <f>VLOOKUP(A81,'⚪设计'!$A$436:$N$459,6,FALSE)</f>
        <v>22.5</v>
      </c>
      <c r="G81" s="97" t="str">
        <f>IF(VLOOKUP($A81,'⚪设计'!$A$436:$N$459,7,FALSE)="","",VLOOKUP($A81,'⚪设计'!$A$436:$N$459,7,FALSE))</f>
        <v>蛋2</v>
      </c>
      <c r="H81" s="97">
        <f t="shared" si="11"/>
        <v>15</v>
      </c>
      <c r="I81" s="97">
        <f>IF(VLOOKUP($A81,'⚪设计'!$A$436:$N$459,11,FALSE)="","",VLOOKUP($A81,'⚪设计'!$A$436:$N$459,11,FALSE))</f>
        <v>1.5</v>
      </c>
      <c r="J81" s="97">
        <f>IF(G81="","",ROUND($D81*VLOOKUP($A81,'⚪设计'!$A$436:$N$459,4,FALSE)/(IF($G81="",0,VLOOKUP($G81,'⚪设计'!$B$85:$H$113,4,FALSE)*$H81)+IF($L81="",0,VLOOKUP($L81,'⚪设计'!$B$85:$H$113,4,FALSE)*$M81)+IF($Q81="",0,VLOOKUP($Q81,'⚪设计'!$B$85:$H$113,4,FALSE)*$R81)+IF($V81="",0,VLOOKUP($V81,'⚪设计'!$B$85:$H$113,4,FALSE)*$W81))*IF(G81="",0,VLOOKUP(G81,'⚪设计'!$B$85:$H$113,4,FALSE)),0))</f>
        <v>1567</v>
      </c>
      <c r="K81" s="97">
        <f>IF(G81="","",ROUND(战斗节奏!$B$14/(IF($G81="",0,VLOOKUP($G81,'⚪设计'!$B$85:$H$113,5,FALSE)*$H81)+IF($L81="",0,VLOOKUP($L81,'⚪设计'!$B$85:$H$113,5,FALSE)*$M81)+IF($Q81="",0,VLOOKUP($Q81,'⚪设计'!$B$85:$H$113,5,FALSE)*$R81)+IF($V81="",0,VLOOKUP($V81,'⚪设计'!$B$85:$H$113,5,FALSE)*$W81))*IF(G81="",0,VLOOKUP(G81,'⚪设计'!$B$85:$H$113,5,FALSE)),0))</f>
        <v>5</v>
      </c>
      <c r="L81" s="97" t="str">
        <f>IF(VLOOKUP($A81,'⚪设计'!$A$436:$N$459,8,FALSE)="","",VLOOKUP($A81,'⚪设计'!$A$436:$N$459,8,FALSE))</f>
        <v>种子2</v>
      </c>
      <c r="M81" s="97">
        <f t="shared" si="12"/>
        <v>11</v>
      </c>
      <c r="N81" s="97">
        <f>IF(VLOOKUP($A81,'⚪设计'!$A$436:$N$459,12,FALSE)="","",VLOOKUP($A81,'⚪设计'!$A$436:$N$459,12,FALSE))</f>
        <v>2</v>
      </c>
      <c r="O81" s="97">
        <f>IF(L81="","",ROUND($D81*VLOOKUP($A81,'⚪设计'!$A$436:$N$459,4,FALSE)/(IF($G81="",0,VLOOKUP($G81,'⚪设计'!$B$85:$H$113,4,FALSE)*$H81)+IF($L81="",0,VLOOKUP($L81,'⚪设计'!$B$85:$H$113,4,FALSE)*$M81)+IF($Q81="",0,VLOOKUP($Q81,'⚪设计'!$B$85:$H$113,4,FALSE)*$R81)+IF($V81="",0,VLOOKUP($V81,'⚪设计'!$B$85:$H$113,4,FALSE)*$W81))*IF(L81="",0,VLOOKUP(L81,'⚪设计'!$B$85:$H$113,4,FALSE)),0))</f>
        <v>2351</v>
      </c>
      <c r="P81" s="97">
        <f>IF(L81="","",ROUND(战斗节奏!$B$14/(IF($G81="",0,VLOOKUP($G81,'⚪设计'!$B$85:$H$113,5,FALSE)*$H81)+IF($L81="",0,VLOOKUP($L81,'⚪设计'!$B$85:$H$113,5,FALSE)*$M81)+IF($Q81="",0,VLOOKUP($Q81,'⚪设计'!$B$85:$H$113,5,FALSE)*$R81)+IF($V81="",0,VLOOKUP($V81,'⚪设计'!$B$85:$H$113,5,FALSE)*$W81))*IF(L81="",0,VLOOKUP(L81,'⚪设计'!$B$85:$H$113,5,FALSE)),0))</f>
        <v>5</v>
      </c>
      <c r="Q81" s="97" t="str">
        <f>IF(VLOOKUP($A81,'⚪设计'!$A$436:$N$459,9,FALSE)="","",VLOOKUP($A81,'⚪设计'!$A$436:$N$459,9,FALSE))</f>
        <v>蜘蛛2</v>
      </c>
      <c r="R81" s="97">
        <f t="shared" si="13"/>
        <v>15</v>
      </c>
      <c r="S81" s="97">
        <f>IF(VLOOKUP($A81,'⚪设计'!$A$436:$N$459,13,FALSE)="","",VLOOKUP($A81,'⚪设计'!$A$436:$N$459,13,FALSE))</f>
        <v>1.5</v>
      </c>
      <c r="T81" s="97">
        <f>IF(Q81="","",ROUND($D81*VLOOKUP($A81,'⚪设计'!$A$436:$N$459,4,FALSE)/(IF($G81="",0,VLOOKUP($G81,'⚪设计'!$B$85:$H$113,4,FALSE)*$H81)+IF($L81="",0,VLOOKUP($L81,'⚪设计'!$B$85:$H$113,4,FALSE)*$M81)+IF($Q81="",0,VLOOKUP($Q81,'⚪设计'!$B$85:$H$113,4,FALSE)*$R81)+IF($V81="",0,VLOOKUP($V81,'⚪设计'!$B$85:$H$113,4,FALSE)*$W81))*IF(Q81="",0,VLOOKUP(Q81,'⚪设计'!$B$85:$H$113,4,FALSE)),0))</f>
        <v>784</v>
      </c>
      <c r="U81" s="97">
        <f>IF(Q81="","",ROUND(战斗节奏!$B$14/(IF($G81="",0,VLOOKUP($G81,'⚪设计'!$B$85:$H$113,5,FALSE)*$H81)+IF($L81="",0,VLOOKUP($L81,'⚪设计'!$B$85:$H$113,5,FALSE)*$M81)+IF($Q81="",0,VLOOKUP($Q81,'⚪设计'!$B$85:$H$113,5,FALSE)*$R81)+IF($V81="",0,VLOOKUP($V81,'⚪设计'!$B$85:$H$113,5,FALSE)*$W81))*IF(Q81="",0,VLOOKUP(Q81,'⚪设计'!$B$85:$H$113,5,FALSE)),0))</f>
        <v>3</v>
      </c>
      <c r="V81" s="97" t="str">
        <f>IF(VLOOKUP($A81,'⚪设计'!$A$436:$N$459,10,FALSE)="","",VLOOKUP($A81,'⚪设计'!$A$436:$N$459,10,FALSE))</f>
        <v>雪人2</v>
      </c>
      <c r="W81" s="97">
        <f t="shared" si="14"/>
        <v>23</v>
      </c>
      <c r="X81" s="97">
        <f>IF(VLOOKUP($A81,'⚪设计'!$A$436:$N$459,14,FALSE)="","",VLOOKUP($A81,'⚪设计'!$A$436:$N$459,14,FALSE))</f>
        <v>1</v>
      </c>
      <c r="Y81" s="97">
        <f>IF(V81="","",ROUND($D81*VLOOKUP($A81,'⚪设计'!$A$436:$N$459,4,FALSE)/(IF($G81="",0,VLOOKUP($G81,'⚪设计'!$B$85:$H$113,4,FALSE)*$H81)+IF($L81="",0,VLOOKUP($L81,'⚪设计'!$B$85:$H$113,4,FALSE)*$M81)+IF($Q81="",0,VLOOKUP($Q81,'⚪设计'!$B$85:$H$113,4,FALSE)*$R81)+IF($V81="",0,VLOOKUP($V81,'⚪设计'!$B$85:$H$113,4,FALSE)*$W81))*IF(V81="",0,VLOOKUP(V81,'⚪设计'!$B$85:$H$113,4,FALSE)),0))</f>
        <v>7837</v>
      </c>
      <c r="Z81" s="97">
        <f>IF(V81="","",ROUND(战斗节奏!$B$14/(IF($G81="",0,VLOOKUP($G81,'⚪设计'!$B$85:$H$113,5,FALSE)*$H81)+IF($L81="",0,VLOOKUP($L81,'⚪设计'!$B$85:$H$113,5,FALSE)*$M81)+IF($Q81="",0,VLOOKUP($Q81,'⚪设计'!$B$85:$H$113,5,FALSE)*$R81)+IF($V81="",0,VLOOKUP($V81,'⚪设计'!$B$85:$H$113,5,FALSE)*$W81))*IF(V81="",0,VLOOKUP(V81,'⚪设计'!$B$85:$H$113,5,FALSE)),0))</f>
        <v>5</v>
      </c>
    </row>
    <row r="82" spans="1:26" x14ac:dyDescent="0.2">
      <c r="A82" s="2" t="str">
        <f t="shared" si="10"/>
        <v>5_7</v>
      </c>
      <c r="B82" s="2">
        <v>5</v>
      </c>
      <c r="C82" s="2">
        <v>7</v>
      </c>
      <c r="D82" s="97">
        <f>VLOOKUP(C82,无限模式!$A$3:$B$22,2,FALSE)</f>
        <v>3780</v>
      </c>
      <c r="E82" s="98">
        <v>1</v>
      </c>
      <c r="F82" s="97">
        <f>VLOOKUP(A82,'⚪设计'!$A$436:$N$459,6,FALSE)</f>
        <v>25</v>
      </c>
      <c r="G82" s="97" t="str">
        <f>IF(VLOOKUP($A82,'⚪设计'!$A$436:$N$459,7,FALSE)="","",VLOOKUP($A82,'⚪设计'!$A$436:$N$459,7,FALSE))</f>
        <v>蛋2</v>
      </c>
      <c r="H82" s="97">
        <f t="shared" si="11"/>
        <v>25</v>
      </c>
      <c r="I82" s="97">
        <f>IF(VLOOKUP($A82,'⚪设计'!$A$436:$N$459,11,FALSE)="","",VLOOKUP($A82,'⚪设计'!$A$436:$N$459,11,FALSE))</f>
        <v>1</v>
      </c>
      <c r="J82" s="97">
        <f>IF(G82="","",ROUND($D82*VLOOKUP($A82,'⚪设计'!$A$436:$N$459,4,FALSE)/(IF($G82="",0,VLOOKUP($G82,'⚪设计'!$B$85:$H$113,4,FALSE)*$H82)+IF($L82="",0,VLOOKUP($L82,'⚪设计'!$B$85:$H$113,4,FALSE)*$M82)+IF($Q82="",0,VLOOKUP($Q82,'⚪设计'!$B$85:$H$113,4,FALSE)*$R82)+IF($V82="",0,VLOOKUP($V82,'⚪设计'!$B$85:$H$113,4,FALSE)*$W82))*IF(G82="",0,VLOOKUP(G82,'⚪设计'!$B$85:$H$113,4,FALSE)),0))</f>
        <v>2268</v>
      </c>
      <c r="K82" s="97">
        <f>IF(G82="","",ROUND(战斗节奏!$B$14/(IF($G82="",0,VLOOKUP($G82,'⚪设计'!$B$85:$H$113,5,FALSE)*$H82)+IF($L82="",0,VLOOKUP($L82,'⚪设计'!$B$85:$H$113,5,FALSE)*$M82)+IF($Q82="",0,VLOOKUP($Q82,'⚪设计'!$B$85:$H$113,5,FALSE)*$R82)+IF($V82="",0,VLOOKUP($V82,'⚪设计'!$B$85:$H$113,5,FALSE)*$W82))*IF(G82="",0,VLOOKUP(G82,'⚪设计'!$B$85:$H$113,5,FALSE)),0))</f>
        <v>4</v>
      </c>
      <c r="L82" s="97" t="str">
        <f>IF(VLOOKUP($A82,'⚪设计'!$A$436:$N$459,8,FALSE)="","",VLOOKUP($A82,'⚪设计'!$A$436:$N$459,8,FALSE))</f>
        <v>鬼2</v>
      </c>
      <c r="M82" s="97">
        <f t="shared" si="12"/>
        <v>25</v>
      </c>
      <c r="N82" s="97">
        <f>IF(VLOOKUP($A82,'⚪设计'!$A$436:$N$459,12,FALSE)="","",VLOOKUP($A82,'⚪设计'!$A$436:$N$459,12,FALSE))</f>
        <v>1</v>
      </c>
      <c r="O82" s="97">
        <f>IF(L82="","",ROUND($D82*VLOOKUP($A82,'⚪设计'!$A$436:$N$459,4,FALSE)/(IF($G82="",0,VLOOKUP($G82,'⚪设计'!$B$85:$H$113,4,FALSE)*$H82)+IF($L82="",0,VLOOKUP($L82,'⚪设计'!$B$85:$H$113,4,FALSE)*$M82)+IF($Q82="",0,VLOOKUP($Q82,'⚪设计'!$B$85:$H$113,4,FALSE)*$R82)+IF($V82="",0,VLOOKUP($V82,'⚪设计'!$B$85:$H$113,4,FALSE)*$W82))*IF(L82="",0,VLOOKUP(L82,'⚪设计'!$B$85:$H$113,4,FALSE)),0))</f>
        <v>1134</v>
      </c>
      <c r="P82" s="97">
        <f>IF(L82="","",ROUND(战斗节奏!$B$14/(IF($G82="",0,VLOOKUP($G82,'⚪设计'!$B$85:$H$113,5,FALSE)*$H82)+IF($L82="",0,VLOOKUP($L82,'⚪设计'!$B$85:$H$113,5,FALSE)*$M82)+IF($Q82="",0,VLOOKUP($Q82,'⚪设计'!$B$85:$H$113,5,FALSE)*$R82)+IF($V82="",0,VLOOKUP($V82,'⚪设计'!$B$85:$H$113,5,FALSE)*$W82))*IF(L82="",0,VLOOKUP(L82,'⚪设计'!$B$85:$H$113,5,FALSE)),0))</f>
        <v>2</v>
      </c>
      <c r="Q82" s="97" t="str">
        <f>IF(VLOOKUP($A82,'⚪设计'!$A$436:$N$459,9,FALSE)="","",VLOOKUP($A82,'⚪设计'!$A$436:$N$459,9,FALSE))</f>
        <v>蝙蝠2</v>
      </c>
      <c r="R82" s="97">
        <f t="shared" si="13"/>
        <v>50</v>
      </c>
      <c r="S82" s="97">
        <f>IF(VLOOKUP($A82,'⚪设计'!$A$436:$N$459,13,FALSE)="","",VLOOKUP($A82,'⚪设计'!$A$436:$N$459,13,FALSE))</f>
        <v>0.5</v>
      </c>
      <c r="T82" s="97">
        <f>IF(Q82="","",ROUND($D82*VLOOKUP($A82,'⚪设计'!$A$436:$N$459,4,FALSE)/(IF($G82="",0,VLOOKUP($G82,'⚪设计'!$B$85:$H$113,4,FALSE)*$H82)+IF($L82="",0,VLOOKUP($L82,'⚪设计'!$B$85:$H$113,4,FALSE)*$M82)+IF($Q82="",0,VLOOKUP($Q82,'⚪设计'!$B$85:$H$113,4,FALSE)*$R82)+IF($V82="",0,VLOOKUP($V82,'⚪设计'!$B$85:$H$113,4,FALSE)*$W82))*IF(Q82="",0,VLOOKUP(Q82,'⚪设计'!$B$85:$H$113,4,FALSE)),0))</f>
        <v>567</v>
      </c>
      <c r="U82" s="97">
        <f>IF(Q82="","",ROUND(战斗节奏!$B$14/(IF($G82="",0,VLOOKUP($G82,'⚪设计'!$B$85:$H$113,5,FALSE)*$H82)+IF($L82="",0,VLOOKUP($L82,'⚪设计'!$B$85:$H$113,5,FALSE)*$M82)+IF($Q82="",0,VLOOKUP($Q82,'⚪设计'!$B$85:$H$113,5,FALSE)*$R82)+IF($V82="",0,VLOOKUP($V82,'⚪设计'!$B$85:$H$113,5,FALSE)*$W82))*IF(Q82="",0,VLOOKUP(Q82,'⚪设计'!$B$85:$H$113,5,FALSE)),0))</f>
        <v>1</v>
      </c>
      <c r="V82" s="97" t="str">
        <f>IF(VLOOKUP($A82,'⚪设计'!$A$436:$N$459,10,FALSE)="","",VLOOKUP($A82,'⚪设计'!$A$436:$N$459,10,FALSE))</f>
        <v>雪人2</v>
      </c>
      <c r="W82" s="97">
        <f t="shared" si="14"/>
        <v>25</v>
      </c>
      <c r="X82" s="97">
        <f>IF(VLOOKUP($A82,'⚪设计'!$A$436:$N$459,14,FALSE)="","",VLOOKUP($A82,'⚪设计'!$A$436:$N$459,14,FALSE))</f>
        <v>1</v>
      </c>
      <c r="Y82" s="97">
        <f>IF(V82="","",ROUND($D82*VLOOKUP($A82,'⚪设计'!$A$436:$N$459,4,FALSE)/(IF($G82="",0,VLOOKUP($G82,'⚪设计'!$B$85:$H$113,4,FALSE)*$H82)+IF($L82="",0,VLOOKUP($L82,'⚪设计'!$B$85:$H$113,4,FALSE)*$M82)+IF($Q82="",0,VLOOKUP($Q82,'⚪设计'!$B$85:$H$113,4,FALSE)*$R82)+IF($V82="",0,VLOOKUP($V82,'⚪设计'!$B$85:$H$113,4,FALSE)*$W82))*IF(V82="",0,VLOOKUP(V82,'⚪设计'!$B$85:$H$113,4,FALSE)),0))</f>
        <v>11340</v>
      </c>
      <c r="Z82" s="97">
        <f>IF(V82="","",ROUND(战斗节奏!$B$14/(IF($G82="",0,VLOOKUP($G82,'⚪设计'!$B$85:$H$113,5,FALSE)*$H82)+IF($L82="",0,VLOOKUP($L82,'⚪设计'!$B$85:$H$113,5,FALSE)*$M82)+IF($Q82="",0,VLOOKUP($Q82,'⚪设计'!$B$85:$H$113,5,FALSE)*$R82)+IF($V82="",0,VLOOKUP($V82,'⚪设计'!$B$85:$H$113,5,FALSE)*$W82))*IF(V82="",0,VLOOKUP(V82,'⚪设计'!$B$85:$H$113,5,FALSE)),0))</f>
        <v>4</v>
      </c>
    </row>
    <row r="83" spans="1:26" x14ac:dyDescent="0.2">
      <c r="A83" s="2" t="str">
        <f t="shared" si="10"/>
        <v>5_8</v>
      </c>
      <c r="B83" s="2">
        <v>5</v>
      </c>
      <c r="C83" s="2">
        <v>8</v>
      </c>
      <c r="D83" s="97">
        <f>VLOOKUP(C83,无限模式!$A$3:$B$22,2,FALSE)</f>
        <v>4320</v>
      </c>
      <c r="E83" s="98">
        <v>1</v>
      </c>
      <c r="F83" s="97">
        <f>VLOOKUP(A83,'⚪设计'!$A$436:$N$459,6,FALSE)</f>
        <v>27.5</v>
      </c>
      <c r="G83" s="97" t="str">
        <f>IF(VLOOKUP($A83,'⚪设计'!$A$436:$N$459,7,FALSE)="","",VLOOKUP($A83,'⚪设计'!$A$436:$N$459,7,FALSE))</f>
        <v>蛋3</v>
      </c>
      <c r="H83" s="97">
        <f t="shared" si="11"/>
        <v>1</v>
      </c>
      <c r="I83" s="97">
        <f>IF(VLOOKUP($A83,'⚪设计'!$A$436:$N$459,11,FALSE)="","",VLOOKUP($A83,'⚪设计'!$A$436:$N$459,11,FALSE))</f>
        <v>0</v>
      </c>
      <c r="J83" s="97">
        <f>IF(G83="","",ROUND($D83*VLOOKUP($A83,'⚪设计'!$A$436:$N$459,4,FALSE)/(IF($G83="",0,VLOOKUP($G83,'⚪设计'!$B$85:$H$113,4,FALSE)*$H83)+IF($L83="",0,VLOOKUP($L83,'⚪设计'!$B$85:$H$113,4,FALSE)*$M83)+IF($Q83="",0,VLOOKUP($Q83,'⚪设计'!$B$85:$H$113,4,FALSE)*$R83)+IF($V83="",0,VLOOKUP($V83,'⚪设计'!$B$85:$H$113,4,FALSE)*$W83))*IF(G83="",0,VLOOKUP(G83,'⚪设计'!$B$85:$H$113,4,FALSE)),0))</f>
        <v>23709</v>
      </c>
      <c r="K83" s="97">
        <f>IF(G83="","",ROUND(战斗节奏!$B$14/(IF($G83="",0,VLOOKUP($G83,'⚪设计'!$B$85:$H$113,5,FALSE)*$H83)+IF($L83="",0,VLOOKUP($L83,'⚪设计'!$B$85:$H$113,5,FALSE)*$M83)+IF($Q83="",0,VLOOKUP($Q83,'⚪设计'!$B$85:$H$113,5,FALSE)*$R83)+IF($V83="",0,VLOOKUP($V83,'⚪设计'!$B$85:$H$113,5,FALSE)*$W83))*IF(G83="",0,VLOOKUP(G83,'⚪设计'!$B$85:$H$113,5,FALSE)),0))</f>
        <v>85</v>
      </c>
      <c r="L83" s="97" t="str">
        <f>IF(VLOOKUP($A83,'⚪设计'!$A$436:$N$459,8,FALSE)="","",VLOOKUP($A83,'⚪设计'!$A$436:$N$459,8,FALSE))</f>
        <v>鬼2</v>
      </c>
      <c r="M83" s="97">
        <f t="shared" si="12"/>
        <v>55</v>
      </c>
      <c r="N83" s="97">
        <f>IF(VLOOKUP($A83,'⚪设计'!$A$436:$N$459,12,FALSE)="","",VLOOKUP($A83,'⚪设计'!$A$436:$N$459,12,FALSE))</f>
        <v>0.5</v>
      </c>
      <c r="O83" s="97">
        <f>IF(L83="","",ROUND($D83*VLOOKUP($A83,'⚪设计'!$A$436:$N$459,4,FALSE)/(IF($G83="",0,VLOOKUP($G83,'⚪设计'!$B$85:$H$113,4,FALSE)*$H83)+IF($L83="",0,VLOOKUP($L83,'⚪设计'!$B$85:$H$113,4,FALSE)*$M83)+IF($Q83="",0,VLOOKUP($Q83,'⚪设计'!$B$85:$H$113,4,FALSE)*$R83)+IF($V83="",0,VLOOKUP($V83,'⚪设计'!$B$85:$H$113,4,FALSE)*$W83))*IF(L83="",0,VLOOKUP(L83,'⚪设计'!$B$85:$H$113,4,FALSE)),0))</f>
        <v>1185</v>
      </c>
      <c r="P83" s="97">
        <f>IF(L83="","",ROUND(战斗节奏!$B$14/(IF($G83="",0,VLOOKUP($G83,'⚪设计'!$B$85:$H$113,5,FALSE)*$H83)+IF($L83="",0,VLOOKUP($L83,'⚪设计'!$B$85:$H$113,5,FALSE)*$M83)+IF($Q83="",0,VLOOKUP($Q83,'⚪设计'!$B$85:$H$113,5,FALSE)*$R83)+IF($V83="",0,VLOOKUP($V83,'⚪设计'!$B$85:$H$113,5,FALSE)*$W83))*IF(L83="",0,VLOOKUP(L83,'⚪设计'!$B$85:$H$113,5,FALSE)),0))</f>
        <v>2</v>
      </c>
      <c r="Q83" s="97" t="str">
        <f>IF(VLOOKUP($A83,'⚪设计'!$A$436:$N$459,9,FALSE)="","",VLOOKUP($A83,'⚪设计'!$A$436:$N$459,9,FALSE))</f>
        <v>种子2</v>
      </c>
      <c r="R83" s="97">
        <f t="shared" si="13"/>
        <v>14</v>
      </c>
      <c r="S83" s="97">
        <f>IF(VLOOKUP($A83,'⚪设计'!$A$436:$N$459,13,FALSE)="","",VLOOKUP($A83,'⚪设计'!$A$436:$N$459,13,FALSE))</f>
        <v>2</v>
      </c>
      <c r="T83" s="97">
        <f>IF(Q83="","",ROUND($D83*VLOOKUP($A83,'⚪设计'!$A$436:$N$459,4,FALSE)/(IF($G83="",0,VLOOKUP($G83,'⚪设计'!$B$85:$H$113,4,FALSE)*$H83)+IF($L83="",0,VLOOKUP($L83,'⚪设计'!$B$85:$H$113,4,FALSE)*$M83)+IF($Q83="",0,VLOOKUP($Q83,'⚪设计'!$B$85:$H$113,4,FALSE)*$R83)+IF($V83="",0,VLOOKUP($V83,'⚪设计'!$B$85:$H$113,4,FALSE)*$W83))*IF(Q83="",0,VLOOKUP(Q83,'⚪设计'!$B$85:$H$113,4,FALSE)),0))</f>
        <v>3556</v>
      </c>
      <c r="U83" s="97">
        <f>IF(Q83="","",ROUND(战斗节奏!$B$14/(IF($G83="",0,VLOOKUP($G83,'⚪设计'!$B$85:$H$113,5,FALSE)*$H83)+IF($L83="",0,VLOOKUP($L83,'⚪设计'!$B$85:$H$113,5,FALSE)*$M83)+IF($Q83="",0,VLOOKUP($Q83,'⚪设计'!$B$85:$H$113,5,FALSE)*$R83)+IF($V83="",0,VLOOKUP($V83,'⚪设计'!$B$85:$H$113,5,FALSE)*$W83))*IF(Q83="",0,VLOOKUP(Q83,'⚪设计'!$B$85:$H$113,5,FALSE)),0))</f>
        <v>4</v>
      </c>
      <c r="V83" s="97" t="str">
        <f>IF(VLOOKUP($A83,'⚪设计'!$A$436:$N$459,10,FALSE)="","",VLOOKUP($A83,'⚪设计'!$A$436:$N$459,10,FALSE))</f>
        <v>雪人3</v>
      </c>
      <c r="W83" s="97">
        <f t="shared" si="14"/>
        <v>9</v>
      </c>
      <c r="X83" s="97">
        <f>IF(VLOOKUP($A83,'⚪设计'!$A$436:$N$459,14,FALSE)="","",VLOOKUP($A83,'⚪设计'!$A$436:$N$459,14,FALSE))</f>
        <v>3</v>
      </c>
      <c r="Y83" s="97">
        <f>IF(V83="","",ROUND($D83*VLOOKUP($A83,'⚪设计'!$A$436:$N$459,4,FALSE)/(IF($G83="",0,VLOOKUP($G83,'⚪设计'!$B$85:$H$113,4,FALSE)*$H83)+IF($L83="",0,VLOOKUP($L83,'⚪设计'!$B$85:$H$113,4,FALSE)*$M83)+IF($Q83="",0,VLOOKUP($Q83,'⚪设计'!$B$85:$H$113,4,FALSE)*$R83)+IF($V83="",0,VLOOKUP($V83,'⚪设计'!$B$85:$H$113,4,FALSE)*$W83))*IF(V83="",0,VLOOKUP(V83,'⚪设计'!$B$85:$H$113,4,FALSE)),0))</f>
        <v>23709</v>
      </c>
      <c r="Z83" s="97">
        <f>IF(V83="","",ROUND(战斗节奏!$B$14/(IF($G83="",0,VLOOKUP($G83,'⚪设计'!$B$85:$H$113,5,FALSE)*$H83)+IF($L83="",0,VLOOKUP($L83,'⚪设计'!$B$85:$H$113,5,FALSE)*$M83)+IF($Q83="",0,VLOOKUP($Q83,'⚪设计'!$B$85:$H$113,5,FALSE)*$R83)+IF($V83="",0,VLOOKUP($V83,'⚪设计'!$B$85:$H$113,5,FALSE)*$W83))*IF(V83="",0,VLOOKUP(V83,'⚪设计'!$B$85:$H$113,5,FALSE)),0))</f>
        <v>4</v>
      </c>
    </row>
    <row r="85" spans="1:26" s="161" customFormat="1" x14ac:dyDescent="0.2">
      <c r="A85" s="161" t="s">
        <v>1976</v>
      </c>
    </row>
    <row r="86" spans="1:26" x14ac:dyDescent="0.2">
      <c r="A86" s="158" t="s">
        <v>665</v>
      </c>
      <c r="B86" s="158" t="s">
        <v>62</v>
      </c>
      <c r="C86" s="158" t="s">
        <v>380</v>
      </c>
      <c r="D86" s="158" t="s">
        <v>428</v>
      </c>
      <c r="E86" s="160" t="s">
        <v>430</v>
      </c>
      <c r="F86" s="160" t="s">
        <v>396</v>
      </c>
      <c r="G86" s="158" t="s">
        <v>400</v>
      </c>
      <c r="H86" s="159"/>
      <c r="I86" s="159"/>
      <c r="J86" s="159"/>
      <c r="K86" s="159"/>
      <c r="L86" s="158" t="s">
        <v>401</v>
      </c>
      <c r="M86" s="159"/>
      <c r="N86" s="159"/>
      <c r="O86" s="159"/>
      <c r="P86" s="159"/>
      <c r="Q86" s="158" t="s">
        <v>402</v>
      </c>
      <c r="R86" s="159"/>
      <c r="S86" s="159"/>
      <c r="T86" s="159"/>
      <c r="U86" s="159"/>
      <c r="V86" s="158" t="s">
        <v>403</v>
      </c>
      <c r="W86" s="159"/>
      <c r="X86" s="159"/>
      <c r="Y86" s="159"/>
      <c r="Z86" s="160"/>
    </row>
    <row r="87" spans="1:26" x14ac:dyDescent="0.2">
      <c r="A87" s="85"/>
      <c r="B87" s="85"/>
      <c r="C87" s="85"/>
      <c r="D87" s="85"/>
      <c r="E87" s="86"/>
      <c r="F87" s="86"/>
      <c r="G87" s="85" t="s">
        <v>397</v>
      </c>
      <c r="H87" s="87" t="s">
        <v>283</v>
      </c>
      <c r="I87" s="87" t="s">
        <v>404</v>
      </c>
      <c r="J87" s="87" t="s">
        <v>398</v>
      </c>
      <c r="K87" s="87" t="s">
        <v>399</v>
      </c>
      <c r="L87" s="85" t="s">
        <v>397</v>
      </c>
      <c r="M87" s="87" t="s">
        <v>283</v>
      </c>
      <c r="N87" s="87" t="s">
        <v>404</v>
      </c>
      <c r="O87" s="87" t="s">
        <v>398</v>
      </c>
      <c r="P87" s="87" t="s">
        <v>399</v>
      </c>
      <c r="Q87" s="85" t="s">
        <v>397</v>
      </c>
      <c r="R87" s="87" t="s">
        <v>283</v>
      </c>
      <c r="S87" s="87" t="s">
        <v>404</v>
      </c>
      <c r="T87" s="87" t="s">
        <v>398</v>
      </c>
      <c r="U87" s="87" t="s">
        <v>399</v>
      </c>
      <c r="V87" s="85" t="s">
        <v>397</v>
      </c>
      <c r="W87" s="87" t="s">
        <v>283</v>
      </c>
      <c r="X87" s="87" t="s">
        <v>404</v>
      </c>
      <c r="Y87" s="87" t="s">
        <v>398</v>
      </c>
      <c r="Z87" s="86" t="s">
        <v>399</v>
      </c>
    </row>
    <row r="88" spans="1:26" x14ac:dyDescent="0.2">
      <c r="A88" s="2" t="str">
        <f>B88&amp;"_"&amp;C88</f>
        <v>1_1</v>
      </c>
      <c r="B88" s="2">
        <v>1</v>
      </c>
      <c r="C88" s="2">
        <v>1</v>
      </c>
      <c r="D88" s="97">
        <f>VLOOKUP(C88,无限模式!$A$3:$B$22,2,FALSE)</f>
        <v>540</v>
      </c>
      <c r="E88" s="98">
        <v>1</v>
      </c>
      <c r="F88" s="97">
        <f>VLOOKUP(A88,'⚪设计'!$A$463:$N$486,6,FALSE)</f>
        <v>10</v>
      </c>
      <c r="G88" s="97" t="str">
        <f>IF(VLOOKUP($A88,'⚪设计'!$A$463:$N$486,7,FALSE)="","",VLOOKUP($A88,'⚪设计'!$A$463:$N$486,7,FALSE))</f>
        <v>蜜蜂1</v>
      </c>
      <c r="H88" s="97">
        <f>IF(I88=0,1,IF(I88="","",ROUND($F88/I88,0)))</f>
        <v>5</v>
      </c>
      <c r="I88" s="97">
        <f>IF(VLOOKUP($A88,'⚪设计'!$A$463:$N$486,11,FALSE)="","",VLOOKUP($A88,'⚪设计'!$A$463:$N$486,11,FALSE))</f>
        <v>2</v>
      </c>
      <c r="J88" s="97">
        <f>IF(G88="","",ROUND($D88*VLOOKUP($A88,'⚪设计'!$A$463:$N$486,4,FALSE)/(IF($G88="",0,VLOOKUP($G88,'⚪设计'!$B$85:$H$113,4,FALSE)*$H88)+IF($L88="",0,VLOOKUP($L88,'⚪设计'!$B$85:$H$113,4,FALSE)*$M88)+IF($Q88="",0,VLOOKUP($Q88,'⚪设计'!$B$85:$H$113,4,FALSE)*$R88)+IF($V88="",0,VLOOKUP($V88,'⚪设计'!$B$85:$H$113,4,FALSE)*$W88))*IF(G88="",0,VLOOKUP(G88,'⚪设计'!$B$85:$H$113,4,FALSE)),0))</f>
        <v>95</v>
      </c>
      <c r="K88" s="97">
        <f>IF(G88="","",ROUND(战斗节奏!$B$14/(IF($G88="",0,VLOOKUP($G88,'⚪设计'!$B$85:$H$113,5,FALSE)*$H88)+IF($L88="",0,VLOOKUP($L88,'⚪设计'!$B$85:$H$113,5,FALSE)*$M88)+IF($Q88="",0,VLOOKUP($Q88,'⚪设计'!$B$85:$H$113,5,FALSE)*$R88)+IF($V88="",0,VLOOKUP($V88,'⚪设计'!$B$85:$H$113,5,FALSE)*$W88))*IF(G88="",0,VLOOKUP(G88,'⚪设计'!$B$85:$H$113,5,FALSE)),0))</f>
        <v>18</v>
      </c>
      <c r="L88" s="97" t="str">
        <f>IF(VLOOKUP($A88,'⚪设计'!$A$463:$N$486,8,FALSE)="","",VLOOKUP($A88,'⚪设计'!$A$463:$N$486,8,FALSE))</f>
        <v>乌龟1</v>
      </c>
      <c r="M88" s="97">
        <f>IF(N88=0,1,IF(N88="","",ROUND($F88/N88,0)))</f>
        <v>3</v>
      </c>
      <c r="N88" s="97">
        <f>IF(VLOOKUP($A88,'⚪设计'!$A$463:$N$486,12,FALSE)="","",VLOOKUP($A88,'⚪设计'!$A$463:$N$486,12,FALSE))</f>
        <v>3</v>
      </c>
      <c r="O88" s="97">
        <f>IF(L88="","",ROUND($D88*VLOOKUP($A88,'⚪设计'!$A$463:$N$486,4,FALSE)/(IF($G88="",0,VLOOKUP($G88,'⚪设计'!$B$85:$H$113,4,FALSE)*$H88)+IF($L88="",0,VLOOKUP($L88,'⚪设计'!$B$85:$H$113,4,FALSE)*$M88)+IF($Q88="",0,VLOOKUP($Q88,'⚪设计'!$B$85:$H$113,4,FALSE)*$R88)+IF($V88="",0,VLOOKUP($V88,'⚪设计'!$B$85:$H$113,4,FALSE)*$W88))*IF(L88="",0,VLOOKUP(L88,'⚪设计'!$B$85:$H$113,4,FALSE)),0))</f>
        <v>381</v>
      </c>
      <c r="P88" s="97">
        <f>IF(L88="","",ROUND(战斗节奏!$B$14/(IF($G88="",0,VLOOKUP($G88,'⚪设计'!$B$85:$H$113,5,FALSE)*$H88)+IF($L88="",0,VLOOKUP($L88,'⚪设计'!$B$85:$H$113,5,FALSE)*$M88)+IF($Q88="",0,VLOOKUP($Q88,'⚪设计'!$B$85:$H$113,5,FALSE)*$R88)+IF($V88="",0,VLOOKUP($V88,'⚪设计'!$B$85:$H$113,5,FALSE)*$W88))*IF(L88="",0,VLOOKUP(L88,'⚪设计'!$B$85:$H$113,5,FALSE)),0))</f>
        <v>71</v>
      </c>
      <c r="Q88" s="97" t="str">
        <f>IF(VLOOKUP($A88,'⚪设计'!$A$463:$N$486,9,FALSE)="","",VLOOKUP($A88,'⚪设计'!$A$463:$N$486,9,FALSE))</f>
        <v/>
      </c>
      <c r="R88" s="97" t="str">
        <f>IF(S88=0,1,IF(S88="","",ROUND($F88/S88,0)))</f>
        <v/>
      </c>
      <c r="S88" s="97" t="str">
        <f>IF(VLOOKUP($A88,'⚪设计'!$A$463:$N$486,13,FALSE)="","",VLOOKUP($A88,'⚪设计'!$A$463:$N$486,13,FALSE))</f>
        <v/>
      </c>
      <c r="T88" s="97" t="str">
        <f>IF(Q88="","",ROUND($D88*VLOOKUP($A88,'⚪设计'!$A$463:$N$486,4,FALSE)/(IF($G88="",0,VLOOKUP($G88,'⚪设计'!$B$85:$H$113,4,FALSE)*$H88)+IF($L88="",0,VLOOKUP($L88,'⚪设计'!$B$85:$H$113,4,FALSE)*$M88)+IF($Q88="",0,VLOOKUP($Q88,'⚪设计'!$B$85:$H$113,4,FALSE)*$R88)+IF($V88="",0,VLOOKUP($V88,'⚪设计'!$B$85:$H$113,4,FALSE)*$W88))*IF(Q88="",0,VLOOKUP(Q88,'⚪设计'!$B$85:$H$113,4,FALSE)),0))</f>
        <v/>
      </c>
      <c r="U88" s="97" t="str">
        <f>IF(Q88="","",ROUND(战斗节奏!$B$14/(IF($G88="",0,VLOOKUP($G88,'⚪设计'!$B$85:$H$113,5,FALSE)*$H88)+IF($L88="",0,VLOOKUP($L88,'⚪设计'!$B$85:$H$113,5,FALSE)*$M88)+IF($Q88="",0,VLOOKUP($Q88,'⚪设计'!$B$85:$H$113,5,FALSE)*$R88)+IF($V88="",0,VLOOKUP($V88,'⚪设计'!$B$85:$H$113,5,FALSE)*$W88))*IF(Q88="",0,VLOOKUP(Q88,'⚪设计'!$B$85:$H$113,5,FALSE)),0))</f>
        <v/>
      </c>
      <c r="V88" s="97" t="str">
        <f>IF(VLOOKUP($A88,'⚪设计'!$A$463:$N$486,10,FALSE)="","",VLOOKUP($A88,'⚪设计'!$A$463:$N$486,10,FALSE))</f>
        <v/>
      </c>
      <c r="W88" s="97" t="str">
        <f>IF(X88=0,1,IF(X88="","",ROUND($F88/X88,0)))</f>
        <v/>
      </c>
      <c r="X88" s="97" t="str">
        <f>IF(VLOOKUP($A88,'⚪设计'!$A$463:$N$486,14,FALSE)="","",VLOOKUP($A88,'⚪设计'!$A$463:$N$486,14,FALSE))</f>
        <v/>
      </c>
      <c r="Y88" s="97" t="str">
        <f>IF(V88="","",ROUND($D88*VLOOKUP($A88,'⚪设计'!$A$463:$N$486,4,FALSE)/(IF($G88="",0,VLOOKUP($G88,'⚪设计'!$B$85:$H$113,4,FALSE)*$H88)+IF($L88="",0,VLOOKUP($L88,'⚪设计'!$B$85:$H$113,4,FALSE)*$M88)+IF($Q88="",0,VLOOKUP($Q88,'⚪设计'!$B$85:$H$113,4,FALSE)*$R88)+IF($V88="",0,VLOOKUP($V88,'⚪设计'!$B$85:$H$113,4,FALSE)*$W88))*IF(V88="",0,VLOOKUP(V88,'⚪设计'!$B$85:$H$113,4,FALSE)),0))</f>
        <v/>
      </c>
      <c r="Z88" s="97" t="str">
        <f>IF(V88="","",ROUND(战斗节奏!$B$14/(IF($G88="",0,VLOOKUP($G88,'⚪设计'!$B$85:$H$113,5,FALSE)*$H88)+IF($L88="",0,VLOOKUP($L88,'⚪设计'!$B$85:$H$113,5,FALSE)*$M88)+IF($Q88="",0,VLOOKUP($Q88,'⚪设计'!$B$85:$H$113,5,FALSE)*$R88)+IF($V88="",0,VLOOKUP($V88,'⚪设计'!$B$85:$H$113,5,FALSE)*$W88))*IF(V88="",0,VLOOKUP(V88,'⚪设计'!$B$85:$H$113,5,FALSE)),0))</f>
        <v/>
      </c>
    </row>
    <row r="89" spans="1:26" x14ac:dyDescent="0.2">
      <c r="A89" s="2" t="str">
        <f t="shared" ref="A89:A111" si="15">B89&amp;"_"&amp;C89</f>
        <v>1_2</v>
      </c>
      <c r="B89" s="2">
        <v>1</v>
      </c>
      <c r="C89" s="2">
        <v>2</v>
      </c>
      <c r="D89" s="97">
        <f>VLOOKUP(C89,无限模式!$A$3:$B$22,2,FALSE)</f>
        <v>1080</v>
      </c>
      <c r="E89" s="98">
        <v>1</v>
      </c>
      <c r="F89" s="97">
        <f>VLOOKUP(A89,'⚪设计'!$A$463:$N$486,6,FALSE)</f>
        <v>12.5</v>
      </c>
      <c r="G89" s="97" t="str">
        <f>IF(VLOOKUP($A89,'⚪设计'!$A$463:$N$486,7,FALSE)="","",VLOOKUP($A89,'⚪设计'!$A$463:$N$486,7,FALSE))</f>
        <v>蜜蜂1</v>
      </c>
      <c r="H89" s="97">
        <f t="shared" ref="H89:H111" si="16">IF(I89=0,1,IF(I89="","",ROUND($F89/I89,0)))</f>
        <v>25</v>
      </c>
      <c r="I89" s="97">
        <f>IF(VLOOKUP($A89,'⚪设计'!$A$463:$N$486,11,FALSE)="","",VLOOKUP($A89,'⚪设计'!$A$463:$N$486,11,FALSE))</f>
        <v>0.5</v>
      </c>
      <c r="J89" s="97">
        <f>IF(G89="","",ROUND($D89*VLOOKUP($A89,'⚪设计'!$A$463:$N$486,4,FALSE)/(IF($G89="",0,VLOOKUP($G89,'⚪设计'!$B$85:$H$113,4,FALSE)*$H89)+IF($L89="",0,VLOOKUP($L89,'⚪设计'!$B$85:$H$113,4,FALSE)*$M89)+IF($Q89="",0,VLOOKUP($Q89,'⚪设计'!$B$85:$H$113,4,FALSE)*$R89)+IF($V89="",0,VLOOKUP($V89,'⚪设计'!$B$85:$H$113,4,FALSE)*$W89))*IF(G89="",0,VLOOKUP(G89,'⚪设计'!$B$85:$H$113,4,FALSE)),0))</f>
        <v>158</v>
      </c>
      <c r="K89" s="97">
        <f>IF(G89="","",ROUND(战斗节奏!$B$14/(IF($G89="",0,VLOOKUP($G89,'⚪设计'!$B$85:$H$113,5,FALSE)*$H89)+IF($L89="",0,VLOOKUP($L89,'⚪设计'!$B$85:$H$113,5,FALSE)*$M89)+IF($Q89="",0,VLOOKUP($Q89,'⚪设计'!$B$85:$H$113,5,FALSE)*$R89)+IF($V89="",0,VLOOKUP($V89,'⚪设计'!$B$85:$H$113,5,FALSE)*$W89))*IF(G89="",0,VLOOKUP(G89,'⚪设计'!$B$85:$H$113,5,FALSE)),0))</f>
        <v>7</v>
      </c>
      <c r="L89" s="97" t="str">
        <f>IF(VLOOKUP($A89,'⚪设计'!$A$463:$N$486,8,FALSE)="","",VLOOKUP($A89,'⚪设计'!$A$463:$N$486,8,FALSE))</f>
        <v>乌龟1</v>
      </c>
      <c r="M89" s="97">
        <f t="shared" ref="M89:M111" si="17">IF(N89=0,1,IF(N89="","",ROUND($F89/N89,0)))</f>
        <v>4</v>
      </c>
      <c r="N89" s="97">
        <f>IF(VLOOKUP($A89,'⚪设计'!$A$463:$N$486,12,FALSE)="","",VLOOKUP($A89,'⚪设计'!$A$463:$N$486,12,FALSE))</f>
        <v>3</v>
      </c>
      <c r="O89" s="97">
        <f>IF(L89="","",ROUND($D89*VLOOKUP($A89,'⚪设计'!$A$463:$N$486,4,FALSE)/(IF($G89="",0,VLOOKUP($G89,'⚪设计'!$B$85:$H$113,4,FALSE)*$H89)+IF($L89="",0,VLOOKUP($L89,'⚪设计'!$B$85:$H$113,4,FALSE)*$M89)+IF($Q89="",0,VLOOKUP($Q89,'⚪设计'!$B$85:$H$113,4,FALSE)*$R89)+IF($V89="",0,VLOOKUP($V89,'⚪设计'!$B$85:$H$113,4,FALSE)*$W89))*IF(L89="",0,VLOOKUP(L89,'⚪设计'!$B$85:$H$113,4,FALSE)),0))</f>
        <v>632</v>
      </c>
      <c r="P89" s="97">
        <f>IF(L89="","",ROUND(战斗节奏!$B$14/(IF($G89="",0,VLOOKUP($G89,'⚪设计'!$B$85:$H$113,5,FALSE)*$H89)+IF($L89="",0,VLOOKUP($L89,'⚪设计'!$B$85:$H$113,5,FALSE)*$M89)+IF($Q89="",0,VLOOKUP($Q89,'⚪设计'!$B$85:$H$113,5,FALSE)*$R89)+IF($V89="",0,VLOOKUP($V89,'⚪设计'!$B$85:$H$113,5,FALSE)*$W89))*IF(L89="",0,VLOOKUP(L89,'⚪设计'!$B$85:$H$113,5,FALSE)),0))</f>
        <v>29</v>
      </c>
      <c r="Q89" s="97" t="str">
        <f>IF(VLOOKUP($A89,'⚪设计'!$A$463:$N$486,9,FALSE)="","",VLOOKUP($A89,'⚪设计'!$A$463:$N$486,9,FALSE))</f>
        <v/>
      </c>
      <c r="R89" s="97" t="str">
        <f t="shared" ref="R89:R111" si="18">IF(S89=0,1,IF(S89="","",ROUND($F89/S89,0)))</f>
        <v/>
      </c>
      <c r="S89" s="97" t="str">
        <f>IF(VLOOKUP($A89,'⚪设计'!$A$463:$N$486,13,FALSE)="","",VLOOKUP($A89,'⚪设计'!$A$463:$N$486,13,FALSE))</f>
        <v/>
      </c>
      <c r="T89" s="97" t="str">
        <f>IF(Q89="","",ROUND($D89*VLOOKUP($A89,'⚪设计'!$A$463:$N$486,4,FALSE)/(IF($G89="",0,VLOOKUP($G89,'⚪设计'!$B$85:$H$113,4,FALSE)*$H89)+IF($L89="",0,VLOOKUP($L89,'⚪设计'!$B$85:$H$113,4,FALSE)*$M89)+IF($Q89="",0,VLOOKUP($Q89,'⚪设计'!$B$85:$H$113,4,FALSE)*$R89)+IF($V89="",0,VLOOKUP($V89,'⚪设计'!$B$85:$H$113,4,FALSE)*$W89))*IF(Q89="",0,VLOOKUP(Q89,'⚪设计'!$B$85:$H$113,4,FALSE)),0))</f>
        <v/>
      </c>
      <c r="U89" s="97" t="str">
        <f>IF(Q89="","",ROUND(战斗节奏!$B$14/(IF($G89="",0,VLOOKUP($G89,'⚪设计'!$B$85:$H$113,5,FALSE)*$H89)+IF($L89="",0,VLOOKUP($L89,'⚪设计'!$B$85:$H$113,5,FALSE)*$M89)+IF($Q89="",0,VLOOKUP($Q89,'⚪设计'!$B$85:$H$113,5,FALSE)*$R89)+IF($V89="",0,VLOOKUP($V89,'⚪设计'!$B$85:$H$113,5,FALSE)*$W89))*IF(Q89="",0,VLOOKUP(Q89,'⚪设计'!$B$85:$H$113,5,FALSE)),0))</f>
        <v/>
      </c>
      <c r="V89" s="97" t="str">
        <f>IF(VLOOKUP($A89,'⚪设计'!$A$463:$N$486,10,FALSE)="","",VLOOKUP($A89,'⚪设计'!$A$463:$N$486,10,FALSE))</f>
        <v/>
      </c>
      <c r="W89" s="97" t="str">
        <f t="shared" ref="W89:W111" si="19">IF(X89=0,1,IF(X89="","",ROUND($F89/X89,0)))</f>
        <v/>
      </c>
      <c r="X89" s="97" t="str">
        <f>IF(VLOOKUP($A89,'⚪设计'!$A$463:$N$486,14,FALSE)="","",VLOOKUP($A89,'⚪设计'!$A$463:$N$486,14,FALSE))</f>
        <v/>
      </c>
      <c r="Y89" s="97" t="str">
        <f>IF(V89="","",ROUND($D89*VLOOKUP($A89,'⚪设计'!$A$463:$N$486,4,FALSE)/(IF($G89="",0,VLOOKUP($G89,'⚪设计'!$B$85:$H$113,4,FALSE)*$H89)+IF($L89="",0,VLOOKUP($L89,'⚪设计'!$B$85:$H$113,4,FALSE)*$M89)+IF($Q89="",0,VLOOKUP($Q89,'⚪设计'!$B$85:$H$113,4,FALSE)*$R89)+IF($V89="",0,VLOOKUP($V89,'⚪设计'!$B$85:$H$113,4,FALSE)*$W89))*IF(V89="",0,VLOOKUP(V89,'⚪设计'!$B$85:$H$113,4,FALSE)),0))</f>
        <v/>
      </c>
      <c r="Z89" s="97" t="str">
        <f>IF(V89="","",ROUND(战斗节奏!$B$14/(IF($G89="",0,VLOOKUP($G89,'⚪设计'!$B$85:$H$113,5,FALSE)*$H89)+IF($L89="",0,VLOOKUP($L89,'⚪设计'!$B$85:$H$113,5,FALSE)*$M89)+IF($Q89="",0,VLOOKUP($Q89,'⚪设计'!$B$85:$H$113,5,FALSE)*$R89)+IF($V89="",0,VLOOKUP($V89,'⚪设计'!$B$85:$H$113,5,FALSE)*$W89))*IF(V89="",0,VLOOKUP(V89,'⚪设计'!$B$85:$H$113,5,FALSE)),0))</f>
        <v/>
      </c>
    </row>
    <row r="90" spans="1:26" x14ac:dyDescent="0.2">
      <c r="A90" s="2" t="str">
        <f t="shared" si="15"/>
        <v>1_3</v>
      </c>
      <c r="B90" s="2">
        <v>1</v>
      </c>
      <c r="C90" s="2">
        <v>3</v>
      </c>
      <c r="D90" s="97">
        <f>VLOOKUP(C90,无限模式!$A$3:$B$22,2,FALSE)</f>
        <v>1620</v>
      </c>
      <c r="E90" s="98">
        <v>1</v>
      </c>
      <c r="F90" s="97">
        <f>VLOOKUP(A90,'⚪设计'!$A$463:$N$486,6,FALSE)</f>
        <v>15</v>
      </c>
      <c r="G90" s="97" t="str">
        <f>IF(VLOOKUP($A90,'⚪设计'!$A$463:$N$486,7,FALSE)="","",VLOOKUP($A90,'⚪设计'!$A$463:$N$486,7,FALSE))</f>
        <v>蜜蜂1</v>
      </c>
      <c r="H90" s="97">
        <f t="shared" si="16"/>
        <v>30</v>
      </c>
      <c r="I90" s="97">
        <f>IF(VLOOKUP($A90,'⚪设计'!$A$463:$N$486,11,FALSE)="","",VLOOKUP($A90,'⚪设计'!$A$463:$N$486,11,FALSE))</f>
        <v>0.5</v>
      </c>
      <c r="J90" s="97">
        <f>IF(G90="","",ROUND($D90*VLOOKUP($A90,'⚪设计'!$A$463:$N$486,4,FALSE)/(IF($G90="",0,VLOOKUP($G90,'⚪设计'!$B$85:$H$113,4,FALSE)*$H90)+IF($L90="",0,VLOOKUP($L90,'⚪设计'!$B$85:$H$113,4,FALSE)*$M90)+IF($Q90="",0,VLOOKUP($Q90,'⚪设计'!$B$85:$H$113,4,FALSE)*$R90)+IF($V90="",0,VLOOKUP($V90,'⚪设计'!$B$85:$H$113,4,FALSE)*$W90))*IF(G90="",0,VLOOKUP(G90,'⚪设计'!$B$85:$H$113,4,FALSE)),0))</f>
        <v>180</v>
      </c>
      <c r="K90" s="97">
        <f>IF(G90="","",ROUND(战斗节奏!$B$14/(IF($G90="",0,VLOOKUP($G90,'⚪设计'!$B$85:$H$113,5,FALSE)*$H90)+IF($L90="",0,VLOOKUP($L90,'⚪设计'!$B$85:$H$113,5,FALSE)*$M90)+IF($Q90="",0,VLOOKUP($Q90,'⚪设计'!$B$85:$H$113,5,FALSE)*$R90)+IF($V90="",0,VLOOKUP($V90,'⚪设计'!$B$85:$H$113,5,FALSE)*$W90))*IF(G90="",0,VLOOKUP(G90,'⚪设计'!$B$85:$H$113,5,FALSE)),0))</f>
        <v>3</v>
      </c>
      <c r="L90" s="97" t="str">
        <f>IF(VLOOKUP($A90,'⚪设计'!$A$463:$N$486,8,FALSE)="","",VLOOKUP($A90,'⚪设计'!$A$463:$N$486,8,FALSE))</f>
        <v>蜜蜂2</v>
      </c>
      <c r="M90" s="97">
        <f t="shared" si="17"/>
        <v>5</v>
      </c>
      <c r="N90" s="97">
        <f>IF(VLOOKUP($A90,'⚪设计'!$A$463:$N$486,12,FALSE)="","",VLOOKUP($A90,'⚪设计'!$A$463:$N$486,12,FALSE))</f>
        <v>3</v>
      </c>
      <c r="O90" s="97">
        <f>IF(L90="","",ROUND($D90*VLOOKUP($A90,'⚪设计'!$A$463:$N$486,4,FALSE)/(IF($G90="",0,VLOOKUP($G90,'⚪设计'!$B$85:$H$113,4,FALSE)*$H90)+IF($L90="",0,VLOOKUP($L90,'⚪设计'!$B$85:$H$113,4,FALSE)*$M90)+IF($Q90="",0,VLOOKUP($Q90,'⚪设计'!$B$85:$H$113,4,FALSE)*$R90)+IF($V90="",0,VLOOKUP($V90,'⚪设计'!$B$85:$H$113,4,FALSE)*$W90))*IF(L90="",0,VLOOKUP(L90,'⚪设计'!$B$85:$H$113,4,FALSE)),0))</f>
        <v>720</v>
      </c>
      <c r="P90" s="97">
        <f>IF(L90="","",ROUND(战斗节奏!$B$14/(IF($G90="",0,VLOOKUP($G90,'⚪设计'!$B$85:$H$113,5,FALSE)*$H90)+IF($L90="",0,VLOOKUP($L90,'⚪设计'!$B$85:$H$113,5,FALSE)*$M90)+IF($Q90="",0,VLOOKUP($Q90,'⚪设计'!$B$85:$H$113,5,FALSE)*$R90)+IF($V90="",0,VLOOKUP($V90,'⚪设计'!$B$85:$H$113,5,FALSE)*$W90))*IF(L90="",0,VLOOKUP(L90,'⚪设计'!$B$85:$H$113,5,FALSE)),0))</f>
        <v>13</v>
      </c>
      <c r="Q90" s="97" t="str">
        <f>IF(VLOOKUP($A90,'⚪设计'!$A$463:$N$486,9,FALSE)="","",VLOOKUP($A90,'⚪设计'!$A$463:$N$486,9,FALSE))</f>
        <v>乌龟1</v>
      </c>
      <c r="R90" s="97">
        <f t="shared" si="18"/>
        <v>10</v>
      </c>
      <c r="S90" s="97">
        <f>IF(VLOOKUP($A90,'⚪设计'!$A$463:$N$486,13,FALSE)="","",VLOOKUP($A90,'⚪设计'!$A$463:$N$486,13,FALSE))</f>
        <v>1.5</v>
      </c>
      <c r="T90" s="97">
        <f>IF(Q90="","",ROUND($D90*VLOOKUP($A90,'⚪设计'!$A$463:$N$486,4,FALSE)/(IF($G90="",0,VLOOKUP($G90,'⚪设计'!$B$85:$H$113,4,FALSE)*$H90)+IF($L90="",0,VLOOKUP($L90,'⚪设计'!$B$85:$H$113,4,FALSE)*$M90)+IF($Q90="",0,VLOOKUP($Q90,'⚪设计'!$B$85:$H$113,4,FALSE)*$R90)+IF($V90="",0,VLOOKUP($V90,'⚪设计'!$B$85:$H$113,4,FALSE)*$W90))*IF(Q90="",0,VLOOKUP(Q90,'⚪设计'!$B$85:$H$113,4,FALSE)),0))</f>
        <v>720</v>
      </c>
      <c r="U90" s="97">
        <f>IF(Q90="","",ROUND(战斗节奏!$B$14/(IF($G90="",0,VLOOKUP($G90,'⚪设计'!$B$85:$H$113,5,FALSE)*$H90)+IF($L90="",0,VLOOKUP($L90,'⚪设计'!$B$85:$H$113,5,FALSE)*$M90)+IF($Q90="",0,VLOOKUP($Q90,'⚪设计'!$B$85:$H$113,5,FALSE)*$R90)+IF($V90="",0,VLOOKUP($V90,'⚪设计'!$B$85:$H$113,5,FALSE)*$W90))*IF(Q90="",0,VLOOKUP(Q90,'⚪设计'!$B$85:$H$113,5,FALSE)),0))</f>
        <v>13</v>
      </c>
      <c r="V90" s="97" t="str">
        <f>IF(VLOOKUP($A90,'⚪设计'!$A$463:$N$486,10,FALSE)="","",VLOOKUP($A90,'⚪设计'!$A$463:$N$486,10,FALSE))</f>
        <v/>
      </c>
      <c r="W90" s="97" t="str">
        <f t="shared" si="19"/>
        <v/>
      </c>
      <c r="X90" s="97" t="str">
        <f>IF(VLOOKUP($A90,'⚪设计'!$A$463:$N$486,14,FALSE)="","",VLOOKUP($A90,'⚪设计'!$A$463:$N$486,14,FALSE))</f>
        <v/>
      </c>
      <c r="Y90" s="97" t="str">
        <f>IF(V90="","",ROUND($D90*VLOOKUP($A90,'⚪设计'!$A$463:$N$486,4,FALSE)/(IF($G90="",0,VLOOKUP($G90,'⚪设计'!$B$85:$H$113,4,FALSE)*$H90)+IF($L90="",0,VLOOKUP($L90,'⚪设计'!$B$85:$H$113,4,FALSE)*$M90)+IF($Q90="",0,VLOOKUP($Q90,'⚪设计'!$B$85:$H$113,4,FALSE)*$R90)+IF($V90="",0,VLOOKUP($V90,'⚪设计'!$B$85:$H$113,4,FALSE)*$W90))*IF(V90="",0,VLOOKUP(V90,'⚪设计'!$B$85:$H$113,4,FALSE)),0))</f>
        <v/>
      </c>
      <c r="Z90" s="97" t="str">
        <f>IF(V90="","",ROUND(战斗节奏!$B$14/(IF($G90="",0,VLOOKUP($G90,'⚪设计'!$B$85:$H$113,5,FALSE)*$H90)+IF($L90="",0,VLOOKUP($L90,'⚪设计'!$B$85:$H$113,5,FALSE)*$M90)+IF($Q90="",0,VLOOKUP($Q90,'⚪设计'!$B$85:$H$113,5,FALSE)*$R90)+IF($V90="",0,VLOOKUP($V90,'⚪设计'!$B$85:$H$113,5,FALSE)*$W90))*IF(V90="",0,VLOOKUP(V90,'⚪设计'!$B$85:$H$113,5,FALSE)),0))</f>
        <v/>
      </c>
    </row>
    <row r="91" spans="1:26" x14ac:dyDescent="0.2">
      <c r="A91" s="2" t="str">
        <f t="shared" si="15"/>
        <v>2_1</v>
      </c>
      <c r="B91" s="2">
        <v>2</v>
      </c>
      <c r="C91" s="2">
        <v>1</v>
      </c>
      <c r="D91" s="97">
        <f>VLOOKUP(C91,无限模式!$A$3:$B$22,2,FALSE)</f>
        <v>540</v>
      </c>
      <c r="E91" s="98">
        <v>1</v>
      </c>
      <c r="F91" s="97">
        <f>VLOOKUP(A91,'⚪设计'!$A$463:$N$486,6,FALSE)</f>
        <v>10</v>
      </c>
      <c r="G91" s="97" t="str">
        <f>IF(VLOOKUP($A91,'⚪设计'!$A$463:$N$486,7,FALSE)="","",VLOOKUP($A91,'⚪设计'!$A$463:$N$486,7,FALSE))</f>
        <v>蜘蛛1</v>
      </c>
      <c r="H91" s="97">
        <f t="shared" si="16"/>
        <v>5</v>
      </c>
      <c r="I91" s="97">
        <f>IF(VLOOKUP($A91,'⚪设计'!$A$463:$N$486,11,FALSE)="","",VLOOKUP($A91,'⚪设计'!$A$463:$N$486,11,FALSE))</f>
        <v>2</v>
      </c>
      <c r="J91" s="97">
        <f>IF(G91="","",ROUND($D91*VLOOKUP($A91,'⚪设计'!$A$463:$N$486,4,FALSE)/(IF($G91="",0,VLOOKUP($G91,'⚪设计'!$B$85:$H$113,4,FALSE)*$H91)+IF($L91="",0,VLOOKUP($L91,'⚪设计'!$B$85:$H$113,4,FALSE)*$M91)+IF($Q91="",0,VLOOKUP($Q91,'⚪设计'!$B$85:$H$113,4,FALSE)*$R91)+IF($V91="",0,VLOOKUP($V91,'⚪设计'!$B$85:$H$113,4,FALSE)*$W91))*IF(G91="",0,VLOOKUP(G91,'⚪设计'!$B$85:$H$113,4,FALSE)),0))</f>
        <v>180</v>
      </c>
      <c r="K91" s="97">
        <f>IF(G91="","",ROUND(战斗节奏!$B$14/(IF($G91="",0,VLOOKUP($G91,'⚪设计'!$B$85:$H$113,5,FALSE)*$H91)+IF($L91="",0,VLOOKUP($L91,'⚪设计'!$B$85:$H$113,5,FALSE)*$M91)+IF($Q91="",0,VLOOKUP($Q91,'⚪设计'!$B$85:$H$113,5,FALSE)*$R91)+IF($V91="",0,VLOOKUP($V91,'⚪设计'!$B$85:$H$113,5,FALSE)*$W91))*IF(G91="",0,VLOOKUP(G91,'⚪设计'!$B$85:$H$113,5,FALSE)),0))</f>
        <v>20</v>
      </c>
      <c r="L91" s="97" t="str">
        <f>IF(VLOOKUP($A91,'⚪设计'!$A$463:$N$486,8,FALSE)="","",VLOOKUP($A91,'⚪设计'!$A$463:$N$486,8,FALSE))</f>
        <v>乌龟1</v>
      </c>
      <c r="M91" s="97">
        <f t="shared" si="17"/>
        <v>5</v>
      </c>
      <c r="N91" s="97">
        <f>IF(VLOOKUP($A91,'⚪设计'!$A$463:$N$486,12,FALSE)="","",VLOOKUP($A91,'⚪设计'!$A$463:$N$486,12,FALSE))</f>
        <v>2</v>
      </c>
      <c r="O91" s="97">
        <f>IF(L91="","",ROUND($D91*VLOOKUP($A91,'⚪设计'!$A$463:$N$486,4,FALSE)/(IF($G91="",0,VLOOKUP($G91,'⚪设计'!$B$85:$H$113,4,FALSE)*$H91)+IF($L91="",0,VLOOKUP($L91,'⚪设计'!$B$85:$H$113,4,FALSE)*$M91)+IF($Q91="",0,VLOOKUP($Q91,'⚪设计'!$B$85:$H$113,4,FALSE)*$R91)+IF($V91="",0,VLOOKUP($V91,'⚪设计'!$B$85:$H$113,4,FALSE)*$W91))*IF(L91="",0,VLOOKUP(L91,'⚪设计'!$B$85:$H$113,4,FALSE)),0))</f>
        <v>360</v>
      </c>
      <c r="P91" s="97">
        <f>IF(L91="","",ROUND(战斗节奏!$B$14/(IF($G91="",0,VLOOKUP($G91,'⚪设计'!$B$85:$H$113,5,FALSE)*$H91)+IF($L91="",0,VLOOKUP($L91,'⚪设计'!$B$85:$H$113,5,FALSE)*$M91)+IF($Q91="",0,VLOOKUP($Q91,'⚪设计'!$B$85:$H$113,5,FALSE)*$R91)+IF($V91="",0,VLOOKUP($V91,'⚪设计'!$B$85:$H$113,5,FALSE)*$W91))*IF(L91="",0,VLOOKUP(L91,'⚪设计'!$B$85:$H$113,5,FALSE)),0))</f>
        <v>40</v>
      </c>
      <c r="Q91" s="97" t="str">
        <f>IF(VLOOKUP($A91,'⚪设计'!$A$463:$N$486,9,FALSE)="","",VLOOKUP($A91,'⚪设计'!$A$463:$N$486,9,FALSE))</f>
        <v/>
      </c>
      <c r="R91" s="97" t="str">
        <f t="shared" si="18"/>
        <v/>
      </c>
      <c r="S91" s="97" t="str">
        <f>IF(VLOOKUP($A91,'⚪设计'!$A$463:$N$486,13,FALSE)="","",VLOOKUP($A91,'⚪设计'!$A$463:$N$486,13,FALSE))</f>
        <v/>
      </c>
      <c r="T91" s="97" t="str">
        <f>IF(Q91="","",ROUND($D91*VLOOKUP($A91,'⚪设计'!$A$463:$N$486,4,FALSE)/(IF($G91="",0,VLOOKUP($G91,'⚪设计'!$B$85:$H$113,4,FALSE)*$H91)+IF($L91="",0,VLOOKUP($L91,'⚪设计'!$B$85:$H$113,4,FALSE)*$M91)+IF($Q91="",0,VLOOKUP($Q91,'⚪设计'!$B$85:$H$113,4,FALSE)*$R91)+IF($V91="",0,VLOOKUP($V91,'⚪设计'!$B$85:$H$113,4,FALSE)*$W91))*IF(Q91="",0,VLOOKUP(Q91,'⚪设计'!$B$85:$H$113,4,FALSE)),0))</f>
        <v/>
      </c>
      <c r="U91" s="97" t="str">
        <f>IF(Q91="","",ROUND(战斗节奏!$B$14/(IF($G91="",0,VLOOKUP($G91,'⚪设计'!$B$85:$H$113,5,FALSE)*$H91)+IF($L91="",0,VLOOKUP($L91,'⚪设计'!$B$85:$H$113,5,FALSE)*$M91)+IF($Q91="",0,VLOOKUP($Q91,'⚪设计'!$B$85:$H$113,5,FALSE)*$R91)+IF($V91="",0,VLOOKUP($V91,'⚪设计'!$B$85:$H$113,5,FALSE)*$W91))*IF(Q91="",0,VLOOKUP(Q91,'⚪设计'!$B$85:$H$113,5,FALSE)),0))</f>
        <v/>
      </c>
      <c r="V91" s="97" t="str">
        <f>IF(VLOOKUP($A91,'⚪设计'!$A$463:$N$486,10,FALSE)="","",VLOOKUP($A91,'⚪设计'!$A$463:$N$486,10,FALSE))</f>
        <v/>
      </c>
      <c r="W91" s="97" t="str">
        <f t="shared" si="19"/>
        <v/>
      </c>
      <c r="X91" s="97" t="str">
        <f>IF(VLOOKUP($A91,'⚪设计'!$A$463:$N$486,14,FALSE)="","",VLOOKUP($A91,'⚪设计'!$A$463:$N$486,14,FALSE))</f>
        <v/>
      </c>
      <c r="Y91" s="97" t="str">
        <f>IF(V91="","",ROUND($D91*VLOOKUP($A91,'⚪设计'!$A$463:$N$486,4,FALSE)/(IF($G91="",0,VLOOKUP($G91,'⚪设计'!$B$85:$H$113,4,FALSE)*$H91)+IF($L91="",0,VLOOKUP($L91,'⚪设计'!$B$85:$H$113,4,FALSE)*$M91)+IF($Q91="",0,VLOOKUP($Q91,'⚪设计'!$B$85:$H$113,4,FALSE)*$R91)+IF($V91="",0,VLOOKUP($V91,'⚪设计'!$B$85:$H$113,4,FALSE)*$W91))*IF(V91="",0,VLOOKUP(V91,'⚪设计'!$B$85:$H$113,4,FALSE)),0))</f>
        <v/>
      </c>
      <c r="Z91" s="97" t="str">
        <f>IF(V91="","",ROUND(战斗节奏!$B$14/(IF($G91="",0,VLOOKUP($G91,'⚪设计'!$B$85:$H$113,5,FALSE)*$H91)+IF($L91="",0,VLOOKUP($L91,'⚪设计'!$B$85:$H$113,5,FALSE)*$M91)+IF($Q91="",0,VLOOKUP($Q91,'⚪设计'!$B$85:$H$113,5,FALSE)*$R91)+IF($V91="",0,VLOOKUP($V91,'⚪设计'!$B$85:$H$113,5,FALSE)*$W91))*IF(V91="",0,VLOOKUP(V91,'⚪设计'!$B$85:$H$113,5,FALSE)),0))</f>
        <v/>
      </c>
    </row>
    <row r="92" spans="1:26" x14ac:dyDescent="0.2">
      <c r="A92" s="2" t="str">
        <f t="shared" si="15"/>
        <v>2_2</v>
      </c>
      <c r="B92" s="2">
        <v>2</v>
      </c>
      <c r="C92" s="2">
        <v>2</v>
      </c>
      <c r="D92" s="97">
        <f>VLOOKUP(C92,无限模式!$A$3:$B$22,2,FALSE)</f>
        <v>1080</v>
      </c>
      <c r="E92" s="98">
        <v>1</v>
      </c>
      <c r="F92" s="97">
        <f>VLOOKUP(A92,'⚪设计'!$A$463:$N$486,6,FALSE)</f>
        <v>12.5</v>
      </c>
      <c r="G92" s="97" t="str">
        <f>IF(VLOOKUP($A92,'⚪设计'!$A$463:$N$486,7,FALSE)="","",VLOOKUP($A92,'⚪设计'!$A$463:$N$486,7,FALSE))</f>
        <v>蜘蛛1</v>
      </c>
      <c r="H92" s="97">
        <f t="shared" si="16"/>
        <v>6</v>
      </c>
      <c r="I92" s="97">
        <f>IF(VLOOKUP($A92,'⚪设计'!$A$463:$N$486,11,FALSE)="","",VLOOKUP($A92,'⚪设计'!$A$463:$N$486,11,FALSE))</f>
        <v>2</v>
      </c>
      <c r="J92" s="97">
        <f>IF(G92="","",ROUND($D92*VLOOKUP($A92,'⚪设计'!$A$463:$N$486,4,FALSE)/(IF($G92="",0,VLOOKUP($G92,'⚪设计'!$B$85:$H$113,4,FALSE)*$H92)+IF($L92="",0,VLOOKUP($L92,'⚪设计'!$B$85:$H$113,4,FALSE)*$M92)+IF($Q92="",0,VLOOKUP($Q92,'⚪设计'!$B$85:$H$113,4,FALSE)*$R92)+IF($V92="",0,VLOOKUP($V92,'⚪设计'!$B$85:$H$113,4,FALSE)*$W92))*IF(G92="",0,VLOOKUP(G92,'⚪设计'!$B$85:$H$113,4,FALSE)),0))</f>
        <v>288</v>
      </c>
      <c r="K92" s="97">
        <f>IF(G92="","",ROUND(战斗节奏!$B$14/(IF($G92="",0,VLOOKUP($G92,'⚪设计'!$B$85:$H$113,5,FALSE)*$H92)+IF($L92="",0,VLOOKUP($L92,'⚪设计'!$B$85:$H$113,5,FALSE)*$M92)+IF($Q92="",0,VLOOKUP($Q92,'⚪设计'!$B$85:$H$113,5,FALSE)*$R92)+IF($V92="",0,VLOOKUP($V92,'⚪设计'!$B$85:$H$113,5,FALSE)*$W92))*IF(G92="",0,VLOOKUP(G92,'⚪设计'!$B$85:$H$113,5,FALSE)),0))</f>
        <v>10</v>
      </c>
      <c r="L92" s="97" t="str">
        <f>IF(VLOOKUP($A92,'⚪设计'!$A$463:$N$486,8,FALSE)="","",VLOOKUP($A92,'⚪设计'!$A$463:$N$486,8,FALSE))</f>
        <v>蜜蜂2</v>
      </c>
      <c r="M92" s="97">
        <f t="shared" si="17"/>
        <v>6</v>
      </c>
      <c r="N92" s="97">
        <f>IF(VLOOKUP($A92,'⚪设计'!$A$463:$N$486,12,FALSE)="","",VLOOKUP($A92,'⚪设计'!$A$463:$N$486,12,FALSE))</f>
        <v>2</v>
      </c>
      <c r="O92" s="97">
        <f>IF(L92="","",ROUND($D92*VLOOKUP($A92,'⚪设计'!$A$463:$N$486,4,FALSE)/(IF($G92="",0,VLOOKUP($G92,'⚪设计'!$B$85:$H$113,4,FALSE)*$H92)+IF($L92="",0,VLOOKUP($L92,'⚪设计'!$B$85:$H$113,4,FALSE)*$M92)+IF($Q92="",0,VLOOKUP($Q92,'⚪设计'!$B$85:$H$113,4,FALSE)*$R92)+IF($V92="",0,VLOOKUP($V92,'⚪设计'!$B$85:$H$113,4,FALSE)*$W92))*IF(L92="",0,VLOOKUP(L92,'⚪设计'!$B$85:$H$113,4,FALSE)),0))</f>
        <v>576</v>
      </c>
      <c r="P92" s="97">
        <f>IF(L92="","",ROUND(战斗节奏!$B$14/(IF($G92="",0,VLOOKUP($G92,'⚪设计'!$B$85:$H$113,5,FALSE)*$H92)+IF($L92="",0,VLOOKUP($L92,'⚪设计'!$B$85:$H$113,5,FALSE)*$M92)+IF($Q92="",0,VLOOKUP($Q92,'⚪设计'!$B$85:$H$113,5,FALSE)*$R92)+IF($V92="",0,VLOOKUP($V92,'⚪设计'!$B$85:$H$113,5,FALSE)*$W92))*IF(L92="",0,VLOOKUP(L92,'⚪设计'!$B$85:$H$113,5,FALSE)),0))</f>
        <v>20</v>
      </c>
      <c r="Q92" s="97" t="str">
        <f>IF(VLOOKUP($A92,'⚪设计'!$A$463:$N$486,9,FALSE)="","",VLOOKUP($A92,'⚪设计'!$A$463:$N$486,9,FALSE))</f>
        <v>乌龟1</v>
      </c>
      <c r="R92" s="97">
        <f t="shared" si="18"/>
        <v>6</v>
      </c>
      <c r="S92" s="97">
        <f>IF(VLOOKUP($A92,'⚪设计'!$A$463:$N$486,13,FALSE)="","",VLOOKUP($A92,'⚪设计'!$A$463:$N$486,13,FALSE))</f>
        <v>2</v>
      </c>
      <c r="T92" s="97">
        <f>IF(Q92="","",ROUND($D92*VLOOKUP($A92,'⚪设计'!$A$463:$N$486,4,FALSE)/(IF($G92="",0,VLOOKUP($G92,'⚪设计'!$B$85:$H$113,4,FALSE)*$H92)+IF($L92="",0,VLOOKUP($L92,'⚪设计'!$B$85:$H$113,4,FALSE)*$M92)+IF($Q92="",0,VLOOKUP($Q92,'⚪设计'!$B$85:$H$113,4,FALSE)*$R92)+IF($V92="",0,VLOOKUP($V92,'⚪设计'!$B$85:$H$113,4,FALSE)*$W92))*IF(Q92="",0,VLOOKUP(Q92,'⚪设计'!$B$85:$H$113,4,FALSE)),0))</f>
        <v>576</v>
      </c>
      <c r="U92" s="97">
        <f>IF(Q92="","",ROUND(战斗节奏!$B$14/(IF($G92="",0,VLOOKUP($G92,'⚪设计'!$B$85:$H$113,5,FALSE)*$H92)+IF($L92="",0,VLOOKUP($L92,'⚪设计'!$B$85:$H$113,5,FALSE)*$M92)+IF($Q92="",0,VLOOKUP($Q92,'⚪设计'!$B$85:$H$113,5,FALSE)*$R92)+IF($V92="",0,VLOOKUP($V92,'⚪设计'!$B$85:$H$113,5,FALSE)*$W92))*IF(Q92="",0,VLOOKUP(Q92,'⚪设计'!$B$85:$H$113,5,FALSE)),0))</f>
        <v>20</v>
      </c>
      <c r="V92" s="97" t="str">
        <f>IF(VLOOKUP($A92,'⚪设计'!$A$463:$N$486,10,FALSE)="","",VLOOKUP($A92,'⚪设计'!$A$463:$N$486,10,FALSE))</f>
        <v/>
      </c>
      <c r="W92" s="97" t="str">
        <f t="shared" si="19"/>
        <v/>
      </c>
      <c r="X92" s="97" t="str">
        <f>IF(VLOOKUP($A92,'⚪设计'!$A$463:$N$486,14,FALSE)="","",VLOOKUP($A92,'⚪设计'!$A$463:$N$486,14,FALSE))</f>
        <v/>
      </c>
      <c r="Y92" s="97" t="str">
        <f>IF(V92="","",ROUND($D92*VLOOKUP($A92,'⚪设计'!$A$463:$N$486,4,FALSE)/(IF($G92="",0,VLOOKUP($G92,'⚪设计'!$B$85:$H$113,4,FALSE)*$H92)+IF($L92="",0,VLOOKUP($L92,'⚪设计'!$B$85:$H$113,4,FALSE)*$M92)+IF($Q92="",0,VLOOKUP($Q92,'⚪设计'!$B$85:$H$113,4,FALSE)*$R92)+IF($V92="",0,VLOOKUP($V92,'⚪设计'!$B$85:$H$113,4,FALSE)*$W92))*IF(V92="",0,VLOOKUP(V92,'⚪设计'!$B$85:$H$113,4,FALSE)),0))</f>
        <v/>
      </c>
      <c r="Z92" s="97" t="str">
        <f>IF(V92="","",ROUND(战斗节奏!$B$14/(IF($G92="",0,VLOOKUP($G92,'⚪设计'!$B$85:$H$113,5,FALSE)*$H92)+IF($L92="",0,VLOOKUP($L92,'⚪设计'!$B$85:$H$113,5,FALSE)*$M92)+IF($Q92="",0,VLOOKUP($Q92,'⚪设计'!$B$85:$H$113,5,FALSE)*$R92)+IF($V92="",0,VLOOKUP($V92,'⚪设计'!$B$85:$H$113,5,FALSE)*$W92))*IF(V92="",0,VLOOKUP(V92,'⚪设计'!$B$85:$H$113,5,FALSE)),0))</f>
        <v/>
      </c>
    </row>
    <row r="93" spans="1:26" x14ac:dyDescent="0.2">
      <c r="A93" s="2" t="str">
        <f t="shared" si="15"/>
        <v>2_3</v>
      </c>
      <c r="B93" s="2">
        <v>2</v>
      </c>
      <c r="C93" s="2">
        <v>3</v>
      </c>
      <c r="D93" s="97">
        <f>VLOOKUP(C93,无限模式!$A$3:$B$22,2,FALSE)</f>
        <v>1620</v>
      </c>
      <c r="E93" s="98">
        <v>1</v>
      </c>
      <c r="F93" s="97">
        <f>VLOOKUP(A93,'⚪设计'!$A$463:$N$486,6,FALSE)</f>
        <v>15</v>
      </c>
      <c r="G93" s="97" t="str">
        <f>IF(VLOOKUP($A93,'⚪设计'!$A$463:$N$486,7,FALSE)="","",VLOOKUP($A93,'⚪设计'!$A$463:$N$486,7,FALSE))</f>
        <v>蜘蛛1</v>
      </c>
      <c r="H93" s="97">
        <f t="shared" si="16"/>
        <v>15</v>
      </c>
      <c r="I93" s="97">
        <f>IF(VLOOKUP($A93,'⚪设计'!$A$463:$N$486,11,FALSE)="","",VLOOKUP($A93,'⚪设计'!$A$463:$N$486,11,FALSE))</f>
        <v>1</v>
      </c>
      <c r="J93" s="97">
        <f>IF(G93="","",ROUND($D93*VLOOKUP($A93,'⚪设计'!$A$463:$N$486,4,FALSE)/(IF($G93="",0,VLOOKUP($G93,'⚪设计'!$B$85:$H$113,4,FALSE)*$H93)+IF($L93="",0,VLOOKUP($L93,'⚪设计'!$B$85:$H$113,4,FALSE)*$M93)+IF($Q93="",0,VLOOKUP($Q93,'⚪设计'!$B$85:$H$113,4,FALSE)*$R93)+IF($V93="",0,VLOOKUP($V93,'⚪设计'!$B$85:$H$113,4,FALSE)*$W93))*IF(G93="",0,VLOOKUP(G93,'⚪设计'!$B$85:$H$113,4,FALSE)),0))</f>
        <v>309</v>
      </c>
      <c r="K93" s="97">
        <f>IF(G93="","",ROUND(战斗节奏!$B$14/(IF($G93="",0,VLOOKUP($G93,'⚪设计'!$B$85:$H$113,5,FALSE)*$H93)+IF($L93="",0,VLOOKUP($L93,'⚪设计'!$B$85:$H$113,5,FALSE)*$M93)+IF($Q93="",0,VLOOKUP($Q93,'⚪设计'!$B$85:$H$113,5,FALSE)*$R93)+IF($V93="",0,VLOOKUP($V93,'⚪设计'!$B$85:$H$113,5,FALSE)*$W93))*IF(G93="",0,VLOOKUP(G93,'⚪设计'!$B$85:$H$113,5,FALSE)),0))</f>
        <v>6</v>
      </c>
      <c r="L93" s="97" t="str">
        <f>IF(VLOOKUP($A93,'⚪设计'!$A$463:$N$486,8,FALSE)="","",VLOOKUP($A93,'⚪设计'!$A$463:$N$486,8,FALSE))</f>
        <v>蝙蝠1</v>
      </c>
      <c r="M93" s="97">
        <f t="shared" si="17"/>
        <v>15</v>
      </c>
      <c r="N93" s="97">
        <f>IF(VLOOKUP($A93,'⚪设计'!$A$463:$N$486,12,FALSE)="","",VLOOKUP($A93,'⚪设计'!$A$463:$N$486,12,FALSE))</f>
        <v>1</v>
      </c>
      <c r="O93" s="97">
        <f>IF(L93="","",ROUND($D93*VLOOKUP($A93,'⚪设计'!$A$463:$N$486,4,FALSE)/(IF($G93="",0,VLOOKUP($G93,'⚪设计'!$B$85:$H$113,4,FALSE)*$H93)+IF($L93="",0,VLOOKUP($L93,'⚪设计'!$B$85:$H$113,4,FALSE)*$M93)+IF($Q93="",0,VLOOKUP($Q93,'⚪设计'!$B$85:$H$113,4,FALSE)*$R93)+IF($V93="",0,VLOOKUP($V93,'⚪设计'!$B$85:$H$113,4,FALSE)*$W93))*IF(L93="",0,VLOOKUP(L93,'⚪设计'!$B$85:$H$113,4,FALSE)),0))</f>
        <v>154</v>
      </c>
      <c r="P93" s="97">
        <f>IF(L93="","",ROUND(战斗节奏!$B$14/(IF($G93="",0,VLOOKUP($G93,'⚪设计'!$B$85:$H$113,5,FALSE)*$H93)+IF($L93="",0,VLOOKUP($L93,'⚪设计'!$B$85:$H$113,5,FALSE)*$M93)+IF($Q93="",0,VLOOKUP($Q93,'⚪设计'!$B$85:$H$113,5,FALSE)*$R93)+IF($V93="",0,VLOOKUP($V93,'⚪设计'!$B$85:$H$113,5,FALSE)*$W93))*IF(L93="",0,VLOOKUP(L93,'⚪设计'!$B$85:$H$113,5,FALSE)),0))</f>
        <v>3</v>
      </c>
      <c r="Q93" s="97" t="str">
        <f>IF(VLOOKUP($A93,'⚪设计'!$A$463:$N$486,9,FALSE)="","",VLOOKUP($A93,'⚪设计'!$A$463:$N$486,9,FALSE))</f>
        <v>乌龟1</v>
      </c>
      <c r="R93" s="97">
        <f t="shared" si="18"/>
        <v>15</v>
      </c>
      <c r="S93" s="97">
        <f>IF(VLOOKUP($A93,'⚪设计'!$A$463:$N$486,13,FALSE)="","",VLOOKUP($A93,'⚪设计'!$A$463:$N$486,13,FALSE))</f>
        <v>1</v>
      </c>
      <c r="T93" s="97">
        <f>IF(Q93="","",ROUND($D93*VLOOKUP($A93,'⚪设计'!$A$463:$N$486,4,FALSE)/(IF($G93="",0,VLOOKUP($G93,'⚪设计'!$B$85:$H$113,4,FALSE)*$H93)+IF($L93="",0,VLOOKUP($L93,'⚪设计'!$B$85:$H$113,4,FALSE)*$M93)+IF($Q93="",0,VLOOKUP($Q93,'⚪设计'!$B$85:$H$113,4,FALSE)*$R93)+IF($V93="",0,VLOOKUP($V93,'⚪设计'!$B$85:$H$113,4,FALSE)*$W93))*IF(Q93="",0,VLOOKUP(Q93,'⚪设计'!$B$85:$H$113,4,FALSE)),0))</f>
        <v>617</v>
      </c>
      <c r="U93" s="97">
        <f>IF(Q93="","",ROUND(战斗节奏!$B$14/(IF($G93="",0,VLOOKUP($G93,'⚪设计'!$B$85:$H$113,5,FALSE)*$H93)+IF($L93="",0,VLOOKUP($L93,'⚪设计'!$B$85:$H$113,5,FALSE)*$M93)+IF($Q93="",0,VLOOKUP($Q93,'⚪设计'!$B$85:$H$113,5,FALSE)*$R93)+IF($V93="",0,VLOOKUP($V93,'⚪设计'!$B$85:$H$113,5,FALSE)*$W93))*IF(Q93="",0,VLOOKUP(Q93,'⚪设计'!$B$85:$H$113,5,FALSE)),0))</f>
        <v>11</v>
      </c>
      <c r="V93" s="97" t="str">
        <f>IF(VLOOKUP($A93,'⚪设计'!$A$463:$N$486,10,FALSE)="","",VLOOKUP($A93,'⚪设计'!$A$463:$N$486,10,FALSE))</f>
        <v/>
      </c>
      <c r="W93" s="97" t="str">
        <f t="shared" si="19"/>
        <v/>
      </c>
      <c r="X93" s="97" t="str">
        <f>IF(VLOOKUP($A93,'⚪设计'!$A$463:$N$486,14,FALSE)="","",VLOOKUP($A93,'⚪设计'!$A$463:$N$486,14,FALSE))</f>
        <v/>
      </c>
      <c r="Y93" s="97" t="str">
        <f>IF(V93="","",ROUND($D93*VLOOKUP($A93,'⚪设计'!$A$463:$N$486,4,FALSE)/(IF($G93="",0,VLOOKUP($G93,'⚪设计'!$B$85:$H$113,4,FALSE)*$H93)+IF($L93="",0,VLOOKUP($L93,'⚪设计'!$B$85:$H$113,4,FALSE)*$M93)+IF($Q93="",0,VLOOKUP($Q93,'⚪设计'!$B$85:$H$113,4,FALSE)*$R93)+IF($V93="",0,VLOOKUP($V93,'⚪设计'!$B$85:$H$113,4,FALSE)*$W93))*IF(V93="",0,VLOOKUP(V93,'⚪设计'!$B$85:$H$113,4,FALSE)),0))</f>
        <v/>
      </c>
      <c r="Z93" s="97" t="str">
        <f>IF(V93="","",ROUND(战斗节奏!$B$14/(IF($G93="",0,VLOOKUP($G93,'⚪设计'!$B$85:$H$113,5,FALSE)*$H93)+IF($L93="",0,VLOOKUP($L93,'⚪设计'!$B$85:$H$113,5,FALSE)*$M93)+IF($Q93="",0,VLOOKUP($Q93,'⚪设计'!$B$85:$H$113,5,FALSE)*$R93)+IF($V93="",0,VLOOKUP($V93,'⚪设计'!$B$85:$H$113,5,FALSE)*$W93))*IF(V93="",0,VLOOKUP(V93,'⚪设计'!$B$85:$H$113,5,FALSE)),0))</f>
        <v/>
      </c>
    </row>
    <row r="94" spans="1:26" x14ac:dyDescent="0.2">
      <c r="A94" s="2" t="str">
        <f t="shared" si="15"/>
        <v>2_4</v>
      </c>
      <c r="B94" s="2">
        <v>2</v>
      </c>
      <c r="C94" s="2">
        <v>4</v>
      </c>
      <c r="D94" s="97">
        <f>VLOOKUP(C94,无限模式!$A$3:$B$22,2,FALSE)</f>
        <v>2160</v>
      </c>
      <c r="E94" s="98">
        <v>1</v>
      </c>
      <c r="F94" s="97">
        <f>VLOOKUP(A94,'⚪设计'!$A$463:$N$486,6,FALSE)</f>
        <v>17.5</v>
      </c>
      <c r="G94" s="97" t="str">
        <f>IF(VLOOKUP($A94,'⚪设计'!$A$463:$N$486,7,FALSE)="","",VLOOKUP($A94,'⚪设计'!$A$463:$N$486,7,FALSE))</f>
        <v>蜘蛛1</v>
      </c>
      <c r="H94" s="97">
        <f t="shared" si="16"/>
        <v>18</v>
      </c>
      <c r="I94" s="97">
        <f>IF(VLOOKUP($A94,'⚪设计'!$A$463:$N$486,11,FALSE)="","",VLOOKUP($A94,'⚪设计'!$A$463:$N$486,11,FALSE))</f>
        <v>1</v>
      </c>
      <c r="J94" s="97">
        <f>IF(G94="","",ROUND($D94*VLOOKUP($A94,'⚪设计'!$A$463:$N$486,4,FALSE)/(IF($G94="",0,VLOOKUP($G94,'⚪设计'!$B$85:$H$113,4,FALSE)*$H94)+IF($L94="",0,VLOOKUP($L94,'⚪设计'!$B$85:$H$113,4,FALSE)*$M94)+IF($Q94="",0,VLOOKUP($Q94,'⚪设计'!$B$85:$H$113,4,FALSE)*$R94)+IF($V94="",0,VLOOKUP($V94,'⚪设计'!$B$85:$H$113,4,FALSE)*$W94))*IF(G94="",0,VLOOKUP(G94,'⚪设计'!$B$85:$H$113,4,FALSE)),0))</f>
        <v>400</v>
      </c>
      <c r="K94" s="97">
        <f>IF(G94="","",ROUND(战斗节奏!$B$14/(IF($G94="",0,VLOOKUP($G94,'⚪设计'!$B$85:$H$113,5,FALSE)*$H94)+IF($L94="",0,VLOOKUP($L94,'⚪设计'!$B$85:$H$113,5,FALSE)*$M94)+IF($Q94="",0,VLOOKUP($Q94,'⚪设计'!$B$85:$H$113,5,FALSE)*$R94)+IF($V94="",0,VLOOKUP($V94,'⚪设计'!$B$85:$H$113,5,FALSE)*$W94))*IF(G94="",0,VLOOKUP(G94,'⚪设计'!$B$85:$H$113,5,FALSE)),0))</f>
        <v>4</v>
      </c>
      <c r="L94" s="97" t="str">
        <f>IF(VLOOKUP($A94,'⚪设计'!$A$463:$N$486,8,FALSE)="","",VLOOKUP($A94,'⚪设计'!$A$463:$N$486,8,FALSE))</f>
        <v>蝙蝠1</v>
      </c>
      <c r="M94" s="97">
        <f t="shared" si="17"/>
        <v>18</v>
      </c>
      <c r="N94" s="97">
        <f>IF(VLOOKUP($A94,'⚪设计'!$A$463:$N$486,12,FALSE)="","",VLOOKUP($A94,'⚪设计'!$A$463:$N$486,12,FALSE))</f>
        <v>1</v>
      </c>
      <c r="O94" s="97">
        <f>IF(L94="","",ROUND($D94*VLOOKUP($A94,'⚪设计'!$A$463:$N$486,4,FALSE)/(IF($G94="",0,VLOOKUP($G94,'⚪设计'!$B$85:$H$113,4,FALSE)*$H94)+IF($L94="",0,VLOOKUP($L94,'⚪设计'!$B$85:$H$113,4,FALSE)*$M94)+IF($Q94="",0,VLOOKUP($Q94,'⚪设计'!$B$85:$H$113,4,FALSE)*$R94)+IF($V94="",0,VLOOKUP($V94,'⚪设计'!$B$85:$H$113,4,FALSE)*$W94))*IF(L94="",0,VLOOKUP(L94,'⚪设计'!$B$85:$H$113,4,FALSE)),0))</f>
        <v>200</v>
      </c>
      <c r="P94" s="97">
        <f>IF(L94="","",ROUND(战斗节奏!$B$14/(IF($G94="",0,VLOOKUP($G94,'⚪设计'!$B$85:$H$113,5,FALSE)*$H94)+IF($L94="",0,VLOOKUP($L94,'⚪设计'!$B$85:$H$113,5,FALSE)*$M94)+IF($Q94="",0,VLOOKUP($Q94,'⚪设计'!$B$85:$H$113,5,FALSE)*$R94)+IF($V94="",0,VLOOKUP($V94,'⚪设计'!$B$85:$H$113,5,FALSE)*$W94))*IF(L94="",0,VLOOKUP(L94,'⚪设计'!$B$85:$H$113,5,FALSE)),0))</f>
        <v>2</v>
      </c>
      <c r="Q94" s="97" t="str">
        <f>IF(VLOOKUP($A94,'⚪设计'!$A$463:$N$486,9,FALSE)="","",VLOOKUP($A94,'⚪设计'!$A$463:$N$486,9,FALSE))</f>
        <v>蜜蜂2</v>
      </c>
      <c r="R94" s="97">
        <f t="shared" si="18"/>
        <v>9</v>
      </c>
      <c r="S94" s="97">
        <f>IF(VLOOKUP($A94,'⚪设计'!$A$463:$N$486,13,FALSE)="","",VLOOKUP($A94,'⚪设计'!$A$463:$N$486,13,FALSE))</f>
        <v>2</v>
      </c>
      <c r="T94" s="97">
        <f>IF(Q94="","",ROUND($D94*VLOOKUP($A94,'⚪设计'!$A$463:$N$486,4,FALSE)/(IF($G94="",0,VLOOKUP($G94,'⚪设计'!$B$85:$H$113,4,FALSE)*$H94)+IF($L94="",0,VLOOKUP($L94,'⚪设计'!$B$85:$H$113,4,FALSE)*$M94)+IF($Q94="",0,VLOOKUP($Q94,'⚪设计'!$B$85:$H$113,4,FALSE)*$R94)+IF($V94="",0,VLOOKUP($V94,'⚪设计'!$B$85:$H$113,4,FALSE)*$W94))*IF(Q94="",0,VLOOKUP(Q94,'⚪设计'!$B$85:$H$113,4,FALSE)),0))</f>
        <v>800</v>
      </c>
      <c r="U94" s="97">
        <f>IF(Q94="","",ROUND(战斗节奏!$B$14/(IF($G94="",0,VLOOKUP($G94,'⚪设计'!$B$85:$H$113,5,FALSE)*$H94)+IF($L94="",0,VLOOKUP($L94,'⚪设计'!$B$85:$H$113,5,FALSE)*$M94)+IF($Q94="",0,VLOOKUP($Q94,'⚪设计'!$B$85:$H$113,5,FALSE)*$R94)+IF($V94="",0,VLOOKUP($V94,'⚪设计'!$B$85:$H$113,5,FALSE)*$W94))*IF(Q94="",0,VLOOKUP(Q94,'⚪设计'!$B$85:$H$113,5,FALSE)),0))</f>
        <v>7</v>
      </c>
      <c r="V94" s="97" t="str">
        <f>IF(VLOOKUP($A94,'⚪设计'!$A$463:$N$486,10,FALSE)="","",VLOOKUP($A94,'⚪设计'!$A$463:$N$486,10,FALSE))</f>
        <v>乌龟1</v>
      </c>
      <c r="W94" s="97">
        <f t="shared" si="19"/>
        <v>18</v>
      </c>
      <c r="X94" s="97">
        <f>IF(VLOOKUP($A94,'⚪设计'!$A$463:$N$486,14,FALSE)="","",VLOOKUP($A94,'⚪设计'!$A$463:$N$486,14,FALSE))</f>
        <v>1</v>
      </c>
      <c r="Y94" s="97">
        <f>IF(V94="","",ROUND($D94*VLOOKUP($A94,'⚪设计'!$A$463:$N$486,4,FALSE)/(IF($G94="",0,VLOOKUP($G94,'⚪设计'!$B$85:$H$113,4,FALSE)*$H94)+IF($L94="",0,VLOOKUP($L94,'⚪设计'!$B$85:$H$113,4,FALSE)*$M94)+IF($Q94="",0,VLOOKUP($Q94,'⚪设计'!$B$85:$H$113,4,FALSE)*$R94)+IF($V94="",0,VLOOKUP($V94,'⚪设计'!$B$85:$H$113,4,FALSE)*$W94))*IF(V94="",0,VLOOKUP(V94,'⚪设计'!$B$85:$H$113,4,FALSE)),0))</f>
        <v>800</v>
      </c>
      <c r="Z94" s="97">
        <f>IF(V94="","",ROUND(战斗节奏!$B$14/(IF($G94="",0,VLOOKUP($G94,'⚪设计'!$B$85:$H$113,5,FALSE)*$H94)+IF($L94="",0,VLOOKUP($L94,'⚪设计'!$B$85:$H$113,5,FALSE)*$M94)+IF($Q94="",0,VLOOKUP($Q94,'⚪设计'!$B$85:$H$113,5,FALSE)*$R94)+IF($V94="",0,VLOOKUP($V94,'⚪设计'!$B$85:$H$113,5,FALSE)*$W94))*IF(V94="",0,VLOOKUP(V94,'⚪设计'!$B$85:$H$113,5,FALSE)),0))</f>
        <v>7</v>
      </c>
    </row>
    <row r="95" spans="1:26" x14ac:dyDescent="0.2">
      <c r="A95" s="2" t="str">
        <f t="shared" si="15"/>
        <v>2_5</v>
      </c>
      <c r="B95" s="2">
        <v>2</v>
      </c>
      <c r="C95" s="2">
        <v>5</v>
      </c>
      <c r="D95" s="97">
        <f>VLOOKUP(C95,无限模式!$A$3:$B$22,2,FALSE)</f>
        <v>2700</v>
      </c>
      <c r="E95" s="98">
        <v>1</v>
      </c>
      <c r="F95" s="97">
        <f>VLOOKUP(A95,'⚪设计'!$A$463:$N$486,6,FALSE)</f>
        <v>20</v>
      </c>
      <c r="G95" s="97" t="str">
        <f>IF(VLOOKUP($A95,'⚪设计'!$A$463:$N$486,7,FALSE)="","",VLOOKUP($A95,'⚪设计'!$A$463:$N$486,7,FALSE))</f>
        <v>蜘蛛1</v>
      </c>
      <c r="H95" s="97">
        <f t="shared" si="16"/>
        <v>20</v>
      </c>
      <c r="I95" s="97">
        <f>IF(VLOOKUP($A95,'⚪设计'!$A$463:$N$486,11,FALSE)="","",VLOOKUP($A95,'⚪设计'!$A$463:$N$486,11,FALSE))</f>
        <v>1</v>
      </c>
      <c r="J95" s="97">
        <f>IF(G95="","",ROUND($D95*VLOOKUP($A95,'⚪设计'!$A$463:$N$486,4,FALSE)/(IF($G95="",0,VLOOKUP($G95,'⚪设计'!$B$85:$H$113,4,FALSE)*$H95)+IF($L95="",0,VLOOKUP($L95,'⚪设计'!$B$85:$H$113,4,FALSE)*$M95)+IF($Q95="",0,VLOOKUP($Q95,'⚪设计'!$B$85:$H$113,4,FALSE)*$R95)+IF($V95="",0,VLOOKUP($V95,'⚪设计'!$B$85:$H$113,4,FALSE)*$W95))*IF(G95="",0,VLOOKUP(G95,'⚪设计'!$B$85:$H$113,4,FALSE)),0))</f>
        <v>563</v>
      </c>
      <c r="K95" s="97">
        <f>IF(G95="","",ROUND(战斗节奏!$B$14/(IF($G95="",0,VLOOKUP($G95,'⚪设计'!$B$85:$H$113,5,FALSE)*$H95)+IF($L95="",0,VLOOKUP($L95,'⚪设计'!$B$85:$H$113,5,FALSE)*$M95)+IF($Q95="",0,VLOOKUP($Q95,'⚪设计'!$B$85:$H$113,5,FALSE)*$R95)+IF($V95="",0,VLOOKUP($V95,'⚪设计'!$B$85:$H$113,5,FALSE)*$W95))*IF(G95="",0,VLOOKUP(G95,'⚪设计'!$B$85:$H$113,5,FALSE)),0))</f>
        <v>3</v>
      </c>
      <c r="L95" s="97" t="str">
        <f>IF(VLOOKUP($A95,'⚪设计'!$A$463:$N$486,8,FALSE)="","",VLOOKUP($A95,'⚪设计'!$A$463:$N$486,8,FALSE))</f>
        <v>蝙蝠1</v>
      </c>
      <c r="M95" s="97">
        <f t="shared" si="17"/>
        <v>40</v>
      </c>
      <c r="N95" s="97">
        <f>IF(VLOOKUP($A95,'⚪设计'!$A$463:$N$486,12,FALSE)="","",VLOOKUP($A95,'⚪设计'!$A$463:$N$486,12,FALSE))</f>
        <v>0.5</v>
      </c>
      <c r="O95" s="97">
        <f>IF(L95="","",ROUND($D95*VLOOKUP($A95,'⚪设计'!$A$463:$N$486,4,FALSE)/(IF($G95="",0,VLOOKUP($G95,'⚪设计'!$B$85:$H$113,4,FALSE)*$H95)+IF($L95="",0,VLOOKUP($L95,'⚪设计'!$B$85:$H$113,4,FALSE)*$M95)+IF($Q95="",0,VLOOKUP($Q95,'⚪设计'!$B$85:$H$113,4,FALSE)*$R95)+IF($V95="",0,VLOOKUP($V95,'⚪设计'!$B$85:$H$113,4,FALSE)*$W95))*IF(L95="",0,VLOOKUP(L95,'⚪设计'!$B$85:$H$113,4,FALSE)),0))</f>
        <v>281</v>
      </c>
      <c r="P95" s="97">
        <f>IF(L95="","",ROUND(战斗节奏!$B$14/(IF($G95="",0,VLOOKUP($G95,'⚪设计'!$B$85:$H$113,5,FALSE)*$H95)+IF($L95="",0,VLOOKUP($L95,'⚪设计'!$B$85:$H$113,5,FALSE)*$M95)+IF($Q95="",0,VLOOKUP($Q95,'⚪设计'!$B$85:$H$113,5,FALSE)*$R95)+IF($V95="",0,VLOOKUP($V95,'⚪设计'!$B$85:$H$113,5,FALSE)*$W95))*IF(L95="",0,VLOOKUP(L95,'⚪设计'!$B$85:$H$113,5,FALSE)),0))</f>
        <v>1</v>
      </c>
      <c r="Q95" s="97" t="str">
        <f>IF(VLOOKUP($A95,'⚪设计'!$A$463:$N$486,9,FALSE)="","",VLOOKUP($A95,'⚪设计'!$A$463:$N$486,9,FALSE))</f>
        <v>蜜蜂2</v>
      </c>
      <c r="R95" s="97">
        <f t="shared" si="18"/>
        <v>20</v>
      </c>
      <c r="S95" s="97">
        <f>IF(VLOOKUP($A95,'⚪设计'!$A$463:$N$486,13,FALSE)="","",VLOOKUP($A95,'⚪设计'!$A$463:$N$486,13,FALSE))</f>
        <v>1</v>
      </c>
      <c r="T95" s="97">
        <f>IF(Q95="","",ROUND($D95*VLOOKUP($A95,'⚪设计'!$A$463:$N$486,4,FALSE)/(IF($G95="",0,VLOOKUP($G95,'⚪设计'!$B$85:$H$113,4,FALSE)*$H95)+IF($L95="",0,VLOOKUP($L95,'⚪设计'!$B$85:$H$113,4,FALSE)*$M95)+IF($Q95="",0,VLOOKUP($Q95,'⚪设计'!$B$85:$H$113,4,FALSE)*$R95)+IF($V95="",0,VLOOKUP($V95,'⚪设计'!$B$85:$H$113,4,FALSE)*$W95))*IF(Q95="",0,VLOOKUP(Q95,'⚪设计'!$B$85:$H$113,4,FALSE)),0))</f>
        <v>1125</v>
      </c>
      <c r="U95" s="97">
        <f>IF(Q95="","",ROUND(战斗节奏!$B$14/(IF($G95="",0,VLOOKUP($G95,'⚪设计'!$B$85:$H$113,5,FALSE)*$H95)+IF($L95="",0,VLOOKUP($L95,'⚪设计'!$B$85:$H$113,5,FALSE)*$M95)+IF($Q95="",0,VLOOKUP($Q95,'⚪设计'!$B$85:$H$113,5,FALSE)*$R95)+IF($V95="",0,VLOOKUP($V95,'⚪设计'!$B$85:$H$113,5,FALSE)*$W95))*IF(Q95="",0,VLOOKUP(Q95,'⚪设计'!$B$85:$H$113,5,FALSE)),0))</f>
        <v>5</v>
      </c>
      <c r="V95" s="97" t="str">
        <f>IF(VLOOKUP($A95,'⚪设计'!$A$463:$N$486,10,FALSE)="","",VLOOKUP($A95,'⚪设计'!$A$463:$N$486,10,FALSE))</f>
        <v>乌龟1</v>
      </c>
      <c r="W95" s="97">
        <f t="shared" si="19"/>
        <v>20</v>
      </c>
      <c r="X95" s="97">
        <f>IF(VLOOKUP($A95,'⚪设计'!$A$463:$N$486,14,FALSE)="","",VLOOKUP($A95,'⚪设计'!$A$463:$N$486,14,FALSE))</f>
        <v>1</v>
      </c>
      <c r="Y95" s="97">
        <f>IF(V95="","",ROUND($D95*VLOOKUP($A95,'⚪设计'!$A$463:$N$486,4,FALSE)/(IF($G95="",0,VLOOKUP($G95,'⚪设计'!$B$85:$H$113,4,FALSE)*$H95)+IF($L95="",0,VLOOKUP($L95,'⚪设计'!$B$85:$H$113,4,FALSE)*$M95)+IF($Q95="",0,VLOOKUP($Q95,'⚪设计'!$B$85:$H$113,4,FALSE)*$R95)+IF($V95="",0,VLOOKUP($V95,'⚪设计'!$B$85:$H$113,4,FALSE)*$W95))*IF(V95="",0,VLOOKUP(V95,'⚪设计'!$B$85:$H$113,4,FALSE)),0))</f>
        <v>1125</v>
      </c>
      <c r="Z95" s="97">
        <f>IF(V95="","",ROUND(战斗节奏!$B$14/(IF($G95="",0,VLOOKUP($G95,'⚪设计'!$B$85:$H$113,5,FALSE)*$H95)+IF($L95="",0,VLOOKUP($L95,'⚪设计'!$B$85:$H$113,5,FALSE)*$M95)+IF($Q95="",0,VLOOKUP($Q95,'⚪设计'!$B$85:$H$113,5,FALSE)*$R95)+IF($V95="",0,VLOOKUP($V95,'⚪设计'!$B$85:$H$113,5,FALSE)*$W95))*IF(V95="",0,VLOOKUP(V95,'⚪设计'!$B$85:$H$113,5,FALSE)),0))</f>
        <v>5</v>
      </c>
    </row>
    <row r="96" spans="1:26" x14ac:dyDescent="0.2">
      <c r="A96" s="2" t="str">
        <f t="shared" si="15"/>
        <v>3_1</v>
      </c>
      <c r="B96" s="2">
        <v>3</v>
      </c>
      <c r="C96" s="2">
        <v>1</v>
      </c>
      <c r="D96" s="97">
        <f>VLOOKUP(C96,无限模式!$A$3:$B$22,2,FALSE)</f>
        <v>540</v>
      </c>
      <c r="E96" s="98">
        <v>1</v>
      </c>
      <c r="F96" s="97">
        <f>VLOOKUP(A96,'⚪设计'!$A$463:$N$486,6,FALSE)</f>
        <v>10</v>
      </c>
      <c r="G96" s="97" t="str">
        <f>IF(VLOOKUP($A96,'⚪设计'!$A$463:$N$486,7,FALSE)="","",VLOOKUP($A96,'⚪设计'!$A$463:$N$486,7,FALSE))</f>
        <v>种子1</v>
      </c>
      <c r="H96" s="97">
        <f t="shared" si="16"/>
        <v>5</v>
      </c>
      <c r="I96" s="97">
        <f>IF(VLOOKUP($A96,'⚪设计'!$A$463:$N$486,11,FALSE)="","",VLOOKUP($A96,'⚪设计'!$A$463:$N$486,11,FALSE))</f>
        <v>2</v>
      </c>
      <c r="J96" s="97">
        <f>IF(G96="","",ROUND($D96*VLOOKUP($A96,'⚪设计'!$A$463:$N$486,4,FALSE)/(IF($G96="",0,VLOOKUP($G96,'⚪设计'!$B$85:$H$113,4,FALSE)*$H96)+IF($L96="",0,VLOOKUP($L96,'⚪设计'!$B$85:$H$113,4,FALSE)*$M96)+IF($Q96="",0,VLOOKUP($Q96,'⚪设计'!$B$85:$H$113,4,FALSE)*$R96)+IF($V96="",0,VLOOKUP($V96,'⚪设计'!$B$85:$H$113,4,FALSE)*$W96))*IF(G96="",0,VLOOKUP(G96,'⚪设计'!$B$85:$H$113,4,FALSE)),0))</f>
        <v>278</v>
      </c>
      <c r="K96" s="97">
        <f>IF(G96="","",ROUND(战斗节奏!$B$14/(IF($G96="",0,VLOOKUP($G96,'⚪设计'!$B$85:$H$113,5,FALSE)*$H96)+IF($L96="",0,VLOOKUP($L96,'⚪设计'!$B$85:$H$113,5,FALSE)*$M96)+IF($Q96="",0,VLOOKUP($Q96,'⚪设计'!$B$85:$H$113,5,FALSE)*$R96)+IF($V96="",0,VLOOKUP($V96,'⚪设计'!$B$85:$H$113,5,FALSE)*$W96))*IF(G96="",0,VLOOKUP(G96,'⚪设计'!$B$85:$H$113,5,FALSE)),0))</f>
        <v>30</v>
      </c>
      <c r="L96" s="97" t="str">
        <f>IF(VLOOKUP($A96,'⚪设计'!$A$463:$N$486,8,FALSE)="","",VLOOKUP($A96,'⚪设计'!$A$463:$N$486,8,FALSE))</f>
        <v>乌龟2</v>
      </c>
      <c r="M96" s="97">
        <f t="shared" si="17"/>
        <v>5</v>
      </c>
      <c r="N96" s="97">
        <f>IF(VLOOKUP($A96,'⚪设计'!$A$463:$N$486,12,FALSE)="","",VLOOKUP($A96,'⚪设计'!$A$463:$N$486,12,FALSE))</f>
        <v>2</v>
      </c>
      <c r="O96" s="97">
        <f>IF(L96="","",ROUND($D96*VLOOKUP($A96,'⚪设计'!$A$463:$N$486,4,FALSE)/(IF($G96="",0,VLOOKUP($G96,'⚪设计'!$B$85:$H$113,4,FALSE)*$H96)+IF($L96="",0,VLOOKUP($L96,'⚪设计'!$B$85:$H$113,4,FALSE)*$M96)+IF($Q96="",0,VLOOKUP($Q96,'⚪设计'!$B$85:$H$113,4,FALSE)*$R96)+IF($V96="",0,VLOOKUP($V96,'⚪设计'!$B$85:$H$113,4,FALSE)*$W96))*IF(L96="",0,VLOOKUP(L96,'⚪设计'!$B$85:$H$113,4,FALSE)),0))</f>
        <v>370</v>
      </c>
      <c r="P96" s="97">
        <f>IF(L96="","",ROUND(战斗节奏!$B$14/(IF($G96="",0,VLOOKUP($G96,'⚪设计'!$B$85:$H$113,5,FALSE)*$H96)+IF($L96="",0,VLOOKUP($L96,'⚪设计'!$B$85:$H$113,5,FALSE)*$M96)+IF($Q96="",0,VLOOKUP($Q96,'⚪设计'!$B$85:$H$113,5,FALSE)*$R96)+IF($V96="",0,VLOOKUP($V96,'⚪设计'!$B$85:$H$113,5,FALSE)*$W96))*IF(L96="",0,VLOOKUP(L96,'⚪设计'!$B$85:$H$113,5,FALSE)),0))</f>
        <v>30</v>
      </c>
      <c r="Q96" s="97" t="str">
        <f>IF(VLOOKUP($A96,'⚪设计'!$A$463:$N$486,9,FALSE)="","",VLOOKUP($A96,'⚪设计'!$A$463:$N$486,9,FALSE))</f>
        <v/>
      </c>
      <c r="R96" s="97" t="str">
        <f t="shared" si="18"/>
        <v/>
      </c>
      <c r="S96" s="97" t="str">
        <f>IF(VLOOKUP($A96,'⚪设计'!$A$463:$N$486,13,FALSE)="","",VLOOKUP($A96,'⚪设计'!$A$463:$N$486,13,FALSE))</f>
        <v/>
      </c>
      <c r="T96" s="97" t="str">
        <f>IF(Q96="","",ROUND($D96*VLOOKUP($A96,'⚪设计'!$A$463:$N$486,4,FALSE)/(IF($G96="",0,VLOOKUP($G96,'⚪设计'!$B$85:$H$113,4,FALSE)*$H96)+IF($L96="",0,VLOOKUP($L96,'⚪设计'!$B$85:$H$113,4,FALSE)*$M96)+IF($Q96="",0,VLOOKUP($Q96,'⚪设计'!$B$85:$H$113,4,FALSE)*$R96)+IF($V96="",0,VLOOKUP($V96,'⚪设计'!$B$85:$H$113,4,FALSE)*$W96))*IF(Q96="",0,VLOOKUP(Q96,'⚪设计'!$B$85:$H$113,4,FALSE)),0))</f>
        <v/>
      </c>
      <c r="U96" s="97" t="str">
        <f>IF(Q96="","",ROUND(战斗节奏!$B$14/(IF($G96="",0,VLOOKUP($G96,'⚪设计'!$B$85:$H$113,5,FALSE)*$H96)+IF($L96="",0,VLOOKUP($L96,'⚪设计'!$B$85:$H$113,5,FALSE)*$M96)+IF($Q96="",0,VLOOKUP($Q96,'⚪设计'!$B$85:$H$113,5,FALSE)*$R96)+IF($V96="",0,VLOOKUP($V96,'⚪设计'!$B$85:$H$113,5,FALSE)*$W96))*IF(Q96="",0,VLOOKUP(Q96,'⚪设计'!$B$85:$H$113,5,FALSE)),0))</f>
        <v/>
      </c>
      <c r="V96" s="97" t="str">
        <f>IF(VLOOKUP($A96,'⚪设计'!$A$463:$N$486,10,FALSE)="","",VLOOKUP($A96,'⚪设计'!$A$463:$N$486,10,FALSE))</f>
        <v/>
      </c>
      <c r="W96" s="97" t="str">
        <f t="shared" si="19"/>
        <v/>
      </c>
      <c r="X96" s="97" t="str">
        <f>IF(VLOOKUP($A96,'⚪设计'!$A$463:$N$486,14,FALSE)="","",VLOOKUP($A96,'⚪设计'!$A$463:$N$486,14,FALSE))</f>
        <v/>
      </c>
      <c r="Y96" s="97" t="str">
        <f>IF(V96="","",ROUND($D96*VLOOKUP($A96,'⚪设计'!$A$463:$N$486,4,FALSE)/(IF($G96="",0,VLOOKUP($G96,'⚪设计'!$B$85:$H$113,4,FALSE)*$H96)+IF($L96="",0,VLOOKUP($L96,'⚪设计'!$B$85:$H$113,4,FALSE)*$M96)+IF($Q96="",0,VLOOKUP($Q96,'⚪设计'!$B$85:$H$113,4,FALSE)*$R96)+IF($V96="",0,VLOOKUP($V96,'⚪设计'!$B$85:$H$113,4,FALSE)*$W96))*IF(V96="",0,VLOOKUP(V96,'⚪设计'!$B$85:$H$113,4,FALSE)),0))</f>
        <v/>
      </c>
      <c r="Z96" s="97" t="str">
        <f>IF(V96="","",ROUND(战斗节奏!$B$14/(IF($G96="",0,VLOOKUP($G96,'⚪设计'!$B$85:$H$113,5,FALSE)*$H96)+IF($L96="",0,VLOOKUP($L96,'⚪设计'!$B$85:$H$113,5,FALSE)*$M96)+IF($Q96="",0,VLOOKUP($Q96,'⚪设计'!$B$85:$H$113,5,FALSE)*$R96)+IF($V96="",0,VLOOKUP($V96,'⚪设计'!$B$85:$H$113,5,FALSE)*$W96))*IF(V96="",0,VLOOKUP(V96,'⚪设计'!$B$85:$H$113,5,FALSE)),0))</f>
        <v/>
      </c>
    </row>
    <row r="97" spans="1:26" x14ac:dyDescent="0.2">
      <c r="A97" s="2" t="str">
        <f t="shared" si="15"/>
        <v>3_2</v>
      </c>
      <c r="B97" s="2">
        <v>3</v>
      </c>
      <c r="C97" s="2">
        <v>2</v>
      </c>
      <c r="D97" s="97">
        <f>VLOOKUP(C97,无限模式!$A$3:$B$22,2,FALSE)</f>
        <v>1080</v>
      </c>
      <c r="E97" s="98">
        <v>1</v>
      </c>
      <c r="F97" s="97">
        <f>VLOOKUP(A97,'⚪设计'!$A$463:$N$486,6,FALSE)</f>
        <v>12.5</v>
      </c>
      <c r="G97" s="97" t="str">
        <f>IF(VLOOKUP($A97,'⚪设计'!$A$463:$N$486,7,FALSE)="","",VLOOKUP($A97,'⚪设计'!$A$463:$N$486,7,FALSE))</f>
        <v>种子1</v>
      </c>
      <c r="H97" s="97">
        <f t="shared" si="16"/>
        <v>6</v>
      </c>
      <c r="I97" s="97">
        <f>IF(VLOOKUP($A97,'⚪设计'!$A$463:$N$486,11,FALSE)="","",VLOOKUP($A97,'⚪设计'!$A$463:$N$486,11,FALSE))</f>
        <v>2</v>
      </c>
      <c r="J97" s="97">
        <f>IF(G97="","",ROUND($D97*VLOOKUP($A97,'⚪设计'!$A$463:$N$486,4,FALSE)/(IF($G97="",0,VLOOKUP($G97,'⚪设计'!$B$85:$H$113,4,FALSE)*$H97)+IF($L97="",0,VLOOKUP($L97,'⚪设计'!$B$85:$H$113,4,FALSE)*$M97)+IF($Q97="",0,VLOOKUP($Q97,'⚪设计'!$B$85:$H$113,4,FALSE)*$R97)+IF($V97="",0,VLOOKUP($V97,'⚪设计'!$B$85:$H$113,4,FALSE)*$W97))*IF(G97="",0,VLOOKUP(G97,'⚪设计'!$B$85:$H$113,4,FALSE)),0))</f>
        <v>450</v>
      </c>
      <c r="K97" s="97">
        <f>IF(G97="","",ROUND(战斗节奏!$B$14/(IF($G97="",0,VLOOKUP($G97,'⚪设计'!$B$85:$H$113,5,FALSE)*$H97)+IF($L97="",0,VLOOKUP($L97,'⚪设计'!$B$85:$H$113,5,FALSE)*$M97)+IF($Q97="",0,VLOOKUP($Q97,'⚪设计'!$B$85:$H$113,5,FALSE)*$R97)+IF($V97="",0,VLOOKUP($V97,'⚪设计'!$B$85:$H$113,5,FALSE)*$W97))*IF(G97="",0,VLOOKUP(G97,'⚪设计'!$B$85:$H$113,5,FALSE)),0))</f>
        <v>17</v>
      </c>
      <c r="L97" s="97" t="str">
        <f>IF(VLOOKUP($A97,'⚪设计'!$A$463:$N$486,8,FALSE)="","",VLOOKUP($A97,'⚪设计'!$A$463:$N$486,8,FALSE))</f>
        <v>蜜蜂2</v>
      </c>
      <c r="M97" s="97">
        <f t="shared" si="17"/>
        <v>6</v>
      </c>
      <c r="N97" s="97">
        <f>IF(VLOOKUP($A97,'⚪设计'!$A$463:$N$486,12,FALSE)="","",VLOOKUP($A97,'⚪设计'!$A$463:$N$486,12,FALSE))</f>
        <v>2</v>
      </c>
      <c r="O97" s="97">
        <f>IF(L97="","",ROUND($D97*VLOOKUP($A97,'⚪设计'!$A$463:$N$486,4,FALSE)/(IF($G97="",0,VLOOKUP($G97,'⚪设计'!$B$85:$H$113,4,FALSE)*$H97)+IF($L97="",0,VLOOKUP($L97,'⚪设计'!$B$85:$H$113,4,FALSE)*$M97)+IF($Q97="",0,VLOOKUP($Q97,'⚪设计'!$B$85:$H$113,4,FALSE)*$R97)+IF($V97="",0,VLOOKUP($V97,'⚪设计'!$B$85:$H$113,4,FALSE)*$W97))*IF(L97="",0,VLOOKUP(L97,'⚪设计'!$B$85:$H$113,4,FALSE)),0))</f>
        <v>300</v>
      </c>
      <c r="P97" s="97">
        <f>IF(L97="","",ROUND(战斗节奏!$B$14/(IF($G97="",0,VLOOKUP($G97,'⚪设计'!$B$85:$H$113,5,FALSE)*$H97)+IF($L97="",0,VLOOKUP($L97,'⚪设计'!$B$85:$H$113,5,FALSE)*$M97)+IF($Q97="",0,VLOOKUP($Q97,'⚪设计'!$B$85:$H$113,5,FALSE)*$R97)+IF($V97="",0,VLOOKUP($V97,'⚪设计'!$B$85:$H$113,5,FALSE)*$W97))*IF(L97="",0,VLOOKUP(L97,'⚪设计'!$B$85:$H$113,5,FALSE)),0))</f>
        <v>17</v>
      </c>
      <c r="Q97" s="97" t="str">
        <f>IF(VLOOKUP($A97,'⚪设计'!$A$463:$N$486,9,FALSE)="","",VLOOKUP($A97,'⚪设计'!$A$463:$N$486,9,FALSE))</f>
        <v>乌龟2</v>
      </c>
      <c r="R97" s="97">
        <f t="shared" si="18"/>
        <v>6</v>
      </c>
      <c r="S97" s="97">
        <f>IF(VLOOKUP($A97,'⚪设计'!$A$463:$N$486,13,FALSE)="","",VLOOKUP($A97,'⚪设计'!$A$463:$N$486,13,FALSE))</f>
        <v>2</v>
      </c>
      <c r="T97" s="97">
        <f>IF(Q97="","",ROUND($D97*VLOOKUP($A97,'⚪设计'!$A$463:$N$486,4,FALSE)/(IF($G97="",0,VLOOKUP($G97,'⚪设计'!$B$85:$H$113,4,FALSE)*$H97)+IF($L97="",0,VLOOKUP($L97,'⚪设计'!$B$85:$H$113,4,FALSE)*$M97)+IF($Q97="",0,VLOOKUP($Q97,'⚪设计'!$B$85:$H$113,4,FALSE)*$R97)+IF($V97="",0,VLOOKUP($V97,'⚪设计'!$B$85:$H$113,4,FALSE)*$W97))*IF(Q97="",0,VLOOKUP(Q97,'⚪设计'!$B$85:$H$113,4,FALSE)),0))</f>
        <v>600</v>
      </c>
      <c r="U97" s="97">
        <f>IF(Q97="","",ROUND(战斗节奏!$B$14/(IF($G97="",0,VLOOKUP($G97,'⚪设计'!$B$85:$H$113,5,FALSE)*$H97)+IF($L97="",0,VLOOKUP($L97,'⚪设计'!$B$85:$H$113,5,FALSE)*$M97)+IF($Q97="",0,VLOOKUP($Q97,'⚪设计'!$B$85:$H$113,5,FALSE)*$R97)+IF($V97="",0,VLOOKUP($V97,'⚪设计'!$B$85:$H$113,5,FALSE)*$W97))*IF(Q97="",0,VLOOKUP(Q97,'⚪设计'!$B$85:$H$113,5,FALSE)),0))</f>
        <v>17</v>
      </c>
      <c r="V97" s="97" t="str">
        <f>IF(VLOOKUP($A97,'⚪设计'!$A$463:$N$486,10,FALSE)="","",VLOOKUP($A97,'⚪设计'!$A$463:$N$486,10,FALSE))</f>
        <v/>
      </c>
      <c r="W97" s="97" t="str">
        <f t="shared" si="19"/>
        <v/>
      </c>
      <c r="X97" s="97" t="str">
        <f>IF(VLOOKUP($A97,'⚪设计'!$A$463:$N$486,14,FALSE)="","",VLOOKUP($A97,'⚪设计'!$A$463:$N$486,14,FALSE))</f>
        <v/>
      </c>
      <c r="Y97" s="97" t="str">
        <f>IF(V97="","",ROUND($D97*VLOOKUP($A97,'⚪设计'!$A$463:$N$486,4,FALSE)/(IF($G97="",0,VLOOKUP($G97,'⚪设计'!$B$85:$H$113,4,FALSE)*$H97)+IF($L97="",0,VLOOKUP($L97,'⚪设计'!$B$85:$H$113,4,FALSE)*$M97)+IF($Q97="",0,VLOOKUP($Q97,'⚪设计'!$B$85:$H$113,4,FALSE)*$R97)+IF($V97="",0,VLOOKUP($V97,'⚪设计'!$B$85:$H$113,4,FALSE)*$W97))*IF(V97="",0,VLOOKUP(V97,'⚪设计'!$B$85:$H$113,4,FALSE)),0))</f>
        <v/>
      </c>
      <c r="Z97" s="97" t="str">
        <f>IF(V97="","",ROUND(战斗节奏!$B$14/(IF($G97="",0,VLOOKUP($G97,'⚪设计'!$B$85:$H$113,5,FALSE)*$H97)+IF($L97="",0,VLOOKUP($L97,'⚪设计'!$B$85:$H$113,5,FALSE)*$M97)+IF($Q97="",0,VLOOKUP($Q97,'⚪设计'!$B$85:$H$113,5,FALSE)*$R97)+IF($V97="",0,VLOOKUP($V97,'⚪设计'!$B$85:$H$113,5,FALSE)*$W97))*IF(V97="",0,VLOOKUP(V97,'⚪设计'!$B$85:$H$113,5,FALSE)),0))</f>
        <v/>
      </c>
    </row>
    <row r="98" spans="1:26" x14ac:dyDescent="0.2">
      <c r="A98" s="2" t="str">
        <f t="shared" si="15"/>
        <v>3_3</v>
      </c>
      <c r="B98" s="2">
        <v>3</v>
      </c>
      <c r="C98" s="2">
        <v>3</v>
      </c>
      <c r="D98" s="97">
        <f>VLOOKUP(C98,无限模式!$A$3:$B$22,2,FALSE)</f>
        <v>1620</v>
      </c>
      <c r="E98" s="98">
        <v>1</v>
      </c>
      <c r="F98" s="97">
        <f>VLOOKUP(A98,'⚪设计'!$A$463:$N$486,6,FALSE)</f>
        <v>15</v>
      </c>
      <c r="G98" s="97" t="str">
        <f>IF(VLOOKUP($A98,'⚪设计'!$A$463:$N$486,7,FALSE)="","",VLOOKUP($A98,'⚪设计'!$A$463:$N$486,7,FALSE))</f>
        <v>种子1</v>
      </c>
      <c r="H98" s="97">
        <f t="shared" si="16"/>
        <v>8</v>
      </c>
      <c r="I98" s="97">
        <f>IF(VLOOKUP($A98,'⚪设计'!$A$463:$N$486,11,FALSE)="","",VLOOKUP($A98,'⚪设计'!$A$463:$N$486,11,FALSE))</f>
        <v>2</v>
      </c>
      <c r="J98" s="97">
        <f>IF(G98="","",ROUND($D98*VLOOKUP($A98,'⚪设计'!$A$463:$N$486,4,FALSE)/(IF($G98="",0,VLOOKUP($G98,'⚪设计'!$B$85:$H$113,4,FALSE)*$H98)+IF($L98="",0,VLOOKUP($L98,'⚪设计'!$B$85:$H$113,4,FALSE)*$M98)+IF($Q98="",0,VLOOKUP($Q98,'⚪设计'!$B$85:$H$113,4,FALSE)*$R98)+IF($V98="",0,VLOOKUP($V98,'⚪设计'!$B$85:$H$113,4,FALSE)*$W98))*IF(G98="",0,VLOOKUP(G98,'⚪设计'!$B$85:$H$113,4,FALSE)),0))</f>
        <v>689</v>
      </c>
      <c r="K98" s="97">
        <f>IF(G98="","",ROUND(战斗节奏!$B$14/(IF($G98="",0,VLOOKUP($G98,'⚪设计'!$B$85:$H$113,5,FALSE)*$H98)+IF($L98="",0,VLOOKUP($L98,'⚪设计'!$B$85:$H$113,5,FALSE)*$M98)+IF($Q98="",0,VLOOKUP($Q98,'⚪设计'!$B$85:$H$113,5,FALSE)*$R98)+IF($V98="",0,VLOOKUP($V98,'⚪设计'!$B$85:$H$113,5,FALSE)*$W98))*IF(G98="",0,VLOOKUP(G98,'⚪设计'!$B$85:$H$113,5,FALSE)),0))</f>
        <v>15</v>
      </c>
      <c r="L98" s="97" t="str">
        <f>IF(VLOOKUP($A98,'⚪设计'!$A$463:$N$486,8,FALSE)="","",VLOOKUP($A98,'⚪设计'!$A$463:$N$486,8,FALSE))</f>
        <v>蝙蝠1</v>
      </c>
      <c r="M98" s="97">
        <f t="shared" si="17"/>
        <v>15</v>
      </c>
      <c r="N98" s="97">
        <f>IF(VLOOKUP($A98,'⚪设计'!$A$463:$N$486,12,FALSE)="","",VLOOKUP($A98,'⚪设计'!$A$463:$N$486,12,FALSE))</f>
        <v>1</v>
      </c>
      <c r="O98" s="97">
        <f>IF(L98="","",ROUND($D98*VLOOKUP($A98,'⚪设计'!$A$463:$N$486,4,FALSE)/(IF($G98="",0,VLOOKUP($G98,'⚪设计'!$B$85:$H$113,4,FALSE)*$H98)+IF($L98="",0,VLOOKUP($L98,'⚪设计'!$B$85:$H$113,4,FALSE)*$M98)+IF($Q98="",0,VLOOKUP($Q98,'⚪设计'!$B$85:$H$113,4,FALSE)*$R98)+IF($V98="",0,VLOOKUP($V98,'⚪设计'!$B$85:$H$113,4,FALSE)*$W98))*IF(L98="",0,VLOOKUP(L98,'⚪设计'!$B$85:$H$113,4,FALSE)),0))</f>
        <v>115</v>
      </c>
      <c r="P98" s="97">
        <f>IF(L98="","",ROUND(战斗节奏!$B$14/(IF($G98="",0,VLOOKUP($G98,'⚪设计'!$B$85:$H$113,5,FALSE)*$H98)+IF($L98="",0,VLOOKUP($L98,'⚪设计'!$B$85:$H$113,5,FALSE)*$M98)+IF($Q98="",0,VLOOKUP($Q98,'⚪设计'!$B$85:$H$113,5,FALSE)*$R98)+IF($V98="",0,VLOOKUP($V98,'⚪设计'!$B$85:$H$113,5,FALSE)*$W98))*IF(L98="",0,VLOOKUP(L98,'⚪设计'!$B$85:$H$113,5,FALSE)),0))</f>
        <v>4</v>
      </c>
      <c r="Q98" s="97" t="str">
        <f>IF(VLOOKUP($A98,'⚪设计'!$A$463:$N$486,9,FALSE)="","",VLOOKUP($A98,'⚪设计'!$A$463:$N$486,9,FALSE))</f>
        <v>乌龟2</v>
      </c>
      <c r="R98" s="97">
        <f t="shared" si="18"/>
        <v>8</v>
      </c>
      <c r="S98" s="97">
        <f>IF(VLOOKUP($A98,'⚪设计'!$A$463:$N$486,13,FALSE)="","",VLOOKUP($A98,'⚪设计'!$A$463:$N$486,13,FALSE))</f>
        <v>2</v>
      </c>
      <c r="T98" s="97">
        <f>IF(Q98="","",ROUND($D98*VLOOKUP($A98,'⚪设计'!$A$463:$N$486,4,FALSE)/(IF($G98="",0,VLOOKUP($G98,'⚪设计'!$B$85:$H$113,4,FALSE)*$H98)+IF($L98="",0,VLOOKUP($L98,'⚪设计'!$B$85:$H$113,4,FALSE)*$M98)+IF($Q98="",0,VLOOKUP($Q98,'⚪设计'!$B$85:$H$113,4,FALSE)*$R98)+IF($V98="",0,VLOOKUP($V98,'⚪设计'!$B$85:$H$113,4,FALSE)*$W98))*IF(Q98="",0,VLOOKUP(Q98,'⚪设计'!$B$85:$H$113,4,FALSE)),0))</f>
        <v>918</v>
      </c>
      <c r="U98" s="97">
        <f>IF(Q98="","",ROUND(战斗节奏!$B$14/(IF($G98="",0,VLOOKUP($G98,'⚪设计'!$B$85:$H$113,5,FALSE)*$H98)+IF($L98="",0,VLOOKUP($L98,'⚪设计'!$B$85:$H$113,5,FALSE)*$M98)+IF($Q98="",0,VLOOKUP($Q98,'⚪设计'!$B$85:$H$113,5,FALSE)*$R98)+IF($V98="",0,VLOOKUP($V98,'⚪设计'!$B$85:$H$113,5,FALSE)*$W98))*IF(Q98="",0,VLOOKUP(Q98,'⚪设计'!$B$85:$H$113,5,FALSE)),0))</f>
        <v>15</v>
      </c>
      <c r="V98" s="97" t="str">
        <f>IF(VLOOKUP($A98,'⚪设计'!$A$463:$N$486,10,FALSE)="","",VLOOKUP($A98,'⚪设计'!$A$463:$N$486,10,FALSE))</f>
        <v/>
      </c>
      <c r="W98" s="97" t="str">
        <f t="shared" si="19"/>
        <v/>
      </c>
      <c r="X98" s="97" t="str">
        <f>IF(VLOOKUP($A98,'⚪设计'!$A$463:$N$486,14,FALSE)="","",VLOOKUP($A98,'⚪设计'!$A$463:$N$486,14,FALSE))</f>
        <v/>
      </c>
      <c r="Y98" s="97" t="str">
        <f>IF(V98="","",ROUND($D98*VLOOKUP($A98,'⚪设计'!$A$463:$N$486,4,FALSE)/(IF($G98="",0,VLOOKUP($G98,'⚪设计'!$B$85:$H$113,4,FALSE)*$H98)+IF($L98="",0,VLOOKUP($L98,'⚪设计'!$B$85:$H$113,4,FALSE)*$M98)+IF($Q98="",0,VLOOKUP($Q98,'⚪设计'!$B$85:$H$113,4,FALSE)*$R98)+IF($V98="",0,VLOOKUP($V98,'⚪设计'!$B$85:$H$113,4,FALSE)*$W98))*IF(V98="",0,VLOOKUP(V98,'⚪设计'!$B$85:$H$113,4,FALSE)),0))</f>
        <v/>
      </c>
      <c r="Z98" s="97" t="str">
        <f>IF(V98="","",ROUND(战斗节奏!$B$14/(IF($G98="",0,VLOOKUP($G98,'⚪设计'!$B$85:$H$113,5,FALSE)*$H98)+IF($L98="",0,VLOOKUP($L98,'⚪设计'!$B$85:$H$113,5,FALSE)*$M98)+IF($Q98="",0,VLOOKUP($Q98,'⚪设计'!$B$85:$H$113,5,FALSE)*$R98)+IF($V98="",0,VLOOKUP($V98,'⚪设计'!$B$85:$H$113,5,FALSE)*$W98))*IF(V98="",0,VLOOKUP(V98,'⚪设计'!$B$85:$H$113,5,FALSE)),0))</f>
        <v/>
      </c>
    </row>
    <row r="99" spans="1:26" x14ac:dyDescent="0.2">
      <c r="A99" s="2" t="str">
        <f t="shared" si="15"/>
        <v>4_1</v>
      </c>
      <c r="B99" s="2">
        <v>4</v>
      </c>
      <c r="C99" s="2">
        <v>1</v>
      </c>
      <c r="D99" s="97">
        <f>VLOOKUP(C99,无限模式!$A$3:$B$22,2,FALSE)</f>
        <v>540</v>
      </c>
      <c r="E99" s="98">
        <v>1</v>
      </c>
      <c r="F99" s="97">
        <f>VLOOKUP(A99,'⚪设计'!$A$463:$N$486,6,FALSE)</f>
        <v>10</v>
      </c>
      <c r="G99" s="97" t="str">
        <f>IF(VLOOKUP($A99,'⚪设计'!$A$463:$N$486,7,FALSE)="","",VLOOKUP($A99,'⚪设计'!$A$463:$N$486,7,FALSE))</f>
        <v>鬼1</v>
      </c>
      <c r="H99" s="97">
        <f t="shared" si="16"/>
        <v>7</v>
      </c>
      <c r="I99" s="97">
        <f>IF(VLOOKUP($A99,'⚪设计'!$A$463:$N$486,11,FALSE)="","",VLOOKUP($A99,'⚪设计'!$A$463:$N$486,11,FALSE))</f>
        <v>1.5</v>
      </c>
      <c r="J99" s="97">
        <f>IF(G99="","",ROUND($D99*VLOOKUP($A99,'⚪设计'!$A$463:$N$486,4,FALSE)/(IF($G99="",0,VLOOKUP($G99,'⚪设计'!$B$85:$H$113,4,FALSE)*$H99)+IF($L99="",0,VLOOKUP($L99,'⚪设计'!$B$85:$H$113,4,FALSE)*$M99)+IF($Q99="",0,VLOOKUP($Q99,'⚪设计'!$B$85:$H$113,4,FALSE)*$R99)+IF($V99="",0,VLOOKUP($V99,'⚪设计'!$B$85:$H$113,4,FALSE)*$W99))*IF(G99="",0,VLOOKUP(G99,'⚪设计'!$B$85:$H$113,4,FALSE)),0))</f>
        <v>150</v>
      </c>
      <c r="K99" s="97">
        <f>IF(G99="","",ROUND(战斗节奏!$B$14/(IF($G99="",0,VLOOKUP($G99,'⚪设计'!$B$85:$H$113,5,FALSE)*$H99)+IF($L99="",0,VLOOKUP($L99,'⚪设计'!$B$85:$H$113,5,FALSE)*$M99)+IF($Q99="",0,VLOOKUP($Q99,'⚪设计'!$B$85:$H$113,5,FALSE)*$R99)+IF($V99="",0,VLOOKUP($V99,'⚪设计'!$B$85:$H$113,5,FALSE)*$W99))*IF(G99="",0,VLOOKUP(G99,'⚪设计'!$B$85:$H$113,5,FALSE)),0))</f>
        <v>18</v>
      </c>
      <c r="L99" s="97" t="str">
        <f>IF(VLOOKUP($A99,'⚪设计'!$A$463:$N$486,8,FALSE)="","",VLOOKUP($A99,'⚪设计'!$A$463:$N$486,8,FALSE))</f>
        <v>乌龟2</v>
      </c>
      <c r="M99" s="97">
        <f t="shared" si="17"/>
        <v>5</v>
      </c>
      <c r="N99" s="97">
        <f>IF(VLOOKUP($A99,'⚪设计'!$A$463:$N$486,12,FALSE)="","",VLOOKUP($A99,'⚪设计'!$A$463:$N$486,12,FALSE))</f>
        <v>2</v>
      </c>
      <c r="O99" s="97">
        <f>IF(L99="","",ROUND($D99*VLOOKUP($A99,'⚪设计'!$A$463:$N$486,4,FALSE)/(IF($G99="",0,VLOOKUP($G99,'⚪设计'!$B$85:$H$113,4,FALSE)*$H99)+IF($L99="",0,VLOOKUP($L99,'⚪设计'!$B$85:$H$113,4,FALSE)*$M99)+IF($Q99="",0,VLOOKUP($Q99,'⚪设计'!$B$85:$H$113,4,FALSE)*$R99)+IF($V99="",0,VLOOKUP($V99,'⚪设计'!$B$85:$H$113,4,FALSE)*$W99))*IF(L99="",0,VLOOKUP(L99,'⚪设计'!$B$85:$H$113,4,FALSE)),0))</f>
        <v>600</v>
      </c>
      <c r="P99" s="97">
        <f>IF(L99="","",ROUND(战斗节奏!$B$14/(IF($G99="",0,VLOOKUP($G99,'⚪设计'!$B$85:$H$113,5,FALSE)*$H99)+IF($L99="",0,VLOOKUP($L99,'⚪设计'!$B$85:$H$113,5,FALSE)*$M99)+IF($Q99="",0,VLOOKUP($Q99,'⚪设计'!$B$85:$H$113,5,FALSE)*$R99)+IF($V99="",0,VLOOKUP($V99,'⚪设计'!$B$85:$H$113,5,FALSE)*$W99))*IF(L99="",0,VLOOKUP(L99,'⚪设计'!$B$85:$H$113,5,FALSE)),0))</f>
        <v>35</v>
      </c>
      <c r="Q99" s="97" t="str">
        <f>IF(VLOOKUP($A99,'⚪设计'!$A$463:$N$486,9,FALSE)="","",VLOOKUP($A99,'⚪设计'!$A$463:$N$486,9,FALSE))</f>
        <v/>
      </c>
      <c r="R99" s="97" t="str">
        <f t="shared" si="18"/>
        <v/>
      </c>
      <c r="S99" s="97" t="str">
        <f>IF(VLOOKUP($A99,'⚪设计'!$A$463:$N$486,13,FALSE)="","",VLOOKUP($A99,'⚪设计'!$A$463:$N$486,13,FALSE))</f>
        <v/>
      </c>
      <c r="T99" s="97" t="str">
        <f>IF(Q99="","",ROUND($D99*VLOOKUP($A99,'⚪设计'!$A$463:$N$486,4,FALSE)/(IF($G99="",0,VLOOKUP($G99,'⚪设计'!$B$85:$H$113,4,FALSE)*$H99)+IF($L99="",0,VLOOKUP($L99,'⚪设计'!$B$85:$H$113,4,FALSE)*$M99)+IF($Q99="",0,VLOOKUP($Q99,'⚪设计'!$B$85:$H$113,4,FALSE)*$R99)+IF($V99="",0,VLOOKUP($V99,'⚪设计'!$B$85:$H$113,4,FALSE)*$W99))*IF(Q99="",0,VLOOKUP(Q99,'⚪设计'!$B$85:$H$113,4,FALSE)),0))</f>
        <v/>
      </c>
      <c r="U99" s="97" t="str">
        <f>IF(Q99="","",ROUND(战斗节奏!$B$14/(IF($G99="",0,VLOOKUP($G99,'⚪设计'!$B$85:$H$113,5,FALSE)*$H99)+IF($L99="",0,VLOOKUP($L99,'⚪设计'!$B$85:$H$113,5,FALSE)*$M99)+IF($Q99="",0,VLOOKUP($Q99,'⚪设计'!$B$85:$H$113,5,FALSE)*$R99)+IF($V99="",0,VLOOKUP($V99,'⚪设计'!$B$85:$H$113,5,FALSE)*$W99))*IF(Q99="",0,VLOOKUP(Q99,'⚪设计'!$B$85:$H$113,5,FALSE)),0))</f>
        <v/>
      </c>
      <c r="V99" s="97" t="str">
        <f>IF(VLOOKUP($A99,'⚪设计'!$A$463:$N$486,10,FALSE)="","",VLOOKUP($A99,'⚪设计'!$A$463:$N$486,10,FALSE))</f>
        <v/>
      </c>
      <c r="W99" s="97" t="str">
        <f t="shared" si="19"/>
        <v/>
      </c>
      <c r="X99" s="97" t="str">
        <f>IF(VLOOKUP($A99,'⚪设计'!$A$463:$N$486,14,FALSE)="","",VLOOKUP($A99,'⚪设计'!$A$463:$N$486,14,FALSE))</f>
        <v/>
      </c>
      <c r="Y99" s="97" t="str">
        <f>IF(V99="","",ROUND($D99*VLOOKUP($A99,'⚪设计'!$A$463:$N$486,4,FALSE)/(IF($G99="",0,VLOOKUP($G99,'⚪设计'!$B$85:$H$113,4,FALSE)*$H99)+IF($L99="",0,VLOOKUP($L99,'⚪设计'!$B$85:$H$113,4,FALSE)*$M99)+IF($Q99="",0,VLOOKUP($Q99,'⚪设计'!$B$85:$H$113,4,FALSE)*$R99)+IF($V99="",0,VLOOKUP($V99,'⚪设计'!$B$85:$H$113,4,FALSE)*$W99))*IF(V99="",0,VLOOKUP(V99,'⚪设计'!$B$85:$H$113,4,FALSE)),0))</f>
        <v/>
      </c>
      <c r="Z99" s="97" t="str">
        <f>IF(V99="","",ROUND(战斗节奏!$B$14/(IF($G99="",0,VLOOKUP($G99,'⚪设计'!$B$85:$H$113,5,FALSE)*$H99)+IF($L99="",0,VLOOKUP($L99,'⚪设计'!$B$85:$H$113,5,FALSE)*$M99)+IF($Q99="",0,VLOOKUP($Q99,'⚪设计'!$B$85:$H$113,5,FALSE)*$R99)+IF($V99="",0,VLOOKUP($V99,'⚪设计'!$B$85:$H$113,5,FALSE)*$W99))*IF(V99="",0,VLOOKUP(V99,'⚪设计'!$B$85:$H$113,5,FALSE)),0))</f>
        <v/>
      </c>
    </row>
    <row r="100" spans="1:26" x14ac:dyDescent="0.2">
      <c r="A100" s="2" t="str">
        <f t="shared" si="15"/>
        <v>4_2</v>
      </c>
      <c r="B100" s="2">
        <v>4</v>
      </c>
      <c r="C100" s="2">
        <v>2</v>
      </c>
      <c r="D100" s="97">
        <f>VLOOKUP(C100,无限模式!$A$3:$B$22,2,FALSE)</f>
        <v>1080</v>
      </c>
      <c r="E100" s="98">
        <v>1</v>
      </c>
      <c r="F100" s="97">
        <f>VLOOKUP(A100,'⚪设计'!$A$463:$N$486,6,FALSE)</f>
        <v>12.5</v>
      </c>
      <c r="G100" s="97" t="str">
        <f>IF(VLOOKUP($A100,'⚪设计'!$A$463:$N$486,7,FALSE)="","",VLOOKUP($A100,'⚪设计'!$A$463:$N$486,7,FALSE))</f>
        <v>鬼1</v>
      </c>
      <c r="H100" s="97">
        <f t="shared" si="16"/>
        <v>8</v>
      </c>
      <c r="I100" s="97">
        <f>IF(VLOOKUP($A100,'⚪设计'!$A$463:$N$486,11,FALSE)="","",VLOOKUP($A100,'⚪设计'!$A$463:$N$486,11,FALSE))</f>
        <v>1.5</v>
      </c>
      <c r="J100" s="97">
        <f>IF(G100="","",ROUND($D100*VLOOKUP($A100,'⚪设计'!$A$463:$N$486,4,FALSE)/(IF($G100="",0,VLOOKUP($G100,'⚪设计'!$B$85:$H$113,4,FALSE)*$H100)+IF($L100="",0,VLOOKUP($L100,'⚪设计'!$B$85:$H$113,4,FALSE)*$M100)+IF($Q100="",0,VLOOKUP($Q100,'⚪设计'!$B$85:$H$113,4,FALSE)*$R100)+IF($V100="",0,VLOOKUP($V100,'⚪设计'!$B$85:$H$113,4,FALSE)*$W100))*IF(G100="",0,VLOOKUP(G100,'⚪设计'!$B$85:$H$113,4,FALSE)),0))</f>
        <v>224</v>
      </c>
      <c r="K100" s="97">
        <f>IF(G100="","",ROUND(战斗节奏!$B$14/(IF($G100="",0,VLOOKUP($G100,'⚪设计'!$B$85:$H$113,5,FALSE)*$H100)+IF($L100="",0,VLOOKUP($L100,'⚪设计'!$B$85:$H$113,5,FALSE)*$M100)+IF($Q100="",0,VLOOKUP($Q100,'⚪设计'!$B$85:$H$113,5,FALSE)*$R100)+IF($V100="",0,VLOOKUP($V100,'⚪设计'!$B$85:$H$113,5,FALSE)*$W100))*IF(G100="",0,VLOOKUP(G100,'⚪设计'!$B$85:$H$113,5,FALSE)),0))</f>
        <v>4</v>
      </c>
      <c r="L100" s="97" t="str">
        <f>IF(VLOOKUP($A100,'⚪设计'!$A$463:$N$486,8,FALSE)="","",VLOOKUP($A100,'⚪设计'!$A$463:$N$486,8,FALSE))</f>
        <v>蜜蜂2</v>
      </c>
      <c r="M100" s="97">
        <f t="shared" si="17"/>
        <v>25</v>
      </c>
      <c r="N100" s="97">
        <f>IF(VLOOKUP($A100,'⚪设计'!$A$463:$N$486,12,FALSE)="","",VLOOKUP($A100,'⚪设计'!$A$463:$N$486,12,FALSE))</f>
        <v>0.5</v>
      </c>
      <c r="O100" s="97">
        <f>IF(L100="","",ROUND($D100*VLOOKUP($A100,'⚪设计'!$A$463:$N$486,4,FALSE)/(IF($G100="",0,VLOOKUP($G100,'⚪设计'!$B$85:$H$113,4,FALSE)*$H100)+IF($L100="",0,VLOOKUP($L100,'⚪设计'!$B$85:$H$113,4,FALSE)*$M100)+IF($Q100="",0,VLOOKUP($Q100,'⚪设计'!$B$85:$H$113,4,FALSE)*$R100)+IF($V100="",0,VLOOKUP($V100,'⚪设计'!$B$85:$H$113,4,FALSE)*$W100))*IF(L100="",0,VLOOKUP(L100,'⚪设计'!$B$85:$H$113,4,FALSE)),0))</f>
        <v>448</v>
      </c>
      <c r="P100" s="97">
        <f>IF(L100="","",ROUND(战斗节奏!$B$14/(IF($G100="",0,VLOOKUP($G100,'⚪设计'!$B$85:$H$113,5,FALSE)*$H100)+IF($L100="",0,VLOOKUP($L100,'⚪设计'!$B$85:$H$113,5,FALSE)*$M100)+IF($Q100="",0,VLOOKUP($Q100,'⚪设计'!$B$85:$H$113,5,FALSE)*$R100)+IF($V100="",0,VLOOKUP($V100,'⚪设计'!$B$85:$H$113,5,FALSE)*$W100))*IF(L100="",0,VLOOKUP(L100,'⚪设计'!$B$85:$H$113,5,FALSE)),0))</f>
        <v>9</v>
      </c>
      <c r="Q100" s="97" t="str">
        <f>IF(VLOOKUP($A100,'⚪设计'!$A$463:$N$486,9,FALSE)="","",VLOOKUP($A100,'⚪设计'!$A$463:$N$486,9,FALSE))</f>
        <v>乌龟2</v>
      </c>
      <c r="R100" s="97">
        <f t="shared" si="18"/>
        <v>6</v>
      </c>
      <c r="S100" s="97">
        <f>IF(VLOOKUP($A100,'⚪设计'!$A$463:$N$486,13,FALSE)="","",VLOOKUP($A100,'⚪设计'!$A$463:$N$486,13,FALSE))</f>
        <v>2</v>
      </c>
      <c r="T100" s="97">
        <f>IF(Q100="","",ROUND($D100*VLOOKUP($A100,'⚪设计'!$A$463:$N$486,4,FALSE)/(IF($G100="",0,VLOOKUP($G100,'⚪设计'!$B$85:$H$113,4,FALSE)*$H100)+IF($L100="",0,VLOOKUP($L100,'⚪设计'!$B$85:$H$113,4,FALSE)*$M100)+IF($Q100="",0,VLOOKUP($Q100,'⚪设计'!$B$85:$H$113,4,FALSE)*$R100)+IF($V100="",0,VLOOKUP($V100,'⚪设计'!$B$85:$H$113,4,FALSE)*$W100))*IF(Q100="",0,VLOOKUP(Q100,'⚪设计'!$B$85:$H$113,4,FALSE)),0))</f>
        <v>896</v>
      </c>
      <c r="U100" s="97">
        <f>IF(Q100="","",ROUND(战斗节奏!$B$14/(IF($G100="",0,VLOOKUP($G100,'⚪设计'!$B$85:$H$113,5,FALSE)*$H100)+IF($L100="",0,VLOOKUP($L100,'⚪设计'!$B$85:$H$113,5,FALSE)*$M100)+IF($Q100="",0,VLOOKUP($Q100,'⚪设计'!$B$85:$H$113,5,FALSE)*$R100)+IF($V100="",0,VLOOKUP($V100,'⚪设计'!$B$85:$H$113,5,FALSE)*$W100))*IF(Q100="",0,VLOOKUP(Q100,'⚪设计'!$B$85:$H$113,5,FALSE)),0))</f>
        <v>9</v>
      </c>
      <c r="V100" s="97" t="str">
        <f>IF(VLOOKUP($A100,'⚪设计'!$A$463:$N$486,10,FALSE)="","",VLOOKUP($A100,'⚪设计'!$A$463:$N$486,10,FALSE))</f>
        <v/>
      </c>
      <c r="W100" s="97" t="str">
        <f t="shared" si="19"/>
        <v/>
      </c>
      <c r="X100" s="97" t="str">
        <f>IF(VLOOKUP($A100,'⚪设计'!$A$463:$N$486,14,FALSE)="","",VLOOKUP($A100,'⚪设计'!$A$463:$N$486,14,FALSE))</f>
        <v/>
      </c>
      <c r="Y100" s="97" t="str">
        <f>IF(V100="","",ROUND($D100*VLOOKUP($A100,'⚪设计'!$A$463:$N$486,4,FALSE)/(IF($G100="",0,VLOOKUP($G100,'⚪设计'!$B$85:$H$113,4,FALSE)*$H100)+IF($L100="",0,VLOOKUP($L100,'⚪设计'!$B$85:$H$113,4,FALSE)*$M100)+IF($Q100="",0,VLOOKUP($Q100,'⚪设计'!$B$85:$H$113,4,FALSE)*$R100)+IF($V100="",0,VLOOKUP($V100,'⚪设计'!$B$85:$H$113,4,FALSE)*$W100))*IF(V100="",0,VLOOKUP(V100,'⚪设计'!$B$85:$H$113,4,FALSE)),0))</f>
        <v/>
      </c>
      <c r="Z100" s="97" t="str">
        <f>IF(V100="","",ROUND(战斗节奏!$B$14/(IF($G100="",0,VLOOKUP($G100,'⚪设计'!$B$85:$H$113,5,FALSE)*$H100)+IF($L100="",0,VLOOKUP($L100,'⚪设计'!$B$85:$H$113,5,FALSE)*$M100)+IF($Q100="",0,VLOOKUP($Q100,'⚪设计'!$B$85:$H$113,5,FALSE)*$R100)+IF($V100="",0,VLOOKUP($V100,'⚪设计'!$B$85:$H$113,5,FALSE)*$W100))*IF(V100="",0,VLOOKUP(V100,'⚪设计'!$B$85:$H$113,5,FALSE)),0))</f>
        <v/>
      </c>
    </row>
    <row r="101" spans="1:26" x14ac:dyDescent="0.2">
      <c r="A101" s="2" t="str">
        <f t="shared" si="15"/>
        <v>4_3</v>
      </c>
      <c r="B101" s="2">
        <v>4</v>
      </c>
      <c r="C101" s="2">
        <v>3</v>
      </c>
      <c r="D101" s="97">
        <f>VLOOKUP(C101,无限模式!$A$3:$B$22,2,FALSE)</f>
        <v>1620</v>
      </c>
      <c r="E101" s="98">
        <v>1</v>
      </c>
      <c r="F101" s="97">
        <f>VLOOKUP(A101,'⚪设计'!$A$463:$N$486,6,FALSE)</f>
        <v>15</v>
      </c>
      <c r="G101" s="97" t="str">
        <f>IF(VLOOKUP($A101,'⚪设计'!$A$463:$N$486,7,FALSE)="","",VLOOKUP($A101,'⚪设计'!$A$463:$N$486,7,FALSE))</f>
        <v>鬼1</v>
      </c>
      <c r="H101" s="97">
        <f t="shared" si="16"/>
        <v>10</v>
      </c>
      <c r="I101" s="97">
        <f>IF(VLOOKUP($A101,'⚪设计'!$A$463:$N$486,11,FALSE)="","",VLOOKUP($A101,'⚪设计'!$A$463:$N$486,11,FALSE))</f>
        <v>1.5</v>
      </c>
      <c r="J101" s="97">
        <f>IF(G101="","",ROUND($D101*VLOOKUP($A101,'⚪设计'!$A$463:$N$486,4,FALSE)/(IF($G101="",0,VLOOKUP($G101,'⚪设计'!$B$85:$H$113,4,FALSE)*$H101)+IF($L101="",0,VLOOKUP($L101,'⚪设计'!$B$85:$H$113,4,FALSE)*$M101)+IF($Q101="",0,VLOOKUP($Q101,'⚪设计'!$B$85:$H$113,4,FALSE)*$R101)+IF($V101="",0,VLOOKUP($V101,'⚪设计'!$B$85:$H$113,4,FALSE)*$W101))*IF(G101="",0,VLOOKUP(G101,'⚪设计'!$B$85:$H$113,4,FALSE)),0))</f>
        <v>227</v>
      </c>
      <c r="K101" s="97">
        <f>IF(G101="","",ROUND(战斗节奏!$B$14/(IF($G101="",0,VLOOKUP($G101,'⚪设计'!$B$85:$H$113,5,FALSE)*$H101)+IF($L101="",0,VLOOKUP($L101,'⚪设计'!$B$85:$H$113,5,FALSE)*$M101)+IF($Q101="",0,VLOOKUP($Q101,'⚪设计'!$B$85:$H$113,5,FALSE)*$R101)+IF($V101="",0,VLOOKUP($V101,'⚪设计'!$B$85:$H$113,5,FALSE)*$W101))*IF(G101="",0,VLOOKUP(G101,'⚪设计'!$B$85:$H$113,5,FALSE)),0))</f>
        <v>7</v>
      </c>
      <c r="L101" s="97" t="str">
        <f>IF(VLOOKUP($A101,'⚪设计'!$A$463:$N$486,8,FALSE)="","",VLOOKUP($A101,'⚪设计'!$A$463:$N$486,8,FALSE))</f>
        <v>蝙蝠1</v>
      </c>
      <c r="M101" s="97">
        <f t="shared" si="17"/>
        <v>30</v>
      </c>
      <c r="N101" s="97">
        <f>IF(VLOOKUP($A101,'⚪设计'!$A$463:$N$486,12,FALSE)="","",VLOOKUP($A101,'⚪设计'!$A$463:$N$486,12,FALSE))</f>
        <v>0.5</v>
      </c>
      <c r="O101" s="97">
        <f>IF(L101="","",ROUND($D101*VLOOKUP($A101,'⚪设计'!$A$463:$N$486,4,FALSE)/(IF($G101="",0,VLOOKUP($G101,'⚪设计'!$B$85:$H$113,4,FALSE)*$H101)+IF($L101="",0,VLOOKUP($L101,'⚪设计'!$B$85:$H$113,4,FALSE)*$M101)+IF($Q101="",0,VLOOKUP($Q101,'⚪设计'!$B$85:$H$113,4,FALSE)*$R101)+IF($V101="",0,VLOOKUP($V101,'⚪设计'!$B$85:$H$113,4,FALSE)*$W101))*IF(L101="",0,VLOOKUP(L101,'⚪设计'!$B$85:$H$113,4,FALSE)),0))</f>
        <v>114</v>
      </c>
      <c r="P101" s="97">
        <f>IF(L101="","",ROUND(战斗节奏!$B$14/(IF($G101="",0,VLOOKUP($G101,'⚪设计'!$B$85:$H$113,5,FALSE)*$H101)+IF($L101="",0,VLOOKUP($L101,'⚪设计'!$B$85:$H$113,5,FALSE)*$M101)+IF($Q101="",0,VLOOKUP($Q101,'⚪设计'!$B$85:$H$113,5,FALSE)*$R101)+IF($V101="",0,VLOOKUP($V101,'⚪设计'!$B$85:$H$113,5,FALSE)*$W101))*IF(L101="",0,VLOOKUP(L101,'⚪设计'!$B$85:$H$113,5,FALSE)),0))</f>
        <v>4</v>
      </c>
      <c r="Q101" s="97" t="str">
        <f>IF(VLOOKUP($A101,'⚪设计'!$A$463:$N$486,9,FALSE)="","",VLOOKUP($A101,'⚪设计'!$A$463:$N$486,9,FALSE))</f>
        <v>乌龟2</v>
      </c>
      <c r="R101" s="97">
        <f t="shared" si="18"/>
        <v>8</v>
      </c>
      <c r="S101" s="97">
        <f>IF(VLOOKUP($A101,'⚪设计'!$A$463:$N$486,13,FALSE)="","",VLOOKUP($A101,'⚪设计'!$A$463:$N$486,13,FALSE))</f>
        <v>2</v>
      </c>
      <c r="T101" s="97">
        <f>IF(Q101="","",ROUND($D101*VLOOKUP($A101,'⚪设计'!$A$463:$N$486,4,FALSE)/(IF($G101="",0,VLOOKUP($G101,'⚪设计'!$B$85:$H$113,4,FALSE)*$H101)+IF($L101="",0,VLOOKUP($L101,'⚪设计'!$B$85:$H$113,4,FALSE)*$M101)+IF($Q101="",0,VLOOKUP($Q101,'⚪设计'!$B$85:$H$113,4,FALSE)*$R101)+IF($V101="",0,VLOOKUP($V101,'⚪设计'!$B$85:$H$113,4,FALSE)*$W101))*IF(Q101="",0,VLOOKUP(Q101,'⚪设计'!$B$85:$H$113,4,FALSE)),0))</f>
        <v>909</v>
      </c>
      <c r="U101" s="97">
        <f>IF(Q101="","",ROUND(战斗节奏!$B$14/(IF($G101="",0,VLOOKUP($G101,'⚪设计'!$B$85:$H$113,5,FALSE)*$H101)+IF($L101="",0,VLOOKUP($L101,'⚪设计'!$B$85:$H$113,5,FALSE)*$M101)+IF($Q101="",0,VLOOKUP($Q101,'⚪设计'!$B$85:$H$113,5,FALSE)*$R101)+IF($V101="",0,VLOOKUP($V101,'⚪设计'!$B$85:$H$113,5,FALSE)*$W101))*IF(Q101="",0,VLOOKUP(Q101,'⚪设计'!$B$85:$H$113,5,FALSE)),0))</f>
        <v>15</v>
      </c>
      <c r="V101" s="97" t="str">
        <f>IF(VLOOKUP($A101,'⚪设计'!$A$463:$N$486,10,FALSE)="","",VLOOKUP($A101,'⚪设计'!$A$463:$N$486,10,FALSE))</f>
        <v/>
      </c>
      <c r="W101" s="97" t="str">
        <f t="shared" si="19"/>
        <v/>
      </c>
      <c r="X101" s="97" t="str">
        <f>IF(VLOOKUP($A101,'⚪设计'!$A$463:$N$486,14,FALSE)="","",VLOOKUP($A101,'⚪设计'!$A$463:$N$486,14,FALSE))</f>
        <v/>
      </c>
      <c r="Y101" s="97" t="str">
        <f>IF(V101="","",ROUND($D101*VLOOKUP($A101,'⚪设计'!$A$463:$N$486,4,FALSE)/(IF($G101="",0,VLOOKUP($G101,'⚪设计'!$B$85:$H$113,4,FALSE)*$H101)+IF($L101="",0,VLOOKUP($L101,'⚪设计'!$B$85:$H$113,4,FALSE)*$M101)+IF($Q101="",0,VLOOKUP($Q101,'⚪设计'!$B$85:$H$113,4,FALSE)*$R101)+IF($V101="",0,VLOOKUP($V101,'⚪设计'!$B$85:$H$113,4,FALSE)*$W101))*IF(V101="",0,VLOOKUP(V101,'⚪设计'!$B$85:$H$113,4,FALSE)),0))</f>
        <v/>
      </c>
      <c r="Z101" s="97" t="str">
        <f>IF(V101="","",ROUND(战斗节奏!$B$14/(IF($G101="",0,VLOOKUP($G101,'⚪设计'!$B$85:$H$113,5,FALSE)*$H101)+IF($L101="",0,VLOOKUP($L101,'⚪设计'!$B$85:$H$113,5,FALSE)*$M101)+IF($Q101="",0,VLOOKUP($Q101,'⚪设计'!$B$85:$H$113,5,FALSE)*$R101)+IF($V101="",0,VLOOKUP($V101,'⚪设计'!$B$85:$H$113,5,FALSE)*$W101))*IF(V101="",0,VLOOKUP(V101,'⚪设计'!$B$85:$H$113,5,FALSE)),0))</f>
        <v/>
      </c>
    </row>
    <row r="102" spans="1:26" x14ac:dyDescent="0.2">
      <c r="A102" s="2" t="str">
        <f t="shared" si="15"/>
        <v>4_4</v>
      </c>
      <c r="B102" s="2">
        <v>4</v>
      </c>
      <c r="C102" s="2">
        <v>4</v>
      </c>
      <c r="D102" s="97">
        <f>VLOOKUP(C102,无限模式!$A$3:$B$22,2,FALSE)</f>
        <v>2160</v>
      </c>
      <c r="E102" s="98">
        <v>1</v>
      </c>
      <c r="F102" s="97">
        <f>VLOOKUP(A102,'⚪设计'!$A$463:$N$486,6,FALSE)</f>
        <v>17.5</v>
      </c>
      <c r="G102" s="97" t="str">
        <f>IF(VLOOKUP($A102,'⚪设计'!$A$463:$N$486,7,FALSE)="","",VLOOKUP($A102,'⚪设计'!$A$463:$N$486,7,FALSE))</f>
        <v>鬼1</v>
      </c>
      <c r="H102" s="97">
        <f t="shared" si="16"/>
        <v>12</v>
      </c>
      <c r="I102" s="97">
        <f>IF(VLOOKUP($A102,'⚪设计'!$A$463:$N$486,11,FALSE)="","",VLOOKUP($A102,'⚪设计'!$A$463:$N$486,11,FALSE))</f>
        <v>1.5</v>
      </c>
      <c r="J102" s="97">
        <f>IF(G102="","",ROUND($D102*VLOOKUP($A102,'⚪设计'!$A$463:$N$486,4,FALSE)/(IF($G102="",0,VLOOKUP($G102,'⚪设计'!$B$85:$H$113,4,FALSE)*$H102)+IF($L102="",0,VLOOKUP($L102,'⚪设计'!$B$85:$H$113,4,FALSE)*$M102)+IF($Q102="",0,VLOOKUP($Q102,'⚪设计'!$B$85:$H$113,4,FALSE)*$R102)+IF($V102="",0,VLOOKUP($V102,'⚪设计'!$B$85:$H$113,4,FALSE)*$W102))*IF(G102="",0,VLOOKUP(G102,'⚪设计'!$B$85:$H$113,4,FALSE)),0))</f>
        <v>354</v>
      </c>
      <c r="K102" s="97">
        <f>IF(G102="","",ROUND(战斗节奏!$B$14/(IF($G102="",0,VLOOKUP($G102,'⚪设计'!$B$85:$H$113,5,FALSE)*$H102)+IF($L102="",0,VLOOKUP($L102,'⚪设计'!$B$85:$H$113,5,FALSE)*$M102)+IF($Q102="",0,VLOOKUP($Q102,'⚪设计'!$B$85:$H$113,5,FALSE)*$R102)+IF($V102="",0,VLOOKUP($V102,'⚪设计'!$B$85:$H$113,5,FALSE)*$W102))*IF(G102="",0,VLOOKUP(G102,'⚪设计'!$B$85:$H$113,5,FALSE)),0))</f>
        <v>3</v>
      </c>
      <c r="L102" s="97" t="str">
        <f>IF(VLOOKUP($A102,'⚪设计'!$A$463:$N$486,8,FALSE)="","",VLOOKUP($A102,'⚪设计'!$A$463:$N$486,8,FALSE))</f>
        <v>蜘蛛1</v>
      </c>
      <c r="M102" s="97">
        <f t="shared" si="17"/>
        <v>44</v>
      </c>
      <c r="N102" s="97">
        <f>IF(VLOOKUP($A102,'⚪设计'!$A$463:$N$486,12,FALSE)="","",VLOOKUP($A102,'⚪设计'!$A$463:$N$486,12,FALSE))</f>
        <v>0.4</v>
      </c>
      <c r="O102" s="97">
        <f>IF(L102="","",ROUND($D102*VLOOKUP($A102,'⚪设计'!$A$463:$N$486,4,FALSE)/(IF($G102="",0,VLOOKUP($G102,'⚪设计'!$B$85:$H$113,4,FALSE)*$H102)+IF($L102="",0,VLOOKUP($L102,'⚪设计'!$B$85:$H$113,4,FALSE)*$M102)+IF($Q102="",0,VLOOKUP($Q102,'⚪设计'!$B$85:$H$113,4,FALSE)*$R102)+IF($V102="",0,VLOOKUP($V102,'⚪设计'!$B$85:$H$113,4,FALSE)*$W102))*IF(L102="",0,VLOOKUP(L102,'⚪设计'!$B$85:$H$113,4,FALSE)),0))</f>
        <v>354</v>
      </c>
      <c r="P102" s="97">
        <f>IF(L102="","",ROUND(战斗节奏!$B$14/(IF($G102="",0,VLOOKUP($G102,'⚪设计'!$B$85:$H$113,5,FALSE)*$H102)+IF($L102="",0,VLOOKUP($L102,'⚪设计'!$B$85:$H$113,5,FALSE)*$M102)+IF($Q102="",0,VLOOKUP($Q102,'⚪设计'!$B$85:$H$113,5,FALSE)*$R102)+IF($V102="",0,VLOOKUP($V102,'⚪设计'!$B$85:$H$113,5,FALSE)*$W102))*IF(L102="",0,VLOOKUP(L102,'⚪设计'!$B$85:$H$113,5,FALSE)),0))</f>
        <v>3</v>
      </c>
      <c r="Q102" s="97" t="str">
        <f>IF(VLOOKUP($A102,'⚪设计'!$A$463:$N$486,9,FALSE)="","",VLOOKUP($A102,'⚪设计'!$A$463:$N$486,9,FALSE))</f>
        <v>乌龟2</v>
      </c>
      <c r="R102" s="97">
        <f t="shared" si="18"/>
        <v>18</v>
      </c>
      <c r="S102" s="97">
        <f>IF(VLOOKUP($A102,'⚪设计'!$A$463:$N$486,13,FALSE)="","",VLOOKUP($A102,'⚪设计'!$A$463:$N$486,13,FALSE))</f>
        <v>1</v>
      </c>
      <c r="T102" s="97">
        <f>IF(Q102="","",ROUND($D102*VLOOKUP($A102,'⚪设计'!$A$463:$N$486,4,FALSE)/(IF($G102="",0,VLOOKUP($G102,'⚪设计'!$B$85:$H$113,4,FALSE)*$H102)+IF($L102="",0,VLOOKUP($L102,'⚪设计'!$B$85:$H$113,4,FALSE)*$M102)+IF($Q102="",0,VLOOKUP($Q102,'⚪设计'!$B$85:$H$113,4,FALSE)*$R102)+IF($V102="",0,VLOOKUP($V102,'⚪设计'!$B$85:$H$113,4,FALSE)*$W102))*IF(Q102="",0,VLOOKUP(Q102,'⚪设计'!$B$85:$H$113,4,FALSE)),0))</f>
        <v>1418</v>
      </c>
      <c r="U102" s="97">
        <f>IF(Q102="","",ROUND(战斗节奏!$B$14/(IF($G102="",0,VLOOKUP($G102,'⚪设计'!$B$85:$H$113,5,FALSE)*$H102)+IF($L102="",0,VLOOKUP($L102,'⚪设计'!$B$85:$H$113,5,FALSE)*$M102)+IF($Q102="",0,VLOOKUP($Q102,'⚪设计'!$B$85:$H$113,5,FALSE)*$R102)+IF($V102="",0,VLOOKUP($V102,'⚪设计'!$B$85:$H$113,5,FALSE)*$W102))*IF(Q102="",0,VLOOKUP(Q102,'⚪设计'!$B$85:$H$113,5,FALSE)),0))</f>
        <v>7</v>
      </c>
      <c r="V102" s="97" t="str">
        <f>IF(VLOOKUP($A102,'⚪设计'!$A$463:$N$486,10,FALSE)="","",VLOOKUP($A102,'⚪设计'!$A$463:$N$486,10,FALSE))</f>
        <v/>
      </c>
      <c r="W102" s="97" t="str">
        <f t="shared" si="19"/>
        <v/>
      </c>
      <c r="X102" s="97" t="str">
        <f>IF(VLOOKUP($A102,'⚪设计'!$A$463:$N$486,14,FALSE)="","",VLOOKUP($A102,'⚪设计'!$A$463:$N$486,14,FALSE))</f>
        <v/>
      </c>
      <c r="Y102" s="97" t="str">
        <f>IF(V102="","",ROUND($D102*VLOOKUP($A102,'⚪设计'!$A$463:$N$486,4,FALSE)/(IF($G102="",0,VLOOKUP($G102,'⚪设计'!$B$85:$H$113,4,FALSE)*$H102)+IF($L102="",0,VLOOKUP($L102,'⚪设计'!$B$85:$H$113,4,FALSE)*$M102)+IF($Q102="",0,VLOOKUP($Q102,'⚪设计'!$B$85:$H$113,4,FALSE)*$R102)+IF($V102="",0,VLOOKUP($V102,'⚪设计'!$B$85:$H$113,4,FALSE)*$W102))*IF(V102="",0,VLOOKUP(V102,'⚪设计'!$B$85:$H$113,4,FALSE)),0))</f>
        <v/>
      </c>
      <c r="Z102" s="97" t="str">
        <f>IF(V102="","",ROUND(战斗节奏!$B$14/(IF($G102="",0,VLOOKUP($G102,'⚪设计'!$B$85:$H$113,5,FALSE)*$H102)+IF($L102="",0,VLOOKUP($L102,'⚪设计'!$B$85:$H$113,5,FALSE)*$M102)+IF($Q102="",0,VLOOKUP($Q102,'⚪设计'!$B$85:$H$113,5,FALSE)*$R102)+IF($V102="",0,VLOOKUP($V102,'⚪设计'!$B$85:$H$113,5,FALSE)*$W102))*IF(V102="",0,VLOOKUP(V102,'⚪设计'!$B$85:$H$113,5,FALSE)),0))</f>
        <v/>
      </c>
    </row>
    <row r="103" spans="1:26" x14ac:dyDescent="0.2">
      <c r="A103" s="2" t="str">
        <f t="shared" si="15"/>
        <v>4_5</v>
      </c>
      <c r="B103" s="2">
        <v>4</v>
      </c>
      <c r="C103" s="2">
        <v>5</v>
      </c>
      <c r="D103" s="97">
        <f>VLOOKUP(C103,无限模式!$A$3:$B$22,2,FALSE)</f>
        <v>2700</v>
      </c>
      <c r="E103" s="98">
        <v>1</v>
      </c>
      <c r="F103" s="97">
        <f>VLOOKUP(A103,'⚪设计'!$A$463:$N$486,6,FALSE)</f>
        <v>20</v>
      </c>
      <c r="G103" s="97" t="str">
        <f>IF(VLOOKUP($A103,'⚪设计'!$A$463:$N$486,7,FALSE)="","",VLOOKUP($A103,'⚪设计'!$A$463:$N$486,7,FALSE))</f>
        <v>鬼1</v>
      </c>
      <c r="H103" s="97">
        <f t="shared" si="16"/>
        <v>40</v>
      </c>
      <c r="I103" s="97">
        <f>IF(VLOOKUP($A103,'⚪设计'!$A$463:$N$486,11,FALSE)="","",VLOOKUP($A103,'⚪设计'!$A$463:$N$486,11,FALSE))</f>
        <v>0.5</v>
      </c>
      <c r="J103" s="97">
        <f>IF(G103="","",ROUND($D103*VLOOKUP($A103,'⚪设计'!$A$463:$N$486,4,FALSE)/(IF($G103="",0,VLOOKUP($G103,'⚪设计'!$B$85:$H$113,4,FALSE)*$H103)+IF($L103="",0,VLOOKUP($L103,'⚪设计'!$B$85:$H$113,4,FALSE)*$M103)+IF($Q103="",0,VLOOKUP($Q103,'⚪设计'!$B$85:$H$113,4,FALSE)*$R103)+IF($V103="",0,VLOOKUP($V103,'⚪设计'!$B$85:$H$113,4,FALSE)*$W103))*IF(G103="",0,VLOOKUP(G103,'⚪设计'!$B$85:$H$113,4,FALSE)),0))</f>
        <v>396</v>
      </c>
      <c r="K103" s="97">
        <f>IF(G103="","",ROUND(战斗节奏!$B$14/(IF($G103="",0,VLOOKUP($G103,'⚪设计'!$B$85:$H$113,5,FALSE)*$H103)+IF($L103="",0,VLOOKUP($L103,'⚪设计'!$B$85:$H$113,5,FALSE)*$M103)+IF($Q103="",0,VLOOKUP($Q103,'⚪设计'!$B$85:$H$113,5,FALSE)*$R103)+IF($V103="",0,VLOOKUP($V103,'⚪设计'!$B$85:$H$113,5,FALSE)*$W103))*IF(G103="",0,VLOOKUP(G103,'⚪设计'!$B$85:$H$113,5,FALSE)),0))</f>
        <v>3</v>
      </c>
      <c r="L103" s="97" t="str">
        <f>IF(VLOOKUP($A103,'⚪设计'!$A$463:$N$486,8,FALSE)="","",VLOOKUP($A103,'⚪设计'!$A$463:$N$486,8,FALSE))</f>
        <v>种子1</v>
      </c>
      <c r="M103" s="97">
        <f t="shared" si="17"/>
        <v>10</v>
      </c>
      <c r="N103" s="97">
        <f>IF(VLOOKUP($A103,'⚪设计'!$A$463:$N$486,12,FALSE)="","",VLOOKUP($A103,'⚪设计'!$A$463:$N$486,12,FALSE))</f>
        <v>2</v>
      </c>
      <c r="O103" s="97">
        <f>IF(L103="","",ROUND($D103*VLOOKUP($A103,'⚪设计'!$A$463:$N$486,4,FALSE)/(IF($G103="",0,VLOOKUP($G103,'⚪设计'!$B$85:$H$113,4,FALSE)*$H103)+IF($L103="",0,VLOOKUP($L103,'⚪设计'!$B$85:$H$113,4,FALSE)*$M103)+IF($Q103="",0,VLOOKUP($Q103,'⚪设计'!$B$85:$H$113,4,FALSE)*$R103)+IF($V103="",0,VLOOKUP($V103,'⚪设计'!$B$85:$H$113,4,FALSE)*$W103))*IF(L103="",0,VLOOKUP(L103,'⚪设计'!$B$85:$H$113,4,FALSE)),0))</f>
        <v>1188</v>
      </c>
      <c r="P103" s="97">
        <f>IF(L103="","",ROUND(战斗节奏!$B$14/(IF($G103="",0,VLOOKUP($G103,'⚪设计'!$B$85:$H$113,5,FALSE)*$H103)+IF($L103="",0,VLOOKUP($L103,'⚪设计'!$B$85:$H$113,5,FALSE)*$M103)+IF($Q103="",0,VLOOKUP($Q103,'⚪设计'!$B$85:$H$113,5,FALSE)*$R103)+IF($V103="",0,VLOOKUP($V103,'⚪设计'!$B$85:$H$113,5,FALSE)*$W103))*IF(L103="",0,VLOOKUP(L103,'⚪设计'!$B$85:$H$113,5,FALSE)),0))</f>
        <v>6</v>
      </c>
      <c r="Q103" s="97" t="str">
        <f>IF(VLOOKUP($A103,'⚪设计'!$A$463:$N$486,9,FALSE)="","",VLOOKUP($A103,'⚪设计'!$A$463:$N$486,9,FALSE))</f>
        <v>乌龟2</v>
      </c>
      <c r="R103" s="97">
        <f t="shared" si="18"/>
        <v>20</v>
      </c>
      <c r="S103" s="97">
        <f>IF(VLOOKUP($A103,'⚪设计'!$A$463:$N$486,13,FALSE)="","",VLOOKUP($A103,'⚪设计'!$A$463:$N$486,13,FALSE))</f>
        <v>1</v>
      </c>
      <c r="T103" s="97">
        <f>IF(Q103="","",ROUND($D103*VLOOKUP($A103,'⚪设计'!$A$463:$N$486,4,FALSE)/(IF($G103="",0,VLOOKUP($G103,'⚪设计'!$B$85:$H$113,4,FALSE)*$H103)+IF($L103="",0,VLOOKUP($L103,'⚪设计'!$B$85:$H$113,4,FALSE)*$M103)+IF($Q103="",0,VLOOKUP($Q103,'⚪设计'!$B$85:$H$113,4,FALSE)*$R103)+IF($V103="",0,VLOOKUP($V103,'⚪设计'!$B$85:$H$113,4,FALSE)*$W103))*IF(Q103="",0,VLOOKUP(Q103,'⚪设计'!$B$85:$H$113,4,FALSE)),0))</f>
        <v>1584</v>
      </c>
      <c r="U103" s="97">
        <f>IF(Q103="","",ROUND(战斗节奏!$B$14/(IF($G103="",0,VLOOKUP($G103,'⚪设计'!$B$85:$H$113,5,FALSE)*$H103)+IF($L103="",0,VLOOKUP($L103,'⚪设计'!$B$85:$H$113,5,FALSE)*$M103)+IF($Q103="",0,VLOOKUP($Q103,'⚪设计'!$B$85:$H$113,5,FALSE)*$R103)+IF($V103="",0,VLOOKUP($V103,'⚪设计'!$B$85:$H$113,5,FALSE)*$W103))*IF(Q103="",0,VLOOKUP(Q103,'⚪设计'!$B$85:$H$113,5,FALSE)),0))</f>
        <v>6</v>
      </c>
      <c r="V103" s="97" t="str">
        <f>IF(VLOOKUP($A103,'⚪设计'!$A$463:$N$486,10,FALSE)="","",VLOOKUP($A103,'⚪设计'!$A$463:$N$486,10,FALSE))</f>
        <v/>
      </c>
      <c r="W103" s="97" t="str">
        <f t="shared" si="19"/>
        <v/>
      </c>
      <c r="X103" s="97" t="str">
        <f>IF(VLOOKUP($A103,'⚪设计'!$A$463:$N$486,14,FALSE)="","",VLOOKUP($A103,'⚪设计'!$A$463:$N$486,14,FALSE))</f>
        <v/>
      </c>
      <c r="Y103" s="97" t="str">
        <f>IF(V103="","",ROUND($D103*VLOOKUP($A103,'⚪设计'!$A$463:$N$486,4,FALSE)/(IF($G103="",0,VLOOKUP($G103,'⚪设计'!$B$85:$H$113,4,FALSE)*$H103)+IF($L103="",0,VLOOKUP($L103,'⚪设计'!$B$85:$H$113,4,FALSE)*$M103)+IF($Q103="",0,VLOOKUP($Q103,'⚪设计'!$B$85:$H$113,4,FALSE)*$R103)+IF($V103="",0,VLOOKUP($V103,'⚪设计'!$B$85:$H$113,4,FALSE)*$W103))*IF(V103="",0,VLOOKUP(V103,'⚪设计'!$B$85:$H$113,4,FALSE)),0))</f>
        <v/>
      </c>
      <c r="Z103" s="97" t="str">
        <f>IF(V103="","",ROUND(战斗节奏!$B$14/(IF($G103="",0,VLOOKUP($G103,'⚪设计'!$B$85:$H$113,5,FALSE)*$H103)+IF($L103="",0,VLOOKUP($L103,'⚪设计'!$B$85:$H$113,5,FALSE)*$M103)+IF($Q103="",0,VLOOKUP($Q103,'⚪设计'!$B$85:$H$113,5,FALSE)*$R103)+IF($V103="",0,VLOOKUP($V103,'⚪设计'!$B$85:$H$113,5,FALSE)*$W103))*IF(V103="",0,VLOOKUP(V103,'⚪设计'!$B$85:$H$113,5,FALSE)),0))</f>
        <v/>
      </c>
    </row>
    <row r="104" spans="1:26" x14ac:dyDescent="0.2">
      <c r="A104" s="2" t="str">
        <f t="shared" si="15"/>
        <v>5_1</v>
      </c>
      <c r="B104" s="2">
        <v>5</v>
      </c>
      <c r="C104" s="2">
        <v>1</v>
      </c>
      <c r="D104" s="97">
        <f>VLOOKUP(C104,无限模式!$A$3:$B$22,2,FALSE)</f>
        <v>540</v>
      </c>
      <c r="E104" s="98">
        <v>1</v>
      </c>
      <c r="F104" s="97">
        <f>VLOOKUP(A104,'⚪设计'!$A$463:$N$486,6,FALSE)</f>
        <v>10</v>
      </c>
      <c r="G104" s="97" t="str">
        <f>IF(VLOOKUP($A104,'⚪设计'!$A$463:$N$486,7,FALSE)="","",VLOOKUP($A104,'⚪设计'!$A$463:$N$486,7,FALSE))</f>
        <v>蛋2</v>
      </c>
      <c r="H104" s="97">
        <f t="shared" si="16"/>
        <v>7</v>
      </c>
      <c r="I104" s="97">
        <f>IF(VLOOKUP($A104,'⚪设计'!$A$463:$N$486,11,FALSE)="","",VLOOKUP($A104,'⚪设计'!$A$463:$N$486,11,FALSE))</f>
        <v>1.5</v>
      </c>
      <c r="J104" s="97">
        <f>IF(G104="","",ROUND($D104*VLOOKUP($A104,'⚪设计'!$A$463:$N$486,4,FALSE)/(IF($G104="",0,VLOOKUP($G104,'⚪设计'!$B$85:$H$113,4,FALSE)*$H104)+IF($L104="",0,VLOOKUP($L104,'⚪设计'!$B$85:$H$113,4,FALSE)*$M104)+IF($Q104="",0,VLOOKUP($Q104,'⚪设计'!$B$85:$H$113,4,FALSE)*$R104)+IF($V104="",0,VLOOKUP($V104,'⚪设计'!$B$85:$H$113,4,FALSE)*$W104))*IF(G104="",0,VLOOKUP(G104,'⚪设计'!$B$85:$H$113,4,FALSE)),0))</f>
        <v>675</v>
      </c>
      <c r="K104" s="97">
        <f>IF(G104="","",ROUND(战斗节奏!$B$14/(IF($G104="",0,VLOOKUP($G104,'⚪设计'!$B$85:$H$113,5,FALSE)*$H104)+IF($L104="",0,VLOOKUP($L104,'⚪设计'!$B$85:$H$113,5,FALSE)*$M104)+IF($Q104="",0,VLOOKUP($Q104,'⚪设计'!$B$85:$H$113,5,FALSE)*$R104)+IF($V104="",0,VLOOKUP($V104,'⚪设计'!$B$85:$H$113,5,FALSE)*$W104))*IF(G104="",0,VLOOKUP(G104,'⚪设计'!$B$85:$H$113,5,FALSE)),0))</f>
        <v>25</v>
      </c>
      <c r="L104" s="97" t="str">
        <f>IF(VLOOKUP($A104,'⚪设计'!$A$463:$N$486,8,FALSE)="","",VLOOKUP($A104,'⚪设计'!$A$463:$N$486,8,FALSE))</f>
        <v>乌龟2</v>
      </c>
      <c r="M104" s="97">
        <f t="shared" si="17"/>
        <v>5</v>
      </c>
      <c r="N104" s="97">
        <f>IF(VLOOKUP($A104,'⚪设计'!$A$463:$N$486,12,FALSE)="","",VLOOKUP($A104,'⚪设计'!$A$463:$N$486,12,FALSE))</f>
        <v>2</v>
      </c>
      <c r="O104" s="97">
        <f>IF(L104="","",ROUND($D104*VLOOKUP($A104,'⚪设计'!$A$463:$N$486,4,FALSE)/(IF($G104="",0,VLOOKUP($G104,'⚪设计'!$B$85:$H$113,4,FALSE)*$H104)+IF($L104="",0,VLOOKUP($L104,'⚪设计'!$B$85:$H$113,4,FALSE)*$M104)+IF($Q104="",0,VLOOKUP($Q104,'⚪设计'!$B$85:$H$113,4,FALSE)*$R104)+IF($V104="",0,VLOOKUP($V104,'⚪设计'!$B$85:$H$113,4,FALSE)*$W104))*IF(L104="",0,VLOOKUP(L104,'⚪设计'!$B$85:$H$113,4,FALSE)),0))</f>
        <v>675</v>
      </c>
      <c r="P104" s="97">
        <f>IF(L104="","",ROUND(战斗节奏!$B$14/(IF($G104="",0,VLOOKUP($G104,'⚪设计'!$B$85:$H$113,5,FALSE)*$H104)+IF($L104="",0,VLOOKUP($L104,'⚪设计'!$B$85:$H$113,5,FALSE)*$M104)+IF($Q104="",0,VLOOKUP($Q104,'⚪设计'!$B$85:$H$113,5,FALSE)*$R104)+IF($V104="",0,VLOOKUP($V104,'⚪设计'!$B$85:$H$113,5,FALSE)*$W104))*IF(L104="",0,VLOOKUP(L104,'⚪设计'!$B$85:$H$113,5,FALSE)),0))</f>
        <v>25</v>
      </c>
      <c r="Q104" s="97" t="str">
        <f>IF(VLOOKUP($A104,'⚪设计'!$A$463:$N$486,9,FALSE)="","",VLOOKUP($A104,'⚪设计'!$A$463:$N$486,9,FALSE))</f>
        <v/>
      </c>
      <c r="R104" s="97" t="str">
        <f t="shared" si="18"/>
        <v/>
      </c>
      <c r="S104" s="97" t="str">
        <f>IF(VLOOKUP($A104,'⚪设计'!$A$463:$N$486,13,FALSE)="","",VLOOKUP($A104,'⚪设计'!$A$463:$N$486,13,FALSE))</f>
        <v/>
      </c>
      <c r="T104" s="97" t="str">
        <f>IF(Q104="","",ROUND($D104*VLOOKUP($A104,'⚪设计'!$A$463:$N$486,4,FALSE)/(IF($G104="",0,VLOOKUP($G104,'⚪设计'!$B$85:$H$113,4,FALSE)*$H104)+IF($L104="",0,VLOOKUP($L104,'⚪设计'!$B$85:$H$113,4,FALSE)*$M104)+IF($Q104="",0,VLOOKUP($Q104,'⚪设计'!$B$85:$H$113,4,FALSE)*$R104)+IF($V104="",0,VLOOKUP($V104,'⚪设计'!$B$85:$H$113,4,FALSE)*$W104))*IF(Q104="",0,VLOOKUP(Q104,'⚪设计'!$B$85:$H$113,4,FALSE)),0))</f>
        <v/>
      </c>
      <c r="U104" s="97" t="str">
        <f>IF(Q104="","",ROUND(战斗节奏!$B$14/(IF($G104="",0,VLOOKUP($G104,'⚪设计'!$B$85:$H$113,5,FALSE)*$H104)+IF($L104="",0,VLOOKUP($L104,'⚪设计'!$B$85:$H$113,5,FALSE)*$M104)+IF($Q104="",0,VLOOKUP($Q104,'⚪设计'!$B$85:$H$113,5,FALSE)*$R104)+IF($V104="",0,VLOOKUP($V104,'⚪设计'!$B$85:$H$113,5,FALSE)*$W104))*IF(Q104="",0,VLOOKUP(Q104,'⚪设计'!$B$85:$H$113,5,FALSE)),0))</f>
        <v/>
      </c>
      <c r="V104" s="97" t="str">
        <f>IF(VLOOKUP($A104,'⚪设计'!$A$463:$N$486,10,FALSE)="","",VLOOKUP($A104,'⚪设计'!$A$463:$N$486,10,FALSE))</f>
        <v/>
      </c>
      <c r="W104" s="97" t="str">
        <f t="shared" si="19"/>
        <v/>
      </c>
      <c r="X104" s="97" t="str">
        <f>IF(VLOOKUP($A104,'⚪设计'!$A$463:$N$486,14,FALSE)="","",VLOOKUP($A104,'⚪设计'!$A$463:$N$486,14,FALSE))</f>
        <v/>
      </c>
      <c r="Y104" s="97" t="str">
        <f>IF(V104="","",ROUND($D104*VLOOKUP($A104,'⚪设计'!$A$463:$N$486,4,FALSE)/(IF($G104="",0,VLOOKUP($G104,'⚪设计'!$B$85:$H$113,4,FALSE)*$H104)+IF($L104="",0,VLOOKUP($L104,'⚪设计'!$B$85:$H$113,4,FALSE)*$M104)+IF($Q104="",0,VLOOKUP($Q104,'⚪设计'!$B$85:$H$113,4,FALSE)*$R104)+IF($V104="",0,VLOOKUP($V104,'⚪设计'!$B$85:$H$113,4,FALSE)*$W104))*IF(V104="",0,VLOOKUP(V104,'⚪设计'!$B$85:$H$113,4,FALSE)),0))</f>
        <v/>
      </c>
      <c r="Z104" s="97" t="str">
        <f>IF(V104="","",ROUND(战斗节奏!$B$14/(IF($G104="",0,VLOOKUP($G104,'⚪设计'!$B$85:$H$113,5,FALSE)*$H104)+IF($L104="",0,VLOOKUP($L104,'⚪设计'!$B$85:$H$113,5,FALSE)*$M104)+IF($Q104="",0,VLOOKUP($Q104,'⚪设计'!$B$85:$H$113,5,FALSE)*$R104)+IF($V104="",0,VLOOKUP($V104,'⚪设计'!$B$85:$H$113,5,FALSE)*$W104))*IF(V104="",0,VLOOKUP(V104,'⚪设计'!$B$85:$H$113,5,FALSE)),0))</f>
        <v/>
      </c>
    </row>
    <row r="105" spans="1:26" x14ac:dyDescent="0.2">
      <c r="A105" s="2" t="str">
        <f t="shared" si="15"/>
        <v>5_2</v>
      </c>
      <c r="B105" s="2">
        <v>5</v>
      </c>
      <c r="C105" s="2">
        <v>2</v>
      </c>
      <c r="D105" s="97">
        <f>VLOOKUP(C105,无限模式!$A$3:$B$22,2,FALSE)</f>
        <v>1080</v>
      </c>
      <c r="E105" s="98">
        <v>1</v>
      </c>
      <c r="F105" s="97">
        <f>VLOOKUP(A105,'⚪设计'!$A$463:$N$486,6,FALSE)</f>
        <v>12.5</v>
      </c>
      <c r="G105" s="97" t="str">
        <f>IF(VLOOKUP($A105,'⚪设计'!$A$463:$N$486,7,FALSE)="","",VLOOKUP($A105,'⚪设计'!$A$463:$N$486,7,FALSE))</f>
        <v>蛋2</v>
      </c>
      <c r="H105" s="97">
        <f t="shared" si="16"/>
        <v>8</v>
      </c>
      <c r="I105" s="97">
        <f>IF(VLOOKUP($A105,'⚪设计'!$A$463:$N$486,11,FALSE)="","",VLOOKUP($A105,'⚪设计'!$A$463:$N$486,11,FALSE))</f>
        <v>1.5</v>
      </c>
      <c r="J105" s="97">
        <f>IF(G105="","",ROUND($D105*VLOOKUP($A105,'⚪设计'!$A$463:$N$486,4,FALSE)/(IF($G105="",0,VLOOKUP($G105,'⚪设计'!$B$85:$H$113,4,FALSE)*$H105)+IF($L105="",0,VLOOKUP($L105,'⚪设计'!$B$85:$H$113,4,FALSE)*$M105)+IF($Q105="",0,VLOOKUP($Q105,'⚪设计'!$B$85:$H$113,4,FALSE)*$R105)+IF($V105="",0,VLOOKUP($V105,'⚪设计'!$B$85:$H$113,4,FALSE)*$W105))*IF(G105="",0,VLOOKUP(G105,'⚪设计'!$B$85:$H$113,4,FALSE)),0))</f>
        <v>946</v>
      </c>
      <c r="K105" s="97">
        <f>IF(G105="","",ROUND(战斗节奏!$B$14/(IF($G105="",0,VLOOKUP($G105,'⚪设计'!$B$85:$H$113,5,FALSE)*$H105)+IF($L105="",0,VLOOKUP($L105,'⚪设计'!$B$85:$H$113,5,FALSE)*$M105)+IF($Q105="",0,VLOOKUP($Q105,'⚪设计'!$B$85:$H$113,5,FALSE)*$R105)+IF($V105="",0,VLOOKUP($V105,'⚪设计'!$B$85:$H$113,5,FALSE)*$W105))*IF(G105="",0,VLOOKUP(G105,'⚪设计'!$B$85:$H$113,5,FALSE)),0))</f>
        <v>15</v>
      </c>
      <c r="L105" s="97" t="str">
        <f>IF(VLOOKUP($A105,'⚪设计'!$A$463:$N$486,8,FALSE)="","",VLOOKUP($A105,'⚪设计'!$A$463:$N$486,8,FALSE))</f>
        <v>蝙蝠1</v>
      </c>
      <c r="M105" s="97">
        <f t="shared" si="17"/>
        <v>25</v>
      </c>
      <c r="N105" s="97">
        <f>IF(VLOOKUP($A105,'⚪设计'!$A$463:$N$486,12,FALSE)="","",VLOOKUP($A105,'⚪设计'!$A$463:$N$486,12,FALSE))</f>
        <v>0.5</v>
      </c>
      <c r="O105" s="97">
        <f>IF(L105="","",ROUND($D105*VLOOKUP($A105,'⚪设计'!$A$463:$N$486,4,FALSE)/(IF($G105="",0,VLOOKUP($G105,'⚪设计'!$B$85:$H$113,4,FALSE)*$H105)+IF($L105="",0,VLOOKUP($L105,'⚪设计'!$B$85:$H$113,4,FALSE)*$M105)+IF($Q105="",0,VLOOKUP($Q105,'⚪设计'!$B$85:$H$113,4,FALSE)*$R105)+IF($V105="",0,VLOOKUP($V105,'⚪设计'!$B$85:$H$113,4,FALSE)*$W105))*IF(L105="",0,VLOOKUP(L105,'⚪设计'!$B$85:$H$113,4,FALSE)),0))</f>
        <v>118</v>
      </c>
      <c r="P105" s="97">
        <f>IF(L105="","",ROUND(战斗节奏!$B$14/(IF($G105="",0,VLOOKUP($G105,'⚪设计'!$B$85:$H$113,5,FALSE)*$H105)+IF($L105="",0,VLOOKUP($L105,'⚪设计'!$B$85:$H$113,5,FALSE)*$M105)+IF($Q105="",0,VLOOKUP($Q105,'⚪设计'!$B$85:$H$113,5,FALSE)*$R105)+IF($V105="",0,VLOOKUP($V105,'⚪设计'!$B$85:$H$113,5,FALSE)*$W105))*IF(L105="",0,VLOOKUP(L105,'⚪设计'!$B$85:$H$113,5,FALSE)),0))</f>
        <v>4</v>
      </c>
      <c r="Q105" s="97" t="str">
        <f>IF(VLOOKUP($A105,'⚪设计'!$A$463:$N$486,9,FALSE)="","",VLOOKUP($A105,'⚪设计'!$A$463:$N$486,9,FALSE))</f>
        <v>乌龟2</v>
      </c>
      <c r="R105" s="97">
        <f t="shared" si="18"/>
        <v>6</v>
      </c>
      <c r="S105" s="97">
        <f>IF(VLOOKUP($A105,'⚪设计'!$A$463:$N$486,13,FALSE)="","",VLOOKUP($A105,'⚪设计'!$A$463:$N$486,13,FALSE))</f>
        <v>2</v>
      </c>
      <c r="T105" s="97">
        <f>IF(Q105="","",ROUND($D105*VLOOKUP($A105,'⚪设计'!$A$463:$N$486,4,FALSE)/(IF($G105="",0,VLOOKUP($G105,'⚪设计'!$B$85:$H$113,4,FALSE)*$H105)+IF($L105="",0,VLOOKUP($L105,'⚪设计'!$B$85:$H$113,4,FALSE)*$M105)+IF($Q105="",0,VLOOKUP($Q105,'⚪设计'!$B$85:$H$113,4,FALSE)*$R105)+IF($V105="",0,VLOOKUP($V105,'⚪设计'!$B$85:$H$113,4,FALSE)*$W105))*IF(Q105="",0,VLOOKUP(Q105,'⚪设计'!$B$85:$H$113,4,FALSE)),0))</f>
        <v>946</v>
      </c>
      <c r="U105" s="97">
        <f>IF(Q105="","",ROUND(战斗节奏!$B$14/(IF($G105="",0,VLOOKUP($G105,'⚪设计'!$B$85:$H$113,5,FALSE)*$H105)+IF($L105="",0,VLOOKUP($L105,'⚪设计'!$B$85:$H$113,5,FALSE)*$M105)+IF($Q105="",0,VLOOKUP($Q105,'⚪设计'!$B$85:$H$113,5,FALSE)*$R105)+IF($V105="",0,VLOOKUP($V105,'⚪设计'!$B$85:$H$113,5,FALSE)*$W105))*IF(Q105="",0,VLOOKUP(Q105,'⚪设计'!$B$85:$H$113,5,FALSE)),0))</f>
        <v>15</v>
      </c>
      <c r="V105" s="97" t="str">
        <f>IF(VLOOKUP($A105,'⚪设计'!$A$463:$N$486,10,FALSE)="","",VLOOKUP($A105,'⚪设计'!$A$463:$N$486,10,FALSE))</f>
        <v/>
      </c>
      <c r="W105" s="97" t="str">
        <f t="shared" si="19"/>
        <v/>
      </c>
      <c r="X105" s="97" t="str">
        <f>IF(VLOOKUP($A105,'⚪设计'!$A$463:$N$486,14,FALSE)="","",VLOOKUP($A105,'⚪设计'!$A$463:$N$486,14,FALSE))</f>
        <v/>
      </c>
      <c r="Y105" s="97" t="str">
        <f>IF(V105="","",ROUND($D105*VLOOKUP($A105,'⚪设计'!$A$463:$N$486,4,FALSE)/(IF($G105="",0,VLOOKUP($G105,'⚪设计'!$B$85:$H$113,4,FALSE)*$H105)+IF($L105="",0,VLOOKUP($L105,'⚪设计'!$B$85:$H$113,4,FALSE)*$M105)+IF($Q105="",0,VLOOKUP($Q105,'⚪设计'!$B$85:$H$113,4,FALSE)*$R105)+IF($V105="",0,VLOOKUP($V105,'⚪设计'!$B$85:$H$113,4,FALSE)*$W105))*IF(V105="",0,VLOOKUP(V105,'⚪设计'!$B$85:$H$113,4,FALSE)),0))</f>
        <v/>
      </c>
      <c r="Z105" s="97" t="str">
        <f>IF(V105="","",ROUND(战斗节奏!$B$14/(IF($G105="",0,VLOOKUP($G105,'⚪设计'!$B$85:$H$113,5,FALSE)*$H105)+IF($L105="",0,VLOOKUP($L105,'⚪设计'!$B$85:$H$113,5,FALSE)*$M105)+IF($Q105="",0,VLOOKUP($Q105,'⚪设计'!$B$85:$H$113,5,FALSE)*$R105)+IF($V105="",0,VLOOKUP($V105,'⚪设计'!$B$85:$H$113,5,FALSE)*$W105))*IF(V105="",0,VLOOKUP(V105,'⚪设计'!$B$85:$H$113,5,FALSE)),0))</f>
        <v/>
      </c>
    </row>
    <row r="106" spans="1:26" x14ac:dyDescent="0.2">
      <c r="A106" s="2" t="str">
        <f t="shared" si="15"/>
        <v>5_3</v>
      </c>
      <c r="B106" s="2">
        <v>5</v>
      </c>
      <c r="C106" s="2">
        <v>3</v>
      </c>
      <c r="D106" s="97">
        <f>VLOOKUP(C106,无限模式!$A$3:$B$22,2,FALSE)</f>
        <v>1620</v>
      </c>
      <c r="E106" s="98">
        <v>1</v>
      </c>
      <c r="F106" s="97">
        <f>VLOOKUP(A106,'⚪设计'!$A$463:$N$486,6,FALSE)</f>
        <v>15</v>
      </c>
      <c r="G106" s="97" t="str">
        <f>IF(VLOOKUP($A106,'⚪设计'!$A$463:$N$486,7,FALSE)="","",VLOOKUP($A106,'⚪设计'!$A$463:$N$486,7,FALSE))</f>
        <v>蛋2</v>
      </c>
      <c r="H106" s="97">
        <f t="shared" si="16"/>
        <v>10</v>
      </c>
      <c r="I106" s="97">
        <f>IF(VLOOKUP($A106,'⚪设计'!$A$463:$N$486,11,FALSE)="","",VLOOKUP($A106,'⚪设计'!$A$463:$N$486,11,FALSE))</f>
        <v>1.5</v>
      </c>
      <c r="J106" s="97">
        <f>IF(G106="","",ROUND($D106*VLOOKUP($A106,'⚪设计'!$A$463:$N$486,4,FALSE)/(IF($G106="",0,VLOOKUP($G106,'⚪设计'!$B$85:$H$113,4,FALSE)*$H106)+IF($L106="",0,VLOOKUP($L106,'⚪设计'!$B$85:$H$113,4,FALSE)*$M106)+IF($Q106="",0,VLOOKUP($Q106,'⚪设计'!$B$85:$H$113,4,FALSE)*$R106)+IF($V106="",0,VLOOKUP($V106,'⚪设计'!$B$85:$H$113,4,FALSE)*$W106))*IF(G106="",0,VLOOKUP(G106,'⚪设计'!$B$85:$H$113,4,FALSE)),0))</f>
        <v>972</v>
      </c>
      <c r="K106" s="97">
        <f>IF(G106="","",ROUND(战斗节奏!$B$14/(IF($G106="",0,VLOOKUP($G106,'⚪设计'!$B$85:$H$113,5,FALSE)*$H106)+IF($L106="",0,VLOOKUP($L106,'⚪设计'!$B$85:$H$113,5,FALSE)*$M106)+IF($Q106="",0,VLOOKUP($Q106,'⚪设计'!$B$85:$H$113,5,FALSE)*$R106)+IF($V106="",0,VLOOKUP($V106,'⚪设计'!$B$85:$H$113,5,FALSE)*$W106))*IF(G106="",0,VLOOKUP(G106,'⚪设计'!$B$85:$H$113,5,FALSE)),0))</f>
        <v>7</v>
      </c>
      <c r="L106" s="97" t="str">
        <f>IF(VLOOKUP($A106,'⚪设计'!$A$463:$N$486,8,FALSE)="","",VLOOKUP($A106,'⚪设计'!$A$463:$N$486,8,FALSE))</f>
        <v>蜘蛛1</v>
      </c>
      <c r="M106" s="97">
        <f t="shared" si="17"/>
        <v>38</v>
      </c>
      <c r="N106" s="97">
        <f>IF(VLOOKUP($A106,'⚪设计'!$A$463:$N$486,12,FALSE)="","",VLOOKUP($A106,'⚪设计'!$A$463:$N$486,12,FALSE))</f>
        <v>0.4</v>
      </c>
      <c r="O106" s="97">
        <f>IF(L106="","",ROUND($D106*VLOOKUP($A106,'⚪设计'!$A$463:$N$486,4,FALSE)/(IF($G106="",0,VLOOKUP($G106,'⚪设计'!$B$85:$H$113,4,FALSE)*$H106)+IF($L106="",0,VLOOKUP($L106,'⚪设计'!$B$85:$H$113,4,FALSE)*$M106)+IF($Q106="",0,VLOOKUP($Q106,'⚪设计'!$B$85:$H$113,4,FALSE)*$R106)+IF($V106="",0,VLOOKUP($V106,'⚪设计'!$B$85:$H$113,4,FALSE)*$W106))*IF(L106="",0,VLOOKUP(L106,'⚪设计'!$B$85:$H$113,4,FALSE)),0))</f>
        <v>243</v>
      </c>
      <c r="P106" s="97">
        <f>IF(L106="","",ROUND(战斗节奏!$B$14/(IF($G106="",0,VLOOKUP($G106,'⚪设计'!$B$85:$H$113,5,FALSE)*$H106)+IF($L106="",0,VLOOKUP($L106,'⚪设计'!$B$85:$H$113,5,FALSE)*$M106)+IF($Q106="",0,VLOOKUP($Q106,'⚪设计'!$B$85:$H$113,5,FALSE)*$R106)+IF($V106="",0,VLOOKUP($V106,'⚪设计'!$B$85:$H$113,5,FALSE)*$W106))*IF(L106="",0,VLOOKUP(L106,'⚪设计'!$B$85:$H$113,5,FALSE)),0))</f>
        <v>4</v>
      </c>
      <c r="Q106" s="97" t="str">
        <f>IF(VLOOKUP($A106,'⚪设计'!$A$463:$N$486,9,FALSE)="","",VLOOKUP($A106,'⚪设计'!$A$463:$N$486,9,FALSE))</f>
        <v>鬼1</v>
      </c>
      <c r="R106" s="97">
        <f t="shared" si="18"/>
        <v>10</v>
      </c>
      <c r="S106" s="97">
        <f>IF(VLOOKUP($A106,'⚪设计'!$A$463:$N$486,13,FALSE)="","",VLOOKUP($A106,'⚪设计'!$A$463:$N$486,13,FALSE))</f>
        <v>1.5</v>
      </c>
      <c r="T106" s="97">
        <f>IF(Q106="","",ROUND($D106*VLOOKUP($A106,'⚪设计'!$A$463:$N$486,4,FALSE)/(IF($G106="",0,VLOOKUP($G106,'⚪设计'!$B$85:$H$113,4,FALSE)*$H106)+IF($L106="",0,VLOOKUP($L106,'⚪设计'!$B$85:$H$113,4,FALSE)*$M106)+IF($Q106="",0,VLOOKUP($Q106,'⚪设计'!$B$85:$H$113,4,FALSE)*$R106)+IF($V106="",0,VLOOKUP($V106,'⚪设计'!$B$85:$H$113,4,FALSE)*$W106))*IF(Q106="",0,VLOOKUP(Q106,'⚪设计'!$B$85:$H$113,4,FALSE)),0))</f>
        <v>243</v>
      </c>
      <c r="U106" s="97">
        <f>IF(Q106="","",ROUND(战斗节奏!$B$14/(IF($G106="",0,VLOOKUP($G106,'⚪设计'!$B$85:$H$113,5,FALSE)*$H106)+IF($L106="",0,VLOOKUP($L106,'⚪设计'!$B$85:$H$113,5,FALSE)*$M106)+IF($Q106="",0,VLOOKUP($Q106,'⚪设计'!$B$85:$H$113,5,FALSE)*$R106)+IF($V106="",0,VLOOKUP($V106,'⚪设计'!$B$85:$H$113,5,FALSE)*$W106))*IF(Q106="",0,VLOOKUP(Q106,'⚪设计'!$B$85:$H$113,5,FALSE)),0))</f>
        <v>4</v>
      </c>
      <c r="V106" s="97" t="str">
        <f>IF(VLOOKUP($A106,'⚪设计'!$A$463:$N$486,10,FALSE)="","",VLOOKUP($A106,'⚪设计'!$A$463:$N$486,10,FALSE))</f>
        <v>乌龟2</v>
      </c>
      <c r="W106" s="97">
        <f t="shared" si="19"/>
        <v>8</v>
      </c>
      <c r="X106" s="97">
        <f>IF(VLOOKUP($A106,'⚪设计'!$A$463:$N$486,14,FALSE)="","",VLOOKUP($A106,'⚪设计'!$A$463:$N$486,14,FALSE))</f>
        <v>2</v>
      </c>
      <c r="Y106" s="97">
        <f>IF(V106="","",ROUND($D106*VLOOKUP($A106,'⚪设计'!$A$463:$N$486,4,FALSE)/(IF($G106="",0,VLOOKUP($G106,'⚪设计'!$B$85:$H$113,4,FALSE)*$H106)+IF($L106="",0,VLOOKUP($L106,'⚪设计'!$B$85:$H$113,4,FALSE)*$M106)+IF($Q106="",0,VLOOKUP($Q106,'⚪设计'!$B$85:$H$113,4,FALSE)*$R106)+IF($V106="",0,VLOOKUP($V106,'⚪设计'!$B$85:$H$113,4,FALSE)*$W106))*IF(V106="",0,VLOOKUP(V106,'⚪设计'!$B$85:$H$113,4,FALSE)),0))</f>
        <v>972</v>
      </c>
      <c r="Z106" s="97">
        <f>IF(V106="","",ROUND(战斗节奏!$B$14/(IF($G106="",0,VLOOKUP($G106,'⚪设计'!$B$85:$H$113,5,FALSE)*$H106)+IF($L106="",0,VLOOKUP($L106,'⚪设计'!$B$85:$H$113,5,FALSE)*$M106)+IF($Q106="",0,VLOOKUP($Q106,'⚪设计'!$B$85:$H$113,5,FALSE)*$R106)+IF($V106="",0,VLOOKUP($V106,'⚪设计'!$B$85:$H$113,5,FALSE)*$W106))*IF(V106="",0,VLOOKUP(V106,'⚪设计'!$B$85:$H$113,5,FALSE)),0))</f>
        <v>7</v>
      </c>
    </row>
    <row r="107" spans="1:26" x14ac:dyDescent="0.2">
      <c r="A107" s="2" t="str">
        <f t="shared" si="15"/>
        <v>5_4</v>
      </c>
      <c r="B107" s="2">
        <v>5</v>
      </c>
      <c r="C107" s="2">
        <v>4</v>
      </c>
      <c r="D107" s="97">
        <f>VLOOKUP(C107,无限模式!$A$3:$B$22,2,FALSE)</f>
        <v>2160</v>
      </c>
      <c r="E107" s="98">
        <v>1</v>
      </c>
      <c r="F107" s="97">
        <f>VLOOKUP(A107,'⚪设计'!$A$463:$N$486,6,FALSE)</f>
        <v>17.5</v>
      </c>
      <c r="G107" s="97" t="str">
        <f>IF(VLOOKUP($A107,'⚪设计'!$A$463:$N$486,7,FALSE)="","",VLOOKUP($A107,'⚪设计'!$A$463:$N$486,7,FALSE))</f>
        <v>蛋2</v>
      </c>
      <c r="H107" s="97">
        <f t="shared" si="16"/>
        <v>12</v>
      </c>
      <c r="I107" s="97">
        <f>IF(VLOOKUP($A107,'⚪设计'!$A$463:$N$486,11,FALSE)="","",VLOOKUP($A107,'⚪设计'!$A$463:$N$486,11,FALSE))</f>
        <v>1.5</v>
      </c>
      <c r="J107" s="97">
        <f>IF(G107="","",ROUND($D107*VLOOKUP($A107,'⚪设计'!$A$463:$N$486,4,FALSE)/(IF($G107="",0,VLOOKUP($G107,'⚪设计'!$B$85:$H$113,4,FALSE)*$H107)+IF($L107="",0,VLOOKUP($L107,'⚪设计'!$B$85:$H$113,4,FALSE)*$M107)+IF($Q107="",0,VLOOKUP($Q107,'⚪设计'!$B$85:$H$113,4,FALSE)*$R107)+IF($V107="",0,VLOOKUP($V107,'⚪设计'!$B$85:$H$113,4,FALSE)*$W107))*IF(G107="",0,VLOOKUP(G107,'⚪设计'!$B$85:$H$113,4,FALSE)),0))</f>
        <v>1452</v>
      </c>
      <c r="K107" s="97">
        <f>IF(G107="","",ROUND(战斗节奏!$B$14/(IF($G107="",0,VLOOKUP($G107,'⚪设计'!$B$85:$H$113,5,FALSE)*$H107)+IF($L107="",0,VLOOKUP($L107,'⚪设计'!$B$85:$H$113,5,FALSE)*$M107)+IF($Q107="",0,VLOOKUP($Q107,'⚪设计'!$B$85:$H$113,5,FALSE)*$R107)+IF($V107="",0,VLOOKUP($V107,'⚪设计'!$B$85:$H$113,5,FALSE)*$W107))*IF(G107="",0,VLOOKUP(G107,'⚪设计'!$B$85:$H$113,5,FALSE)),0))</f>
        <v>8</v>
      </c>
      <c r="L107" s="97" t="str">
        <f>IF(VLOOKUP($A107,'⚪设计'!$A$463:$N$486,8,FALSE)="","",VLOOKUP($A107,'⚪设计'!$A$463:$N$486,8,FALSE))</f>
        <v>鬼1</v>
      </c>
      <c r="M107" s="97">
        <f t="shared" si="17"/>
        <v>35</v>
      </c>
      <c r="N107" s="97">
        <f>IF(VLOOKUP($A107,'⚪设计'!$A$463:$N$486,12,FALSE)="","",VLOOKUP($A107,'⚪设计'!$A$463:$N$486,12,FALSE))</f>
        <v>0.5</v>
      </c>
      <c r="O107" s="97">
        <f>IF(L107="","",ROUND($D107*VLOOKUP($A107,'⚪设计'!$A$463:$N$486,4,FALSE)/(IF($G107="",0,VLOOKUP($G107,'⚪设计'!$B$85:$H$113,4,FALSE)*$H107)+IF($L107="",0,VLOOKUP($L107,'⚪设计'!$B$85:$H$113,4,FALSE)*$M107)+IF($Q107="",0,VLOOKUP($Q107,'⚪设计'!$B$85:$H$113,4,FALSE)*$R107)+IF($V107="",0,VLOOKUP($V107,'⚪设计'!$B$85:$H$113,4,FALSE)*$W107))*IF(L107="",0,VLOOKUP(L107,'⚪设计'!$B$85:$H$113,4,FALSE)),0))</f>
        <v>363</v>
      </c>
      <c r="P107" s="97">
        <f>IF(L107="","",ROUND(战斗节奏!$B$14/(IF($G107="",0,VLOOKUP($G107,'⚪设计'!$B$85:$H$113,5,FALSE)*$H107)+IF($L107="",0,VLOOKUP($L107,'⚪设计'!$B$85:$H$113,5,FALSE)*$M107)+IF($Q107="",0,VLOOKUP($Q107,'⚪设计'!$B$85:$H$113,5,FALSE)*$R107)+IF($V107="",0,VLOOKUP($V107,'⚪设计'!$B$85:$H$113,5,FALSE)*$W107))*IF(L107="",0,VLOOKUP(L107,'⚪设计'!$B$85:$H$113,5,FALSE)),0))</f>
        <v>4</v>
      </c>
      <c r="Q107" s="97" t="str">
        <f>IF(VLOOKUP($A107,'⚪设计'!$A$463:$N$486,9,FALSE)="","",VLOOKUP($A107,'⚪设计'!$A$463:$N$486,9,FALSE))</f>
        <v>乌龟2</v>
      </c>
      <c r="R107" s="97">
        <f t="shared" si="18"/>
        <v>9</v>
      </c>
      <c r="S107" s="97">
        <f>IF(VLOOKUP($A107,'⚪设计'!$A$463:$N$486,13,FALSE)="","",VLOOKUP($A107,'⚪设计'!$A$463:$N$486,13,FALSE))</f>
        <v>2</v>
      </c>
      <c r="T107" s="97">
        <f>IF(Q107="","",ROUND($D107*VLOOKUP($A107,'⚪设计'!$A$463:$N$486,4,FALSE)/(IF($G107="",0,VLOOKUP($G107,'⚪设计'!$B$85:$H$113,4,FALSE)*$H107)+IF($L107="",0,VLOOKUP($L107,'⚪设计'!$B$85:$H$113,4,FALSE)*$M107)+IF($Q107="",0,VLOOKUP($Q107,'⚪设计'!$B$85:$H$113,4,FALSE)*$R107)+IF($V107="",0,VLOOKUP($V107,'⚪设计'!$B$85:$H$113,4,FALSE)*$W107))*IF(Q107="",0,VLOOKUP(Q107,'⚪设计'!$B$85:$H$113,4,FALSE)),0))</f>
        <v>1452</v>
      </c>
      <c r="U107" s="97">
        <f>IF(Q107="","",ROUND(战斗节奏!$B$14/(IF($G107="",0,VLOOKUP($G107,'⚪设计'!$B$85:$H$113,5,FALSE)*$H107)+IF($L107="",0,VLOOKUP($L107,'⚪设计'!$B$85:$H$113,5,FALSE)*$M107)+IF($Q107="",0,VLOOKUP($Q107,'⚪设计'!$B$85:$H$113,5,FALSE)*$R107)+IF($V107="",0,VLOOKUP($V107,'⚪设计'!$B$85:$H$113,5,FALSE)*$W107))*IF(Q107="",0,VLOOKUP(Q107,'⚪设计'!$B$85:$H$113,5,FALSE)),0))</f>
        <v>8</v>
      </c>
      <c r="V107" s="97" t="str">
        <f>IF(VLOOKUP($A107,'⚪设计'!$A$463:$N$486,10,FALSE)="","",VLOOKUP($A107,'⚪设计'!$A$463:$N$486,10,FALSE))</f>
        <v/>
      </c>
      <c r="W107" s="97" t="str">
        <f t="shared" si="19"/>
        <v/>
      </c>
      <c r="X107" s="97" t="str">
        <f>IF(VLOOKUP($A107,'⚪设计'!$A$463:$N$486,14,FALSE)="","",VLOOKUP($A107,'⚪设计'!$A$463:$N$486,14,FALSE))</f>
        <v/>
      </c>
      <c r="Y107" s="97" t="str">
        <f>IF(V107="","",ROUND($D107*VLOOKUP($A107,'⚪设计'!$A$463:$N$486,4,FALSE)/(IF($G107="",0,VLOOKUP($G107,'⚪设计'!$B$85:$H$113,4,FALSE)*$H107)+IF($L107="",0,VLOOKUP($L107,'⚪设计'!$B$85:$H$113,4,FALSE)*$M107)+IF($Q107="",0,VLOOKUP($Q107,'⚪设计'!$B$85:$H$113,4,FALSE)*$R107)+IF($V107="",0,VLOOKUP($V107,'⚪设计'!$B$85:$H$113,4,FALSE)*$W107))*IF(V107="",0,VLOOKUP(V107,'⚪设计'!$B$85:$H$113,4,FALSE)),0))</f>
        <v/>
      </c>
      <c r="Z107" s="97" t="str">
        <f>IF(V107="","",ROUND(战斗节奏!$B$14/(IF($G107="",0,VLOOKUP($G107,'⚪设计'!$B$85:$H$113,5,FALSE)*$H107)+IF($L107="",0,VLOOKUP($L107,'⚪设计'!$B$85:$H$113,5,FALSE)*$M107)+IF($Q107="",0,VLOOKUP($Q107,'⚪设计'!$B$85:$H$113,5,FALSE)*$R107)+IF($V107="",0,VLOOKUP($V107,'⚪设计'!$B$85:$H$113,5,FALSE)*$W107))*IF(V107="",0,VLOOKUP(V107,'⚪设计'!$B$85:$H$113,5,FALSE)),0))</f>
        <v/>
      </c>
    </row>
    <row r="108" spans="1:26" x14ac:dyDescent="0.2">
      <c r="A108" s="2" t="str">
        <f t="shared" si="15"/>
        <v>5_5</v>
      </c>
      <c r="B108" s="2">
        <v>5</v>
      </c>
      <c r="C108" s="2">
        <v>5</v>
      </c>
      <c r="D108" s="97">
        <f>VLOOKUP(C108,无限模式!$A$3:$B$22,2,FALSE)</f>
        <v>2700</v>
      </c>
      <c r="E108" s="98">
        <v>1</v>
      </c>
      <c r="F108" s="97">
        <f>VLOOKUP(A108,'⚪设计'!$A$463:$N$486,6,FALSE)</f>
        <v>20</v>
      </c>
      <c r="G108" s="97" t="str">
        <f>IF(VLOOKUP($A108,'⚪设计'!$A$463:$N$486,7,FALSE)="","",VLOOKUP($A108,'⚪设计'!$A$463:$N$486,7,FALSE))</f>
        <v>蛋2</v>
      </c>
      <c r="H108" s="97">
        <f t="shared" si="16"/>
        <v>13</v>
      </c>
      <c r="I108" s="97">
        <f>IF(VLOOKUP($A108,'⚪设计'!$A$463:$N$486,11,FALSE)="","",VLOOKUP($A108,'⚪设计'!$A$463:$N$486,11,FALSE))</f>
        <v>1.5</v>
      </c>
      <c r="J108" s="97">
        <f>IF(G108="","",ROUND($D108*VLOOKUP($A108,'⚪设计'!$A$463:$N$486,4,FALSE)/(IF($G108="",0,VLOOKUP($G108,'⚪设计'!$B$85:$H$113,4,FALSE)*$H108)+IF($L108="",0,VLOOKUP($L108,'⚪设计'!$B$85:$H$113,4,FALSE)*$M108)+IF($Q108="",0,VLOOKUP($Q108,'⚪设计'!$B$85:$H$113,4,FALSE)*$R108)+IF($V108="",0,VLOOKUP($V108,'⚪设计'!$B$85:$H$113,4,FALSE)*$W108))*IF(G108="",0,VLOOKUP(G108,'⚪设计'!$B$85:$H$113,4,FALSE)),0))</f>
        <v>1069</v>
      </c>
      <c r="K108" s="97">
        <f>IF(G108="","",ROUND(战斗节奏!$B$14/(IF($G108="",0,VLOOKUP($G108,'⚪设计'!$B$85:$H$113,5,FALSE)*$H108)+IF($L108="",0,VLOOKUP($L108,'⚪设计'!$B$85:$H$113,5,FALSE)*$M108)+IF($Q108="",0,VLOOKUP($Q108,'⚪设计'!$B$85:$H$113,5,FALSE)*$R108)+IF($V108="",0,VLOOKUP($V108,'⚪设计'!$B$85:$H$113,5,FALSE)*$W108))*IF(G108="",0,VLOOKUP(G108,'⚪设计'!$B$85:$H$113,5,FALSE)),0))</f>
        <v>5</v>
      </c>
      <c r="L108" s="97" t="str">
        <f>IF(VLOOKUP($A108,'⚪设计'!$A$463:$N$486,8,FALSE)="","",VLOOKUP($A108,'⚪设计'!$A$463:$N$486,8,FALSE))</f>
        <v>鬼1</v>
      </c>
      <c r="M108" s="97">
        <f t="shared" si="17"/>
        <v>40</v>
      </c>
      <c r="N108" s="97">
        <f>IF(VLOOKUP($A108,'⚪设计'!$A$463:$N$486,12,FALSE)="","",VLOOKUP($A108,'⚪设计'!$A$463:$N$486,12,FALSE))</f>
        <v>0.5</v>
      </c>
      <c r="O108" s="97">
        <f>IF(L108="","",ROUND($D108*VLOOKUP($A108,'⚪设计'!$A$463:$N$486,4,FALSE)/(IF($G108="",0,VLOOKUP($G108,'⚪设计'!$B$85:$H$113,4,FALSE)*$H108)+IF($L108="",0,VLOOKUP($L108,'⚪设计'!$B$85:$H$113,4,FALSE)*$M108)+IF($Q108="",0,VLOOKUP($Q108,'⚪设计'!$B$85:$H$113,4,FALSE)*$R108)+IF($V108="",0,VLOOKUP($V108,'⚪设计'!$B$85:$H$113,4,FALSE)*$W108))*IF(L108="",0,VLOOKUP(L108,'⚪设计'!$B$85:$H$113,4,FALSE)),0))</f>
        <v>267</v>
      </c>
      <c r="P108" s="97">
        <f>IF(L108="","",ROUND(战斗节奏!$B$14/(IF($G108="",0,VLOOKUP($G108,'⚪设计'!$B$85:$H$113,5,FALSE)*$H108)+IF($L108="",0,VLOOKUP($L108,'⚪设计'!$B$85:$H$113,5,FALSE)*$M108)+IF($Q108="",0,VLOOKUP($Q108,'⚪设计'!$B$85:$H$113,5,FALSE)*$R108)+IF($V108="",0,VLOOKUP($V108,'⚪设计'!$B$85:$H$113,5,FALSE)*$W108))*IF(L108="",0,VLOOKUP(L108,'⚪设计'!$B$85:$H$113,5,FALSE)),0))</f>
        <v>2</v>
      </c>
      <c r="Q108" s="97" t="str">
        <f>IF(VLOOKUP($A108,'⚪设计'!$A$463:$N$486,9,FALSE)="","",VLOOKUP($A108,'⚪设计'!$A$463:$N$486,9,FALSE))</f>
        <v>种子1</v>
      </c>
      <c r="R108" s="97">
        <f t="shared" si="18"/>
        <v>10</v>
      </c>
      <c r="S108" s="97">
        <f>IF(VLOOKUP($A108,'⚪设计'!$A$463:$N$486,13,FALSE)="","",VLOOKUP($A108,'⚪设计'!$A$463:$N$486,13,FALSE))</f>
        <v>2</v>
      </c>
      <c r="T108" s="97">
        <f>IF(Q108="","",ROUND($D108*VLOOKUP($A108,'⚪设计'!$A$463:$N$486,4,FALSE)/(IF($G108="",0,VLOOKUP($G108,'⚪设计'!$B$85:$H$113,4,FALSE)*$H108)+IF($L108="",0,VLOOKUP($L108,'⚪设计'!$B$85:$H$113,4,FALSE)*$M108)+IF($Q108="",0,VLOOKUP($Q108,'⚪设计'!$B$85:$H$113,4,FALSE)*$R108)+IF($V108="",0,VLOOKUP($V108,'⚪设计'!$B$85:$H$113,4,FALSE)*$W108))*IF(Q108="",0,VLOOKUP(Q108,'⚪设计'!$B$85:$H$113,4,FALSE)),0))</f>
        <v>802</v>
      </c>
      <c r="U108" s="97">
        <f>IF(Q108="","",ROUND(战斗节奏!$B$14/(IF($G108="",0,VLOOKUP($G108,'⚪设计'!$B$85:$H$113,5,FALSE)*$H108)+IF($L108="",0,VLOOKUP($L108,'⚪设计'!$B$85:$H$113,5,FALSE)*$M108)+IF($Q108="",0,VLOOKUP($Q108,'⚪设计'!$B$85:$H$113,5,FALSE)*$R108)+IF($V108="",0,VLOOKUP($V108,'⚪设计'!$B$85:$H$113,5,FALSE)*$W108))*IF(Q108="",0,VLOOKUP(Q108,'⚪设计'!$B$85:$H$113,5,FALSE)),0))</f>
        <v>5</v>
      </c>
      <c r="V108" s="97" t="str">
        <f>IF(VLOOKUP($A108,'⚪设计'!$A$463:$N$486,10,FALSE)="","",VLOOKUP($A108,'⚪设计'!$A$463:$N$486,10,FALSE))</f>
        <v>乌龟2</v>
      </c>
      <c r="W108" s="97">
        <f t="shared" si="19"/>
        <v>20</v>
      </c>
      <c r="X108" s="97">
        <f>IF(VLOOKUP($A108,'⚪设计'!$A$463:$N$486,14,FALSE)="","",VLOOKUP($A108,'⚪设计'!$A$463:$N$486,14,FALSE))</f>
        <v>1</v>
      </c>
      <c r="Y108" s="97">
        <f>IF(V108="","",ROUND($D108*VLOOKUP($A108,'⚪设计'!$A$463:$N$486,4,FALSE)/(IF($G108="",0,VLOOKUP($G108,'⚪设计'!$B$85:$H$113,4,FALSE)*$H108)+IF($L108="",0,VLOOKUP($L108,'⚪设计'!$B$85:$H$113,4,FALSE)*$M108)+IF($Q108="",0,VLOOKUP($Q108,'⚪设计'!$B$85:$H$113,4,FALSE)*$R108)+IF($V108="",0,VLOOKUP($V108,'⚪设计'!$B$85:$H$113,4,FALSE)*$W108))*IF(V108="",0,VLOOKUP(V108,'⚪设计'!$B$85:$H$113,4,FALSE)),0))</f>
        <v>1069</v>
      </c>
      <c r="Z108" s="97">
        <f>IF(V108="","",ROUND(战斗节奏!$B$14/(IF($G108="",0,VLOOKUP($G108,'⚪设计'!$B$85:$H$113,5,FALSE)*$H108)+IF($L108="",0,VLOOKUP($L108,'⚪设计'!$B$85:$H$113,5,FALSE)*$M108)+IF($Q108="",0,VLOOKUP($Q108,'⚪设计'!$B$85:$H$113,5,FALSE)*$R108)+IF($V108="",0,VLOOKUP($V108,'⚪设计'!$B$85:$H$113,5,FALSE)*$W108))*IF(V108="",0,VLOOKUP(V108,'⚪设计'!$B$85:$H$113,5,FALSE)),0))</f>
        <v>5</v>
      </c>
    </row>
    <row r="109" spans="1:26" x14ac:dyDescent="0.2">
      <c r="A109" s="2" t="str">
        <f t="shared" si="15"/>
        <v>5_6</v>
      </c>
      <c r="B109" s="2">
        <v>5</v>
      </c>
      <c r="C109" s="2">
        <v>6</v>
      </c>
      <c r="D109" s="97">
        <f>VLOOKUP(C109,无限模式!$A$3:$B$22,2,FALSE)</f>
        <v>3240</v>
      </c>
      <c r="E109" s="98">
        <v>1</v>
      </c>
      <c r="F109" s="97">
        <f>VLOOKUP(A109,'⚪设计'!$A$463:$N$486,6,FALSE)</f>
        <v>22.5</v>
      </c>
      <c r="G109" s="97" t="str">
        <f>IF(VLOOKUP($A109,'⚪设计'!$A$463:$N$486,7,FALSE)="","",VLOOKUP($A109,'⚪设计'!$A$463:$N$486,7,FALSE))</f>
        <v>蛋2</v>
      </c>
      <c r="H109" s="97">
        <f t="shared" si="16"/>
        <v>15</v>
      </c>
      <c r="I109" s="97">
        <f>IF(VLOOKUP($A109,'⚪设计'!$A$463:$N$486,11,FALSE)="","",VLOOKUP($A109,'⚪设计'!$A$463:$N$486,11,FALSE))</f>
        <v>1.5</v>
      </c>
      <c r="J109" s="97">
        <f>IF(G109="","",ROUND($D109*VLOOKUP($A109,'⚪设计'!$A$463:$N$486,4,FALSE)/(IF($G109="",0,VLOOKUP($G109,'⚪设计'!$B$85:$H$113,4,FALSE)*$H109)+IF($L109="",0,VLOOKUP($L109,'⚪设计'!$B$85:$H$113,4,FALSE)*$M109)+IF($Q109="",0,VLOOKUP($Q109,'⚪设计'!$B$85:$H$113,4,FALSE)*$R109)+IF($V109="",0,VLOOKUP($V109,'⚪设计'!$B$85:$H$113,4,FALSE)*$W109))*IF(G109="",0,VLOOKUP(G109,'⚪设计'!$B$85:$H$113,4,FALSE)),0))</f>
        <v>1568</v>
      </c>
      <c r="K109" s="97">
        <f>IF(G109="","",ROUND(战斗节奏!$B$14/(IF($G109="",0,VLOOKUP($G109,'⚪设计'!$B$85:$H$113,5,FALSE)*$H109)+IF($L109="",0,VLOOKUP($L109,'⚪设计'!$B$85:$H$113,5,FALSE)*$M109)+IF($Q109="",0,VLOOKUP($Q109,'⚪设计'!$B$85:$H$113,5,FALSE)*$R109)+IF($V109="",0,VLOOKUP($V109,'⚪设计'!$B$85:$H$113,5,FALSE)*$W109))*IF(G109="",0,VLOOKUP(G109,'⚪设计'!$B$85:$H$113,5,FALSE)),0))</f>
        <v>5</v>
      </c>
      <c r="L109" s="97" t="str">
        <f>IF(VLOOKUP($A109,'⚪设计'!$A$463:$N$486,8,FALSE)="","",VLOOKUP($A109,'⚪设计'!$A$463:$N$486,8,FALSE))</f>
        <v>种子2</v>
      </c>
      <c r="M109" s="97">
        <f t="shared" si="17"/>
        <v>11</v>
      </c>
      <c r="N109" s="97">
        <f>IF(VLOOKUP($A109,'⚪设计'!$A$463:$N$486,12,FALSE)="","",VLOOKUP($A109,'⚪设计'!$A$463:$N$486,12,FALSE))</f>
        <v>2</v>
      </c>
      <c r="O109" s="97">
        <f>IF(L109="","",ROUND($D109*VLOOKUP($A109,'⚪设计'!$A$463:$N$486,4,FALSE)/(IF($G109="",0,VLOOKUP($G109,'⚪设计'!$B$85:$H$113,4,FALSE)*$H109)+IF($L109="",0,VLOOKUP($L109,'⚪设计'!$B$85:$H$113,4,FALSE)*$M109)+IF($Q109="",0,VLOOKUP($Q109,'⚪设计'!$B$85:$H$113,4,FALSE)*$R109)+IF($V109="",0,VLOOKUP($V109,'⚪设计'!$B$85:$H$113,4,FALSE)*$W109))*IF(L109="",0,VLOOKUP(L109,'⚪设计'!$B$85:$H$113,4,FALSE)),0))</f>
        <v>2352</v>
      </c>
      <c r="P109" s="97">
        <f>IF(L109="","",ROUND(战斗节奏!$B$14/(IF($G109="",0,VLOOKUP($G109,'⚪设计'!$B$85:$H$113,5,FALSE)*$H109)+IF($L109="",0,VLOOKUP($L109,'⚪设计'!$B$85:$H$113,5,FALSE)*$M109)+IF($Q109="",0,VLOOKUP($Q109,'⚪设计'!$B$85:$H$113,5,FALSE)*$R109)+IF($V109="",0,VLOOKUP($V109,'⚪设计'!$B$85:$H$113,5,FALSE)*$W109))*IF(L109="",0,VLOOKUP(L109,'⚪设计'!$B$85:$H$113,5,FALSE)),0))</f>
        <v>5</v>
      </c>
      <c r="Q109" s="97" t="str">
        <f>IF(VLOOKUP($A109,'⚪设计'!$A$463:$N$486,9,FALSE)="","",VLOOKUP($A109,'⚪设计'!$A$463:$N$486,9,FALSE))</f>
        <v>蜘蛛2</v>
      </c>
      <c r="R109" s="97">
        <f t="shared" si="18"/>
        <v>15</v>
      </c>
      <c r="S109" s="97">
        <f>IF(VLOOKUP($A109,'⚪设计'!$A$463:$N$486,13,FALSE)="","",VLOOKUP($A109,'⚪设计'!$A$463:$N$486,13,FALSE))</f>
        <v>1.5</v>
      </c>
      <c r="T109" s="97">
        <f>IF(Q109="","",ROUND($D109*VLOOKUP($A109,'⚪设计'!$A$463:$N$486,4,FALSE)/(IF($G109="",0,VLOOKUP($G109,'⚪设计'!$B$85:$H$113,4,FALSE)*$H109)+IF($L109="",0,VLOOKUP($L109,'⚪设计'!$B$85:$H$113,4,FALSE)*$M109)+IF($Q109="",0,VLOOKUP($Q109,'⚪设计'!$B$85:$H$113,4,FALSE)*$R109)+IF($V109="",0,VLOOKUP($V109,'⚪设计'!$B$85:$H$113,4,FALSE)*$W109))*IF(Q109="",0,VLOOKUP(Q109,'⚪设计'!$B$85:$H$113,4,FALSE)),0))</f>
        <v>784</v>
      </c>
      <c r="U109" s="97">
        <f>IF(Q109="","",ROUND(战斗节奏!$B$14/(IF($G109="",0,VLOOKUP($G109,'⚪设计'!$B$85:$H$113,5,FALSE)*$H109)+IF($L109="",0,VLOOKUP($L109,'⚪设计'!$B$85:$H$113,5,FALSE)*$M109)+IF($Q109="",0,VLOOKUP($Q109,'⚪设计'!$B$85:$H$113,5,FALSE)*$R109)+IF($V109="",0,VLOOKUP($V109,'⚪设计'!$B$85:$H$113,5,FALSE)*$W109))*IF(Q109="",0,VLOOKUP(Q109,'⚪设计'!$B$85:$H$113,5,FALSE)),0))</f>
        <v>3</v>
      </c>
      <c r="V109" s="97" t="str">
        <f>IF(VLOOKUP($A109,'⚪设计'!$A$463:$N$486,10,FALSE)="","",VLOOKUP($A109,'⚪设计'!$A$463:$N$486,10,FALSE))</f>
        <v>乌龟2</v>
      </c>
      <c r="W109" s="97">
        <f t="shared" si="19"/>
        <v>23</v>
      </c>
      <c r="X109" s="97">
        <f>IF(VLOOKUP($A109,'⚪设计'!$A$463:$N$486,14,FALSE)="","",VLOOKUP($A109,'⚪设计'!$A$463:$N$486,14,FALSE))</f>
        <v>1</v>
      </c>
      <c r="Y109" s="97">
        <f>IF(V109="","",ROUND($D109*VLOOKUP($A109,'⚪设计'!$A$463:$N$486,4,FALSE)/(IF($G109="",0,VLOOKUP($G109,'⚪设计'!$B$85:$H$113,4,FALSE)*$H109)+IF($L109="",0,VLOOKUP($L109,'⚪设计'!$B$85:$H$113,4,FALSE)*$M109)+IF($Q109="",0,VLOOKUP($Q109,'⚪设计'!$B$85:$H$113,4,FALSE)*$R109)+IF($V109="",0,VLOOKUP($V109,'⚪设计'!$B$85:$H$113,4,FALSE)*$W109))*IF(V109="",0,VLOOKUP(V109,'⚪设计'!$B$85:$H$113,4,FALSE)),0))</f>
        <v>1568</v>
      </c>
      <c r="Z109" s="97">
        <f>IF(V109="","",ROUND(战斗节奏!$B$14/(IF($G109="",0,VLOOKUP($G109,'⚪设计'!$B$85:$H$113,5,FALSE)*$H109)+IF($L109="",0,VLOOKUP($L109,'⚪设计'!$B$85:$H$113,5,FALSE)*$M109)+IF($Q109="",0,VLOOKUP($Q109,'⚪设计'!$B$85:$H$113,5,FALSE)*$R109)+IF($V109="",0,VLOOKUP($V109,'⚪设计'!$B$85:$H$113,5,FALSE)*$W109))*IF(V109="",0,VLOOKUP(V109,'⚪设计'!$B$85:$H$113,5,FALSE)),0))</f>
        <v>5</v>
      </c>
    </row>
    <row r="110" spans="1:26" x14ac:dyDescent="0.2">
      <c r="A110" s="2" t="str">
        <f t="shared" si="15"/>
        <v>5_7</v>
      </c>
      <c r="B110" s="2">
        <v>5</v>
      </c>
      <c r="C110" s="2">
        <v>7</v>
      </c>
      <c r="D110" s="97">
        <f>VLOOKUP(C110,无限模式!$A$3:$B$22,2,FALSE)</f>
        <v>3780</v>
      </c>
      <c r="E110" s="98">
        <v>1</v>
      </c>
      <c r="F110" s="97">
        <f>VLOOKUP(A110,'⚪设计'!$A$463:$N$486,6,FALSE)</f>
        <v>25</v>
      </c>
      <c r="G110" s="97" t="str">
        <f>IF(VLOOKUP($A110,'⚪设计'!$A$463:$N$486,7,FALSE)="","",VLOOKUP($A110,'⚪设计'!$A$463:$N$486,7,FALSE))</f>
        <v>蛋2</v>
      </c>
      <c r="H110" s="97">
        <f t="shared" si="16"/>
        <v>25</v>
      </c>
      <c r="I110" s="97">
        <f>IF(VLOOKUP($A110,'⚪设计'!$A$463:$N$486,11,FALSE)="","",VLOOKUP($A110,'⚪设计'!$A$463:$N$486,11,FALSE))</f>
        <v>1</v>
      </c>
      <c r="J110" s="97">
        <f>IF(G110="","",ROUND($D110*VLOOKUP($A110,'⚪设计'!$A$463:$N$486,4,FALSE)/(IF($G110="",0,VLOOKUP($G110,'⚪设计'!$B$85:$H$113,4,FALSE)*$H110)+IF($L110="",0,VLOOKUP($L110,'⚪设计'!$B$85:$H$113,4,FALSE)*$M110)+IF($Q110="",0,VLOOKUP($Q110,'⚪设计'!$B$85:$H$113,4,FALSE)*$R110)+IF($V110="",0,VLOOKUP($V110,'⚪设计'!$B$85:$H$113,4,FALSE)*$W110))*IF(G110="",0,VLOOKUP(G110,'⚪设计'!$B$85:$H$113,4,FALSE)),0))</f>
        <v>2268</v>
      </c>
      <c r="K110" s="97">
        <f>IF(G110="","",ROUND(战斗节奏!$B$14/(IF($G110="",0,VLOOKUP($G110,'⚪设计'!$B$85:$H$113,5,FALSE)*$H110)+IF($L110="",0,VLOOKUP($L110,'⚪设计'!$B$85:$H$113,5,FALSE)*$M110)+IF($Q110="",0,VLOOKUP($Q110,'⚪设计'!$B$85:$H$113,5,FALSE)*$R110)+IF($V110="",0,VLOOKUP($V110,'⚪设计'!$B$85:$H$113,5,FALSE)*$W110))*IF(G110="",0,VLOOKUP(G110,'⚪设计'!$B$85:$H$113,5,FALSE)),0))</f>
        <v>4</v>
      </c>
      <c r="L110" s="97" t="str">
        <f>IF(VLOOKUP($A110,'⚪设计'!$A$463:$N$486,8,FALSE)="","",VLOOKUP($A110,'⚪设计'!$A$463:$N$486,8,FALSE))</f>
        <v>鬼2</v>
      </c>
      <c r="M110" s="97">
        <f t="shared" si="17"/>
        <v>25</v>
      </c>
      <c r="N110" s="97">
        <f>IF(VLOOKUP($A110,'⚪设计'!$A$463:$N$486,12,FALSE)="","",VLOOKUP($A110,'⚪设计'!$A$463:$N$486,12,FALSE))</f>
        <v>1</v>
      </c>
      <c r="O110" s="97">
        <f>IF(L110="","",ROUND($D110*VLOOKUP($A110,'⚪设计'!$A$463:$N$486,4,FALSE)/(IF($G110="",0,VLOOKUP($G110,'⚪设计'!$B$85:$H$113,4,FALSE)*$H110)+IF($L110="",0,VLOOKUP($L110,'⚪设计'!$B$85:$H$113,4,FALSE)*$M110)+IF($Q110="",0,VLOOKUP($Q110,'⚪设计'!$B$85:$H$113,4,FALSE)*$R110)+IF($V110="",0,VLOOKUP($V110,'⚪设计'!$B$85:$H$113,4,FALSE)*$W110))*IF(L110="",0,VLOOKUP(L110,'⚪设计'!$B$85:$H$113,4,FALSE)),0))</f>
        <v>1134</v>
      </c>
      <c r="P110" s="97">
        <f>IF(L110="","",ROUND(战斗节奏!$B$14/(IF($G110="",0,VLOOKUP($G110,'⚪设计'!$B$85:$H$113,5,FALSE)*$H110)+IF($L110="",0,VLOOKUP($L110,'⚪设计'!$B$85:$H$113,5,FALSE)*$M110)+IF($Q110="",0,VLOOKUP($Q110,'⚪设计'!$B$85:$H$113,5,FALSE)*$R110)+IF($V110="",0,VLOOKUP($V110,'⚪设计'!$B$85:$H$113,5,FALSE)*$W110))*IF(L110="",0,VLOOKUP(L110,'⚪设计'!$B$85:$H$113,5,FALSE)),0))</f>
        <v>2</v>
      </c>
      <c r="Q110" s="97" t="str">
        <f>IF(VLOOKUP($A110,'⚪设计'!$A$463:$N$486,9,FALSE)="","",VLOOKUP($A110,'⚪设计'!$A$463:$N$486,9,FALSE))</f>
        <v>蝙蝠2</v>
      </c>
      <c r="R110" s="97">
        <f t="shared" si="18"/>
        <v>50</v>
      </c>
      <c r="S110" s="97">
        <f>IF(VLOOKUP($A110,'⚪设计'!$A$463:$N$486,13,FALSE)="","",VLOOKUP($A110,'⚪设计'!$A$463:$N$486,13,FALSE))</f>
        <v>0.5</v>
      </c>
      <c r="T110" s="97">
        <f>IF(Q110="","",ROUND($D110*VLOOKUP($A110,'⚪设计'!$A$463:$N$486,4,FALSE)/(IF($G110="",0,VLOOKUP($G110,'⚪设计'!$B$85:$H$113,4,FALSE)*$H110)+IF($L110="",0,VLOOKUP($L110,'⚪设计'!$B$85:$H$113,4,FALSE)*$M110)+IF($Q110="",0,VLOOKUP($Q110,'⚪设计'!$B$85:$H$113,4,FALSE)*$R110)+IF($V110="",0,VLOOKUP($V110,'⚪设计'!$B$85:$H$113,4,FALSE)*$W110))*IF(Q110="",0,VLOOKUP(Q110,'⚪设计'!$B$85:$H$113,4,FALSE)),0))</f>
        <v>567</v>
      </c>
      <c r="U110" s="97">
        <f>IF(Q110="","",ROUND(战斗节奏!$B$14/(IF($G110="",0,VLOOKUP($G110,'⚪设计'!$B$85:$H$113,5,FALSE)*$H110)+IF($L110="",0,VLOOKUP($L110,'⚪设计'!$B$85:$H$113,5,FALSE)*$M110)+IF($Q110="",0,VLOOKUP($Q110,'⚪设计'!$B$85:$H$113,5,FALSE)*$R110)+IF($V110="",0,VLOOKUP($V110,'⚪设计'!$B$85:$H$113,5,FALSE)*$W110))*IF(Q110="",0,VLOOKUP(Q110,'⚪设计'!$B$85:$H$113,5,FALSE)),0))</f>
        <v>1</v>
      </c>
      <c r="V110" s="97" t="str">
        <f>IF(VLOOKUP($A110,'⚪设计'!$A$463:$N$486,10,FALSE)="","",VLOOKUP($A110,'⚪设计'!$A$463:$N$486,10,FALSE))</f>
        <v>乌龟2</v>
      </c>
      <c r="W110" s="97">
        <f t="shared" si="19"/>
        <v>25</v>
      </c>
      <c r="X110" s="97">
        <f>IF(VLOOKUP($A110,'⚪设计'!$A$463:$N$486,14,FALSE)="","",VLOOKUP($A110,'⚪设计'!$A$463:$N$486,14,FALSE))</f>
        <v>1</v>
      </c>
      <c r="Y110" s="97">
        <f>IF(V110="","",ROUND($D110*VLOOKUP($A110,'⚪设计'!$A$463:$N$486,4,FALSE)/(IF($G110="",0,VLOOKUP($G110,'⚪设计'!$B$85:$H$113,4,FALSE)*$H110)+IF($L110="",0,VLOOKUP($L110,'⚪设计'!$B$85:$H$113,4,FALSE)*$M110)+IF($Q110="",0,VLOOKUP($Q110,'⚪设计'!$B$85:$H$113,4,FALSE)*$R110)+IF($V110="",0,VLOOKUP($V110,'⚪设计'!$B$85:$H$113,4,FALSE)*$W110))*IF(V110="",0,VLOOKUP(V110,'⚪设计'!$B$85:$H$113,4,FALSE)),0))</f>
        <v>2268</v>
      </c>
      <c r="Z110" s="97">
        <f>IF(V110="","",ROUND(战斗节奏!$B$14/(IF($G110="",0,VLOOKUP($G110,'⚪设计'!$B$85:$H$113,5,FALSE)*$H110)+IF($L110="",0,VLOOKUP($L110,'⚪设计'!$B$85:$H$113,5,FALSE)*$M110)+IF($Q110="",0,VLOOKUP($Q110,'⚪设计'!$B$85:$H$113,5,FALSE)*$R110)+IF($V110="",0,VLOOKUP($V110,'⚪设计'!$B$85:$H$113,5,FALSE)*$W110))*IF(V110="",0,VLOOKUP(V110,'⚪设计'!$B$85:$H$113,5,FALSE)),0))</f>
        <v>4</v>
      </c>
    </row>
    <row r="111" spans="1:26" x14ac:dyDescent="0.2">
      <c r="A111" s="2" t="str">
        <f t="shared" si="15"/>
        <v>5_8</v>
      </c>
      <c r="B111" s="2">
        <v>5</v>
      </c>
      <c r="C111" s="2">
        <v>8</v>
      </c>
      <c r="D111" s="97">
        <f>VLOOKUP(C111,无限模式!$A$3:$B$22,2,FALSE)</f>
        <v>4320</v>
      </c>
      <c r="E111" s="98">
        <v>1</v>
      </c>
      <c r="F111" s="97">
        <f>VLOOKUP(A111,'⚪设计'!$A$463:$N$486,6,FALSE)</f>
        <v>27.5</v>
      </c>
      <c r="G111" s="97" t="str">
        <f>IF(VLOOKUP($A111,'⚪设计'!$A$463:$N$486,7,FALSE)="","",VLOOKUP($A111,'⚪设计'!$A$463:$N$486,7,FALSE))</f>
        <v>蛋3</v>
      </c>
      <c r="H111" s="97">
        <f t="shared" si="16"/>
        <v>1</v>
      </c>
      <c r="I111" s="97">
        <f>IF(VLOOKUP($A111,'⚪设计'!$A$463:$N$486,11,FALSE)="","",VLOOKUP($A111,'⚪设计'!$A$463:$N$486,11,FALSE))</f>
        <v>0</v>
      </c>
      <c r="J111" s="97">
        <f>IF(G111="","",ROUND($D111*VLOOKUP($A111,'⚪设计'!$A$463:$N$486,4,FALSE)/(IF($G111="",0,VLOOKUP($G111,'⚪设计'!$B$85:$H$113,4,FALSE)*$H111)+IF($L111="",0,VLOOKUP($L111,'⚪设计'!$B$85:$H$113,4,FALSE)*$M111)+IF($Q111="",0,VLOOKUP($Q111,'⚪设计'!$B$85:$H$113,4,FALSE)*$R111)+IF($V111="",0,VLOOKUP($V111,'⚪设计'!$B$85:$H$113,4,FALSE)*$W111))*IF(G111="",0,VLOOKUP(G111,'⚪设计'!$B$85:$H$113,4,FALSE)),0))</f>
        <v>23718</v>
      </c>
      <c r="K111" s="97">
        <f>IF(G111="","",ROUND(战斗节奏!$B$14/(IF($G111="",0,VLOOKUP($G111,'⚪设计'!$B$85:$H$113,5,FALSE)*$H111)+IF($L111="",0,VLOOKUP($L111,'⚪设计'!$B$85:$H$113,5,FALSE)*$M111)+IF($Q111="",0,VLOOKUP($Q111,'⚪设计'!$B$85:$H$113,5,FALSE)*$R111)+IF($V111="",0,VLOOKUP($V111,'⚪设计'!$B$85:$H$113,5,FALSE)*$W111))*IF(G111="",0,VLOOKUP(G111,'⚪设计'!$B$85:$H$113,5,FALSE)),0))</f>
        <v>85</v>
      </c>
      <c r="L111" s="97" t="str">
        <f>IF(VLOOKUP($A111,'⚪设计'!$A$463:$N$486,8,FALSE)="","",VLOOKUP($A111,'⚪设计'!$A$463:$N$486,8,FALSE))</f>
        <v>鬼2</v>
      </c>
      <c r="M111" s="97">
        <f t="shared" si="17"/>
        <v>55</v>
      </c>
      <c r="N111" s="97">
        <f>IF(VLOOKUP($A111,'⚪设计'!$A$463:$N$486,12,FALSE)="","",VLOOKUP($A111,'⚪设计'!$A$463:$N$486,12,FALSE))</f>
        <v>0.5</v>
      </c>
      <c r="O111" s="97">
        <f>IF(L111="","",ROUND($D111*VLOOKUP($A111,'⚪设计'!$A$463:$N$486,4,FALSE)/(IF($G111="",0,VLOOKUP($G111,'⚪设计'!$B$85:$H$113,4,FALSE)*$H111)+IF($L111="",0,VLOOKUP($L111,'⚪设计'!$B$85:$H$113,4,FALSE)*$M111)+IF($Q111="",0,VLOOKUP($Q111,'⚪设计'!$B$85:$H$113,4,FALSE)*$R111)+IF($V111="",0,VLOOKUP($V111,'⚪设计'!$B$85:$H$113,4,FALSE)*$W111))*IF(L111="",0,VLOOKUP(L111,'⚪设计'!$B$85:$H$113,4,FALSE)),0))</f>
        <v>1186</v>
      </c>
      <c r="P111" s="97">
        <f>IF(L111="","",ROUND(战斗节奏!$B$14/(IF($G111="",0,VLOOKUP($G111,'⚪设计'!$B$85:$H$113,5,FALSE)*$H111)+IF($L111="",0,VLOOKUP($L111,'⚪设计'!$B$85:$H$113,5,FALSE)*$M111)+IF($Q111="",0,VLOOKUP($Q111,'⚪设计'!$B$85:$H$113,5,FALSE)*$R111)+IF($V111="",0,VLOOKUP($V111,'⚪设计'!$B$85:$H$113,5,FALSE)*$W111))*IF(L111="",0,VLOOKUP(L111,'⚪设计'!$B$85:$H$113,5,FALSE)),0))</f>
        <v>2</v>
      </c>
      <c r="Q111" s="97" t="str">
        <f>IF(VLOOKUP($A111,'⚪设计'!$A$463:$N$486,9,FALSE)="","",VLOOKUP($A111,'⚪设计'!$A$463:$N$486,9,FALSE))</f>
        <v>种子2</v>
      </c>
      <c r="R111" s="97">
        <f t="shared" si="18"/>
        <v>14</v>
      </c>
      <c r="S111" s="97">
        <f>IF(VLOOKUP($A111,'⚪设计'!$A$463:$N$486,13,FALSE)="","",VLOOKUP($A111,'⚪设计'!$A$463:$N$486,13,FALSE))</f>
        <v>2</v>
      </c>
      <c r="T111" s="97">
        <f>IF(Q111="","",ROUND($D111*VLOOKUP($A111,'⚪设计'!$A$463:$N$486,4,FALSE)/(IF($G111="",0,VLOOKUP($G111,'⚪设计'!$B$85:$H$113,4,FALSE)*$H111)+IF($L111="",0,VLOOKUP($L111,'⚪设计'!$B$85:$H$113,4,FALSE)*$M111)+IF($Q111="",0,VLOOKUP($Q111,'⚪设计'!$B$85:$H$113,4,FALSE)*$R111)+IF($V111="",0,VLOOKUP($V111,'⚪设计'!$B$85:$H$113,4,FALSE)*$W111))*IF(Q111="",0,VLOOKUP(Q111,'⚪设计'!$B$85:$H$113,4,FALSE)),0))</f>
        <v>3558</v>
      </c>
      <c r="U111" s="97">
        <f>IF(Q111="","",ROUND(战斗节奏!$B$14/(IF($G111="",0,VLOOKUP($G111,'⚪设计'!$B$85:$H$113,5,FALSE)*$H111)+IF($L111="",0,VLOOKUP($L111,'⚪设计'!$B$85:$H$113,5,FALSE)*$M111)+IF($Q111="",0,VLOOKUP($Q111,'⚪设计'!$B$85:$H$113,5,FALSE)*$R111)+IF($V111="",0,VLOOKUP($V111,'⚪设计'!$B$85:$H$113,5,FALSE)*$W111))*IF(Q111="",0,VLOOKUP(Q111,'⚪设计'!$B$85:$H$113,5,FALSE)),0))</f>
        <v>4</v>
      </c>
      <c r="V111" s="97" t="str">
        <f>IF(VLOOKUP($A111,'⚪设计'!$A$463:$N$486,10,FALSE)="","",VLOOKUP($A111,'⚪设计'!$A$463:$N$486,10,FALSE))</f>
        <v>乌龟3</v>
      </c>
      <c r="W111" s="97">
        <f t="shared" si="19"/>
        <v>9</v>
      </c>
      <c r="X111" s="97">
        <f>IF(VLOOKUP($A111,'⚪设计'!$A$463:$N$486,14,FALSE)="","",VLOOKUP($A111,'⚪设计'!$A$463:$N$486,14,FALSE))</f>
        <v>3</v>
      </c>
      <c r="Y111" s="97">
        <f>IF(V111="","",ROUND($D111*VLOOKUP($A111,'⚪设计'!$A$463:$N$486,4,FALSE)/(IF($G111="",0,VLOOKUP($G111,'⚪设计'!$B$85:$H$113,4,FALSE)*$H111)+IF($L111="",0,VLOOKUP($L111,'⚪设计'!$B$85:$H$113,4,FALSE)*$M111)+IF($Q111="",0,VLOOKUP($Q111,'⚪设计'!$B$85:$H$113,4,FALSE)*$R111)+IF($V111="",0,VLOOKUP($V111,'⚪设计'!$B$85:$H$113,4,FALSE)*$W111))*IF(V111="",0,VLOOKUP(V111,'⚪设计'!$B$85:$H$113,4,FALSE)),0))</f>
        <v>4744</v>
      </c>
      <c r="Z111" s="97">
        <f>IF(V111="","",ROUND(战斗节奏!$B$14/(IF($G111="",0,VLOOKUP($G111,'⚪设计'!$B$85:$H$113,5,FALSE)*$H111)+IF($L111="",0,VLOOKUP($L111,'⚪设计'!$B$85:$H$113,5,FALSE)*$M111)+IF($Q111="",0,VLOOKUP($Q111,'⚪设计'!$B$85:$H$113,5,FALSE)*$R111)+IF($V111="",0,VLOOKUP($V111,'⚪设计'!$B$85:$H$113,5,FALSE)*$W111))*IF(V111="",0,VLOOKUP(V111,'⚪设计'!$B$85:$H$113,5,FALSE)),0))</f>
        <v>4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2EA20-1C7A-475A-A102-F5666DB18962}">
  <dimension ref="A1:AG684"/>
  <sheetViews>
    <sheetView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P169" sqref="P169:P173"/>
    </sheetView>
  </sheetViews>
  <sheetFormatPr defaultColWidth="9" defaultRowHeight="14.25" x14ac:dyDescent="0.2"/>
  <cols>
    <col min="1" max="1" width="5.875" customWidth="1"/>
    <col min="2" max="2" width="23.875" customWidth="1"/>
    <col min="3" max="3" width="22.5" bestFit="1" customWidth="1"/>
    <col min="4" max="4" width="15.125" customWidth="1"/>
    <col min="5" max="7" width="8.75" customWidth="1"/>
    <col min="8" max="11" width="12.875" customWidth="1"/>
    <col min="12" max="12" width="27.375" customWidth="1"/>
    <col min="13" max="14" width="10.125" customWidth="1"/>
    <col min="15" max="15" width="16.375" customWidth="1"/>
    <col min="16" max="16" width="40.875" bestFit="1" customWidth="1"/>
    <col min="17" max="19" width="4.75" customWidth="1"/>
  </cols>
  <sheetData>
    <row r="1" spans="1:33" s="43" customFormat="1" x14ac:dyDescent="0.2">
      <c r="A1" s="45" t="s">
        <v>67</v>
      </c>
      <c r="B1" s="45" t="s">
        <v>68</v>
      </c>
      <c r="C1" s="91"/>
      <c r="D1" s="45" t="s">
        <v>512</v>
      </c>
      <c r="E1" s="45" t="s">
        <v>513</v>
      </c>
      <c r="F1" s="45" t="s">
        <v>514</v>
      </c>
      <c r="G1" s="45" t="s">
        <v>515</v>
      </c>
      <c r="H1" s="45" t="s">
        <v>516</v>
      </c>
      <c r="I1" s="45" t="s">
        <v>517</v>
      </c>
      <c r="J1" s="45" t="s">
        <v>518</v>
      </c>
      <c r="K1" s="45" t="s">
        <v>519</v>
      </c>
      <c r="L1" s="45" t="s">
        <v>180</v>
      </c>
      <c r="M1" s="45" t="s">
        <v>520</v>
      </c>
      <c r="N1" s="45" t="s">
        <v>521</v>
      </c>
      <c r="O1" s="45" t="s">
        <v>522</v>
      </c>
      <c r="P1" s="45" t="s">
        <v>523</v>
      </c>
      <c r="Q1" s="45"/>
      <c r="R1" s="45"/>
      <c r="S1" s="45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1:33" s="43" customFormat="1" x14ac:dyDescent="0.2">
      <c r="A2" s="45" t="s">
        <v>67</v>
      </c>
      <c r="B2" s="45"/>
      <c r="C2" s="91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/>
      <c r="U2"/>
      <c r="V2"/>
      <c r="W2"/>
      <c r="X2"/>
      <c r="Y2"/>
      <c r="Z2"/>
      <c r="AA2"/>
      <c r="AB2"/>
      <c r="AC2"/>
      <c r="AD2"/>
      <c r="AE2"/>
      <c r="AF2"/>
      <c r="AG2"/>
    </row>
    <row r="3" spans="1:33" s="44" customFormat="1" x14ac:dyDescent="0.2">
      <c r="A3" s="46" t="s">
        <v>71</v>
      </c>
      <c r="B3" s="46" t="s">
        <v>72</v>
      </c>
      <c r="C3" s="92"/>
      <c r="D3" s="46" t="s">
        <v>524</v>
      </c>
      <c r="E3" s="46" t="s">
        <v>74</v>
      </c>
      <c r="F3" s="46" t="s">
        <v>74</v>
      </c>
      <c r="G3" s="46" t="s">
        <v>360</v>
      </c>
      <c r="H3" s="46" t="s">
        <v>74</v>
      </c>
      <c r="I3" s="46" t="s">
        <v>74</v>
      </c>
      <c r="J3" s="46" t="s">
        <v>74</v>
      </c>
      <c r="K3" s="46" t="s">
        <v>74</v>
      </c>
      <c r="L3" s="81" t="s">
        <v>525</v>
      </c>
      <c r="M3" s="46" t="s">
        <v>526</v>
      </c>
      <c r="N3" s="46" t="s">
        <v>102</v>
      </c>
      <c r="O3" s="46" t="s">
        <v>102</v>
      </c>
      <c r="P3" s="46" t="s">
        <v>527</v>
      </c>
      <c r="Q3" s="46"/>
      <c r="R3" s="46"/>
      <c r="S3" s="46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s="44" customFormat="1" x14ac:dyDescent="0.2">
      <c r="A4" s="46" t="s">
        <v>75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/>
      <c r="U4"/>
      <c r="V4"/>
      <c r="W4"/>
      <c r="X4"/>
      <c r="Y4"/>
      <c r="Z4"/>
      <c r="AA4"/>
      <c r="AB4"/>
      <c r="AC4"/>
      <c r="AD4"/>
      <c r="AE4"/>
      <c r="AF4"/>
      <c r="AG4"/>
    </row>
    <row r="5" spans="1:33" s="43" customFormat="1" x14ac:dyDescent="0.2">
      <c r="A5" s="45" t="s">
        <v>77</v>
      </c>
      <c r="B5" s="45" t="s">
        <v>78</v>
      </c>
      <c r="C5" s="45" t="s">
        <v>79</v>
      </c>
      <c r="D5" s="45" t="s">
        <v>454</v>
      </c>
      <c r="E5" s="45" t="s">
        <v>455</v>
      </c>
      <c r="F5" s="45" t="s">
        <v>456</v>
      </c>
      <c r="G5" s="45" t="s">
        <v>457</v>
      </c>
      <c r="H5" s="45" t="s">
        <v>458</v>
      </c>
      <c r="I5" s="45" t="s">
        <v>459</v>
      </c>
      <c r="J5" s="45" t="s">
        <v>460</v>
      </c>
      <c r="K5" s="45" t="s">
        <v>461</v>
      </c>
      <c r="L5" s="45" t="s">
        <v>462</v>
      </c>
      <c r="M5" s="45" t="s">
        <v>463</v>
      </c>
      <c r="N5" s="45" t="s">
        <v>464</v>
      </c>
      <c r="O5" s="45" t="s">
        <v>465</v>
      </c>
      <c r="P5" s="45" t="s">
        <v>466</v>
      </c>
      <c r="Q5" s="45" t="s">
        <v>453</v>
      </c>
      <c r="R5" s="45" t="s">
        <v>453</v>
      </c>
      <c r="S5" s="45" t="s">
        <v>453</v>
      </c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2">
      <c r="B6" t="s">
        <v>1204</v>
      </c>
      <c r="C6" t="s">
        <v>1208</v>
      </c>
      <c r="D6" s="55" t="str">
        <f>VLOOKUP(VLOOKUP(Q6,'⚪设计'!$A$124:$G$126,3+UnitCfg!R6,FALSE),'⚪设计'!$B$85:$C$113,2,FALSE)</f>
        <v>ResUnit_MiFeng1</v>
      </c>
      <c r="E6" s="55">
        <f>VLOOKUP(D6,'⚪设计'!$C$85:$I$113,5,FALSE)*VLOOKUP(UnitCfg!Q6,新手关卡!$A$3:$C$22,3,FALSE)</f>
        <v>2</v>
      </c>
      <c r="F6">
        <v>400</v>
      </c>
      <c r="G6" t="b">
        <v>1</v>
      </c>
      <c r="H6">
        <v>1</v>
      </c>
      <c r="I6">
        <v>1</v>
      </c>
      <c r="J6">
        <v>0.5</v>
      </c>
      <c r="K6" s="55">
        <f>VLOOKUP(D6,'⚪设计'!$C$85:$I$113,6,FALSE)</f>
        <v>1</v>
      </c>
      <c r="L6" t="str">
        <f>RIGHT(B6,LEN(B6)-5)</f>
        <v>Monster_Tutorial_1_1</v>
      </c>
      <c r="M6" t="s">
        <v>468</v>
      </c>
      <c r="N6" t="s">
        <v>469</v>
      </c>
      <c r="O6" t="s">
        <v>470</v>
      </c>
      <c r="Q6" s="110">
        <v>1</v>
      </c>
      <c r="R6" s="110">
        <v>1</v>
      </c>
      <c r="S6" s="110"/>
    </row>
    <row r="7" spans="1:33" x14ac:dyDescent="0.2">
      <c r="B7" t="s">
        <v>1205</v>
      </c>
      <c r="C7" t="s">
        <v>1209</v>
      </c>
      <c r="D7" s="55" t="str">
        <f>VLOOKUP(VLOOKUP(Q7,'⚪设计'!$A$124:$G$126,3+UnitCfg!R7,FALSE),'⚪设计'!$B$85:$C$113,2,FALSE)</f>
        <v>ResUnit_ZhiZhu1</v>
      </c>
      <c r="E7" s="55">
        <f>VLOOKUP(D7,'⚪设计'!$C$85:$I$113,5,FALSE)*VLOOKUP(UnitCfg!Q7,新手关卡!$A$3:$C$22,3,FALSE)</f>
        <v>3.1500000000000004</v>
      </c>
      <c r="F7">
        <v>400</v>
      </c>
      <c r="G7" t="b">
        <v>1</v>
      </c>
      <c r="H7">
        <v>1</v>
      </c>
      <c r="I7">
        <v>1</v>
      </c>
      <c r="J7">
        <v>0.5</v>
      </c>
      <c r="K7" s="55">
        <f>VLOOKUP(D7,'⚪设计'!$C$85:$I$113,6,FALSE)</f>
        <v>1</v>
      </c>
      <c r="L7" t="str">
        <f t="shared" ref="L7:L9" si="0">RIGHT(B7,LEN(B7)-5)</f>
        <v>Monster_Tutorial_2_1</v>
      </c>
      <c r="M7" t="s">
        <v>468</v>
      </c>
      <c r="N7" t="s">
        <v>469</v>
      </c>
      <c r="O7" t="s">
        <v>470</v>
      </c>
      <c r="Q7" s="110">
        <v>2</v>
      </c>
      <c r="R7" s="110">
        <v>1</v>
      </c>
    </row>
    <row r="8" spans="1:33" x14ac:dyDescent="0.2">
      <c r="B8" t="s">
        <v>3023</v>
      </c>
      <c r="C8" t="s">
        <v>1210</v>
      </c>
      <c r="D8" s="55" t="str">
        <f>VLOOKUP(VLOOKUP(Q8,'⚪设计'!$A$124:$G$126,3+UnitCfg!R8,FALSE),'⚪设计'!$B$85:$C$113,2,FALSE)</f>
        <v>ResUnit_MiFeng2</v>
      </c>
      <c r="E8" s="55">
        <f>VLOOKUP(D8,'⚪设计'!$C$85:$I$113,5,FALSE)*VLOOKUP(UnitCfg!Q8,新手关卡!$A$3:$C$22,3,FALSE)</f>
        <v>2.1</v>
      </c>
      <c r="F8">
        <v>400</v>
      </c>
      <c r="G8" t="b">
        <v>1</v>
      </c>
      <c r="H8">
        <v>1</v>
      </c>
      <c r="I8">
        <v>1</v>
      </c>
      <c r="J8">
        <v>0.5</v>
      </c>
      <c r="K8" s="55">
        <f>VLOOKUP(D8,'⚪设计'!$C$85:$I$113,6,FALSE)</f>
        <v>1.5</v>
      </c>
      <c r="L8" t="str">
        <f t="shared" si="0"/>
        <v>Monster_Tutorial_2_2</v>
      </c>
      <c r="M8" t="s">
        <v>468</v>
      </c>
      <c r="N8" t="s">
        <v>469</v>
      </c>
      <c r="O8" t="s">
        <v>470</v>
      </c>
      <c r="Q8" s="110">
        <v>2</v>
      </c>
      <c r="R8" s="110">
        <v>2</v>
      </c>
    </row>
    <row r="9" spans="1:33" x14ac:dyDescent="0.2">
      <c r="B9" t="s">
        <v>3024</v>
      </c>
      <c r="C9" t="s">
        <v>3025</v>
      </c>
      <c r="D9" s="55" t="str">
        <f>VLOOKUP(VLOOKUP(Q9,'⚪设计'!$A$124:$G$126,3+UnitCfg!R9,FALSE),'⚪设计'!$B$85:$C$113,2,FALSE)</f>
        <v>ResUnit_MiFeng3</v>
      </c>
      <c r="E9" s="55">
        <f>VLOOKUP(D9,'⚪设计'!$C$85:$I$113,5,FALSE)*VLOOKUP(UnitCfg!Q9,新手关卡!$A$3:$C$22,3,FALSE)</f>
        <v>1.3125</v>
      </c>
      <c r="F9">
        <v>400</v>
      </c>
      <c r="G9" t="b">
        <v>1</v>
      </c>
      <c r="H9">
        <v>1</v>
      </c>
      <c r="I9">
        <v>1</v>
      </c>
      <c r="J9">
        <v>0.5</v>
      </c>
      <c r="K9" s="55">
        <f>VLOOKUP(D9,'⚪设计'!$C$85:$I$113,6,FALSE)</f>
        <v>2.5</v>
      </c>
      <c r="L9" t="str">
        <f t="shared" si="0"/>
        <v>Monster_Tutorial_2_3</v>
      </c>
      <c r="M9" t="s">
        <v>468</v>
      </c>
      <c r="N9" t="s">
        <v>469</v>
      </c>
      <c r="O9" t="s">
        <v>470</v>
      </c>
      <c r="Q9" s="110">
        <v>2</v>
      </c>
      <c r="R9" s="110">
        <v>3</v>
      </c>
    </row>
    <row r="10" spans="1:33" x14ac:dyDescent="0.2">
      <c r="D10" s="55"/>
      <c r="E10" s="55"/>
      <c r="K10" s="55"/>
      <c r="S10" s="110"/>
    </row>
    <row r="11" spans="1:33" x14ac:dyDescent="0.2">
      <c r="D11" s="55"/>
      <c r="E11" s="55"/>
      <c r="K11" s="55"/>
      <c r="S11" s="110"/>
    </row>
    <row r="12" spans="1:33" s="57" customFormat="1" x14ac:dyDescent="0.2"/>
    <row r="13" spans="1:33" s="57" customFormat="1" x14ac:dyDescent="0.2">
      <c r="B13" s="57" t="s">
        <v>758</v>
      </c>
      <c r="C13" s="57" t="s">
        <v>730</v>
      </c>
      <c r="D13" s="55" t="str">
        <f>VLOOKUP(VLOOKUP(Q13&amp;"_"&amp;R13,挑战模式!$A$3:$Z$55,2+5*S13,FALSE),'⚪设计'!$B$85:$H$114,2,FALSE)</f>
        <v>ResUnit_MiFeng1</v>
      </c>
      <c r="E13" s="55">
        <f>VLOOKUP(VLOOKUP(Q13&amp;"_"&amp;R13,挑战模式!$A$3:$Z$55,2+5*S13,FALSE),'⚪设计'!$B$85:$H$114,6,FALSE)*VLOOKUP(Q13&amp;"_"&amp;R13,挑战模式!$A$3:$Z$55,5,FALSE)</f>
        <v>2</v>
      </c>
      <c r="F13">
        <v>400</v>
      </c>
      <c r="G13" t="b">
        <v>1</v>
      </c>
      <c r="H13">
        <v>1</v>
      </c>
      <c r="I13">
        <v>1</v>
      </c>
      <c r="J13">
        <v>0.5</v>
      </c>
      <c r="K13" s="55">
        <f>VLOOKUP(VLOOKUP(Q13&amp;"_"&amp;R13,挑战模式!$A$3:$Z$55,2+5*S13,FALSE),'⚪设计'!$B$85:$H$114,7,FALSE)</f>
        <v>1</v>
      </c>
      <c r="L13" s="57" t="str">
        <f>"Monster_Challenge"&amp;RIGHT(B13,LEN(B13)-22)</f>
        <v>Monster_Challenge1_1_1</v>
      </c>
      <c r="M13" t="s">
        <v>468</v>
      </c>
      <c r="N13" t="s">
        <v>469</v>
      </c>
      <c r="O13" t="s">
        <v>470</v>
      </c>
      <c r="P13" s="57" t="str">
        <f>IF(VLOOKUP(D13,'⚪设计'!$C$85:$I$113,7,FALSE)="","",VLOOKUP(D13,'⚪设计'!$C$85:$I$113,7,FALSE))</f>
        <v/>
      </c>
      <c r="Q13" s="110" t="str">
        <f>LEFT(RIGHT(C13,5),1)</f>
        <v>1</v>
      </c>
      <c r="R13" s="110" t="str">
        <f>LEFT(RIGHT(C13,3),1)</f>
        <v>1</v>
      </c>
      <c r="S13" s="110" t="str">
        <f>RIGHT(C13,1)</f>
        <v>1</v>
      </c>
    </row>
    <row r="14" spans="1:33" s="57" customFormat="1" x14ac:dyDescent="0.2">
      <c r="B14" s="57" t="s">
        <v>759</v>
      </c>
      <c r="C14" s="57" t="s">
        <v>731</v>
      </c>
      <c r="D14" s="55" t="str">
        <f>VLOOKUP(VLOOKUP(Q14&amp;"_"&amp;R14,挑战模式!$A$3:$Z$55,2+5*S14,FALSE),'⚪设计'!$B$85:$H$114,2,FALSE)</f>
        <v>ResUnit_ZhiZhu1</v>
      </c>
      <c r="E14" s="55">
        <f>VLOOKUP(VLOOKUP(Q14&amp;"_"&amp;R14,挑战模式!$A$3:$Z$55,2+5*S14,FALSE),'⚪设计'!$B$85:$H$114,6,FALSE)*VLOOKUP(Q14&amp;"_"&amp;R14,挑战模式!$A$3:$Z$55,5,FALSE)</f>
        <v>3</v>
      </c>
      <c r="F14">
        <v>400</v>
      </c>
      <c r="G14" t="b">
        <v>1</v>
      </c>
      <c r="H14">
        <v>1</v>
      </c>
      <c r="I14">
        <v>1</v>
      </c>
      <c r="J14">
        <v>0.5</v>
      </c>
      <c r="K14" s="55">
        <f>VLOOKUP(VLOOKUP(Q14&amp;"_"&amp;R14,挑战模式!$A$3:$Z$55,2+5*S14,FALSE),'⚪设计'!$B$85:$H$114,7,FALSE)</f>
        <v>1</v>
      </c>
      <c r="L14" s="57" t="str">
        <f t="shared" ref="L14:L76" si="1">"Monster_Challenge"&amp;RIGHT(B14,LEN(B14)-22)</f>
        <v>Monster_Challenge1_2_1</v>
      </c>
      <c r="M14" t="s">
        <v>468</v>
      </c>
      <c r="N14" t="s">
        <v>469</v>
      </c>
      <c r="O14" t="s">
        <v>470</v>
      </c>
      <c r="P14" s="57" t="str">
        <f>IF(VLOOKUP(D14,'⚪设计'!$C$85:$I$113,7,FALSE)="","",VLOOKUP(D14,'⚪设计'!$C$85:$I$113,7,FALSE))</f>
        <v/>
      </c>
      <c r="Q14" s="110" t="str">
        <f t="shared" ref="Q14:Q19" si="2">LEFT(RIGHT(C14,5),1)</f>
        <v>1</v>
      </c>
      <c r="R14" s="110" t="str">
        <f t="shared" ref="R14:R19" si="3">LEFT(RIGHT(C14,3),1)</f>
        <v>2</v>
      </c>
      <c r="S14" s="110" t="str">
        <f t="shared" ref="S14:S19" si="4">RIGHT(C14,1)</f>
        <v>1</v>
      </c>
    </row>
    <row r="15" spans="1:33" s="57" customFormat="1" x14ac:dyDescent="0.2">
      <c r="B15" s="57" t="s">
        <v>3028</v>
      </c>
      <c r="C15" s="57" t="s">
        <v>3029</v>
      </c>
      <c r="D15" s="55" t="str">
        <f>VLOOKUP(VLOOKUP(Q15&amp;"_"&amp;R15,挑战模式!$A$3:$Z$55,2+5*S15,FALSE),'⚪设计'!$B$85:$H$114,2,FALSE)</f>
        <v>ResUnit_MiFeng2</v>
      </c>
      <c r="E15" s="55">
        <f>VLOOKUP(VLOOKUP(Q15&amp;"_"&amp;R15,挑战模式!$A$3:$Z$55,2+5*S15,FALSE),'⚪设计'!$B$85:$H$114,6,FALSE)*VLOOKUP(Q15&amp;"_"&amp;R15,挑战模式!$A$3:$Z$55,5,FALSE)</f>
        <v>2</v>
      </c>
      <c r="F15">
        <v>400</v>
      </c>
      <c r="G15" t="b">
        <v>1</v>
      </c>
      <c r="H15">
        <v>1</v>
      </c>
      <c r="I15">
        <v>1</v>
      </c>
      <c r="J15">
        <v>0.5</v>
      </c>
      <c r="K15" s="55">
        <f>VLOOKUP(VLOOKUP(Q15&amp;"_"&amp;R15,挑战模式!$A$3:$Z$55,2+5*S15,FALSE),'⚪设计'!$B$85:$H$114,7,FALSE)</f>
        <v>1.5</v>
      </c>
      <c r="L15" s="57" t="str">
        <f t="shared" si="1"/>
        <v>Monster_Challenge1_2_2</v>
      </c>
      <c r="M15" t="s">
        <v>468</v>
      </c>
      <c r="N15" t="s">
        <v>469</v>
      </c>
      <c r="O15" t="s">
        <v>470</v>
      </c>
      <c r="P15" s="57" t="str">
        <f>IF(VLOOKUP(D15,'⚪设计'!$C$85:$I$113,7,FALSE)="","",VLOOKUP(D15,'⚪设计'!$C$85:$I$113,7,FALSE))</f>
        <v/>
      </c>
      <c r="Q15" s="110" t="str">
        <f t="shared" si="2"/>
        <v>1</v>
      </c>
      <c r="R15" s="110" t="str">
        <f t="shared" si="3"/>
        <v>2</v>
      </c>
      <c r="S15" s="110" t="str">
        <f t="shared" si="4"/>
        <v>2</v>
      </c>
    </row>
    <row r="16" spans="1:33" s="57" customFormat="1" x14ac:dyDescent="0.2">
      <c r="B16" s="57" t="s">
        <v>760</v>
      </c>
      <c r="C16" s="57" t="s">
        <v>732</v>
      </c>
      <c r="D16" s="55" t="str">
        <f>VLOOKUP(VLOOKUP(Q16&amp;"_"&amp;R16,挑战模式!$A$3:$Z$55,2+5*S16,FALSE),'⚪设计'!$B$85:$H$114,2,FALSE)</f>
        <v>ResUnit_ZhiZhu1</v>
      </c>
      <c r="E16" s="55">
        <f>VLOOKUP(VLOOKUP(Q16&amp;"_"&amp;R16,挑战模式!$A$3:$Z$55,2+5*S16,FALSE),'⚪设计'!$B$85:$H$114,6,FALSE)*VLOOKUP(Q16&amp;"_"&amp;R16,挑战模式!$A$3:$Z$55,5,FALSE)</f>
        <v>3</v>
      </c>
      <c r="F16">
        <v>400</v>
      </c>
      <c r="G16" t="b">
        <v>1</v>
      </c>
      <c r="H16">
        <v>1</v>
      </c>
      <c r="I16">
        <v>1</v>
      </c>
      <c r="J16">
        <v>0.5</v>
      </c>
      <c r="K16" s="55">
        <f>VLOOKUP(VLOOKUP(Q16&amp;"_"&amp;R16,挑战模式!$A$3:$Z$55,2+5*S16,FALSE),'⚪设计'!$B$85:$H$114,7,FALSE)</f>
        <v>1</v>
      </c>
      <c r="L16" s="57" t="str">
        <f t="shared" si="1"/>
        <v>Monster_Challenge2_1_1</v>
      </c>
      <c r="M16" t="s">
        <v>468</v>
      </c>
      <c r="N16" t="s">
        <v>469</v>
      </c>
      <c r="O16" t="s">
        <v>470</v>
      </c>
      <c r="P16" s="57" t="str">
        <f>IF(VLOOKUP(D16,'⚪设计'!$C$85:$I$113,7,FALSE)="","",VLOOKUP(D16,'⚪设计'!$C$85:$I$113,7,FALSE))</f>
        <v/>
      </c>
      <c r="Q16" s="110" t="str">
        <f t="shared" si="2"/>
        <v>2</v>
      </c>
      <c r="R16" s="110" t="str">
        <f t="shared" si="3"/>
        <v>1</v>
      </c>
      <c r="S16" s="110" t="str">
        <f t="shared" si="4"/>
        <v>1</v>
      </c>
    </row>
    <row r="17" spans="2:19" s="57" customFormat="1" x14ac:dyDescent="0.2">
      <c r="B17" s="57" t="s">
        <v>761</v>
      </c>
      <c r="C17" s="57" t="s">
        <v>733</v>
      </c>
      <c r="D17" s="55" t="str">
        <f>VLOOKUP(VLOOKUP(Q17&amp;"_"&amp;R17,挑战模式!$A$3:$Z$55,2+5*S17,FALSE),'⚪设计'!$B$85:$H$114,2,FALSE)</f>
        <v>ResUnit_ZhiZhu1</v>
      </c>
      <c r="E17" s="55">
        <f>VLOOKUP(VLOOKUP(Q17&amp;"_"&amp;R17,挑战模式!$A$3:$Z$55,2+5*S17,FALSE),'⚪设计'!$B$85:$H$114,6,FALSE)*VLOOKUP(Q17&amp;"_"&amp;R17,挑战模式!$A$3:$Z$55,5,FALSE)</f>
        <v>3</v>
      </c>
      <c r="F17">
        <v>400</v>
      </c>
      <c r="G17" t="b">
        <v>1</v>
      </c>
      <c r="H17">
        <v>1</v>
      </c>
      <c r="I17">
        <v>1</v>
      </c>
      <c r="J17">
        <v>0.5</v>
      </c>
      <c r="K17" s="55">
        <f>VLOOKUP(VLOOKUP(Q17&amp;"_"&amp;R17,挑战模式!$A$3:$Z$55,2+5*S17,FALSE),'⚪设计'!$B$85:$H$114,7,FALSE)</f>
        <v>1</v>
      </c>
      <c r="L17" s="57" t="str">
        <f t="shared" si="1"/>
        <v>Monster_Challenge2_2_1</v>
      </c>
      <c r="M17" t="s">
        <v>468</v>
      </c>
      <c r="N17" t="s">
        <v>469</v>
      </c>
      <c r="O17" t="s">
        <v>470</v>
      </c>
      <c r="P17" s="57" t="str">
        <f>IF(VLOOKUP(D17,'⚪设计'!$C$85:$I$113,7,FALSE)="","",VLOOKUP(D17,'⚪设计'!$C$85:$I$113,7,FALSE))</f>
        <v/>
      </c>
      <c r="Q17" s="110" t="str">
        <f t="shared" si="2"/>
        <v>2</v>
      </c>
      <c r="R17" s="110" t="str">
        <f t="shared" si="3"/>
        <v>2</v>
      </c>
      <c r="S17" s="110" t="str">
        <f t="shared" si="4"/>
        <v>1</v>
      </c>
    </row>
    <row r="18" spans="2:19" s="57" customFormat="1" x14ac:dyDescent="0.2">
      <c r="B18" s="57" t="s">
        <v>762</v>
      </c>
      <c r="C18" s="57" t="s">
        <v>734</v>
      </c>
      <c r="D18" s="55" t="str">
        <f>VLOOKUP(VLOOKUP(Q18&amp;"_"&amp;R18,挑战模式!$A$3:$Z$55,2+5*S18,FALSE),'⚪设计'!$B$85:$H$114,2,FALSE)</f>
        <v>ResUnit_MiFeng2</v>
      </c>
      <c r="E18" s="55">
        <f>VLOOKUP(VLOOKUP(Q18&amp;"_"&amp;R18,挑战模式!$A$3:$Z$55,2+5*S18,FALSE),'⚪设计'!$B$85:$H$114,6,FALSE)*VLOOKUP(Q18&amp;"_"&amp;R18,挑战模式!$A$3:$Z$55,5,FALSE)</f>
        <v>2</v>
      </c>
      <c r="F18">
        <v>400</v>
      </c>
      <c r="G18" t="b">
        <v>1</v>
      </c>
      <c r="H18">
        <v>1</v>
      </c>
      <c r="I18">
        <v>1</v>
      </c>
      <c r="J18">
        <v>0.5</v>
      </c>
      <c r="K18" s="55">
        <f>VLOOKUP(VLOOKUP(Q18&amp;"_"&amp;R18,挑战模式!$A$3:$Z$55,2+5*S18,FALSE),'⚪设计'!$B$85:$H$114,7,FALSE)</f>
        <v>1.5</v>
      </c>
      <c r="L18" s="57" t="str">
        <f t="shared" si="1"/>
        <v>Monster_Challenge2_2_2</v>
      </c>
      <c r="M18" t="s">
        <v>468</v>
      </c>
      <c r="N18" t="s">
        <v>469</v>
      </c>
      <c r="O18" t="s">
        <v>470</v>
      </c>
      <c r="P18" s="57" t="str">
        <f>IF(VLOOKUP(D18,'⚪设计'!$C$85:$I$113,7,FALSE)="","",VLOOKUP(D18,'⚪设计'!$C$85:$I$113,7,FALSE))</f>
        <v/>
      </c>
      <c r="Q18" s="110" t="str">
        <f t="shared" si="2"/>
        <v>2</v>
      </c>
      <c r="R18" s="110" t="str">
        <f t="shared" si="3"/>
        <v>2</v>
      </c>
      <c r="S18" s="110" t="str">
        <f t="shared" si="4"/>
        <v>2</v>
      </c>
    </row>
    <row r="19" spans="2:19" s="57" customFormat="1" x14ac:dyDescent="0.2">
      <c r="B19" s="57" t="s">
        <v>763</v>
      </c>
      <c r="C19" s="57" t="s">
        <v>735</v>
      </c>
      <c r="D19" s="55" t="str">
        <f>VLOOKUP(VLOOKUP(Q19&amp;"_"&amp;R19,挑战模式!$A$3:$Z$55,2+5*S19,FALSE),'⚪设计'!$B$85:$H$114,2,FALSE)</f>
        <v>ResUnit_ZhiZhu1</v>
      </c>
      <c r="E19" s="55">
        <f>VLOOKUP(VLOOKUP(Q19&amp;"_"&amp;R19,挑战模式!$A$3:$Z$55,2+5*S19,FALSE),'⚪设计'!$B$85:$H$114,6,FALSE)*VLOOKUP(Q19&amp;"_"&amp;R19,挑战模式!$A$3:$Z$55,5,FALSE)</f>
        <v>3</v>
      </c>
      <c r="F19">
        <v>400</v>
      </c>
      <c r="G19" t="b">
        <v>1</v>
      </c>
      <c r="H19">
        <v>1</v>
      </c>
      <c r="I19">
        <v>1</v>
      </c>
      <c r="J19">
        <v>0.5</v>
      </c>
      <c r="K19" s="55">
        <f>VLOOKUP(VLOOKUP(Q19&amp;"_"&amp;R19,挑战模式!$A$3:$Z$55,2+5*S19,FALSE),'⚪设计'!$B$85:$H$114,7,FALSE)</f>
        <v>1</v>
      </c>
      <c r="L19" s="57" t="str">
        <f t="shared" si="1"/>
        <v>Monster_Challenge2_3_1</v>
      </c>
      <c r="M19" t="s">
        <v>468</v>
      </c>
      <c r="N19" t="s">
        <v>469</v>
      </c>
      <c r="O19" t="s">
        <v>470</v>
      </c>
      <c r="P19" s="57" t="str">
        <f>IF(VLOOKUP(D19,'⚪设计'!$C$85:$I$113,7,FALSE)="","",VLOOKUP(D19,'⚪设计'!$C$85:$I$113,7,FALSE))</f>
        <v/>
      </c>
      <c r="Q19" s="110" t="str">
        <f t="shared" si="2"/>
        <v>2</v>
      </c>
      <c r="R19" s="110" t="str">
        <f t="shared" si="3"/>
        <v>3</v>
      </c>
      <c r="S19" s="110" t="str">
        <f t="shared" si="4"/>
        <v>1</v>
      </c>
    </row>
    <row r="20" spans="2:19" s="57" customFormat="1" x14ac:dyDescent="0.2">
      <c r="B20" s="57" t="s">
        <v>764</v>
      </c>
      <c r="C20" s="57" t="s">
        <v>736</v>
      </c>
      <c r="D20" s="55" t="str">
        <f>VLOOKUP(VLOOKUP(Q20&amp;"_"&amp;R20,挑战模式!$A$3:$Z$55,2+5*S20,FALSE),'⚪设计'!$B$85:$H$114,2,FALSE)</f>
        <v>ResUnit_BianFu1</v>
      </c>
      <c r="E20" s="55">
        <f>VLOOKUP(VLOOKUP(Q20&amp;"_"&amp;R20,挑战模式!$A$3:$Z$55,2+5*S20,FALSE),'⚪设计'!$B$85:$H$114,6,FALSE)*VLOOKUP(Q20&amp;"_"&amp;R20,挑战模式!$A$3:$Z$55,5,FALSE)</f>
        <v>2</v>
      </c>
      <c r="F20">
        <v>400</v>
      </c>
      <c r="G20" t="b">
        <v>1</v>
      </c>
      <c r="H20">
        <v>1</v>
      </c>
      <c r="I20">
        <v>1</v>
      </c>
      <c r="J20">
        <v>0.5</v>
      </c>
      <c r="K20" s="55">
        <f>VLOOKUP(VLOOKUP(Q20&amp;"_"&amp;R20,挑战模式!$A$3:$Z$55,2+5*S20,FALSE),'⚪设计'!$B$85:$H$114,7,FALSE)</f>
        <v>1</v>
      </c>
      <c r="L20" s="57" t="str">
        <f t="shared" si="1"/>
        <v>Monster_Challenge2_3_2</v>
      </c>
      <c r="M20" t="s">
        <v>468</v>
      </c>
      <c r="N20" t="s">
        <v>469</v>
      </c>
      <c r="O20" t="s">
        <v>470</v>
      </c>
      <c r="P20" s="57" t="str">
        <f>IF(VLOOKUP(D20,'⚪设计'!$C$85:$I$113,7,FALSE)="","",VLOOKUP(D20,'⚪设计'!$C$85:$I$113,7,FALSE))</f>
        <v/>
      </c>
      <c r="Q20" s="110" t="str">
        <f t="shared" ref="Q20:Q83" si="5">LEFT(RIGHT(C20,5),1)</f>
        <v>2</v>
      </c>
      <c r="R20" s="110" t="str">
        <f t="shared" ref="R20:R83" si="6">LEFT(RIGHT(C20,3),1)</f>
        <v>3</v>
      </c>
      <c r="S20" s="110" t="str">
        <f t="shared" ref="S20:S83" si="7">RIGHT(C20,1)</f>
        <v>2</v>
      </c>
    </row>
    <row r="21" spans="2:19" s="57" customFormat="1" x14ac:dyDescent="0.2">
      <c r="B21" s="57" t="s">
        <v>3064</v>
      </c>
      <c r="C21" s="57" t="s">
        <v>3088</v>
      </c>
      <c r="D21" s="55" t="str">
        <f>VLOOKUP(VLOOKUP(Q21&amp;"_"&amp;R21,挑战模式!$A$3:$Z$55,2+5*S21,FALSE),'⚪设计'!$B$85:$H$114,2,FALSE)</f>
        <v>ResUnit_MiFeng2</v>
      </c>
      <c r="E21" s="55">
        <f>VLOOKUP(VLOOKUP(Q21&amp;"_"&amp;R21,挑战模式!$A$3:$Z$55,2+5*S21,FALSE),'⚪设计'!$B$85:$H$114,6,FALSE)*VLOOKUP(Q21&amp;"_"&amp;R21,挑战模式!$A$3:$Z$55,5,FALSE)</f>
        <v>2</v>
      </c>
      <c r="F21">
        <v>400</v>
      </c>
      <c r="G21" t="b">
        <v>1</v>
      </c>
      <c r="H21">
        <v>1</v>
      </c>
      <c r="I21">
        <v>1</v>
      </c>
      <c r="J21">
        <v>0.5</v>
      </c>
      <c r="K21" s="55">
        <f>VLOOKUP(VLOOKUP(Q21&amp;"_"&amp;R21,挑战模式!$A$3:$Z$55,2+5*S21,FALSE),'⚪设计'!$B$85:$H$114,7,FALSE)</f>
        <v>1.5</v>
      </c>
      <c r="L21" s="57" t="str">
        <f t="shared" si="1"/>
        <v>Monster_Challenge2_3_3</v>
      </c>
      <c r="M21" t="s">
        <v>468</v>
      </c>
      <c r="N21" t="s">
        <v>469</v>
      </c>
      <c r="O21" t="s">
        <v>470</v>
      </c>
      <c r="P21" s="57" t="str">
        <f>IF(VLOOKUP(D21,'⚪设计'!$C$85:$I$113,7,FALSE)="","",VLOOKUP(D21,'⚪设计'!$C$85:$I$113,7,FALSE))</f>
        <v/>
      </c>
      <c r="Q21" s="110" t="str">
        <f t="shared" si="5"/>
        <v>2</v>
      </c>
      <c r="R21" s="110" t="str">
        <f t="shared" si="6"/>
        <v>3</v>
      </c>
      <c r="S21" s="110" t="str">
        <f t="shared" si="7"/>
        <v>3</v>
      </c>
    </row>
    <row r="22" spans="2:19" s="57" customFormat="1" x14ac:dyDescent="0.2">
      <c r="B22" s="57" t="s">
        <v>3065</v>
      </c>
      <c r="C22" s="57" t="s">
        <v>3089</v>
      </c>
      <c r="D22" s="55" t="str">
        <f>VLOOKUP(VLOOKUP(Q22&amp;"_"&amp;R22,挑战模式!$A$3:$Z$55,2+5*S22,FALSE),'⚪设计'!$B$85:$H$114,2,FALSE)</f>
        <v>ResUnit_ZhongZi1</v>
      </c>
      <c r="E22" s="55">
        <f>VLOOKUP(VLOOKUP(Q22&amp;"_"&amp;R22,挑战模式!$A$3:$Z$55,2+5*S22,FALSE),'⚪设计'!$B$85:$H$114,6,FALSE)*VLOOKUP(Q22&amp;"_"&amp;R22,挑战模式!$A$3:$Z$55,5,FALSE)</f>
        <v>2</v>
      </c>
      <c r="F22">
        <v>400</v>
      </c>
      <c r="G22" t="b">
        <v>1</v>
      </c>
      <c r="H22">
        <v>1</v>
      </c>
      <c r="I22">
        <v>1</v>
      </c>
      <c r="J22">
        <v>0.5</v>
      </c>
      <c r="K22" s="55">
        <f>VLOOKUP(VLOOKUP(Q22&amp;"_"&amp;R22,挑战模式!$A$3:$Z$55,2+5*S22,FALSE),'⚪设计'!$B$85:$H$114,7,FALSE)</f>
        <v>1</v>
      </c>
      <c r="L22" s="57" t="str">
        <f t="shared" si="1"/>
        <v>Monster_Challenge3_1_1</v>
      </c>
      <c r="M22" t="s">
        <v>468</v>
      </c>
      <c r="N22" t="s">
        <v>469</v>
      </c>
      <c r="O22" t="s">
        <v>470</v>
      </c>
      <c r="P22" s="57" t="str">
        <f>IF(VLOOKUP(D22,'⚪设计'!$C$85:$I$113,7,FALSE)="","",VLOOKUP(D22,'⚪设计'!$C$85:$I$113,7,FALSE))</f>
        <v>Skill_Monster_Heal,NormalAttack</v>
      </c>
      <c r="Q22" s="110" t="str">
        <f t="shared" si="5"/>
        <v>3</v>
      </c>
      <c r="R22" s="110" t="str">
        <f t="shared" si="6"/>
        <v>1</v>
      </c>
      <c r="S22" s="110" t="str">
        <f t="shared" si="7"/>
        <v>1</v>
      </c>
    </row>
    <row r="23" spans="2:19" s="57" customFormat="1" x14ac:dyDescent="0.2">
      <c r="B23" s="57" t="s">
        <v>765</v>
      </c>
      <c r="C23" s="57" t="s">
        <v>737</v>
      </c>
      <c r="D23" s="55" t="str">
        <f>VLOOKUP(VLOOKUP(Q23&amp;"_"&amp;R23,挑战模式!$A$3:$Z$55,2+5*S23,FALSE),'⚪设计'!$B$85:$H$114,2,FALSE)</f>
        <v>ResUnit_ZhongZi1</v>
      </c>
      <c r="E23" s="55">
        <f>VLOOKUP(VLOOKUP(Q23&amp;"_"&amp;R23,挑战模式!$A$3:$Z$55,2+5*S23,FALSE),'⚪设计'!$B$85:$H$114,6,FALSE)*VLOOKUP(Q23&amp;"_"&amp;R23,挑战模式!$A$3:$Z$55,5,FALSE)</f>
        <v>2</v>
      </c>
      <c r="F23">
        <v>400</v>
      </c>
      <c r="G23" t="b">
        <v>1</v>
      </c>
      <c r="H23">
        <v>1</v>
      </c>
      <c r="I23">
        <v>1</v>
      </c>
      <c r="J23">
        <v>0.5</v>
      </c>
      <c r="K23" s="55">
        <f>VLOOKUP(VLOOKUP(Q23&amp;"_"&amp;R23,挑战模式!$A$3:$Z$55,2+5*S23,FALSE),'⚪设计'!$B$85:$H$114,7,FALSE)</f>
        <v>1</v>
      </c>
      <c r="L23" s="57" t="str">
        <f t="shared" si="1"/>
        <v>Monster_Challenge3_2_1</v>
      </c>
      <c r="M23" t="s">
        <v>468</v>
      </c>
      <c r="N23" t="s">
        <v>469</v>
      </c>
      <c r="O23" t="s">
        <v>470</v>
      </c>
      <c r="P23" s="57" t="str">
        <f>IF(VLOOKUP(D23,'⚪设计'!$C$85:$I$113,7,FALSE)="","",VLOOKUP(D23,'⚪设计'!$C$85:$I$113,7,FALSE))</f>
        <v>Skill_Monster_Heal,NormalAttack</v>
      </c>
      <c r="Q23" s="110" t="str">
        <f t="shared" si="5"/>
        <v>3</v>
      </c>
      <c r="R23" s="110" t="str">
        <f t="shared" si="6"/>
        <v>2</v>
      </c>
      <c r="S23" s="110" t="str">
        <f t="shared" si="7"/>
        <v>1</v>
      </c>
    </row>
    <row r="24" spans="2:19" s="57" customFormat="1" x14ac:dyDescent="0.2">
      <c r="B24" s="57" t="s">
        <v>766</v>
      </c>
      <c r="C24" s="57" t="s">
        <v>738</v>
      </c>
      <c r="D24" s="55" t="str">
        <f>VLOOKUP(VLOOKUP(Q24&amp;"_"&amp;R24,挑战模式!$A$3:$Z$55,2+5*S24,FALSE),'⚪设计'!$B$85:$H$114,2,FALSE)</f>
        <v>ResUnit_MiFeng2</v>
      </c>
      <c r="E24" s="55">
        <f>VLOOKUP(VLOOKUP(Q24&amp;"_"&amp;R24,挑战模式!$A$3:$Z$55,2+5*S24,FALSE),'⚪设计'!$B$85:$H$114,6,FALSE)*VLOOKUP(Q24&amp;"_"&amp;R24,挑战模式!$A$3:$Z$55,5,FALSE)</f>
        <v>2</v>
      </c>
      <c r="F24">
        <v>400</v>
      </c>
      <c r="G24" t="b">
        <v>1</v>
      </c>
      <c r="H24">
        <v>1</v>
      </c>
      <c r="I24">
        <v>1</v>
      </c>
      <c r="J24">
        <v>0.5</v>
      </c>
      <c r="K24" s="55">
        <f>VLOOKUP(VLOOKUP(Q24&amp;"_"&amp;R24,挑战模式!$A$3:$Z$55,2+5*S24,FALSE),'⚪设计'!$B$85:$H$114,7,FALSE)</f>
        <v>1.5</v>
      </c>
      <c r="L24" s="57" t="str">
        <f t="shared" si="1"/>
        <v>Monster_Challenge3_2_2</v>
      </c>
      <c r="M24" t="s">
        <v>468</v>
      </c>
      <c r="N24" t="s">
        <v>469</v>
      </c>
      <c r="O24" t="s">
        <v>470</v>
      </c>
      <c r="P24" s="57" t="str">
        <f>IF(VLOOKUP(D24,'⚪设计'!$C$85:$I$113,7,FALSE)="","",VLOOKUP(D24,'⚪设计'!$C$85:$I$113,7,FALSE))</f>
        <v/>
      </c>
      <c r="Q24" s="110" t="str">
        <f t="shared" si="5"/>
        <v>3</v>
      </c>
      <c r="R24" s="110" t="str">
        <f t="shared" si="6"/>
        <v>2</v>
      </c>
      <c r="S24" s="110" t="str">
        <f t="shared" si="7"/>
        <v>2</v>
      </c>
    </row>
    <row r="25" spans="2:19" s="57" customFormat="1" x14ac:dyDescent="0.2">
      <c r="B25" s="57" t="s">
        <v>767</v>
      </c>
      <c r="C25" s="57" t="s">
        <v>739</v>
      </c>
      <c r="D25" s="55" t="str">
        <f>VLOOKUP(VLOOKUP(Q25&amp;"_"&amp;R25,挑战模式!$A$3:$Z$55,2+5*S25,FALSE),'⚪设计'!$B$85:$H$114,2,FALSE)</f>
        <v>ResUnit_ZhongZi1</v>
      </c>
      <c r="E25" s="55">
        <f>VLOOKUP(VLOOKUP(Q25&amp;"_"&amp;R25,挑战模式!$A$3:$Z$55,2+5*S25,FALSE),'⚪设计'!$B$85:$H$114,6,FALSE)*VLOOKUP(Q25&amp;"_"&amp;R25,挑战模式!$A$3:$Z$55,5,FALSE)</f>
        <v>2</v>
      </c>
      <c r="F25">
        <v>400</v>
      </c>
      <c r="G25" t="b">
        <v>1</v>
      </c>
      <c r="H25">
        <v>1</v>
      </c>
      <c r="I25">
        <v>1</v>
      </c>
      <c r="J25">
        <v>0.5</v>
      </c>
      <c r="K25" s="55">
        <f>VLOOKUP(VLOOKUP(Q25&amp;"_"&amp;R25,挑战模式!$A$3:$Z$55,2+5*S25,FALSE),'⚪设计'!$B$85:$H$114,7,FALSE)</f>
        <v>1</v>
      </c>
      <c r="L25" s="57" t="str">
        <f t="shared" si="1"/>
        <v>Monster_Challenge3_3_1</v>
      </c>
      <c r="M25" t="s">
        <v>468</v>
      </c>
      <c r="N25" t="s">
        <v>469</v>
      </c>
      <c r="O25" t="s">
        <v>470</v>
      </c>
      <c r="P25" s="57" t="str">
        <f>IF(VLOOKUP(D25,'⚪设计'!$C$85:$I$113,7,FALSE)="","",VLOOKUP(D25,'⚪设计'!$C$85:$I$113,7,FALSE))</f>
        <v>Skill_Monster_Heal,NormalAttack</v>
      </c>
      <c r="Q25" s="110" t="str">
        <f t="shared" si="5"/>
        <v>3</v>
      </c>
      <c r="R25" s="110" t="str">
        <f t="shared" si="6"/>
        <v>3</v>
      </c>
      <c r="S25" s="110" t="str">
        <f t="shared" si="7"/>
        <v>1</v>
      </c>
    </row>
    <row r="26" spans="2:19" s="57" customFormat="1" x14ac:dyDescent="0.2">
      <c r="B26" s="57" t="s">
        <v>768</v>
      </c>
      <c r="C26" s="57" t="s">
        <v>740</v>
      </c>
      <c r="D26" s="55" t="str">
        <f>VLOOKUP(VLOOKUP(Q26&amp;"_"&amp;R26,挑战模式!$A$3:$Z$55,2+5*S26,FALSE),'⚪设计'!$B$85:$H$114,2,FALSE)</f>
        <v>ResUnit_BianFu1</v>
      </c>
      <c r="E26" s="55">
        <f>VLOOKUP(VLOOKUP(Q26&amp;"_"&amp;R26,挑战模式!$A$3:$Z$55,2+5*S26,FALSE),'⚪设计'!$B$85:$H$114,6,FALSE)*VLOOKUP(Q26&amp;"_"&amp;R26,挑战模式!$A$3:$Z$55,5,FALSE)</f>
        <v>2</v>
      </c>
      <c r="F26">
        <v>400</v>
      </c>
      <c r="G26" t="b">
        <v>1</v>
      </c>
      <c r="H26">
        <v>1</v>
      </c>
      <c r="I26">
        <v>1</v>
      </c>
      <c r="J26">
        <v>0.5</v>
      </c>
      <c r="K26" s="55">
        <f>VLOOKUP(VLOOKUP(Q26&amp;"_"&amp;R26,挑战模式!$A$3:$Z$55,2+5*S26,FALSE),'⚪设计'!$B$85:$H$114,7,FALSE)</f>
        <v>1</v>
      </c>
      <c r="L26" s="57" t="str">
        <f t="shared" si="1"/>
        <v>Monster_Challenge3_3_2</v>
      </c>
      <c r="M26" t="s">
        <v>468</v>
      </c>
      <c r="N26" t="s">
        <v>469</v>
      </c>
      <c r="O26" t="s">
        <v>470</v>
      </c>
      <c r="P26" s="57" t="str">
        <f>IF(VLOOKUP(D26,'⚪设计'!$C$85:$I$113,7,FALSE)="","",VLOOKUP(D26,'⚪设计'!$C$85:$I$113,7,FALSE))</f>
        <v/>
      </c>
      <c r="Q26" s="110" t="str">
        <f t="shared" si="5"/>
        <v>3</v>
      </c>
      <c r="R26" s="110" t="str">
        <f t="shared" si="6"/>
        <v>3</v>
      </c>
      <c r="S26" s="110" t="str">
        <f t="shared" si="7"/>
        <v>2</v>
      </c>
    </row>
    <row r="27" spans="2:19" s="57" customFormat="1" x14ac:dyDescent="0.2">
      <c r="B27" s="57" t="s">
        <v>3066</v>
      </c>
      <c r="C27" s="57" t="s">
        <v>3090</v>
      </c>
      <c r="D27" s="55" t="str">
        <f>VLOOKUP(VLOOKUP(Q27&amp;"_"&amp;R27,挑战模式!$A$3:$Z$55,2+5*S27,FALSE),'⚪设计'!$B$85:$H$114,2,FALSE)</f>
        <v>ResUnit_MiFeng2</v>
      </c>
      <c r="E27" s="55">
        <f>VLOOKUP(VLOOKUP(Q27&amp;"_"&amp;R27,挑战模式!$A$3:$Z$55,2+5*S27,FALSE),'⚪设计'!$B$85:$H$114,6,FALSE)*VLOOKUP(Q27&amp;"_"&amp;R27,挑战模式!$A$3:$Z$55,5,FALSE)</f>
        <v>2</v>
      </c>
      <c r="F27">
        <v>400</v>
      </c>
      <c r="G27" t="b">
        <v>1</v>
      </c>
      <c r="H27">
        <v>1</v>
      </c>
      <c r="I27">
        <v>1</v>
      </c>
      <c r="J27">
        <v>0.5</v>
      </c>
      <c r="K27" s="55">
        <f>VLOOKUP(VLOOKUP(Q27&amp;"_"&amp;R27,挑战模式!$A$3:$Z$55,2+5*S27,FALSE),'⚪设计'!$B$85:$H$114,7,FALSE)</f>
        <v>1.5</v>
      </c>
      <c r="L27" s="57" t="str">
        <f t="shared" si="1"/>
        <v>Monster_Challenge3_3_3</v>
      </c>
      <c r="M27" t="s">
        <v>468</v>
      </c>
      <c r="N27" t="s">
        <v>469</v>
      </c>
      <c r="O27" t="s">
        <v>470</v>
      </c>
      <c r="P27" s="57" t="str">
        <f>IF(VLOOKUP(D27,'⚪设计'!$C$85:$I$113,7,FALSE)="","",VLOOKUP(D27,'⚪设计'!$C$85:$I$113,7,FALSE))</f>
        <v/>
      </c>
      <c r="Q27" s="110" t="str">
        <f t="shared" si="5"/>
        <v>3</v>
      </c>
      <c r="R27" s="110" t="str">
        <f t="shared" si="6"/>
        <v>3</v>
      </c>
      <c r="S27" s="110" t="str">
        <f t="shared" si="7"/>
        <v>3</v>
      </c>
    </row>
    <row r="28" spans="2:19" s="57" customFormat="1" x14ac:dyDescent="0.2">
      <c r="B28" s="57" t="s">
        <v>769</v>
      </c>
      <c r="C28" s="57" t="s">
        <v>741</v>
      </c>
      <c r="D28" s="55" t="str">
        <f>VLOOKUP(VLOOKUP(Q28&amp;"_"&amp;R28,挑战模式!$A$3:$Z$55,2+5*S28,FALSE),'⚪设计'!$B$85:$H$114,2,FALSE)</f>
        <v>ResUnit_ZhongZi2</v>
      </c>
      <c r="E28" s="55">
        <f>VLOOKUP(VLOOKUP(Q28&amp;"_"&amp;R28,挑战模式!$A$3:$Z$55,2+5*S28,FALSE),'⚪设计'!$B$85:$H$114,6,FALSE)*VLOOKUP(Q28&amp;"_"&amp;R28,挑战模式!$A$3:$Z$55,5,FALSE)</f>
        <v>2</v>
      </c>
      <c r="F28">
        <v>400</v>
      </c>
      <c r="G28" t="b">
        <v>1</v>
      </c>
      <c r="H28">
        <v>1</v>
      </c>
      <c r="I28">
        <v>1</v>
      </c>
      <c r="J28">
        <v>0.5</v>
      </c>
      <c r="K28" s="55">
        <f>VLOOKUP(VLOOKUP(Q28&amp;"_"&amp;R28,挑战模式!$A$3:$Z$55,2+5*S28,FALSE),'⚪设计'!$B$85:$H$114,7,FALSE)</f>
        <v>1.5</v>
      </c>
      <c r="L28" s="57" t="str">
        <f t="shared" si="1"/>
        <v>Monster_Challenge4_1_1</v>
      </c>
      <c r="M28" t="s">
        <v>468</v>
      </c>
      <c r="N28" t="s">
        <v>469</v>
      </c>
      <c r="O28" t="s">
        <v>470</v>
      </c>
      <c r="P28" s="57" t="str">
        <f>IF(VLOOKUP(D28,'⚪设计'!$C$85:$I$113,7,FALSE)="","",VLOOKUP(D28,'⚪设计'!$C$85:$I$113,7,FALSE))</f>
        <v>Skill_Monster_Heal,NormalAttack</v>
      </c>
      <c r="Q28" s="110" t="str">
        <f t="shared" si="5"/>
        <v>4</v>
      </c>
      <c r="R28" s="110" t="str">
        <f t="shared" si="6"/>
        <v>1</v>
      </c>
      <c r="S28" s="110" t="str">
        <f t="shared" si="7"/>
        <v>1</v>
      </c>
    </row>
    <row r="29" spans="2:19" s="57" customFormat="1" x14ac:dyDescent="0.2">
      <c r="B29" s="57" t="s">
        <v>3067</v>
      </c>
      <c r="C29" s="57" t="s">
        <v>3091</v>
      </c>
      <c r="D29" s="55" t="str">
        <f>VLOOKUP(VLOOKUP(Q29&amp;"_"&amp;R29,挑战模式!$A$3:$Z$55,2+5*S29,FALSE),'⚪设计'!$B$85:$H$114,2,FALSE)</f>
        <v>ResUnit_MiFeng1</v>
      </c>
      <c r="E29" s="55">
        <f>VLOOKUP(VLOOKUP(Q29&amp;"_"&amp;R29,挑战模式!$A$3:$Z$55,2+5*S29,FALSE),'⚪设计'!$B$85:$H$114,6,FALSE)*VLOOKUP(Q29&amp;"_"&amp;R29,挑战模式!$A$3:$Z$55,5,FALSE)</f>
        <v>2</v>
      </c>
      <c r="F29">
        <v>400</v>
      </c>
      <c r="G29" t="b">
        <v>1</v>
      </c>
      <c r="H29">
        <v>1</v>
      </c>
      <c r="I29">
        <v>1</v>
      </c>
      <c r="J29">
        <v>0.5</v>
      </c>
      <c r="K29" s="55">
        <f>VLOOKUP(VLOOKUP(Q29&amp;"_"&amp;R29,挑战模式!$A$3:$Z$55,2+5*S29,FALSE),'⚪设计'!$B$85:$H$114,7,FALSE)</f>
        <v>1</v>
      </c>
      <c r="L29" s="57" t="str">
        <f t="shared" si="1"/>
        <v>Monster_Challenge4_1_2</v>
      </c>
      <c r="M29" t="s">
        <v>468</v>
      </c>
      <c r="N29" t="s">
        <v>469</v>
      </c>
      <c r="O29" t="s">
        <v>470</v>
      </c>
      <c r="P29" s="57" t="str">
        <f>IF(VLOOKUP(D29,'⚪设计'!$C$85:$I$113,7,FALSE)="","",VLOOKUP(D29,'⚪设计'!$C$85:$I$113,7,FALSE))</f>
        <v/>
      </c>
      <c r="Q29" s="110" t="str">
        <f t="shared" si="5"/>
        <v>4</v>
      </c>
      <c r="R29" s="110" t="str">
        <f t="shared" si="6"/>
        <v>1</v>
      </c>
      <c r="S29" s="110" t="str">
        <f t="shared" si="7"/>
        <v>2</v>
      </c>
    </row>
    <row r="30" spans="2:19" s="57" customFormat="1" x14ac:dyDescent="0.2">
      <c r="B30" s="57" t="s">
        <v>770</v>
      </c>
      <c r="C30" s="57" t="s">
        <v>742</v>
      </c>
      <c r="D30" s="55" t="str">
        <f>VLOOKUP(VLOOKUP(Q30&amp;"_"&amp;R30,挑战模式!$A$3:$Z$55,2+5*S30,FALSE),'⚪设计'!$B$85:$H$114,2,FALSE)</f>
        <v>ResUnit_ZhongZi2</v>
      </c>
      <c r="E30" s="55">
        <f>VLOOKUP(VLOOKUP(Q30&amp;"_"&amp;R30,挑战模式!$A$3:$Z$55,2+5*S30,FALSE),'⚪设计'!$B$85:$H$114,6,FALSE)*VLOOKUP(Q30&amp;"_"&amp;R30,挑战模式!$A$3:$Z$55,5,FALSE)</f>
        <v>2</v>
      </c>
      <c r="F30">
        <v>400</v>
      </c>
      <c r="G30" t="b">
        <v>1</v>
      </c>
      <c r="H30">
        <v>1</v>
      </c>
      <c r="I30">
        <v>1</v>
      </c>
      <c r="J30">
        <v>0.5</v>
      </c>
      <c r="K30" s="55">
        <f>VLOOKUP(VLOOKUP(Q30&amp;"_"&amp;R30,挑战模式!$A$3:$Z$55,2+5*S30,FALSE),'⚪设计'!$B$85:$H$114,7,FALSE)</f>
        <v>1.5</v>
      </c>
      <c r="L30" s="57" t="str">
        <f t="shared" si="1"/>
        <v>Monster_Challenge4_2_1</v>
      </c>
      <c r="M30" t="s">
        <v>468</v>
      </c>
      <c r="N30" t="s">
        <v>469</v>
      </c>
      <c r="O30" t="s">
        <v>470</v>
      </c>
      <c r="P30" s="57" t="str">
        <f>IF(VLOOKUP(D30,'⚪设计'!$C$85:$I$113,7,FALSE)="","",VLOOKUP(D30,'⚪设计'!$C$85:$I$113,7,FALSE))</f>
        <v>Skill_Monster_Heal,NormalAttack</v>
      </c>
      <c r="Q30" s="110" t="str">
        <f t="shared" si="5"/>
        <v>4</v>
      </c>
      <c r="R30" s="110" t="str">
        <f t="shared" si="6"/>
        <v>2</v>
      </c>
      <c r="S30" s="110" t="str">
        <f t="shared" si="7"/>
        <v>1</v>
      </c>
    </row>
    <row r="31" spans="2:19" s="57" customFormat="1" x14ac:dyDescent="0.2">
      <c r="B31" s="57" t="s">
        <v>771</v>
      </c>
      <c r="C31" s="57" t="s">
        <v>743</v>
      </c>
      <c r="D31" s="55" t="str">
        <f>VLOOKUP(VLOOKUP(Q31&amp;"_"&amp;R31,挑战模式!$A$3:$Z$55,2+5*S31,FALSE),'⚪设计'!$B$85:$H$114,2,FALSE)</f>
        <v>ResUnit_MiFeng2</v>
      </c>
      <c r="E31" s="55">
        <f>VLOOKUP(VLOOKUP(Q31&amp;"_"&amp;R31,挑战模式!$A$3:$Z$55,2+5*S31,FALSE),'⚪设计'!$B$85:$H$114,6,FALSE)*VLOOKUP(Q31&amp;"_"&amp;R31,挑战模式!$A$3:$Z$55,5,FALSE)</f>
        <v>2</v>
      </c>
      <c r="F31">
        <v>400</v>
      </c>
      <c r="G31" t="b">
        <v>1</v>
      </c>
      <c r="H31">
        <v>1</v>
      </c>
      <c r="I31">
        <v>1</v>
      </c>
      <c r="J31">
        <v>0.5</v>
      </c>
      <c r="K31" s="55">
        <f>VLOOKUP(VLOOKUP(Q31&amp;"_"&amp;R31,挑战模式!$A$3:$Z$55,2+5*S31,FALSE),'⚪设计'!$B$85:$H$114,7,FALSE)</f>
        <v>1.5</v>
      </c>
      <c r="L31" s="57" t="str">
        <f t="shared" si="1"/>
        <v>Monster_Challenge4_2_2</v>
      </c>
      <c r="M31" t="s">
        <v>468</v>
      </c>
      <c r="N31" t="s">
        <v>469</v>
      </c>
      <c r="O31" t="s">
        <v>470</v>
      </c>
      <c r="P31" s="57" t="str">
        <f>IF(VLOOKUP(D31,'⚪设计'!$C$85:$I$113,7,FALSE)="","",VLOOKUP(D31,'⚪设计'!$C$85:$I$113,7,FALSE))</f>
        <v/>
      </c>
      <c r="Q31" s="110" t="str">
        <f t="shared" si="5"/>
        <v>4</v>
      </c>
      <c r="R31" s="110" t="str">
        <f t="shared" si="6"/>
        <v>2</v>
      </c>
      <c r="S31" s="110" t="str">
        <f t="shared" si="7"/>
        <v>2</v>
      </c>
    </row>
    <row r="32" spans="2:19" s="57" customFormat="1" x14ac:dyDescent="0.2">
      <c r="B32" s="57" t="s">
        <v>3068</v>
      </c>
      <c r="C32" s="57" t="s">
        <v>3092</v>
      </c>
      <c r="D32" s="55" t="str">
        <f>VLOOKUP(VLOOKUP(Q32&amp;"_"&amp;R32,挑战模式!$A$3:$Z$55,2+5*S32,FALSE),'⚪设计'!$B$85:$H$114,2,FALSE)</f>
        <v>ResUnit_ZhiZhu1</v>
      </c>
      <c r="E32" s="55">
        <f>VLOOKUP(VLOOKUP(Q32&amp;"_"&amp;R32,挑战模式!$A$3:$Z$55,2+5*S32,FALSE),'⚪设计'!$B$85:$H$114,6,FALSE)*VLOOKUP(Q32&amp;"_"&amp;R32,挑战模式!$A$3:$Z$55,5,FALSE)</f>
        <v>3</v>
      </c>
      <c r="F32">
        <v>400</v>
      </c>
      <c r="G32" t="b">
        <v>1</v>
      </c>
      <c r="H32">
        <v>1</v>
      </c>
      <c r="I32">
        <v>1</v>
      </c>
      <c r="J32">
        <v>0.5</v>
      </c>
      <c r="K32" s="55">
        <f>VLOOKUP(VLOOKUP(Q32&amp;"_"&amp;R32,挑战模式!$A$3:$Z$55,2+5*S32,FALSE),'⚪设计'!$B$85:$H$114,7,FALSE)</f>
        <v>1</v>
      </c>
      <c r="L32" s="57" t="str">
        <f t="shared" si="1"/>
        <v>Monster_Challenge4_2_3</v>
      </c>
      <c r="M32" t="s">
        <v>468</v>
      </c>
      <c r="N32" t="s">
        <v>469</v>
      </c>
      <c r="O32" t="s">
        <v>470</v>
      </c>
      <c r="P32" s="57" t="str">
        <f>IF(VLOOKUP(D32,'⚪设计'!$C$85:$I$113,7,FALSE)="","",VLOOKUP(D32,'⚪设计'!$C$85:$I$113,7,FALSE))</f>
        <v/>
      </c>
      <c r="Q32" s="110" t="str">
        <f t="shared" si="5"/>
        <v>4</v>
      </c>
      <c r="R32" s="110" t="str">
        <f t="shared" si="6"/>
        <v>2</v>
      </c>
      <c r="S32" s="110" t="str">
        <f t="shared" si="7"/>
        <v>3</v>
      </c>
    </row>
    <row r="33" spans="2:19" s="57" customFormat="1" x14ac:dyDescent="0.2">
      <c r="B33" s="57" t="s">
        <v>772</v>
      </c>
      <c r="C33" s="57" t="s">
        <v>744</v>
      </c>
      <c r="D33" s="55" t="str">
        <f>VLOOKUP(VLOOKUP(Q33&amp;"_"&amp;R33,挑战模式!$A$3:$Z$55,2+5*S33,FALSE),'⚪设计'!$B$85:$H$114,2,FALSE)</f>
        <v>ResUnit_ZhongZi2</v>
      </c>
      <c r="E33" s="55">
        <f>VLOOKUP(VLOOKUP(Q33&amp;"_"&amp;R33,挑战模式!$A$3:$Z$55,2+5*S33,FALSE),'⚪设计'!$B$85:$H$114,6,FALSE)*VLOOKUP(Q33&amp;"_"&amp;R33,挑战模式!$A$3:$Z$55,5,FALSE)</f>
        <v>2</v>
      </c>
      <c r="F33">
        <v>400</v>
      </c>
      <c r="G33" t="b">
        <v>1</v>
      </c>
      <c r="H33">
        <v>1</v>
      </c>
      <c r="I33">
        <v>1</v>
      </c>
      <c r="J33">
        <v>0.5</v>
      </c>
      <c r="K33" s="55">
        <f>VLOOKUP(VLOOKUP(Q33&amp;"_"&amp;R33,挑战模式!$A$3:$Z$55,2+5*S33,FALSE),'⚪设计'!$B$85:$H$114,7,FALSE)</f>
        <v>1.5</v>
      </c>
      <c r="L33" s="57" t="str">
        <f t="shared" si="1"/>
        <v>Monster_Challenge4_3_1</v>
      </c>
      <c r="M33" t="s">
        <v>468</v>
      </c>
      <c r="N33" t="s">
        <v>469</v>
      </c>
      <c r="O33" t="s">
        <v>470</v>
      </c>
      <c r="P33" s="57" t="str">
        <f>IF(VLOOKUP(D33,'⚪设计'!$C$85:$I$113,7,FALSE)="","",VLOOKUP(D33,'⚪设计'!$C$85:$I$113,7,FALSE))</f>
        <v>Skill_Monster_Heal,NormalAttack</v>
      </c>
      <c r="Q33" s="110" t="str">
        <f t="shared" si="5"/>
        <v>4</v>
      </c>
      <c r="R33" s="110" t="str">
        <f t="shared" si="6"/>
        <v>3</v>
      </c>
      <c r="S33" s="110" t="str">
        <f t="shared" si="7"/>
        <v>1</v>
      </c>
    </row>
    <row r="34" spans="2:19" s="57" customFormat="1" x14ac:dyDescent="0.2">
      <c r="B34" s="57" t="s">
        <v>773</v>
      </c>
      <c r="C34" s="57" t="s">
        <v>745</v>
      </c>
      <c r="D34" s="55" t="str">
        <f>VLOOKUP(VLOOKUP(Q34&amp;"_"&amp;R34,挑战模式!$A$3:$Z$55,2+5*S34,FALSE),'⚪设计'!$B$85:$H$114,2,FALSE)</f>
        <v>ResUnit_BianFu1</v>
      </c>
      <c r="E34" s="55">
        <f>VLOOKUP(VLOOKUP(Q34&amp;"_"&amp;R34,挑战模式!$A$3:$Z$55,2+5*S34,FALSE),'⚪设计'!$B$85:$H$114,6,FALSE)*VLOOKUP(Q34&amp;"_"&amp;R34,挑战模式!$A$3:$Z$55,5,FALSE)</f>
        <v>2</v>
      </c>
      <c r="F34">
        <v>400</v>
      </c>
      <c r="G34" t="b">
        <v>1</v>
      </c>
      <c r="H34">
        <v>1</v>
      </c>
      <c r="I34">
        <v>1</v>
      </c>
      <c r="J34">
        <v>0.5</v>
      </c>
      <c r="K34" s="55">
        <f>VLOOKUP(VLOOKUP(Q34&amp;"_"&amp;R34,挑战模式!$A$3:$Z$55,2+5*S34,FALSE),'⚪设计'!$B$85:$H$114,7,FALSE)</f>
        <v>1</v>
      </c>
      <c r="L34" s="57" t="str">
        <f t="shared" si="1"/>
        <v>Monster_Challenge4_3_2</v>
      </c>
      <c r="M34" t="s">
        <v>468</v>
      </c>
      <c r="N34" t="s">
        <v>469</v>
      </c>
      <c r="O34" t="s">
        <v>470</v>
      </c>
      <c r="P34" s="57" t="str">
        <f>IF(VLOOKUP(D34,'⚪设计'!$C$85:$I$113,7,FALSE)="","",VLOOKUP(D34,'⚪设计'!$C$85:$I$113,7,FALSE))</f>
        <v/>
      </c>
      <c r="Q34" s="110" t="str">
        <f t="shared" si="5"/>
        <v>4</v>
      </c>
      <c r="R34" s="110" t="str">
        <f t="shared" si="6"/>
        <v>3</v>
      </c>
      <c r="S34" s="110" t="str">
        <f t="shared" si="7"/>
        <v>2</v>
      </c>
    </row>
    <row r="35" spans="2:19" s="57" customFormat="1" x14ac:dyDescent="0.2">
      <c r="B35" s="57" t="s">
        <v>3069</v>
      </c>
      <c r="C35" s="57" t="s">
        <v>3093</v>
      </c>
      <c r="D35" s="55" t="str">
        <f>VLOOKUP(VLOOKUP(Q35&amp;"_"&amp;R35,挑战模式!$A$3:$Z$55,2+5*S35,FALSE),'⚪设计'!$B$85:$H$114,2,FALSE)</f>
        <v>ResUnit_MiFeng2</v>
      </c>
      <c r="E35" s="55">
        <f>VLOOKUP(VLOOKUP(Q35&amp;"_"&amp;R35,挑战模式!$A$3:$Z$55,2+5*S35,FALSE),'⚪设计'!$B$85:$H$114,6,FALSE)*VLOOKUP(Q35&amp;"_"&amp;R35,挑战模式!$A$3:$Z$55,5,FALSE)</f>
        <v>2</v>
      </c>
      <c r="F35">
        <v>400</v>
      </c>
      <c r="G35" t="b">
        <v>1</v>
      </c>
      <c r="H35">
        <v>1</v>
      </c>
      <c r="I35">
        <v>1</v>
      </c>
      <c r="J35">
        <v>0.5</v>
      </c>
      <c r="K35" s="55">
        <f>VLOOKUP(VLOOKUP(Q35&amp;"_"&amp;R35,挑战模式!$A$3:$Z$55,2+5*S35,FALSE),'⚪设计'!$B$85:$H$114,7,FALSE)</f>
        <v>1.5</v>
      </c>
      <c r="L35" s="57" t="str">
        <f t="shared" si="1"/>
        <v>Monster_Challenge4_3_3</v>
      </c>
      <c r="M35" t="s">
        <v>468</v>
      </c>
      <c r="N35" t="s">
        <v>469</v>
      </c>
      <c r="O35" t="s">
        <v>470</v>
      </c>
      <c r="P35" s="57" t="str">
        <f>IF(VLOOKUP(D35,'⚪设计'!$C$85:$I$113,7,FALSE)="","",VLOOKUP(D35,'⚪设计'!$C$85:$I$113,7,FALSE))</f>
        <v/>
      </c>
      <c r="Q35" s="110" t="str">
        <f t="shared" si="5"/>
        <v>4</v>
      </c>
      <c r="R35" s="110" t="str">
        <f t="shared" si="6"/>
        <v>3</v>
      </c>
      <c r="S35" s="110" t="str">
        <f t="shared" si="7"/>
        <v>3</v>
      </c>
    </row>
    <row r="36" spans="2:19" s="57" customFormat="1" x14ac:dyDescent="0.2">
      <c r="B36" s="57" t="s">
        <v>3070</v>
      </c>
      <c r="C36" s="57" t="s">
        <v>3094</v>
      </c>
      <c r="D36" s="55" t="str">
        <f>VLOOKUP(VLOOKUP(Q36&amp;"_"&amp;R36,挑战模式!$A$3:$Z$55,2+5*S36,FALSE),'⚪设计'!$B$85:$H$114,2,FALSE)</f>
        <v>ResUnit_ZhiZhu2</v>
      </c>
      <c r="E36" s="55">
        <f>VLOOKUP(VLOOKUP(Q36&amp;"_"&amp;R36,挑战模式!$A$3:$Z$55,2+5*S36,FALSE),'⚪设计'!$B$85:$H$114,6,FALSE)*VLOOKUP(Q36&amp;"_"&amp;R36,挑战模式!$A$3:$Z$55,5,FALSE)</f>
        <v>3</v>
      </c>
      <c r="F36">
        <v>400</v>
      </c>
      <c r="G36" t="b">
        <v>1</v>
      </c>
      <c r="H36">
        <v>1</v>
      </c>
      <c r="I36">
        <v>1</v>
      </c>
      <c r="J36">
        <v>0.5</v>
      </c>
      <c r="K36" s="55">
        <f>VLOOKUP(VLOOKUP(Q36&amp;"_"&amp;R36,挑战模式!$A$3:$Z$55,2+5*S36,FALSE),'⚪设计'!$B$85:$H$114,7,FALSE)</f>
        <v>1.5</v>
      </c>
      <c r="L36" s="57" t="str">
        <f t="shared" si="1"/>
        <v>Monster_Challenge4_3_4</v>
      </c>
      <c r="M36" t="s">
        <v>468</v>
      </c>
      <c r="N36" t="s">
        <v>469</v>
      </c>
      <c r="O36" t="s">
        <v>470</v>
      </c>
      <c r="P36" s="57" t="str">
        <f>IF(VLOOKUP(D36,'⚪设计'!$C$85:$I$113,7,FALSE)="","",VLOOKUP(D36,'⚪设计'!$C$85:$I$113,7,FALSE))</f>
        <v/>
      </c>
      <c r="Q36" s="110" t="str">
        <f t="shared" si="5"/>
        <v>4</v>
      </c>
      <c r="R36" s="110" t="str">
        <f t="shared" si="6"/>
        <v>3</v>
      </c>
      <c r="S36" s="110" t="str">
        <f t="shared" si="7"/>
        <v>4</v>
      </c>
    </row>
    <row r="37" spans="2:19" s="57" customFormat="1" x14ac:dyDescent="0.2">
      <c r="B37" s="57" t="s">
        <v>3071</v>
      </c>
      <c r="C37" s="57" t="s">
        <v>746</v>
      </c>
      <c r="D37" s="55" t="str">
        <f>VLOOKUP(VLOOKUP(Q37&amp;"_"&amp;R37,挑战模式!$A$3:$Z$55,2+5*S37,FALSE),'⚪设计'!$B$85:$H$114,2,FALSE)</f>
        <v>ResUnit_Gui1</v>
      </c>
      <c r="E37" s="55">
        <f>VLOOKUP(VLOOKUP(Q37&amp;"_"&amp;R37,挑战模式!$A$3:$Z$55,2+5*S37,FALSE),'⚪设计'!$B$85:$H$114,6,FALSE)*VLOOKUP(Q37&amp;"_"&amp;R37,挑战模式!$A$3:$Z$55,5,FALSE)</f>
        <v>2</v>
      </c>
      <c r="F37">
        <v>400</v>
      </c>
      <c r="G37" t="b">
        <v>1</v>
      </c>
      <c r="H37">
        <v>1</v>
      </c>
      <c r="I37">
        <v>1</v>
      </c>
      <c r="J37">
        <v>0.5</v>
      </c>
      <c r="K37" s="55">
        <f>VLOOKUP(VLOOKUP(Q37&amp;"_"&amp;R37,挑战模式!$A$3:$Z$55,2+5*S37,FALSE),'⚪设计'!$B$85:$H$114,7,FALSE)</f>
        <v>1</v>
      </c>
      <c r="L37" s="57" t="str">
        <f t="shared" si="1"/>
        <v>Monster_Challenge5_1_1</v>
      </c>
      <c r="M37" t="s">
        <v>468</v>
      </c>
      <c r="N37" t="s">
        <v>469</v>
      </c>
      <c r="O37" t="s">
        <v>470</v>
      </c>
      <c r="P37" s="57" t="str">
        <f>IF(VLOOKUP(D37,'⚪设计'!$C$85:$I$113,7,FALSE)="","",VLOOKUP(D37,'⚪设计'!$C$85:$I$113,7,FALSE))</f>
        <v>Skill_Monster_Invisible,NormalAttack</v>
      </c>
      <c r="Q37" s="110" t="str">
        <f t="shared" si="5"/>
        <v>5</v>
      </c>
      <c r="R37" s="110" t="str">
        <f t="shared" si="6"/>
        <v>1</v>
      </c>
      <c r="S37" s="110" t="str">
        <f t="shared" si="7"/>
        <v>1</v>
      </c>
    </row>
    <row r="38" spans="2:19" s="57" customFormat="1" x14ac:dyDescent="0.2">
      <c r="B38" s="57" t="s">
        <v>774</v>
      </c>
      <c r="C38" s="57" t="s">
        <v>747</v>
      </c>
      <c r="D38" s="55" t="str">
        <f>VLOOKUP(VLOOKUP(Q38&amp;"_"&amp;R38,挑战模式!$A$3:$Z$55,2+5*S38,FALSE),'⚪设计'!$B$85:$H$114,2,FALSE)</f>
        <v>ResUnit_Gui1</v>
      </c>
      <c r="E38" s="55">
        <f>VLOOKUP(VLOOKUP(Q38&amp;"_"&amp;R38,挑战模式!$A$3:$Z$55,2+5*S38,FALSE),'⚪设计'!$B$85:$H$114,6,FALSE)*VLOOKUP(Q38&amp;"_"&amp;R38,挑战模式!$A$3:$Z$55,5,FALSE)</f>
        <v>2</v>
      </c>
      <c r="F38">
        <v>400</v>
      </c>
      <c r="G38" t="b">
        <v>1</v>
      </c>
      <c r="H38">
        <v>1</v>
      </c>
      <c r="I38">
        <v>1</v>
      </c>
      <c r="J38">
        <v>0.5</v>
      </c>
      <c r="K38" s="55">
        <f>VLOOKUP(VLOOKUP(Q38&amp;"_"&amp;R38,挑战模式!$A$3:$Z$55,2+5*S38,FALSE),'⚪设计'!$B$85:$H$114,7,FALSE)</f>
        <v>1</v>
      </c>
      <c r="L38" s="57" t="str">
        <f t="shared" si="1"/>
        <v>Monster_Challenge5_2_1</v>
      </c>
      <c r="M38" t="s">
        <v>468</v>
      </c>
      <c r="N38" t="s">
        <v>469</v>
      </c>
      <c r="O38" t="s">
        <v>470</v>
      </c>
      <c r="P38" s="57" t="str">
        <f>IF(VLOOKUP(D38,'⚪设计'!$C$85:$I$113,7,FALSE)="","",VLOOKUP(D38,'⚪设计'!$C$85:$I$113,7,FALSE))</f>
        <v>Skill_Monster_Invisible,NormalAttack</v>
      </c>
      <c r="Q38" s="110" t="str">
        <f t="shared" si="5"/>
        <v>5</v>
      </c>
      <c r="R38" s="110" t="str">
        <f t="shared" si="6"/>
        <v>2</v>
      </c>
      <c r="S38" s="110" t="str">
        <f t="shared" si="7"/>
        <v>1</v>
      </c>
    </row>
    <row r="39" spans="2:19" s="57" customFormat="1" x14ac:dyDescent="0.2">
      <c r="B39" s="57" t="s">
        <v>775</v>
      </c>
      <c r="C39" s="57" t="s">
        <v>748</v>
      </c>
      <c r="D39" s="55" t="str">
        <f>VLOOKUP(VLOOKUP(Q39&amp;"_"&amp;R39,挑战模式!$A$3:$Z$55,2+5*S39,FALSE),'⚪设计'!$B$85:$H$114,2,FALSE)</f>
        <v>ResUnit_ZhiZhu1</v>
      </c>
      <c r="E39" s="55">
        <f>VLOOKUP(VLOOKUP(Q39&amp;"_"&amp;R39,挑战模式!$A$3:$Z$55,2+5*S39,FALSE),'⚪设计'!$B$85:$H$114,6,FALSE)*VLOOKUP(Q39&amp;"_"&amp;R39,挑战模式!$A$3:$Z$55,5,FALSE)</f>
        <v>3</v>
      </c>
      <c r="F39">
        <v>400</v>
      </c>
      <c r="G39" t="b">
        <v>1</v>
      </c>
      <c r="H39">
        <v>1</v>
      </c>
      <c r="I39">
        <v>1</v>
      </c>
      <c r="J39">
        <v>0.5</v>
      </c>
      <c r="K39" s="55">
        <f>VLOOKUP(VLOOKUP(Q39&amp;"_"&amp;R39,挑战模式!$A$3:$Z$55,2+5*S39,FALSE),'⚪设计'!$B$85:$H$114,7,FALSE)</f>
        <v>1</v>
      </c>
      <c r="L39" s="57" t="str">
        <f t="shared" si="1"/>
        <v>Monster_Challenge5_2_2</v>
      </c>
      <c r="M39" t="s">
        <v>468</v>
      </c>
      <c r="N39" t="s">
        <v>469</v>
      </c>
      <c r="O39" t="s">
        <v>470</v>
      </c>
      <c r="P39" s="57" t="str">
        <f>IF(VLOOKUP(D39,'⚪设计'!$C$85:$I$113,7,FALSE)="","",VLOOKUP(D39,'⚪设计'!$C$85:$I$113,7,FALSE))</f>
        <v/>
      </c>
      <c r="Q39" s="110" t="str">
        <f t="shared" si="5"/>
        <v>5</v>
      </c>
      <c r="R39" s="110" t="str">
        <f t="shared" si="6"/>
        <v>2</v>
      </c>
      <c r="S39" s="110" t="str">
        <f t="shared" si="7"/>
        <v>2</v>
      </c>
    </row>
    <row r="40" spans="2:19" s="57" customFormat="1" x14ac:dyDescent="0.2">
      <c r="B40" s="57" t="s">
        <v>776</v>
      </c>
      <c r="C40" s="57" t="s">
        <v>749</v>
      </c>
      <c r="D40" s="55" t="str">
        <f>VLOOKUP(VLOOKUP(Q40&amp;"_"&amp;R40,挑战模式!$A$3:$Z$55,2+5*S40,FALSE),'⚪设计'!$B$85:$H$114,2,FALSE)</f>
        <v>ResUnit_Gui1</v>
      </c>
      <c r="E40" s="55">
        <f>VLOOKUP(VLOOKUP(Q40&amp;"_"&amp;R40,挑战模式!$A$3:$Z$55,2+5*S40,FALSE),'⚪设计'!$B$85:$H$114,6,FALSE)*VLOOKUP(Q40&amp;"_"&amp;R40,挑战模式!$A$3:$Z$55,5,FALSE)</f>
        <v>2</v>
      </c>
      <c r="F40">
        <v>400</v>
      </c>
      <c r="G40" t="b">
        <v>1</v>
      </c>
      <c r="H40">
        <v>1</v>
      </c>
      <c r="I40">
        <v>1</v>
      </c>
      <c r="J40">
        <v>0.5</v>
      </c>
      <c r="K40" s="55">
        <f>VLOOKUP(VLOOKUP(Q40&amp;"_"&amp;R40,挑战模式!$A$3:$Z$55,2+5*S40,FALSE),'⚪设计'!$B$85:$H$114,7,FALSE)</f>
        <v>1</v>
      </c>
      <c r="L40" s="57" t="str">
        <f t="shared" si="1"/>
        <v>Monster_Challenge5_3_1</v>
      </c>
      <c r="M40" t="s">
        <v>468</v>
      </c>
      <c r="N40" t="s">
        <v>469</v>
      </c>
      <c r="O40" t="s">
        <v>470</v>
      </c>
      <c r="P40" s="57" t="str">
        <f>IF(VLOOKUP(D40,'⚪设计'!$C$85:$I$113,7,FALSE)="","",VLOOKUP(D40,'⚪设计'!$C$85:$I$113,7,FALSE))</f>
        <v>Skill_Monster_Invisible,NormalAttack</v>
      </c>
      <c r="Q40" s="110" t="str">
        <f t="shared" si="5"/>
        <v>5</v>
      </c>
      <c r="R40" s="110" t="str">
        <f t="shared" si="6"/>
        <v>3</v>
      </c>
      <c r="S40" s="110" t="str">
        <f t="shared" si="7"/>
        <v>1</v>
      </c>
    </row>
    <row r="41" spans="2:19" s="57" customFormat="1" x14ac:dyDescent="0.2">
      <c r="B41" s="57" t="s">
        <v>777</v>
      </c>
      <c r="C41" s="57" t="s">
        <v>750</v>
      </c>
      <c r="D41" s="55" t="str">
        <f>VLOOKUP(VLOOKUP(Q41&amp;"_"&amp;R41,挑战模式!$A$3:$Z$55,2+5*S41,FALSE),'⚪设计'!$B$85:$H$114,2,FALSE)</f>
        <v>ResUnit_ZhongZi1</v>
      </c>
      <c r="E41" s="55">
        <f>VLOOKUP(VLOOKUP(Q41&amp;"_"&amp;R41,挑战模式!$A$3:$Z$55,2+5*S41,FALSE),'⚪设计'!$B$85:$H$114,6,FALSE)*VLOOKUP(Q41&amp;"_"&amp;R41,挑战模式!$A$3:$Z$55,5,FALSE)</f>
        <v>2</v>
      </c>
      <c r="F41">
        <v>400</v>
      </c>
      <c r="G41" t="b">
        <v>1</v>
      </c>
      <c r="H41">
        <v>1</v>
      </c>
      <c r="I41">
        <v>1</v>
      </c>
      <c r="J41">
        <v>0.5</v>
      </c>
      <c r="K41" s="55">
        <f>VLOOKUP(VLOOKUP(Q41&amp;"_"&amp;R41,挑战模式!$A$3:$Z$55,2+5*S41,FALSE),'⚪设计'!$B$85:$H$114,7,FALSE)</f>
        <v>1</v>
      </c>
      <c r="L41" s="57" t="str">
        <f t="shared" si="1"/>
        <v>Monster_Challenge5_3_2</v>
      </c>
      <c r="M41" t="s">
        <v>468</v>
      </c>
      <c r="N41" t="s">
        <v>469</v>
      </c>
      <c r="O41" t="s">
        <v>470</v>
      </c>
      <c r="P41" s="57" t="str">
        <f>IF(VLOOKUP(D41,'⚪设计'!$C$85:$I$113,7,FALSE)="","",VLOOKUP(D41,'⚪设计'!$C$85:$I$113,7,FALSE))</f>
        <v>Skill_Monster_Heal,NormalAttack</v>
      </c>
      <c r="Q41" s="110" t="str">
        <f t="shared" si="5"/>
        <v>5</v>
      </c>
      <c r="R41" s="110" t="str">
        <f t="shared" si="6"/>
        <v>3</v>
      </c>
      <c r="S41" s="110" t="str">
        <f t="shared" si="7"/>
        <v>2</v>
      </c>
    </row>
    <row r="42" spans="2:19" s="57" customFormat="1" x14ac:dyDescent="0.2">
      <c r="B42" s="57" t="s">
        <v>778</v>
      </c>
      <c r="C42" s="57" t="s">
        <v>751</v>
      </c>
      <c r="D42" s="55" t="str">
        <f>VLOOKUP(VLOOKUP(Q42&amp;"_"&amp;R42,挑战模式!$A$3:$Z$55,2+5*S42,FALSE),'⚪设计'!$B$85:$H$114,2,FALSE)</f>
        <v>ResUnit_ZhiZhu1</v>
      </c>
      <c r="E42" s="55">
        <f>VLOOKUP(VLOOKUP(Q42&amp;"_"&amp;R42,挑战模式!$A$3:$Z$55,2+5*S42,FALSE),'⚪设计'!$B$85:$H$114,6,FALSE)*VLOOKUP(Q42&amp;"_"&amp;R42,挑战模式!$A$3:$Z$55,5,FALSE)</f>
        <v>3</v>
      </c>
      <c r="F42">
        <v>400</v>
      </c>
      <c r="G42" t="b">
        <v>1</v>
      </c>
      <c r="H42">
        <v>1</v>
      </c>
      <c r="I42">
        <v>1</v>
      </c>
      <c r="J42">
        <v>0.5</v>
      </c>
      <c r="K42" s="55">
        <f>VLOOKUP(VLOOKUP(Q42&amp;"_"&amp;R42,挑战模式!$A$3:$Z$55,2+5*S42,FALSE),'⚪设计'!$B$85:$H$114,7,FALSE)</f>
        <v>1</v>
      </c>
      <c r="L42" s="57" t="str">
        <f t="shared" si="1"/>
        <v>Monster_Challenge5_3_3</v>
      </c>
      <c r="M42" t="s">
        <v>468</v>
      </c>
      <c r="N42" t="s">
        <v>469</v>
      </c>
      <c r="O42" t="s">
        <v>470</v>
      </c>
      <c r="P42" s="57" t="str">
        <f>IF(VLOOKUP(D42,'⚪设计'!$C$85:$I$113,7,FALSE)="","",VLOOKUP(D42,'⚪设计'!$C$85:$I$113,7,FALSE))</f>
        <v/>
      </c>
      <c r="Q42" s="110" t="str">
        <f t="shared" si="5"/>
        <v>5</v>
      </c>
      <c r="R42" s="110" t="str">
        <f t="shared" si="6"/>
        <v>3</v>
      </c>
      <c r="S42" s="110" t="str">
        <f t="shared" si="7"/>
        <v>3</v>
      </c>
    </row>
    <row r="43" spans="2:19" s="57" customFormat="1" x14ac:dyDescent="0.2">
      <c r="B43" s="57" t="s">
        <v>779</v>
      </c>
      <c r="C43" s="57" t="s">
        <v>752</v>
      </c>
      <c r="D43" s="55" t="str">
        <f>VLOOKUP(VLOOKUP(Q43&amp;"_"&amp;R43,挑战模式!$A$3:$Z$55,2+5*S43,FALSE),'⚪设计'!$B$85:$H$114,2,FALSE)</f>
        <v>ResUnit_Gui1</v>
      </c>
      <c r="E43" s="55">
        <f>VLOOKUP(VLOOKUP(Q43&amp;"_"&amp;R43,挑战模式!$A$3:$Z$55,2+5*S43,FALSE),'⚪设计'!$B$85:$H$114,6,FALSE)*VLOOKUP(Q43&amp;"_"&amp;R43,挑战模式!$A$3:$Z$55,5,FALSE)</f>
        <v>2</v>
      </c>
      <c r="F43">
        <v>400</v>
      </c>
      <c r="G43" t="b">
        <v>1</v>
      </c>
      <c r="H43">
        <v>1</v>
      </c>
      <c r="I43">
        <v>1</v>
      </c>
      <c r="J43">
        <v>0.5</v>
      </c>
      <c r="K43" s="55">
        <f>VLOOKUP(VLOOKUP(Q43&amp;"_"&amp;R43,挑战模式!$A$3:$Z$55,2+5*S43,FALSE),'⚪设计'!$B$85:$H$114,7,FALSE)</f>
        <v>1</v>
      </c>
      <c r="L43" s="57" t="str">
        <f t="shared" si="1"/>
        <v>Monster_Challenge5_4_1</v>
      </c>
      <c r="M43" t="s">
        <v>468</v>
      </c>
      <c r="N43" t="s">
        <v>469</v>
      </c>
      <c r="O43" t="s">
        <v>470</v>
      </c>
      <c r="P43" s="57" t="str">
        <f>IF(VLOOKUP(D43,'⚪设计'!$C$85:$I$113,7,FALSE)="","",VLOOKUP(D43,'⚪设计'!$C$85:$I$113,7,FALSE))</f>
        <v>Skill_Monster_Invisible,NormalAttack</v>
      </c>
      <c r="Q43" s="110" t="str">
        <f t="shared" si="5"/>
        <v>5</v>
      </c>
      <c r="R43" s="110" t="str">
        <f t="shared" si="6"/>
        <v>4</v>
      </c>
      <c r="S43" s="110" t="str">
        <f t="shared" si="7"/>
        <v>1</v>
      </c>
    </row>
    <row r="44" spans="2:19" s="57" customFormat="1" x14ac:dyDescent="0.2">
      <c r="B44" s="57" t="s">
        <v>780</v>
      </c>
      <c r="C44" s="57" t="s">
        <v>753</v>
      </c>
      <c r="D44" s="55" t="str">
        <f>VLOOKUP(VLOOKUP(Q44&amp;"_"&amp;R44,挑战模式!$A$3:$Z$55,2+5*S44,FALSE),'⚪设计'!$B$85:$H$114,2,FALSE)</f>
        <v>ResUnit_BianFu2</v>
      </c>
      <c r="E44" s="55">
        <f>VLOOKUP(VLOOKUP(Q44&amp;"_"&amp;R44,挑战模式!$A$3:$Z$55,2+5*S44,FALSE),'⚪设计'!$B$85:$H$114,6,FALSE)*VLOOKUP(Q44&amp;"_"&amp;R44,挑战模式!$A$3:$Z$55,5,FALSE)</f>
        <v>2</v>
      </c>
      <c r="F44">
        <v>400</v>
      </c>
      <c r="G44" t="b">
        <v>1</v>
      </c>
      <c r="H44">
        <v>1</v>
      </c>
      <c r="I44">
        <v>1</v>
      </c>
      <c r="J44">
        <v>0.5</v>
      </c>
      <c r="K44" s="55">
        <f>VLOOKUP(VLOOKUP(Q44&amp;"_"&amp;R44,挑战模式!$A$3:$Z$55,2+5*S44,FALSE),'⚪设计'!$B$85:$H$114,7,FALSE)</f>
        <v>1.5</v>
      </c>
      <c r="L44" s="57" t="str">
        <f t="shared" si="1"/>
        <v>Monster_Challenge5_4_2</v>
      </c>
      <c r="M44" t="s">
        <v>468</v>
      </c>
      <c r="N44" t="s">
        <v>469</v>
      </c>
      <c r="O44" t="s">
        <v>470</v>
      </c>
      <c r="P44" s="57" t="str">
        <f>IF(VLOOKUP(D44,'⚪设计'!$C$85:$I$113,7,FALSE)="","",VLOOKUP(D44,'⚪设计'!$C$85:$I$113,7,FALSE))</f>
        <v/>
      </c>
      <c r="Q44" s="110" t="str">
        <f t="shared" si="5"/>
        <v>5</v>
      </c>
      <c r="R44" s="110" t="str">
        <f t="shared" si="6"/>
        <v>4</v>
      </c>
      <c r="S44" s="110" t="str">
        <f t="shared" si="7"/>
        <v>2</v>
      </c>
    </row>
    <row r="45" spans="2:19" s="57" customFormat="1" x14ac:dyDescent="0.2">
      <c r="B45" s="57" t="s">
        <v>3072</v>
      </c>
      <c r="C45" s="57" t="s">
        <v>3095</v>
      </c>
      <c r="D45" s="55" t="str">
        <f>VLOOKUP(VLOOKUP(Q45&amp;"_"&amp;R45,挑战模式!$A$3:$Z$55,2+5*S45,FALSE),'⚪设计'!$B$85:$H$114,2,FALSE)</f>
        <v>ResUnit_ZhongZi1</v>
      </c>
      <c r="E45" s="55">
        <f>VLOOKUP(VLOOKUP(Q45&amp;"_"&amp;R45,挑战模式!$A$3:$Z$55,2+5*S45,FALSE),'⚪设计'!$B$85:$H$114,6,FALSE)*VLOOKUP(Q45&amp;"_"&amp;R45,挑战模式!$A$3:$Z$55,5,FALSE)</f>
        <v>2</v>
      </c>
      <c r="F45">
        <v>400</v>
      </c>
      <c r="G45" t="b">
        <v>1</v>
      </c>
      <c r="H45">
        <v>1</v>
      </c>
      <c r="I45">
        <v>1</v>
      </c>
      <c r="J45">
        <v>0.5</v>
      </c>
      <c r="K45" s="55">
        <f>VLOOKUP(VLOOKUP(Q45&amp;"_"&amp;R45,挑战模式!$A$3:$Z$55,2+5*S45,FALSE),'⚪设计'!$B$85:$H$114,7,FALSE)</f>
        <v>1</v>
      </c>
      <c r="L45" s="57" t="str">
        <f t="shared" si="1"/>
        <v>Monster_Challenge5_4_3</v>
      </c>
      <c r="M45" t="s">
        <v>468</v>
      </c>
      <c r="N45" t="s">
        <v>469</v>
      </c>
      <c r="O45" t="s">
        <v>470</v>
      </c>
      <c r="P45" s="57" t="str">
        <f>IF(VLOOKUP(D45,'⚪设计'!$C$85:$I$113,7,FALSE)="","",VLOOKUP(D45,'⚪设计'!$C$85:$I$113,7,FALSE))</f>
        <v>Skill_Monster_Heal,NormalAttack</v>
      </c>
      <c r="Q45" s="110" t="str">
        <f t="shared" si="5"/>
        <v>5</v>
      </c>
      <c r="R45" s="110" t="str">
        <f t="shared" si="6"/>
        <v>4</v>
      </c>
      <c r="S45" s="110" t="str">
        <f t="shared" si="7"/>
        <v>3</v>
      </c>
    </row>
    <row r="46" spans="2:19" s="57" customFormat="1" x14ac:dyDescent="0.2">
      <c r="B46" s="57" t="s">
        <v>781</v>
      </c>
      <c r="C46" s="57" t="s">
        <v>754</v>
      </c>
      <c r="D46" s="55" t="str">
        <f>VLOOKUP(VLOOKUP(Q46&amp;"_"&amp;R46,挑战模式!$A$3:$Z$55,2+5*S46,FALSE),'⚪设计'!$B$85:$H$114,2,FALSE)</f>
        <v>ResUnit_Gui1</v>
      </c>
      <c r="E46" s="55">
        <f>VLOOKUP(VLOOKUP(Q46&amp;"_"&amp;R46,挑战模式!$A$3:$Z$55,2+5*S46,FALSE),'⚪设计'!$B$85:$H$114,6,FALSE)*VLOOKUP(Q46&amp;"_"&amp;R46,挑战模式!$A$3:$Z$55,5,FALSE)</f>
        <v>2</v>
      </c>
      <c r="F46">
        <v>400</v>
      </c>
      <c r="G46" t="b">
        <v>1</v>
      </c>
      <c r="H46">
        <v>1</v>
      </c>
      <c r="I46">
        <v>1</v>
      </c>
      <c r="J46">
        <v>0.5</v>
      </c>
      <c r="K46" s="55">
        <f>VLOOKUP(VLOOKUP(Q46&amp;"_"&amp;R46,挑战模式!$A$3:$Z$55,2+5*S46,FALSE),'⚪设计'!$B$85:$H$114,7,FALSE)</f>
        <v>1</v>
      </c>
      <c r="L46" s="57" t="str">
        <f t="shared" si="1"/>
        <v>Monster_Challenge5_5_1</v>
      </c>
      <c r="M46" t="s">
        <v>468</v>
      </c>
      <c r="N46" t="s">
        <v>469</v>
      </c>
      <c r="O46" t="s">
        <v>470</v>
      </c>
      <c r="P46" s="57" t="str">
        <f>IF(VLOOKUP(D46,'⚪设计'!$C$85:$I$113,7,FALSE)="","",VLOOKUP(D46,'⚪设计'!$C$85:$I$113,7,FALSE))</f>
        <v>Skill_Monster_Invisible,NormalAttack</v>
      </c>
      <c r="Q46" s="110" t="str">
        <f t="shared" si="5"/>
        <v>5</v>
      </c>
      <c r="R46" s="110" t="str">
        <f t="shared" si="6"/>
        <v>5</v>
      </c>
      <c r="S46" s="110" t="str">
        <f t="shared" si="7"/>
        <v>1</v>
      </c>
    </row>
    <row r="47" spans="2:19" s="57" customFormat="1" x14ac:dyDescent="0.2">
      <c r="B47" s="57" t="s">
        <v>782</v>
      </c>
      <c r="C47" s="57" t="s">
        <v>755</v>
      </c>
      <c r="D47" s="55" t="str">
        <f>VLOOKUP(VLOOKUP(Q47&amp;"_"&amp;R47,挑战模式!$A$3:$Z$55,2+5*S47,FALSE),'⚪设计'!$B$85:$H$114,2,FALSE)</f>
        <v>ResUnit_ZhongZi1</v>
      </c>
      <c r="E47" s="55">
        <f>VLOOKUP(VLOOKUP(Q47&amp;"_"&amp;R47,挑战模式!$A$3:$Z$55,2+5*S47,FALSE),'⚪设计'!$B$85:$H$114,6,FALSE)*VLOOKUP(Q47&amp;"_"&amp;R47,挑战模式!$A$3:$Z$55,5,FALSE)</f>
        <v>2</v>
      </c>
      <c r="F47">
        <v>400</v>
      </c>
      <c r="G47" t="b">
        <v>1</v>
      </c>
      <c r="H47">
        <v>1</v>
      </c>
      <c r="I47">
        <v>1</v>
      </c>
      <c r="J47">
        <v>0.5</v>
      </c>
      <c r="K47" s="55">
        <f>VLOOKUP(VLOOKUP(Q47&amp;"_"&amp;R47,挑战模式!$A$3:$Z$55,2+5*S47,FALSE),'⚪设计'!$B$85:$H$114,7,FALSE)</f>
        <v>1</v>
      </c>
      <c r="L47" s="57" t="str">
        <f t="shared" si="1"/>
        <v>Monster_Challenge5_5_2</v>
      </c>
      <c r="M47" t="s">
        <v>468</v>
      </c>
      <c r="N47" t="s">
        <v>469</v>
      </c>
      <c r="O47" t="s">
        <v>470</v>
      </c>
      <c r="P47" s="57" t="str">
        <f>IF(VLOOKUP(D47,'⚪设计'!$C$85:$I$113,7,FALSE)="","",VLOOKUP(D47,'⚪设计'!$C$85:$I$113,7,FALSE))</f>
        <v>Skill_Monster_Heal,NormalAttack</v>
      </c>
      <c r="Q47" s="110" t="str">
        <f t="shared" si="5"/>
        <v>5</v>
      </c>
      <c r="R47" s="110" t="str">
        <f t="shared" si="6"/>
        <v>5</v>
      </c>
      <c r="S47" s="110" t="str">
        <f t="shared" si="7"/>
        <v>2</v>
      </c>
    </row>
    <row r="48" spans="2:19" s="57" customFormat="1" x14ac:dyDescent="0.2">
      <c r="B48" s="57" t="s">
        <v>783</v>
      </c>
      <c r="C48" s="57" t="s">
        <v>756</v>
      </c>
      <c r="D48" s="55" t="str">
        <f>VLOOKUP(VLOOKUP(Q48&amp;"_"&amp;R48,挑战模式!$A$3:$Z$55,2+5*S48,FALSE),'⚪设计'!$B$85:$H$114,2,FALSE)</f>
        <v>ResUnit_ZhiZhu1</v>
      </c>
      <c r="E48" s="55">
        <f>VLOOKUP(VLOOKUP(Q48&amp;"_"&amp;R48,挑战模式!$A$3:$Z$55,2+5*S48,FALSE),'⚪设计'!$B$85:$H$114,6,FALSE)*VLOOKUP(Q48&amp;"_"&amp;R48,挑战模式!$A$3:$Z$55,5,FALSE)</f>
        <v>3</v>
      </c>
      <c r="F48">
        <v>400</v>
      </c>
      <c r="G48" t="b">
        <v>1</v>
      </c>
      <c r="H48">
        <v>1</v>
      </c>
      <c r="I48">
        <v>1</v>
      </c>
      <c r="J48">
        <v>0.5</v>
      </c>
      <c r="K48" s="55">
        <f>VLOOKUP(VLOOKUP(Q48&amp;"_"&amp;R48,挑战模式!$A$3:$Z$55,2+5*S48,FALSE),'⚪设计'!$B$85:$H$114,7,FALSE)</f>
        <v>1</v>
      </c>
      <c r="L48" s="57" t="str">
        <f t="shared" si="1"/>
        <v>Monster_Challenge5_5_3</v>
      </c>
      <c r="M48" t="s">
        <v>468</v>
      </c>
      <c r="N48" t="s">
        <v>469</v>
      </c>
      <c r="O48" t="s">
        <v>470</v>
      </c>
      <c r="P48" s="57" t="str">
        <f>IF(VLOOKUP(D48,'⚪设计'!$C$85:$I$113,7,FALSE)="","",VLOOKUP(D48,'⚪设计'!$C$85:$I$113,7,FALSE))</f>
        <v/>
      </c>
      <c r="Q48" s="110" t="str">
        <f t="shared" si="5"/>
        <v>5</v>
      </c>
      <c r="R48" s="110" t="str">
        <f t="shared" si="6"/>
        <v>5</v>
      </c>
      <c r="S48" s="110" t="str">
        <f t="shared" si="7"/>
        <v>3</v>
      </c>
    </row>
    <row r="49" spans="2:19" s="57" customFormat="1" x14ac:dyDescent="0.2">
      <c r="B49" s="57" t="s">
        <v>784</v>
      </c>
      <c r="C49" s="57" t="s">
        <v>757</v>
      </c>
      <c r="D49" s="55" t="str">
        <f>VLOOKUP(VLOOKUP(Q49&amp;"_"&amp;R49,挑战模式!$A$3:$Z$55,2+5*S49,FALSE),'⚪设计'!$B$85:$H$114,2,FALSE)</f>
        <v>ResUnit_BianFu2</v>
      </c>
      <c r="E49" s="55">
        <f>VLOOKUP(VLOOKUP(Q49&amp;"_"&amp;R49,挑战模式!$A$3:$Z$55,2+5*S49,FALSE),'⚪设计'!$B$85:$H$114,6,FALSE)*VLOOKUP(Q49&amp;"_"&amp;R49,挑战模式!$A$3:$Z$55,5,FALSE)</f>
        <v>2</v>
      </c>
      <c r="F49">
        <v>400</v>
      </c>
      <c r="G49" t="b">
        <v>1</v>
      </c>
      <c r="H49">
        <v>1</v>
      </c>
      <c r="I49">
        <v>1</v>
      </c>
      <c r="J49">
        <v>0.5</v>
      </c>
      <c r="K49" s="55">
        <f>VLOOKUP(VLOOKUP(Q49&amp;"_"&amp;R49,挑战模式!$A$3:$Z$55,2+5*S49,FALSE),'⚪设计'!$B$85:$H$114,7,FALSE)</f>
        <v>1.5</v>
      </c>
      <c r="L49" s="57" t="str">
        <f t="shared" si="1"/>
        <v>Monster_Challenge5_5_4</v>
      </c>
      <c r="M49" t="s">
        <v>468</v>
      </c>
      <c r="N49" t="s">
        <v>469</v>
      </c>
      <c r="O49" t="s">
        <v>470</v>
      </c>
      <c r="P49" s="57" t="str">
        <f>IF(VLOOKUP(D49,'⚪设计'!$C$85:$I$113,7,FALSE)="","",VLOOKUP(D49,'⚪设计'!$C$85:$I$113,7,FALSE))</f>
        <v/>
      </c>
      <c r="Q49" s="110" t="str">
        <f t="shared" si="5"/>
        <v>5</v>
      </c>
      <c r="R49" s="110" t="str">
        <f t="shared" si="6"/>
        <v>5</v>
      </c>
      <c r="S49" s="110" t="str">
        <f t="shared" si="7"/>
        <v>4</v>
      </c>
    </row>
    <row r="50" spans="2:19" s="57" customFormat="1" x14ac:dyDescent="0.2">
      <c r="B50" s="57" t="s">
        <v>898</v>
      </c>
      <c r="C50" s="57" t="s">
        <v>964</v>
      </c>
      <c r="D50" s="55" t="str">
        <f>VLOOKUP(VLOOKUP(Q50&amp;"_"&amp;R50,挑战模式!$A$3:$Z$55,2+5*S50,FALSE),'⚪设计'!$B$85:$H$114,2,FALSE)</f>
        <v>ResUnit_Gui2</v>
      </c>
      <c r="E50" s="55">
        <f>VLOOKUP(VLOOKUP(Q50&amp;"_"&amp;R50,挑战模式!$A$3:$Z$55,2+5*S50,FALSE),'⚪设计'!$B$85:$H$114,6,FALSE)*VLOOKUP(Q50&amp;"_"&amp;R50,挑战模式!$A$3:$Z$55,5,FALSE)</f>
        <v>2</v>
      </c>
      <c r="F50">
        <v>400</v>
      </c>
      <c r="G50" t="b">
        <v>1</v>
      </c>
      <c r="H50">
        <v>1</v>
      </c>
      <c r="I50">
        <v>1</v>
      </c>
      <c r="J50">
        <v>0.5</v>
      </c>
      <c r="K50" s="55">
        <f>VLOOKUP(VLOOKUP(Q50&amp;"_"&amp;R50,挑战模式!$A$3:$Z$55,2+5*S50,FALSE),'⚪设计'!$B$85:$H$114,7,FALSE)</f>
        <v>1.5</v>
      </c>
      <c r="L50" s="57" t="str">
        <f t="shared" si="1"/>
        <v>Monster_Challenge6_1_1</v>
      </c>
      <c r="M50" t="s">
        <v>468</v>
      </c>
      <c r="N50" t="s">
        <v>469</v>
      </c>
      <c r="O50" t="s">
        <v>470</v>
      </c>
      <c r="P50" s="57" t="str">
        <f>IF(VLOOKUP(D50,'⚪设计'!$C$85:$I$113,7,FALSE)="","",VLOOKUP(D50,'⚪设计'!$C$85:$I$113,7,FALSE))</f>
        <v>Skill_Monster_Invisible,NormalAttack</v>
      </c>
      <c r="Q50" s="110" t="str">
        <f t="shared" si="5"/>
        <v>6</v>
      </c>
      <c r="R50" s="110" t="str">
        <f t="shared" si="6"/>
        <v>1</v>
      </c>
      <c r="S50" s="110" t="str">
        <f t="shared" si="7"/>
        <v>1</v>
      </c>
    </row>
    <row r="51" spans="2:19" s="57" customFormat="1" x14ac:dyDescent="0.2">
      <c r="B51" s="57" t="s">
        <v>899</v>
      </c>
      <c r="C51" s="57" t="s">
        <v>965</v>
      </c>
      <c r="D51" s="55" t="str">
        <f>VLOOKUP(VLOOKUP(Q51&amp;"_"&amp;R51,挑战模式!$A$3:$Z$55,2+5*S51,FALSE),'⚪设计'!$B$85:$H$114,2,FALSE)</f>
        <v>ResUnit_ZhongZi1</v>
      </c>
      <c r="E51" s="55">
        <f>VLOOKUP(VLOOKUP(Q51&amp;"_"&amp;R51,挑战模式!$A$3:$Z$55,2+5*S51,FALSE),'⚪设计'!$B$85:$H$114,6,FALSE)*VLOOKUP(Q51&amp;"_"&amp;R51,挑战模式!$A$3:$Z$55,5,FALSE)</f>
        <v>2</v>
      </c>
      <c r="F51">
        <v>400</v>
      </c>
      <c r="G51" t="b">
        <v>1</v>
      </c>
      <c r="H51">
        <v>1</v>
      </c>
      <c r="I51">
        <v>1</v>
      </c>
      <c r="J51">
        <v>0.5</v>
      </c>
      <c r="K51" s="55">
        <f>VLOOKUP(VLOOKUP(Q51&amp;"_"&amp;R51,挑战模式!$A$3:$Z$55,2+5*S51,FALSE),'⚪设计'!$B$85:$H$114,7,FALSE)</f>
        <v>1</v>
      </c>
      <c r="L51" s="57" t="str">
        <f t="shared" si="1"/>
        <v>Monster_Challenge6_1_2</v>
      </c>
      <c r="M51" t="s">
        <v>468</v>
      </c>
      <c r="N51" t="s">
        <v>469</v>
      </c>
      <c r="O51" t="s">
        <v>470</v>
      </c>
      <c r="P51" s="57" t="str">
        <f>IF(VLOOKUP(D51,'⚪设计'!$C$85:$I$113,7,FALSE)="","",VLOOKUP(D51,'⚪设计'!$C$85:$I$113,7,FALSE))</f>
        <v>Skill_Monster_Heal,NormalAttack</v>
      </c>
      <c r="Q51" s="110" t="str">
        <f t="shared" si="5"/>
        <v>6</v>
      </c>
      <c r="R51" s="110" t="str">
        <f t="shared" si="6"/>
        <v>1</v>
      </c>
      <c r="S51" s="110" t="str">
        <f t="shared" si="7"/>
        <v>2</v>
      </c>
    </row>
    <row r="52" spans="2:19" s="57" customFormat="1" x14ac:dyDescent="0.2">
      <c r="B52" s="57" t="s">
        <v>900</v>
      </c>
      <c r="C52" s="57" t="s">
        <v>966</v>
      </c>
      <c r="D52" s="55" t="str">
        <f>VLOOKUP(VLOOKUP(Q52&amp;"_"&amp;R52,挑战模式!$A$3:$Z$55,2+5*S52,FALSE),'⚪设计'!$B$85:$H$114,2,FALSE)</f>
        <v>ResUnit_Gui2</v>
      </c>
      <c r="E52" s="55">
        <f>VLOOKUP(VLOOKUP(Q52&amp;"_"&amp;R52,挑战模式!$A$3:$Z$55,2+5*S52,FALSE),'⚪设计'!$B$85:$H$114,6,FALSE)*VLOOKUP(Q52&amp;"_"&amp;R52,挑战模式!$A$3:$Z$55,5,FALSE)</f>
        <v>2</v>
      </c>
      <c r="F52">
        <v>400</v>
      </c>
      <c r="G52" t="b">
        <v>1</v>
      </c>
      <c r="H52">
        <v>1</v>
      </c>
      <c r="I52">
        <v>1</v>
      </c>
      <c r="J52">
        <v>0.5</v>
      </c>
      <c r="K52" s="55">
        <f>VLOOKUP(VLOOKUP(Q52&amp;"_"&amp;R52,挑战模式!$A$3:$Z$55,2+5*S52,FALSE),'⚪设计'!$B$85:$H$114,7,FALSE)</f>
        <v>1.5</v>
      </c>
      <c r="L52" s="57" t="str">
        <f t="shared" si="1"/>
        <v>Monster_Challenge6_2_1</v>
      </c>
      <c r="M52" t="s">
        <v>468</v>
      </c>
      <c r="N52" t="s">
        <v>469</v>
      </c>
      <c r="O52" t="s">
        <v>470</v>
      </c>
      <c r="P52" s="57" t="str">
        <f>IF(VLOOKUP(D52,'⚪设计'!$C$85:$I$113,7,FALSE)="","",VLOOKUP(D52,'⚪设计'!$C$85:$I$113,7,FALSE))</f>
        <v>Skill_Monster_Invisible,NormalAttack</v>
      </c>
      <c r="Q52" s="110" t="str">
        <f t="shared" si="5"/>
        <v>6</v>
      </c>
      <c r="R52" s="110" t="str">
        <f t="shared" si="6"/>
        <v>2</v>
      </c>
      <c r="S52" s="110" t="str">
        <f t="shared" si="7"/>
        <v>1</v>
      </c>
    </row>
    <row r="53" spans="2:19" s="57" customFormat="1" x14ac:dyDescent="0.2">
      <c r="B53" s="57" t="s">
        <v>901</v>
      </c>
      <c r="C53" s="57" t="s">
        <v>967</v>
      </c>
      <c r="D53" s="55" t="str">
        <f>VLOOKUP(VLOOKUP(Q53&amp;"_"&amp;R53,挑战模式!$A$3:$Z$55,2+5*S53,FALSE),'⚪设计'!$B$85:$H$114,2,FALSE)</f>
        <v>ResUnit_ZhiZhu1</v>
      </c>
      <c r="E53" s="55">
        <f>VLOOKUP(VLOOKUP(Q53&amp;"_"&amp;R53,挑战模式!$A$3:$Z$55,2+5*S53,FALSE),'⚪设计'!$B$85:$H$114,6,FALSE)*VLOOKUP(Q53&amp;"_"&amp;R53,挑战模式!$A$3:$Z$55,5,FALSE)</f>
        <v>3</v>
      </c>
      <c r="F53">
        <v>400</v>
      </c>
      <c r="G53" t="b">
        <v>1</v>
      </c>
      <c r="H53">
        <v>1</v>
      </c>
      <c r="I53">
        <v>1</v>
      </c>
      <c r="J53">
        <v>0.5</v>
      </c>
      <c r="K53" s="55">
        <f>VLOOKUP(VLOOKUP(Q53&amp;"_"&amp;R53,挑战模式!$A$3:$Z$55,2+5*S53,FALSE),'⚪设计'!$B$85:$H$114,7,FALSE)</f>
        <v>1</v>
      </c>
      <c r="L53" s="57" t="str">
        <f t="shared" si="1"/>
        <v>Monster_Challenge6_2_2</v>
      </c>
      <c r="M53" t="s">
        <v>468</v>
      </c>
      <c r="N53" t="s">
        <v>469</v>
      </c>
      <c r="O53" t="s">
        <v>470</v>
      </c>
      <c r="P53" s="57" t="str">
        <f>IF(VLOOKUP(D53,'⚪设计'!$C$85:$I$113,7,FALSE)="","",VLOOKUP(D53,'⚪设计'!$C$85:$I$113,7,FALSE))</f>
        <v/>
      </c>
      <c r="Q53" s="110" t="str">
        <f t="shared" si="5"/>
        <v>6</v>
      </c>
      <c r="R53" s="110" t="str">
        <f t="shared" si="6"/>
        <v>2</v>
      </c>
      <c r="S53" s="110" t="str">
        <f t="shared" si="7"/>
        <v>2</v>
      </c>
    </row>
    <row r="54" spans="2:19" s="57" customFormat="1" x14ac:dyDescent="0.2">
      <c r="B54" s="57" t="s">
        <v>3073</v>
      </c>
      <c r="C54" s="57" t="s">
        <v>3096</v>
      </c>
      <c r="D54" s="55" t="str">
        <f>VLOOKUP(VLOOKUP(Q54&amp;"_"&amp;R54,挑战模式!$A$3:$Z$55,2+5*S54,FALSE),'⚪设计'!$B$85:$H$114,2,FALSE)</f>
        <v>ResUnit_ZhongZi1</v>
      </c>
      <c r="E54" s="55">
        <f>VLOOKUP(VLOOKUP(Q54&amp;"_"&amp;R54,挑战模式!$A$3:$Z$55,2+5*S54,FALSE),'⚪设计'!$B$85:$H$114,6,FALSE)*VLOOKUP(Q54&amp;"_"&amp;R54,挑战模式!$A$3:$Z$55,5,FALSE)</f>
        <v>2</v>
      </c>
      <c r="F54">
        <v>400</v>
      </c>
      <c r="G54" t="b">
        <v>1</v>
      </c>
      <c r="H54">
        <v>1</v>
      </c>
      <c r="I54">
        <v>1</v>
      </c>
      <c r="J54">
        <v>0.5</v>
      </c>
      <c r="K54" s="55">
        <f>VLOOKUP(VLOOKUP(Q54&amp;"_"&amp;R54,挑战模式!$A$3:$Z$55,2+5*S54,FALSE),'⚪设计'!$B$85:$H$114,7,FALSE)</f>
        <v>1</v>
      </c>
      <c r="L54" s="57" t="str">
        <f t="shared" si="1"/>
        <v>Monster_Challenge6_2_3</v>
      </c>
      <c r="M54" t="s">
        <v>468</v>
      </c>
      <c r="N54" t="s">
        <v>469</v>
      </c>
      <c r="O54" t="s">
        <v>470</v>
      </c>
      <c r="P54" s="57" t="str">
        <f>IF(VLOOKUP(D54,'⚪设计'!$C$85:$I$113,7,FALSE)="","",VLOOKUP(D54,'⚪设计'!$C$85:$I$113,7,FALSE))</f>
        <v>Skill_Monster_Heal,NormalAttack</v>
      </c>
      <c r="Q54" s="110" t="str">
        <f t="shared" si="5"/>
        <v>6</v>
      </c>
      <c r="R54" s="110" t="str">
        <f t="shared" si="6"/>
        <v>2</v>
      </c>
      <c r="S54" s="110" t="str">
        <f t="shared" si="7"/>
        <v>3</v>
      </c>
    </row>
    <row r="55" spans="2:19" s="57" customFormat="1" x14ac:dyDescent="0.2">
      <c r="B55" s="57" t="s">
        <v>902</v>
      </c>
      <c r="C55" s="57" t="s">
        <v>968</v>
      </c>
      <c r="D55" s="55" t="str">
        <f>VLOOKUP(VLOOKUP(Q55&amp;"_"&amp;R55,挑战模式!$A$3:$Z$55,2+5*S55,FALSE),'⚪设计'!$B$85:$H$114,2,FALSE)</f>
        <v>ResUnit_Gui2</v>
      </c>
      <c r="E55" s="55">
        <f>VLOOKUP(VLOOKUP(Q55&amp;"_"&amp;R55,挑战模式!$A$3:$Z$55,2+5*S55,FALSE),'⚪设计'!$B$85:$H$114,6,FALSE)*VLOOKUP(Q55&amp;"_"&amp;R55,挑战模式!$A$3:$Z$55,5,FALSE)</f>
        <v>2</v>
      </c>
      <c r="F55">
        <v>400</v>
      </c>
      <c r="G55" t="b">
        <v>1</v>
      </c>
      <c r="H55">
        <v>1</v>
      </c>
      <c r="I55">
        <v>1</v>
      </c>
      <c r="J55">
        <v>0.5</v>
      </c>
      <c r="K55" s="55">
        <f>VLOOKUP(VLOOKUP(Q55&amp;"_"&amp;R55,挑战模式!$A$3:$Z$55,2+5*S55,FALSE),'⚪设计'!$B$85:$H$114,7,FALSE)</f>
        <v>1.5</v>
      </c>
      <c r="L55" s="57" t="str">
        <f t="shared" si="1"/>
        <v>Monster_Challenge6_3_1</v>
      </c>
      <c r="M55" t="s">
        <v>468</v>
      </c>
      <c r="N55" t="s">
        <v>469</v>
      </c>
      <c r="O55" t="s">
        <v>470</v>
      </c>
      <c r="P55" s="57" t="str">
        <f>IF(VLOOKUP(D55,'⚪设计'!$C$85:$I$113,7,FALSE)="","",VLOOKUP(D55,'⚪设计'!$C$85:$I$113,7,FALSE))</f>
        <v>Skill_Monster_Invisible,NormalAttack</v>
      </c>
      <c r="Q55" s="110" t="str">
        <f t="shared" si="5"/>
        <v>6</v>
      </c>
      <c r="R55" s="110" t="str">
        <f t="shared" si="6"/>
        <v>3</v>
      </c>
      <c r="S55" s="110" t="str">
        <f t="shared" si="7"/>
        <v>1</v>
      </c>
    </row>
    <row r="56" spans="2:19" s="57" customFormat="1" x14ac:dyDescent="0.2">
      <c r="B56" s="57" t="s">
        <v>903</v>
      </c>
      <c r="C56" s="57" t="s">
        <v>969</v>
      </c>
      <c r="D56" s="55" t="str">
        <f>VLOOKUP(VLOOKUP(Q56&amp;"_"&amp;R56,挑战模式!$A$3:$Z$55,2+5*S56,FALSE),'⚪设计'!$B$85:$H$114,2,FALSE)</f>
        <v>ResUnit_ZhongZi1</v>
      </c>
      <c r="E56" s="55">
        <f>VLOOKUP(VLOOKUP(Q56&amp;"_"&amp;R56,挑战模式!$A$3:$Z$55,2+5*S56,FALSE),'⚪设计'!$B$85:$H$114,6,FALSE)*VLOOKUP(Q56&amp;"_"&amp;R56,挑战模式!$A$3:$Z$55,5,FALSE)</f>
        <v>2</v>
      </c>
      <c r="F56">
        <v>400</v>
      </c>
      <c r="G56" t="b">
        <v>1</v>
      </c>
      <c r="H56">
        <v>1</v>
      </c>
      <c r="I56">
        <v>1</v>
      </c>
      <c r="J56">
        <v>0.5</v>
      </c>
      <c r="K56" s="55">
        <f>VLOOKUP(VLOOKUP(Q56&amp;"_"&amp;R56,挑战模式!$A$3:$Z$55,2+5*S56,FALSE),'⚪设计'!$B$85:$H$114,7,FALSE)</f>
        <v>1</v>
      </c>
      <c r="L56" s="57" t="str">
        <f t="shared" si="1"/>
        <v>Monster_Challenge6_3_2</v>
      </c>
      <c r="M56" t="s">
        <v>468</v>
      </c>
      <c r="N56" t="s">
        <v>469</v>
      </c>
      <c r="O56" t="s">
        <v>470</v>
      </c>
      <c r="P56" s="57" t="str">
        <f>IF(VLOOKUP(D56,'⚪设计'!$C$85:$I$113,7,FALSE)="","",VLOOKUP(D56,'⚪设计'!$C$85:$I$113,7,FALSE))</f>
        <v>Skill_Monster_Heal,NormalAttack</v>
      </c>
      <c r="Q56" s="110" t="str">
        <f t="shared" si="5"/>
        <v>6</v>
      </c>
      <c r="R56" s="110" t="str">
        <f t="shared" si="6"/>
        <v>3</v>
      </c>
      <c r="S56" s="110" t="str">
        <f t="shared" si="7"/>
        <v>2</v>
      </c>
    </row>
    <row r="57" spans="2:19" s="57" customFormat="1" x14ac:dyDescent="0.2">
      <c r="B57" s="57" t="s">
        <v>904</v>
      </c>
      <c r="C57" s="57" t="s">
        <v>970</v>
      </c>
      <c r="D57" s="55" t="str">
        <f>VLOOKUP(VLOOKUP(Q57&amp;"_"&amp;R57,挑战模式!$A$3:$Z$55,2+5*S57,FALSE),'⚪设计'!$B$85:$H$114,2,FALSE)</f>
        <v>ResUnit_ZhiZhu1</v>
      </c>
      <c r="E57" s="55">
        <f>VLOOKUP(VLOOKUP(Q57&amp;"_"&amp;R57,挑战模式!$A$3:$Z$55,2+5*S57,FALSE),'⚪设计'!$B$85:$H$114,6,FALSE)*VLOOKUP(Q57&amp;"_"&amp;R57,挑战模式!$A$3:$Z$55,5,FALSE)</f>
        <v>3</v>
      </c>
      <c r="F57">
        <v>400</v>
      </c>
      <c r="G57" t="b">
        <v>1</v>
      </c>
      <c r="H57">
        <v>1</v>
      </c>
      <c r="I57">
        <v>1</v>
      </c>
      <c r="J57">
        <v>0.5</v>
      </c>
      <c r="K57" s="55">
        <f>VLOOKUP(VLOOKUP(Q57&amp;"_"&amp;R57,挑战模式!$A$3:$Z$55,2+5*S57,FALSE),'⚪设计'!$B$85:$H$114,7,FALSE)</f>
        <v>1</v>
      </c>
      <c r="L57" s="57" t="str">
        <f t="shared" si="1"/>
        <v>Monster_Challenge6_3_3</v>
      </c>
      <c r="M57" t="s">
        <v>468</v>
      </c>
      <c r="N57" t="s">
        <v>469</v>
      </c>
      <c r="O57" t="s">
        <v>470</v>
      </c>
      <c r="P57" s="57" t="str">
        <f>IF(VLOOKUP(D57,'⚪设计'!$C$85:$I$113,7,FALSE)="","",VLOOKUP(D57,'⚪设计'!$C$85:$I$113,7,FALSE))</f>
        <v/>
      </c>
      <c r="Q57" s="110" t="str">
        <f t="shared" si="5"/>
        <v>6</v>
      </c>
      <c r="R57" s="110" t="str">
        <f t="shared" si="6"/>
        <v>3</v>
      </c>
      <c r="S57" s="110" t="str">
        <f t="shared" si="7"/>
        <v>3</v>
      </c>
    </row>
    <row r="58" spans="2:19" s="57" customFormat="1" x14ac:dyDescent="0.2">
      <c r="B58" s="57" t="s">
        <v>3074</v>
      </c>
      <c r="C58" s="57" t="s">
        <v>3097</v>
      </c>
      <c r="D58" s="55" t="str">
        <f>VLOOKUP(VLOOKUP(Q58&amp;"_"&amp;R58,挑战模式!$A$3:$Z$55,2+5*S58,FALSE),'⚪设计'!$B$85:$H$114,2,FALSE)</f>
        <v>ResUnit_BianFu1</v>
      </c>
      <c r="E58" s="55">
        <f>VLOOKUP(VLOOKUP(Q58&amp;"_"&amp;R58,挑战模式!$A$3:$Z$55,2+5*S58,FALSE),'⚪设计'!$B$85:$H$114,6,FALSE)*VLOOKUP(Q58&amp;"_"&amp;R58,挑战模式!$A$3:$Z$55,5,FALSE)</f>
        <v>2</v>
      </c>
      <c r="F58">
        <v>400</v>
      </c>
      <c r="G58" t="b">
        <v>1</v>
      </c>
      <c r="H58">
        <v>1</v>
      </c>
      <c r="I58">
        <v>1</v>
      </c>
      <c r="J58">
        <v>0.5</v>
      </c>
      <c r="K58" s="55">
        <f>VLOOKUP(VLOOKUP(Q58&amp;"_"&amp;R58,挑战模式!$A$3:$Z$55,2+5*S58,FALSE),'⚪设计'!$B$85:$H$114,7,FALSE)</f>
        <v>1</v>
      </c>
      <c r="L58" s="57" t="str">
        <f t="shared" si="1"/>
        <v>Monster_Challenge6_3_4</v>
      </c>
      <c r="M58" t="s">
        <v>468</v>
      </c>
      <c r="N58" t="s">
        <v>469</v>
      </c>
      <c r="O58" t="s">
        <v>470</v>
      </c>
      <c r="P58" s="57" t="str">
        <f>IF(VLOOKUP(D58,'⚪设计'!$C$85:$I$113,7,FALSE)="","",VLOOKUP(D58,'⚪设计'!$C$85:$I$113,7,FALSE))</f>
        <v/>
      </c>
      <c r="Q58" s="110" t="str">
        <f t="shared" si="5"/>
        <v>6</v>
      </c>
      <c r="R58" s="110" t="str">
        <f t="shared" si="6"/>
        <v>3</v>
      </c>
      <c r="S58" s="110" t="str">
        <f t="shared" si="7"/>
        <v>4</v>
      </c>
    </row>
    <row r="59" spans="2:19" s="57" customFormat="1" x14ac:dyDescent="0.2">
      <c r="B59" s="57" t="s">
        <v>905</v>
      </c>
      <c r="C59" s="57" t="s">
        <v>971</v>
      </c>
      <c r="D59" s="55" t="str">
        <f>VLOOKUP(VLOOKUP(Q59&amp;"_"&amp;R59,挑战模式!$A$3:$Z$55,2+5*S59,FALSE),'⚪设计'!$B$85:$H$114,2,FALSE)</f>
        <v>ResUnit_Gui2</v>
      </c>
      <c r="E59" s="55">
        <f>VLOOKUP(VLOOKUP(Q59&amp;"_"&amp;R59,挑战模式!$A$3:$Z$55,2+5*S59,FALSE),'⚪设计'!$B$85:$H$114,6,FALSE)*VLOOKUP(Q59&amp;"_"&amp;R59,挑战模式!$A$3:$Z$55,5,FALSE)</f>
        <v>2</v>
      </c>
      <c r="F59">
        <v>400</v>
      </c>
      <c r="G59" t="b">
        <v>1</v>
      </c>
      <c r="H59">
        <v>1</v>
      </c>
      <c r="I59">
        <v>1</v>
      </c>
      <c r="J59">
        <v>0.5</v>
      </c>
      <c r="K59" s="55">
        <f>VLOOKUP(VLOOKUP(Q59&amp;"_"&amp;R59,挑战模式!$A$3:$Z$55,2+5*S59,FALSE),'⚪设计'!$B$85:$H$114,7,FALSE)</f>
        <v>1.5</v>
      </c>
      <c r="L59" s="57" t="str">
        <f t="shared" si="1"/>
        <v>Monster_Challenge6_4_1</v>
      </c>
      <c r="M59" t="s">
        <v>468</v>
      </c>
      <c r="N59" t="s">
        <v>469</v>
      </c>
      <c r="O59" t="s">
        <v>470</v>
      </c>
      <c r="P59" s="57" t="str">
        <f>IF(VLOOKUP(D59,'⚪设计'!$C$85:$I$113,7,FALSE)="","",VLOOKUP(D59,'⚪设计'!$C$85:$I$113,7,FALSE))</f>
        <v>Skill_Monster_Invisible,NormalAttack</v>
      </c>
      <c r="Q59" s="110" t="str">
        <f t="shared" si="5"/>
        <v>6</v>
      </c>
      <c r="R59" s="110" t="str">
        <f t="shared" si="6"/>
        <v>4</v>
      </c>
      <c r="S59" s="110" t="str">
        <f t="shared" si="7"/>
        <v>1</v>
      </c>
    </row>
    <row r="60" spans="2:19" s="57" customFormat="1" x14ac:dyDescent="0.2">
      <c r="B60" s="57" t="s">
        <v>906</v>
      </c>
      <c r="C60" s="57" t="s">
        <v>972</v>
      </c>
      <c r="D60" s="55" t="str">
        <f>VLOOKUP(VLOOKUP(Q60&amp;"_"&amp;R60,挑战模式!$A$3:$Z$55,2+5*S60,FALSE),'⚪设计'!$B$85:$H$114,2,FALSE)</f>
        <v>ResUnit_BianFu2</v>
      </c>
      <c r="E60" s="55">
        <f>VLOOKUP(VLOOKUP(Q60&amp;"_"&amp;R60,挑战模式!$A$3:$Z$55,2+5*S60,FALSE),'⚪设计'!$B$85:$H$114,6,FALSE)*VLOOKUP(Q60&amp;"_"&amp;R60,挑战模式!$A$3:$Z$55,5,FALSE)</f>
        <v>2</v>
      </c>
      <c r="F60">
        <v>400</v>
      </c>
      <c r="G60" t="b">
        <v>1</v>
      </c>
      <c r="H60">
        <v>1</v>
      </c>
      <c r="I60">
        <v>1</v>
      </c>
      <c r="J60">
        <v>0.5</v>
      </c>
      <c r="K60" s="55">
        <f>VLOOKUP(VLOOKUP(Q60&amp;"_"&amp;R60,挑战模式!$A$3:$Z$55,2+5*S60,FALSE),'⚪设计'!$B$85:$H$114,7,FALSE)</f>
        <v>1.5</v>
      </c>
      <c r="L60" s="57" t="str">
        <f t="shared" si="1"/>
        <v>Monster_Challenge6_4_2</v>
      </c>
      <c r="M60" t="s">
        <v>468</v>
      </c>
      <c r="N60" t="s">
        <v>469</v>
      </c>
      <c r="O60" t="s">
        <v>470</v>
      </c>
      <c r="P60" s="57" t="str">
        <f>IF(VLOOKUP(D60,'⚪设计'!$C$85:$I$113,7,FALSE)="","",VLOOKUP(D60,'⚪设计'!$C$85:$I$113,7,FALSE))</f>
        <v/>
      </c>
      <c r="Q60" s="110" t="str">
        <f t="shared" si="5"/>
        <v>6</v>
      </c>
      <c r="R60" s="110" t="str">
        <f t="shared" si="6"/>
        <v>4</v>
      </c>
      <c r="S60" s="110" t="str">
        <f t="shared" si="7"/>
        <v>2</v>
      </c>
    </row>
    <row r="61" spans="2:19" s="57" customFormat="1" x14ac:dyDescent="0.2">
      <c r="B61" s="57" t="s">
        <v>907</v>
      </c>
      <c r="C61" s="57" t="s">
        <v>973</v>
      </c>
      <c r="D61" s="55" t="str">
        <f>VLOOKUP(VLOOKUP(Q61&amp;"_"&amp;R61,挑战模式!$A$3:$Z$55,2+5*S61,FALSE),'⚪设计'!$B$85:$H$114,2,FALSE)</f>
        <v>ResUnit_ZhongZi2</v>
      </c>
      <c r="E61" s="55">
        <f>VLOOKUP(VLOOKUP(Q61&amp;"_"&amp;R61,挑战模式!$A$3:$Z$55,2+5*S61,FALSE),'⚪设计'!$B$85:$H$114,6,FALSE)*VLOOKUP(Q61&amp;"_"&amp;R61,挑战模式!$A$3:$Z$55,5,FALSE)</f>
        <v>2</v>
      </c>
      <c r="F61">
        <v>400</v>
      </c>
      <c r="G61" t="b">
        <v>1</v>
      </c>
      <c r="H61">
        <v>1</v>
      </c>
      <c r="I61">
        <v>1</v>
      </c>
      <c r="J61">
        <v>0.5</v>
      </c>
      <c r="K61" s="55">
        <f>VLOOKUP(VLOOKUP(Q61&amp;"_"&amp;R61,挑战模式!$A$3:$Z$55,2+5*S61,FALSE),'⚪设计'!$B$85:$H$114,7,FALSE)</f>
        <v>1.5</v>
      </c>
      <c r="L61" s="57" t="str">
        <f t="shared" si="1"/>
        <v>Monster_Challenge6_4_3</v>
      </c>
      <c r="M61" t="s">
        <v>468</v>
      </c>
      <c r="N61" t="s">
        <v>469</v>
      </c>
      <c r="O61" t="s">
        <v>470</v>
      </c>
      <c r="P61" s="57" t="str">
        <f>IF(VLOOKUP(D61,'⚪设计'!$C$85:$I$113,7,FALSE)="","",VLOOKUP(D61,'⚪设计'!$C$85:$I$113,7,FALSE))</f>
        <v>Skill_Monster_Heal,NormalAttack</v>
      </c>
      <c r="Q61" s="110" t="str">
        <f t="shared" si="5"/>
        <v>6</v>
      </c>
      <c r="R61" s="110" t="str">
        <f t="shared" si="6"/>
        <v>4</v>
      </c>
      <c r="S61" s="110" t="str">
        <f t="shared" si="7"/>
        <v>3</v>
      </c>
    </row>
    <row r="62" spans="2:19" s="57" customFormat="1" x14ac:dyDescent="0.2">
      <c r="B62" s="57" t="s">
        <v>908</v>
      </c>
      <c r="C62" s="57" t="s">
        <v>974</v>
      </c>
      <c r="D62" s="55" t="str">
        <f>VLOOKUP(VLOOKUP(Q62&amp;"_"&amp;R62,挑战模式!$A$3:$Z$55,2+5*S62,FALSE),'⚪设计'!$B$85:$H$114,2,FALSE)</f>
        <v>ResUnit_Gui2</v>
      </c>
      <c r="E62" s="55">
        <f>VLOOKUP(VLOOKUP(Q62&amp;"_"&amp;R62,挑战模式!$A$3:$Z$55,2+5*S62,FALSE),'⚪设计'!$B$85:$H$114,6,FALSE)*VLOOKUP(Q62&amp;"_"&amp;R62,挑战模式!$A$3:$Z$55,5,FALSE)</f>
        <v>2</v>
      </c>
      <c r="F62">
        <v>400</v>
      </c>
      <c r="G62" t="b">
        <v>1</v>
      </c>
      <c r="H62">
        <v>1</v>
      </c>
      <c r="I62">
        <v>1</v>
      </c>
      <c r="J62">
        <v>0.5</v>
      </c>
      <c r="K62" s="55">
        <f>VLOOKUP(VLOOKUP(Q62&amp;"_"&amp;R62,挑战模式!$A$3:$Z$55,2+5*S62,FALSE),'⚪设计'!$B$85:$H$114,7,FALSE)</f>
        <v>1.5</v>
      </c>
      <c r="L62" s="57" t="str">
        <f t="shared" si="1"/>
        <v>Monster_Challenge6_5_1</v>
      </c>
      <c r="M62" t="s">
        <v>468</v>
      </c>
      <c r="N62" t="s">
        <v>469</v>
      </c>
      <c r="O62" t="s">
        <v>470</v>
      </c>
      <c r="P62" s="57" t="str">
        <f>IF(VLOOKUP(D62,'⚪设计'!$C$85:$I$113,7,FALSE)="","",VLOOKUP(D62,'⚪设计'!$C$85:$I$113,7,FALSE))</f>
        <v>Skill_Monster_Invisible,NormalAttack</v>
      </c>
      <c r="Q62" s="110" t="str">
        <f t="shared" si="5"/>
        <v>6</v>
      </c>
      <c r="R62" s="110" t="str">
        <f t="shared" si="6"/>
        <v>5</v>
      </c>
      <c r="S62" s="110" t="str">
        <f t="shared" si="7"/>
        <v>1</v>
      </c>
    </row>
    <row r="63" spans="2:19" x14ac:dyDescent="0.2">
      <c r="B63" s="119" t="s">
        <v>909</v>
      </c>
      <c r="C63" s="119" t="s">
        <v>975</v>
      </c>
      <c r="D63" s="55" t="str">
        <f>VLOOKUP(VLOOKUP(Q63&amp;"_"&amp;R63,挑战模式!$A$3:$Z$55,2+5*S63,FALSE),'⚪设计'!$B$85:$H$114,2,FALSE)</f>
        <v>ResUnit_ZhongZi2</v>
      </c>
      <c r="E63" s="55">
        <f>VLOOKUP(VLOOKUP(Q63&amp;"_"&amp;R63,挑战模式!$A$3:$Z$55,2+5*S63,FALSE),'⚪设计'!$B$85:$H$114,6,FALSE)*VLOOKUP(Q63&amp;"_"&amp;R63,挑战模式!$A$3:$Z$55,5,FALSE)</f>
        <v>2</v>
      </c>
      <c r="F63">
        <v>400</v>
      </c>
      <c r="G63" t="b">
        <v>1</v>
      </c>
      <c r="H63">
        <v>1</v>
      </c>
      <c r="I63">
        <v>1</v>
      </c>
      <c r="J63">
        <v>0.5</v>
      </c>
      <c r="K63" s="55">
        <f>VLOOKUP(VLOOKUP(Q63&amp;"_"&amp;R63,挑战模式!$A$3:$Z$55,2+5*S63,FALSE),'⚪设计'!$B$85:$H$114,7,FALSE)</f>
        <v>1.5</v>
      </c>
      <c r="L63" s="57" t="str">
        <f t="shared" si="1"/>
        <v>Monster_Challenge6_5_2</v>
      </c>
      <c r="M63" t="s">
        <v>468</v>
      </c>
      <c r="N63" t="s">
        <v>469</v>
      </c>
      <c r="O63" t="s">
        <v>470</v>
      </c>
      <c r="P63" s="57" t="str">
        <f>IF(VLOOKUP(D63,'⚪设计'!$C$85:$I$113,7,FALSE)="","",VLOOKUP(D63,'⚪设计'!$C$85:$I$113,7,FALSE))</f>
        <v>Skill_Monster_Heal,NormalAttack</v>
      </c>
      <c r="Q63" s="110" t="str">
        <f t="shared" si="5"/>
        <v>6</v>
      </c>
      <c r="R63" s="110" t="str">
        <f t="shared" si="6"/>
        <v>5</v>
      </c>
      <c r="S63" s="110" t="str">
        <f t="shared" si="7"/>
        <v>2</v>
      </c>
    </row>
    <row r="64" spans="2:19" x14ac:dyDescent="0.2">
      <c r="B64" s="119" t="s">
        <v>910</v>
      </c>
      <c r="C64" s="119" t="s">
        <v>976</v>
      </c>
      <c r="D64" s="55" t="str">
        <f>VLOOKUP(VLOOKUP(Q64&amp;"_"&amp;R64,挑战模式!$A$3:$Z$55,2+5*S64,FALSE),'⚪设计'!$B$85:$H$114,2,FALSE)</f>
        <v>ResUnit_ZhiZhu2</v>
      </c>
      <c r="E64" s="55">
        <f>VLOOKUP(VLOOKUP(Q64&amp;"_"&amp;R64,挑战模式!$A$3:$Z$55,2+5*S64,FALSE),'⚪设计'!$B$85:$H$114,6,FALSE)*VLOOKUP(Q64&amp;"_"&amp;R64,挑战模式!$A$3:$Z$55,5,FALSE)</f>
        <v>3</v>
      </c>
      <c r="F64">
        <v>400</v>
      </c>
      <c r="G64" t="b">
        <v>1</v>
      </c>
      <c r="H64">
        <v>1</v>
      </c>
      <c r="I64">
        <v>1</v>
      </c>
      <c r="J64">
        <v>0.5</v>
      </c>
      <c r="K64" s="55">
        <f>VLOOKUP(VLOOKUP(Q64&amp;"_"&amp;R64,挑战模式!$A$3:$Z$55,2+5*S64,FALSE),'⚪设计'!$B$85:$H$114,7,FALSE)</f>
        <v>1.5</v>
      </c>
      <c r="L64" s="57" t="str">
        <f t="shared" si="1"/>
        <v>Monster_Challenge6_5_3</v>
      </c>
      <c r="M64" t="s">
        <v>468</v>
      </c>
      <c r="N64" t="s">
        <v>469</v>
      </c>
      <c r="O64" t="s">
        <v>470</v>
      </c>
      <c r="P64" s="57" t="str">
        <f>IF(VLOOKUP(D64,'⚪设计'!$C$85:$I$113,7,FALSE)="","",VLOOKUP(D64,'⚪设计'!$C$85:$I$113,7,FALSE))</f>
        <v/>
      </c>
      <c r="Q64" s="110" t="str">
        <f t="shared" si="5"/>
        <v>6</v>
      </c>
      <c r="R64" s="110" t="str">
        <f t="shared" si="6"/>
        <v>5</v>
      </c>
      <c r="S64" s="110" t="str">
        <f t="shared" si="7"/>
        <v>3</v>
      </c>
    </row>
    <row r="65" spans="2:19" x14ac:dyDescent="0.2">
      <c r="B65" s="119" t="s">
        <v>3075</v>
      </c>
      <c r="C65" s="119" t="s">
        <v>3098</v>
      </c>
      <c r="D65" s="55" t="str">
        <f>VLOOKUP(VLOOKUP(Q65&amp;"_"&amp;R65,挑战模式!$A$3:$Z$55,2+5*S65,FALSE),'⚪设计'!$B$85:$H$114,2,FALSE)</f>
        <v>ResUnit_BianFu2</v>
      </c>
      <c r="E65" s="55">
        <f>VLOOKUP(VLOOKUP(Q65&amp;"_"&amp;R65,挑战模式!$A$3:$Z$55,2+5*S65,FALSE),'⚪设计'!$B$85:$H$114,6,FALSE)*VLOOKUP(Q65&amp;"_"&amp;R65,挑战模式!$A$3:$Z$55,5,FALSE)</f>
        <v>2</v>
      </c>
      <c r="F65">
        <v>400</v>
      </c>
      <c r="G65" t="b">
        <v>1</v>
      </c>
      <c r="H65">
        <v>1</v>
      </c>
      <c r="I65">
        <v>1</v>
      </c>
      <c r="J65">
        <v>0.5</v>
      </c>
      <c r="K65" s="55">
        <f>VLOOKUP(VLOOKUP(Q65&amp;"_"&amp;R65,挑战模式!$A$3:$Z$55,2+5*S65,FALSE),'⚪设计'!$B$85:$H$114,7,FALSE)</f>
        <v>1.5</v>
      </c>
      <c r="L65" s="57" t="str">
        <f t="shared" si="1"/>
        <v>Monster_Challenge6_5_4</v>
      </c>
      <c r="M65" t="s">
        <v>468</v>
      </c>
      <c r="N65" t="s">
        <v>469</v>
      </c>
      <c r="O65" t="s">
        <v>470</v>
      </c>
      <c r="P65" s="57" t="str">
        <f>IF(VLOOKUP(D65,'⚪设计'!$C$85:$I$113,7,FALSE)="","",VLOOKUP(D65,'⚪设计'!$C$85:$I$113,7,FALSE))</f>
        <v/>
      </c>
      <c r="Q65" s="110" t="str">
        <f t="shared" si="5"/>
        <v>6</v>
      </c>
      <c r="R65" s="110" t="str">
        <f t="shared" si="6"/>
        <v>5</v>
      </c>
      <c r="S65" s="110" t="str">
        <f t="shared" si="7"/>
        <v>4</v>
      </c>
    </row>
    <row r="66" spans="2:19" x14ac:dyDescent="0.2">
      <c r="B66" s="119" t="s">
        <v>911</v>
      </c>
      <c r="C66" s="119" t="s">
        <v>977</v>
      </c>
      <c r="D66" s="55" t="str">
        <f>VLOOKUP(VLOOKUP(Q66&amp;"_"&amp;R66,挑战模式!$A$3:$Z$55,2+5*S66,FALSE),'⚪设计'!$B$85:$H$114,2,FALSE)</f>
        <v>ResUnit_Dan2</v>
      </c>
      <c r="E66" s="55">
        <f>VLOOKUP(VLOOKUP(Q66&amp;"_"&amp;R66,挑战模式!$A$3:$Z$55,2+5*S66,FALSE),'⚪设计'!$B$85:$H$114,6,FALSE)*VLOOKUP(Q66&amp;"_"&amp;R66,挑战模式!$A$3:$Z$55,5,FALSE)</f>
        <v>2</v>
      </c>
      <c r="F66">
        <v>400</v>
      </c>
      <c r="G66" t="b">
        <v>1</v>
      </c>
      <c r="H66">
        <v>1</v>
      </c>
      <c r="I66">
        <v>1</v>
      </c>
      <c r="J66">
        <v>0.5</v>
      </c>
      <c r="K66" s="55">
        <f>VLOOKUP(VLOOKUP(Q66&amp;"_"&amp;R66,挑战模式!$A$3:$Z$55,2+5*S66,FALSE),'⚪设计'!$B$85:$H$114,7,FALSE)</f>
        <v>1.5</v>
      </c>
      <c r="L66" s="57" t="str">
        <f t="shared" si="1"/>
        <v>Monster_Challenge7_1_1</v>
      </c>
      <c r="M66" t="s">
        <v>468</v>
      </c>
      <c r="N66" t="s">
        <v>469</v>
      </c>
      <c r="O66" t="s">
        <v>470</v>
      </c>
      <c r="P66" s="57" t="str">
        <f>IF(VLOOKUP(D66,'⚪设计'!$C$85:$I$113,7,FALSE)="","",VLOOKUP(D66,'⚪设计'!$C$85:$I$113,7,FALSE))</f>
        <v>Skill_Monster_Weaken,NormalAttack</v>
      </c>
      <c r="Q66" s="110" t="str">
        <f t="shared" si="5"/>
        <v>7</v>
      </c>
      <c r="R66" s="110" t="str">
        <f t="shared" si="6"/>
        <v>1</v>
      </c>
      <c r="S66" s="110" t="str">
        <f t="shared" si="7"/>
        <v>1</v>
      </c>
    </row>
    <row r="67" spans="2:19" x14ac:dyDescent="0.2">
      <c r="B67" s="119" t="s">
        <v>912</v>
      </c>
      <c r="C67" s="119" t="s">
        <v>978</v>
      </c>
      <c r="D67" s="55" t="str">
        <f>VLOOKUP(VLOOKUP(Q67&amp;"_"&amp;R67,挑战模式!$A$3:$Z$55,2+5*S67,FALSE),'⚪设计'!$B$85:$H$114,2,FALSE)</f>
        <v>ResUnit_Dan2</v>
      </c>
      <c r="E67" s="55">
        <f>VLOOKUP(VLOOKUP(Q67&amp;"_"&amp;R67,挑战模式!$A$3:$Z$55,2+5*S67,FALSE),'⚪设计'!$B$85:$H$114,6,FALSE)*VLOOKUP(Q67&amp;"_"&amp;R67,挑战模式!$A$3:$Z$55,5,FALSE)</f>
        <v>2</v>
      </c>
      <c r="F67">
        <v>400</v>
      </c>
      <c r="G67" t="b">
        <v>1</v>
      </c>
      <c r="H67">
        <v>1</v>
      </c>
      <c r="I67">
        <v>1</v>
      </c>
      <c r="J67">
        <v>0.5</v>
      </c>
      <c r="K67" s="55">
        <f>VLOOKUP(VLOOKUP(Q67&amp;"_"&amp;R67,挑战模式!$A$3:$Z$55,2+5*S67,FALSE),'⚪设计'!$B$85:$H$114,7,FALSE)</f>
        <v>1.5</v>
      </c>
      <c r="L67" s="57" t="str">
        <f t="shared" si="1"/>
        <v>Monster_Challenge7_2_1</v>
      </c>
      <c r="M67" t="s">
        <v>468</v>
      </c>
      <c r="N67" t="s">
        <v>469</v>
      </c>
      <c r="O67" t="s">
        <v>470</v>
      </c>
      <c r="P67" s="57" t="str">
        <f>IF(VLOOKUP(D67,'⚪设计'!$C$85:$I$113,7,FALSE)="","",VLOOKUP(D67,'⚪设计'!$C$85:$I$113,7,FALSE))</f>
        <v>Skill_Monster_Weaken,NormalAttack</v>
      </c>
      <c r="Q67" s="110" t="str">
        <f t="shared" si="5"/>
        <v>7</v>
      </c>
      <c r="R67" s="110" t="str">
        <f t="shared" si="6"/>
        <v>2</v>
      </c>
      <c r="S67" s="110" t="str">
        <f t="shared" si="7"/>
        <v>1</v>
      </c>
    </row>
    <row r="68" spans="2:19" x14ac:dyDescent="0.2">
      <c r="B68" s="119" t="s">
        <v>913</v>
      </c>
      <c r="C68" s="119" t="s">
        <v>979</v>
      </c>
      <c r="D68" s="55" t="str">
        <f>VLOOKUP(VLOOKUP(Q68&amp;"_"&amp;R68,挑战模式!$A$3:$Z$55,2+5*S68,FALSE),'⚪设计'!$B$85:$H$114,2,FALSE)</f>
        <v>ResUnit_BianFu1</v>
      </c>
      <c r="E68" s="55">
        <f>VLOOKUP(VLOOKUP(Q68&amp;"_"&amp;R68,挑战模式!$A$3:$Z$55,2+5*S68,FALSE),'⚪设计'!$B$85:$H$114,6,FALSE)*VLOOKUP(Q68&amp;"_"&amp;R68,挑战模式!$A$3:$Z$55,5,FALSE)</f>
        <v>2</v>
      </c>
      <c r="F68">
        <v>400</v>
      </c>
      <c r="G68" t="b">
        <v>1</v>
      </c>
      <c r="H68">
        <v>1</v>
      </c>
      <c r="I68">
        <v>1</v>
      </c>
      <c r="J68">
        <v>0.5</v>
      </c>
      <c r="K68" s="55">
        <f>VLOOKUP(VLOOKUP(Q68&amp;"_"&amp;R68,挑战模式!$A$3:$Z$55,2+5*S68,FALSE),'⚪设计'!$B$85:$H$114,7,FALSE)</f>
        <v>1</v>
      </c>
      <c r="L68" s="57" t="str">
        <f t="shared" si="1"/>
        <v>Monster_Challenge7_2_2</v>
      </c>
      <c r="M68" t="s">
        <v>468</v>
      </c>
      <c r="N68" t="s">
        <v>469</v>
      </c>
      <c r="O68" t="s">
        <v>470</v>
      </c>
      <c r="P68" s="57" t="str">
        <f>IF(VLOOKUP(D68,'⚪设计'!$C$85:$I$113,7,FALSE)="","",VLOOKUP(D68,'⚪设计'!$C$85:$I$113,7,FALSE))</f>
        <v/>
      </c>
      <c r="Q68" s="110" t="str">
        <f t="shared" si="5"/>
        <v>7</v>
      </c>
      <c r="R68" s="110" t="str">
        <f t="shared" si="6"/>
        <v>2</v>
      </c>
      <c r="S68" s="110" t="str">
        <f t="shared" si="7"/>
        <v>2</v>
      </c>
    </row>
    <row r="69" spans="2:19" x14ac:dyDescent="0.2">
      <c r="B69" s="119" t="s">
        <v>914</v>
      </c>
      <c r="C69" s="119" t="s">
        <v>980</v>
      </c>
      <c r="D69" s="55" t="str">
        <f>VLOOKUP(VLOOKUP(Q69&amp;"_"&amp;R69,挑战模式!$A$3:$Z$55,2+5*S69,FALSE),'⚪设计'!$B$85:$H$114,2,FALSE)</f>
        <v>ResUnit_Dan2</v>
      </c>
      <c r="E69" s="55">
        <f>VLOOKUP(VLOOKUP(Q69&amp;"_"&amp;R69,挑战模式!$A$3:$Z$55,2+5*S69,FALSE),'⚪设计'!$B$85:$H$114,6,FALSE)*VLOOKUP(Q69&amp;"_"&amp;R69,挑战模式!$A$3:$Z$55,5,FALSE)</f>
        <v>2</v>
      </c>
      <c r="F69">
        <v>400</v>
      </c>
      <c r="G69" t="b">
        <v>1</v>
      </c>
      <c r="H69">
        <v>1</v>
      </c>
      <c r="I69">
        <v>1</v>
      </c>
      <c r="J69">
        <v>0.5</v>
      </c>
      <c r="K69" s="55">
        <f>VLOOKUP(VLOOKUP(Q69&amp;"_"&amp;R69,挑战模式!$A$3:$Z$55,2+5*S69,FALSE),'⚪设计'!$B$85:$H$114,7,FALSE)</f>
        <v>1.5</v>
      </c>
      <c r="L69" s="57" t="str">
        <f t="shared" si="1"/>
        <v>Monster_Challenge7_3_1</v>
      </c>
      <c r="M69" t="s">
        <v>468</v>
      </c>
      <c r="N69" t="s">
        <v>469</v>
      </c>
      <c r="O69" t="s">
        <v>470</v>
      </c>
      <c r="P69" s="57" t="str">
        <f>IF(VLOOKUP(D69,'⚪设计'!$C$85:$I$113,7,FALSE)="","",VLOOKUP(D69,'⚪设计'!$C$85:$I$113,7,FALSE))</f>
        <v>Skill_Monster_Weaken,NormalAttack</v>
      </c>
      <c r="Q69" s="110" t="str">
        <f t="shared" si="5"/>
        <v>7</v>
      </c>
      <c r="R69" s="110" t="str">
        <f t="shared" si="6"/>
        <v>3</v>
      </c>
      <c r="S69" s="110" t="str">
        <f t="shared" si="7"/>
        <v>1</v>
      </c>
    </row>
    <row r="70" spans="2:19" x14ac:dyDescent="0.2">
      <c r="B70" s="119" t="s">
        <v>915</v>
      </c>
      <c r="C70" s="119" t="s">
        <v>981</v>
      </c>
      <c r="D70" s="55" t="str">
        <f>VLOOKUP(VLOOKUP(Q70&amp;"_"&amp;R70,挑战模式!$A$3:$Z$55,2+5*S70,FALSE),'⚪设计'!$B$85:$H$114,2,FALSE)</f>
        <v>ResUnit_ZhiZhu1</v>
      </c>
      <c r="E70" s="55">
        <f>VLOOKUP(VLOOKUP(Q70&amp;"_"&amp;R70,挑战模式!$A$3:$Z$55,2+5*S70,FALSE),'⚪设计'!$B$85:$H$114,6,FALSE)*VLOOKUP(Q70&amp;"_"&amp;R70,挑战模式!$A$3:$Z$55,5,FALSE)</f>
        <v>3</v>
      </c>
      <c r="F70">
        <v>400</v>
      </c>
      <c r="G70" t="b">
        <v>1</v>
      </c>
      <c r="H70">
        <v>1</v>
      </c>
      <c r="I70">
        <v>1</v>
      </c>
      <c r="J70">
        <v>0.5</v>
      </c>
      <c r="K70" s="55">
        <f>VLOOKUP(VLOOKUP(Q70&amp;"_"&amp;R70,挑战模式!$A$3:$Z$55,2+5*S70,FALSE),'⚪设计'!$B$85:$H$114,7,FALSE)</f>
        <v>1</v>
      </c>
      <c r="L70" s="57" t="str">
        <f t="shared" si="1"/>
        <v>Monster_Challenge7_3_2</v>
      </c>
      <c r="M70" t="s">
        <v>468</v>
      </c>
      <c r="N70" t="s">
        <v>469</v>
      </c>
      <c r="O70" t="s">
        <v>470</v>
      </c>
      <c r="P70" s="57" t="str">
        <f>IF(VLOOKUP(D70,'⚪设计'!$C$85:$I$113,7,FALSE)="","",VLOOKUP(D70,'⚪设计'!$C$85:$I$113,7,FALSE))</f>
        <v/>
      </c>
      <c r="Q70" s="110" t="str">
        <f t="shared" si="5"/>
        <v>7</v>
      </c>
      <c r="R70" s="110" t="str">
        <f t="shared" si="6"/>
        <v>3</v>
      </c>
      <c r="S70" s="110" t="str">
        <f t="shared" si="7"/>
        <v>2</v>
      </c>
    </row>
    <row r="71" spans="2:19" x14ac:dyDescent="0.2">
      <c r="B71" s="119" t="s">
        <v>916</v>
      </c>
      <c r="C71" s="119" t="s">
        <v>982</v>
      </c>
      <c r="D71" s="55" t="str">
        <f>VLOOKUP(VLOOKUP(Q71&amp;"_"&amp;R71,挑战模式!$A$3:$Z$55,2+5*S71,FALSE),'⚪设计'!$B$85:$H$114,2,FALSE)</f>
        <v>ResUnit_Gui1</v>
      </c>
      <c r="E71" s="55">
        <f>VLOOKUP(VLOOKUP(Q71&amp;"_"&amp;R71,挑战模式!$A$3:$Z$55,2+5*S71,FALSE),'⚪设计'!$B$85:$H$114,6,FALSE)*VLOOKUP(Q71&amp;"_"&amp;R71,挑战模式!$A$3:$Z$55,5,FALSE)</f>
        <v>2</v>
      </c>
      <c r="F71">
        <v>400</v>
      </c>
      <c r="G71" t="b">
        <v>1</v>
      </c>
      <c r="H71">
        <v>1</v>
      </c>
      <c r="I71">
        <v>1</v>
      </c>
      <c r="J71">
        <v>0.5</v>
      </c>
      <c r="K71" s="55">
        <f>VLOOKUP(VLOOKUP(Q71&amp;"_"&amp;R71,挑战模式!$A$3:$Z$55,2+5*S71,FALSE),'⚪设计'!$B$85:$H$114,7,FALSE)</f>
        <v>1</v>
      </c>
      <c r="L71" s="57" t="str">
        <f t="shared" si="1"/>
        <v>Monster_Challenge7_3_3</v>
      </c>
      <c r="M71" t="s">
        <v>468</v>
      </c>
      <c r="N71" t="s">
        <v>469</v>
      </c>
      <c r="O71" t="s">
        <v>470</v>
      </c>
      <c r="P71" s="57" t="str">
        <f>IF(VLOOKUP(D71,'⚪设计'!$C$85:$I$113,7,FALSE)="","",VLOOKUP(D71,'⚪设计'!$C$85:$I$113,7,FALSE))</f>
        <v>Skill_Monster_Invisible,NormalAttack</v>
      </c>
      <c r="Q71" s="110" t="str">
        <f t="shared" si="5"/>
        <v>7</v>
      </c>
      <c r="R71" s="110" t="str">
        <f t="shared" si="6"/>
        <v>3</v>
      </c>
      <c r="S71" s="110" t="str">
        <f t="shared" si="7"/>
        <v>3</v>
      </c>
    </row>
    <row r="72" spans="2:19" x14ac:dyDescent="0.2">
      <c r="B72" s="119" t="s">
        <v>917</v>
      </c>
      <c r="C72" s="119" t="s">
        <v>983</v>
      </c>
      <c r="D72" s="55" t="str">
        <f>VLOOKUP(VLOOKUP(Q72&amp;"_"&amp;R72,挑战模式!$A$3:$Z$55,2+5*S72,FALSE),'⚪设计'!$B$85:$H$114,2,FALSE)</f>
        <v>ResUnit_Dan2</v>
      </c>
      <c r="E72" s="55">
        <f>VLOOKUP(VLOOKUP(Q72&amp;"_"&amp;R72,挑战模式!$A$3:$Z$55,2+5*S72,FALSE),'⚪设计'!$B$85:$H$114,6,FALSE)*VLOOKUP(Q72&amp;"_"&amp;R72,挑战模式!$A$3:$Z$55,5,FALSE)</f>
        <v>2</v>
      </c>
      <c r="F72">
        <v>400</v>
      </c>
      <c r="G72" t="b">
        <v>1</v>
      </c>
      <c r="H72">
        <v>1</v>
      </c>
      <c r="I72">
        <v>1</v>
      </c>
      <c r="J72">
        <v>0.5</v>
      </c>
      <c r="K72" s="55">
        <f>VLOOKUP(VLOOKUP(Q72&amp;"_"&amp;R72,挑战模式!$A$3:$Z$55,2+5*S72,FALSE),'⚪设计'!$B$85:$H$114,7,FALSE)</f>
        <v>1.5</v>
      </c>
      <c r="L72" s="57" t="str">
        <f t="shared" si="1"/>
        <v>Monster_Challenge7_4_1</v>
      </c>
      <c r="M72" t="s">
        <v>468</v>
      </c>
      <c r="N72" t="s">
        <v>469</v>
      </c>
      <c r="O72" t="s">
        <v>470</v>
      </c>
      <c r="P72" s="57" t="str">
        <f>IF(VLOOKUP(D72,'⚪设计'!$C$85:$I$113,7,FALSE)="","",VLOOKUP(D72,'⚪设计'!$C$85:$I$113,7,FALSE))</f>
        <v>Skill_Monster_Weaken,NormalAttack</v>
      </c>
      <c r="Q72" s="110" t="str">
        <f t="shared" si="5"/>
        <v>7</v>
      </c>
      <c r="R72" s="110" t="str">
        <f t="shared" si="6"/>
        <v>4</v>
      </c>
      <c r="S72" s="110" t="str">
        <f t="shared" si="7"/>
        <v>1</v>
      </c>
    </row>
    <row r="73" spans="2:19" x14ac:dyDescent="0.2">
      <c r="B73" s="119" t="s">
        <v>918</v>
      </c>
      <c r="C73" s="119" t="s">
        <v>984</v>
      </c>
      <c r="D73" s="55" t="str">
        <f>VLOOKUP(VLOOKUP(Q73&amp;"_"&amp;R73,挑战模式!$A$3:$Z$55,2+5*S73,FALSE),'⚪设计'!$B$85:$H$114,2,FALSE)</f>
        <v>ResUnit_Gui1</v>
      </c>
      <c r="E73" s="55">
        <f>VLOOKUP(VLOOKUP(Q73&amp;"_"&amp;R73,挑战模式!$A$3:$Z$55,2+5*S73,FALSE),'⚪设计'!$B$85:$H$114,6,FALSE)*VLOOKUP(Q73&amp;"_"&amp;R73,挑战模式!$A$3:$Z$55,5,FALSE)</f>
        <v>2</v>
      </c>
      <c r="F73">
        <v>400</v>
      </c>
      <c r="G73" t="b">
        <v>1</v>
      </c>
      <c r="H73">
        <v>1</v>
      </c>
      <c r="I73">
        <v>1</v>
      </c>
      <c r="J73">
        <v>0.5</v>
      </c>
      <c r="K73" s="55">
        <f>VLOOKUP(VLOOKUP(Q73&amp;"_"&amp;R73,挑战模式!$A$3:$Z$55,2+5*S73,FALSE),'⚪设计'!$B$85:$H$114,7,FALSE)</f>
        <v>1</v>
      </c>
      <c r="L73" s="57" t="str">
        <f t="shared" si="1"/>
        <v>Monster_Challenge7_4_2</v>
      </c>
      <c r="M73" t="s">
        <v>468</v>
      </c>
      <c r="N73" t="s">
        <v>469</v>
      </c>
      <c r="O73" t="s">
        <v>470</v>
      </c>
      <c r="P73" s="57" t="str">
        <f>IF(VLOOKUP(D73,'⚪设计'!$C$85:$I$113,7,FALSE)="","",VLOOKUP(D73,'⚪设计'!$C$85:$I$113,7,FALSE))</f>
        <v>Skill_Monster_Invisible,NormalAttack</v>
      </c>
      <c r="Q73" s="110" t="str">
        <f t="shared" si="5"/>
        <v>7</v>
      </c>
      <c r="R73" s="110" t="str">
        <f t="shared" si="6"/>
        <v>4</v>
      </c>
      <c r="S73" s="110" t="str">
        <f t="shared" si="7"/>
        <v>2</v>
      </c>
    </row>
    <row r="74" spans="2:19" x14ac:dyDescent="0.2">
      <c r="B74" s="119" t="s">
        <v>919</v>
      </c>
      <c r="C74" s="119" t="s">
        <v>985</v>
      </c>
      <c r="D74" s="55" t="str">
        <f>VLOOKUP(VLOOKUP(Q74&amp;"_"&amp;R74,挑战模式!$A$3:$Z$55,2+5*S74,FALSE),'⚪设计'!$B$85:$H$114,2,FALSE)</f>
        <v>ResUnit_BianFu2</v>
      </c>
      <c r="E74" s="55">
        <f>VLOOKUP(VLOOKUP(Q74&amp;"_"&amp;R74,挑战模式!$A$3:$Z$55,2+5*S74,FALSE),'⚪设计'!$B$85:$H$114,6,FALSE)*VLOOKUP(Q74&amp;"_"&amp;R74,挑战模式!$A$3:$Z$55,5,FALSE)</f>
        <v>2</v>
      </c>
      <c r="F74">
        <v>400</v>
      </c>
      <c r="G74" t="b">
        <v>1</v>
      </c>
      <c r="H74">
        <v>1</v>
      </c>
      <c r="I74">
        <v>1</v>
      </c>
      <c r="J74">
        <v>0.5</v>
      </c>
      <c r="K74" s="55">
        <f>VLOOKUP(VLOOKUP(Q74&amp;"_"&amp;R74,挑战模式!$A$3:$Z$55,2+5*S74,FALSE),'⚪设计'!$B$85:$H$114,7,FALSE)</f>
        <v>1.5</v>
      </c>
      <c r="L74" s="57" t="str">
        <f t="shared" si="1"/>
        <v>Monster_Challenge7_4_3</v>
      </c>
      <c r="M74" t="s">
        <v>468</v>
      </c>
      <c r="N74" t="s">
        <v>469</v>
      </c>
      <c r="O74" t="s">
        <v>470</v>
      </c>
      <c r="P74" s="57" t="str">
        <f>IF(VLOOKUP(D74,'⚪设计'!$C$85:$I$113,7,FALSE)="","",VLOOKUP(D74,'⚪设计'!$C$85:$I$113,7,FALSE))</f>
        <v/>
      </c>
      <c r="Q74" s="110" t="str">
        <f t="shared" si="5"/>
        <v>7</v>
      </c>
      <c r="R74" s="110" t="str">
        <f t="shared" si="6"/>
        <v>4</v>
      </c>
      <c r="S74" s="110" t="str">
        <f t="shared" si="7"/>
        <v>3</v>
      </c>
    </row>
    <row r="75" spans="2:19" x14ac:dyDescent="0.2">
      <c r="B75" s="119" t="s">
        <v>920</v>
      </c>
      <c r="C75" s="119" t="s">
        <v>986</v>
      </c>
      <c r="D75" s="55" t="str">
        <f>VLOOKUP(VLOOKUP(Q75&amp;"_"&amp;R75,挑战模式!$A$3:$Z$55,2+5*S75,FALSE),'⚪设计'!$B$85:$H$114,2,FALSE)</f>
        <v>ResUnit_Dan2</v>
      </c>
      <c r="E75" s="55">
        <f>VLOOKUP(VLOOKUP(Q75&amp;"_"&amp;R75,挑战模式!$A$3:$Z$55,2+5*S75,FALSE),'⚪设计'!$B$85:$H$114,6,FALSE)*VLOOKUP(Q75&amp;"_"&amp;R75,挑战模式!$A$3:$Z$55,5,FALSE)</f>
        <v>2</v>
      </c>
      <c r="F75">
        <v>400</v>
      </c>
      <c r="G75" t="b">
        <v>1</v>
      </c>
      <c r="H75">
        <v>1</v>
      </c>
      <c r="I75">
        <v>1</v>
      </c>
      <c r="J75">
        <v>0.5</v>
      </c>
      <c r="K75" s="55">
        <f>VLOOKUP(VLOOKUP(Q75&amp;"_"&amp;R75,挑战模式!$A$3:$Z$55,2+5*S75,FALSE),'⚪设计'!$B$85:$H$114,7,FALSE)</f>
        <v>1.5</v>
      </c>
      <c r="L75" s="57" t="str">
        <f t="shared" si="1"/>
        <v>Monster_Challenge7_5_1</v>
      </c>
      <c r="M75" t="s">
        <v>468</v>
      </c>
      <c r="N75" t="s">
        <v>469</v>
      </c>
      <c r="O75" t="s">
        <v>470</v>
      </c>
      <c r="P75" s="57" t="str">
        <f>IF(VLOOKUP(D75,'⚪设计'!$C$85:$I$113,7,FALSE)="","",VLOOKUP(D75,'⚪设计'!$C$85:$I$113,7,FALSE))</f>
        <v>Skill_Monster_Weaken,NormalAttack</v>
      </c>
      <c r="Q75" s="110" t="str">
        <f t="shared" si="5"/>
        <v>7</v>
      </c>
      <c r="R75" s="110" t="str">
        <f t="shared" si="6"/>
        <v>5</v>
      </c>
      <c r="S75" s="110" t="str">
        <f t="shared" si="7"/>
        <v>1</v>
      </c>
    </row>
    <row r="76" spans="2:19" x14ac:dyDescent="0.2">
      <c r="B76" s="119" t="s">
        <v>921</v>
      </c>
      <c r="C76" s="119" t="s">
        <v>987</v>
      </c>
      <c r="D76" s="55" t="str">
        <f>VLOOKUP(VLOOKUP(Q76&amp;"_"&amp;R76,挑战模式!$A$3:$Z$55,2+5*S76,FALSE),'⚪设计'!$B$85:$H$114,2,FALSE)</f>
        <v>ResUnit_Gui2</v>
      </c>
      <c r="E76" s="55">
        <f>VLOOKUP(VLOOKUP(Q76&amp;"_"&amp;R76,挑战模式!$A$3:$Z$55,2+5*S76,FALSE),'⚪设计'!$B$85:$H$114,6,FALSE)*VLOOKUP(Q76&amp;"_"&amp;R76,挑战模式!$A$3:$Z$55,5,FALSE)</f>
        <v>2</v>
      </c>
      <c r="F76">
        <v>400</v>
      </c>
      <c r="G76" t="b">
        <v>1</v>
      </c>
      <c r="H76">
        <v>1</v>
      </c>
      <c r="I76">
        <v>1</v>
      </c>
      <c r="J76">
        <v>0.5</v>
      </c>
      <c r="K76" s="55">
        <f>VLOOKUP(VLOOKUP(Q76&amp;"_"&amp;R76,挑战模式!$A$3:$Z$55,2+5*S76,FALSE),'⚪设计'!$B$85:$H$114,7,FALSE)</f>
        <v>1.5</v>
      </c>
      <c r="L76" s="57" t="str">
        <f t="shared" si="1"/>
        <v>Monster_Challenge7_5_2</v>
      </c>
      <c r="M76" t="s">
        <v>468</v>
      </c>
      <c r="N76" t="s">
        <v>469</v>
      </c>
      <c r="O76" t="s">
        <v>470</v>
      </c>
      <c r="P76" s="57" t="str">
        <f>IF(VLOOKUP(D76,'⚪设计'!$C$85:$I$113,7,FALSE)="","",VLOOKUP(D76,'⚪设计'!$C$85:$I$113,7,FALSE))</f>
        <v>Skill_Monster_Invisible,NormalAttack</v>
      </c>
      <c r="Q76" s="110" t="str">
        <f t="shared" si="5"/>
        <v>7</v>
      </c>
      <c r="R76" s="110" t="str">
        <f t="shared" si="6"/>
        <v>5</v>
      </c>
      <c r="S76" s="110" t="str">
        <f t="shared" si="7"/>
        <v>2</v>
      </c>
    </row>
    <row r="77" spans="2:19" x14ac:dyDescent="0.2">
      <c r="B77" s="119" t="s">
        <v>922</v>
      </c>
      <c r="C77" s="119" t="s">
        <v>988</v>
      </c>
      <c r="D77" s="55" t="str">
        <f>VLOOKUP(VLOOKUP(Q77&amp;"_"&amp;R77,挑战模式!$A$3:$Z$55,2+5*S77,FALSE),'⚪设计'!$B$85:$H$114,2,FALSE)</f>
        <v>ResUnit_MiFeng2</v>
      </c>
      <c r="E77" s="55">
        <f>VLOOKUP(VLOOKUP(Q77&amp;"_"&amp;R77,挑战模式!$A$3:$Z$55,2+5*S77,FALSE),'⚪设计'!$B$85:$H$114,6,FALSE)*VLOOKUP(Q77&amp;"_"&amp;R77,挑战模式!$A$3:$Z$55,5,FALSE)</f>
        <v>2</v>
      </c>
      <c r="F77">
        <v>400</v>
      </c>
      <c r="G77" t="b">
        <v>1</v>
      </c>
      <c r="H77">
        <v>1</v>
      </c>
      <c r="I77">
        <v>1</v>
      </c>
      <c r="J77">
        <v>0.5</v>
      </c>
      <c r="K77" s="55">
        <f>VLOOKUP(VLOOKUP(Q77&amp;"_"&amp;R77,挑战模式!$A$3:$Z$55,2+5*S77,FALSE),'⚪设计'!$B$85:$H$114,7,FALSE)</f>
        <v>1.5</v>
      </c>
      <c r="L77" s="57" t="str">
        <f t="shared" ref="L77:L130" si="8">"Monster_Challenge"&amp;RIGHT(B77,LEN(B77)-22)</f>
        <v>Monster_Challenge7_5_3</v>
      </c>
      <c r="M77" t="s">
        <v>468</v>
      </c>
      <c r="N77" t="s">
        <v>469</v>
      </c>
      <c r="O77" t="s">
        <v>470</v>
      </c>
      <c r="P77" s="57" t="str">
        <f>IF(VLOOKUP(D77,'⚪设计'!$C$85:$I$113,7,FALSE)="","",VLOOKUP(D77,'⚪设计'!$C$85:$I$113,7,FALSE))</f>
        <v/>
      </c>
      <c r="Q77" s="110" t="str">
        <f t="shared" si="5"/>
        <v>7</v>
      </c>
      <c r="R77" s="110" t="str">
        <f t="shared" si="6"/>
        <v>5</v>
      </c>
      <c r="S77" s="110" t="str">
        <f t="shared" si="7"/>
        <v>3</v>
      </c>
    </row>
    <row r="78" spans="2:19" x14ac:dyDescent="0.2">
      <c r="B78" s="119" t="s">
        <v>923</v>
      </c>
      <c r="C78" s="119" t="s">
        <v>989</v>
      </c>
      <c r="D78" s="55" t="str">
        <f>VLOOKUP(VLOOKUP(Q78&amp;"_"&amp;R78,挑战模式!$A$3:$Z$55,2+5*S78,FALSE),'⚪设计'!$B$85:$H$114,2,FALSE)</f>
        <v>ResUnit_Dan2</v>
      </c>
      <c r="E78" s="55">
        <f>VLOOKUP(VLOOKUP(Q78&amp;"_"&amp;R78,挑战模式!$A$3:$Z$55,2+5*S78,FALSE),'⚪设计'!$B$85:$H$114,6,FALSE)*VLOOKUP(Q78&amp;"_"&amp;R78,挑战模式!$A$3:$Z$55,5,FALSE)</f>
        <v>2</v>
      </c>
      <c r="F78">
        <v>400</v>
      </c>
      <c r="G78" t="b">
        <v>1</v>
      </c>
      <c r="H78">
        <v>1</v>
      </c>
      <c r="I78">
        <v>1</v>
      </c>
      <c r="J78">
        <v>0.5</v>
      </c>
      <c r="K78" s="55">
        <f>VLOOKUP(VLOOKUP(Q78&amp;"_"&amp;R78,挑战模式!$A$3:$Z$55,2+5*S78,FALSE),'⚪设计'!$B$85:$H$114,7,FALSE)</f>
        <v>1.5</v>
      </c>
      <c r="L78" s="57" t="str">
        <f t="shared" si="8"/>
        <v>Monster_Challenge8_1_1</v>
      </c>
      <c r="M78" t="s">
        <v>468</v>
      </c>
      <c r="N78" t="s">
        <v>469</v>
      </c>
      <c r="O78" t="s">
        <v>470</v>
      </c>
      <c r="P78" s="57" t="str">
        <f>IF(VLOOKUP(D78,'⚪设计'!$C$85:$I$113,7,FALSE)="","",VLOOKUP(D78,'⚪设计'!$C$85:$I$113,7,FALSE))</f>
        <v>Skill_Monster_Weaken,NormalAttack</v>
      </c>
      <c r="Q78" s="110" t="str">
        <f t="shared" si="5"/>
        <v>8</v>
      </c>
      <c r="R78" s="110" t="str">
        <f t="shared" si="6"/>
        <v>1</v>
      </c>
      <c r="S78" s="110" t="str">
        <f t="shared" si="7"/>
        <v>1</v>
      </c>
    </row>
    <row r="79" spans="2:19" x14ac:dyDescent="0.2">
      <c r="B79" s="119" t="s">
        <v>924</v>
      </c>
      <c r="C79" s="119" t="s">
        <v>990</v>
      </c>
      <c r="D79" s="55" t="str">
        <f>VLOOKUP(VLOOKUP(Q79&amp;"_"&amp;R79,挑战模式!$A$3:$Z$55,2+5*S79,FALSE),'⚪设计'!$B$85:$H$114,2,FALSE)</f>
        <v>ResUnit_Gui1</v>
      </c>
      <c r="E79" s="55">
        <f>VLOOKUP(VLOOKUP(Q79&amp;"_"&amp;R79,挑战模式!$A$3:$Z$55,2+5*S79,FALSE),'⚪设计'!$B$85:$H$114,6,FALSE)*VLOOKUP(Q79&amp;"_"&amp;R79,挑战模式!$A$3:$Z$55,5,FALSE)</f>
        <v>2</v>
      </c>
      <c r="F79">
        <v>400</v>
      </c>
      <c r="G79" t="b">
        <v>1</v>
      </c>
      <c r="H79">
        <v>1</v>
      </c>
      <c r="I79">
        <v>1</v>
      </c>
      <c r="J79">
        <v>0.5</v>
      </c>
      <c r="K79" s="55">
        <f>VLOOKUP(VLOOKUP(Q79&amp;"_"&amp;R79,挑战模式!$A$3:$Z$55,2+5*S79,FALSE),'⚪设计'!$B$85:$H$114,7,FALSE)</f>
        <v>1</v>
      </c>
      <c r="L79" s="57" t="str">
        <f t="shared" si="8"/>
        <v>Monster_Challenge8_1_2</v>
      </c>
      <c r="M79" t="s">
        <v>468</v>
      </c>
      <c r="N79" t="s">
        <v>469</v>
      </c>
      <c r="O79" t="s">
        <v>470</v>
      </c>
      <c r="P79" s="57" t="str">
        <f>IF(VLOOKUP(D79,'⚪设计'!$C$85:$I$113,7,FALSE)="","",VLOOKUP(D79,'⚪设计'!$C$85:$I$113,7,FALSE))</f>
        <v>Skill_Monster_Invisible,NormalAttack</v>
      </c>
      <c r="Q79" s="110" t="str">
        <f t="shared" si="5"/>
        <v>8</v>
      </c>
      <c r="R79" s="110" t="str">
        <f t="shared" si="6"/>
        <v>1</v>
      </c>
      <c r="S79" s="110" t="str">
        <f t="shared" si="7"/>
        <v>2</v>
      </c>
    </row>
    <row r="80" spans="2:19" x14ac:dyDescent="0.2">
      <c r="B80" s="119" t="s">
        <v>925</v>
      </c>
      <c r="C80" s="119" t="s">
        <v>991</v>
      </c>
      <c r="D80" s="55" t="str">
        <f>VLOOKUP(VLOOKUP(Q80&amp;"_"&amp;R80,挑战模式!$A$3:$Z$55,2+5*S80,FALSE),'⚪设计'!$B$85:$H$114,2,FALSE)</f>
        <v>ResUnit_Dan2</v>
      </c>
      <c r="E80" s="55">
        <f>VLOOKUP(VLOOKUP(Q80&amp;"_"&amp;R80,挑战模式!$A$3:$Z$55,2+5*S80,FALSE),'⚪设计'!$B$85:$H$114,6,FALSE)*VLOOKUP(Q80&amp;"_"&amp;R80,挑战模式!$A$3:$Z$55,5,FALSE)</f>
        <v>2</v>
      </c>
      <c r="F80">
        <v>400</v>
      </c>
      <c r="G80" t="b">
        <v>1</v>
      </c>
      <c r="H80">
        <v>1</v>
      </c>
      <c r="I80">
        <v>1</v>
      </c>
      <c r="J80">
        <v>0.5</v>
      </c>
      <c r="K80" s="55">
        <f>VLOOKUP(VLOOKUP(Q80&amp;"_"&amp;R80,挑战模式!$A$3:$Z$55,2+5*S80,FALSE),'⚪设计'!$B$85:$H$114,7,FALSE)</f>
        <v>1.5</v>
      </c>
      <c r="L80" s="57" t="str">
        <f t="shared" si="8"/>
        <v>Monster_Challenge8_2_1</v>
      </c>
      <c r="M80" t="s">
        <v>468</v>
      </c>
      <c r="N80" t="s">
        <v>469</v>
      </c>
      <c r="O80" t="s">
        <v>470</v>
      </c>
      <c r="P80" s="57" t="str">
        <f>IF(VLOOKUP(D80,'⚪设计'!$C$85:$I$113,7,FALSE)="","",VLOOKUP(D80,'⚪设计'!$C$85:$I$113,7,FALSE))</f>
        <v>Skill_Monster_Weaken,NormalAttack</v>
      </c>
      <c r="Q80" s="110" t="str">
        <f t="shared" si="5"/>
        <v>8</v>
      </c>
      <c r="R80" s="110" t="str">
        <f t="shared" si="6"/>
        <v>2</v>
      </c>
      <c r="S80" s="110" t="str">
        <f t="shared" si="7"/>
        <v>1</v>
      </c>
    </row>
    <row r="81" spans="2:19" x14ac:dyDescent="0.2">
      <c r="B81" s="119" t="s">
        <v>926</v>
      </c>
      <c r="C81" s="119" t="s">
        <v>992</v>
      </c>
      <c r="D81" s="55" t="str">
        <f>VLOOKUP(VLOOKUP(Q81&amp;"_"&amp;R81,挑战模式!$A$3:$Z$55,2+5*S81,FALSE),'⚪设计'!$B$85:$H$114,2,FALSE)</f>
        <v>ResUnit_BianFu1</v>
      </c>
      <c r="E81" s="55">
        <f>VLOOKUP(VLOOKUP(Q81&amp;"_"&amp;R81,挑战模式!$A$3:$Z$55,2+5*S81,FALSE),'⚪设计'!$B$85:$H$114,6,FALSE)*VLOOKUP(Q81&amp;"_"&amp;R81,挑战模式!$A$3:$Z$55,5,FALSE)</f>
        <v>2</v>
      </c>
      <c r="F81">
        <v>400</v>
      </c>
      <c r="G81" t="b">
        <v>1</v>
      </c>
      <c r="H81">
        <v>1</v>
      </c>
      <c r="I81">
        <v>1</v>
      </c>
      <c r="J81">
        <v>0.5</v>
      </c>
      <c r="K81" s="55">
        <f>VLOOKUP(VLOOKUP(Q81&amp;"_"&amp;R81,挑战模式!$A$3:$Z$55,2+5*S81,FALSE),'⚪设计'!$B$85:$H$114,7,FALSE)</f>
        <v>1</v>
      </c>
      <c r="L81" s="57" t="str">
        <f t="shared" si="8"/>
        <v>Monster_Challenge8_2_2</v>
      </c>
      <c r="M81" t="s">
        <v>468</v>
      </c>
      <c r="N81" t="s">
        <v>469</v>
      </c>
      <c r="O81" t="s">
        <v>470</v>
      </c>
      <c r="P81" s="57" t="str">
        <f>IF(VLOOKUP(D81,'⚪设计'!$C$85:$I$113,7,FALSE)="","",VLOOKUP(D81,'⚪设计'!$C$85:$I$113,7,FALSE))</f>
        <v/>
      </c>
      <c r="Q81" s="110" t="str">
        <f t="shared" si="5"/>
        <v>8</v>
      </c>
      <c r="R81" s="110" t="str">
        <f t="shared" si="6"/>
        <v>2</v>
      </c>
      <c r="S81" s="110" t="str">
        <f t="shared" si="7"/>
        <v>2</v>
      </c>
    </row>
    <row r="82" spans="2:19" x14ac:dyDescent="0.2">
      <c r="B82" s="119" t="s">
        <v>927</v>
      </c>
      <c r="C82" s="119" t="s">
        <v>993</v>
      </c>
      <c r="D82" s="55" t="str">
        <f>VLOOKUP(VLOOKUP(Q82&amp;"_"&amp;R82,挑战模式!$A$3:$Z$55,2+5*S82,FALSE),'⚪设计'!$B$85:$H$114,2,FALSE)</f>
        <v>ResUnit_ZhiZhu2</v>
      </c>
      <c r="E82" s="55">
        <f>VLOOKUP(VLOOKUP(Q82&amp;"_"&amp;R82,挑战模式!$A$3:$Z$55,2+5*S82,FALSE),'⚪设计'!$B$85:$H$114,6,FALSE)*VLOOKUP(Q82&amp;"_"&amp;R82,挑战模式!$A$3:$Z$55,5,FALSE)</f>
        <v>3</v>
      </c>
      <c r="F82">
        <v>400</v>
      </c>
      <c r="G82" t="b">
        <v>1</v>
      </c>
      <c r="H82">
        <v>1</v>
      </c>
      <c r="I82">
        <v>1</v>
      </c>
      <c r="J82">
        <v>0.5</v>
      </c>
      <c r="K82" s="55">
        <f>VLOOKUP(VLOOKUP(Q82&amp;"_"&amp;R82,挑战模式!$A$3:$Z$55,2+5*S82,FALSE),'⚪设计'!$B$85:$H$114,7,FALSE)</f>
        <v>1.5</v>
      </c>
      <c r="L82" s="57" t="str">
        <f t="shared" si="8"/>
        <v>Monster_Challenge8_2_3</v>
      </c>
      <c r="M82" t="s">
        <v>468</v>
      </c>
      <c r="N82" t="s">
        <v>469</v>
      </c>
      <c r="O82" t="s">
        <v>470</v>
      </c>
      <c r="P82" s="57" t="str">
        <f>IF(VLOOKUP(D82,'⚪设计'!$C$85:$I$113,7,FALSE)="","",VLOOKUP(D82,'⚪设计'!$C$85:$I$113,7,FALSE))</f>
        <v/>
      </c>
      <c r="Q82" s="110" t="str">
        <f t="shared" si="5"/>
        <v>8</v>
      </c>
      <c r="R82" s="110" t="str">
        <f t="shared" si="6"/>
        <v>2</v>
      </c>
      <c r="S82" s="110" t="str">
        <f t="shared" si="7"/>
        <v>3</v>
      </c>
    </row>
    <row r="83" spans="2:19" x14ac:dyDescent="0.2">
      <c r="B83" s="119" t="s">
        <v>928</v>
      </c>
      <c r="C83" s="119" t="s">
        <v>994</v>
      </c>
      <c r="D83" s="55" t="str">
        <f>VLOOKUP(VLOOKUP(Q83&amp;"_"&amp;R83,挑战模式!$A$3:$Z$55,2+5*S83,FALSE),'⚪设计'!$B$85:$H$114,2,FALSE)</f>
        <v>ResUnit_Dan2</v>
      </c>
      <c r="E83" s="55">
        <f>VLOOKUP(VLOOKUP(Q83&amp;"_"&amp;R83,挑战模式!$A$3:$Z$55,2+5*S83,FALSE),'⚪设计'!$B$85:$H$114,6,FALSE)*VLOOKUP(Q83&amp;"_"&amp;R83,挑战模式!$A$3:$Z$55,5,FALSE)</f>
        <v>2</v>
      </c>
      <c r="F83">
        <v>400</v>
      </c>
      <c r="G83" t="b">
        <v>1</v>
      </c>
      <c r="H83">
        <v>1</v>
      </c>
      <c r="I83">
        <v>1</v>
      </c>
      <c r="J83">
        <v>0.5</v>
      </c>
      <c r="K83" s="55">
        <f>VLOOKUP(VLOOKUP(Q83&amp;"_"&amp;R83,挑战模式!$A$3:$Z$55,2+5*S83,FALSE),'⚪设计'!$B$85:$H$114,7,FALSE)</f>
        <v>1.5</v>
      </c>
      <c r="L83" s="57" t="str">
        <f t="shared" si="8"/>
        <v>Monster_Challenge8_3_1</v>
      </c>
      <c r="M83" t="s">
        <v>468</v>
      </c>
      <c r="N83" t="s">
        <v>469</v>
      </c>
      <c r="O83" t="s">
        <v>470</v>
      </c>
      <c r="P83" s="57" t="str">
        <f>IF(VLOOKUP(D83,'⚪设计'!$C$85:$I$113,7,FALSE)="","",VLOOKUP(D83,'⚪设计'!$C$85:$I$113,7,FALSE))</f>
        <v>Skill_Monster_Weaken,NormalAttack</v>
      </c>
      <c r="Q83" s="110" t="str">
        <f t="shared" si="5"/>
        <v>8</v>
      </c>
      <c r="R83" s="110" t="str">
        <f t="shared" si="6"/>
        <v>3</v>
      </c>
      <c r="S83" s="110" t="str">
        <f t="shared" si="7"/>
        <v>1</v>
      </c>
    </row>
    <row r="84" spans="2:19" x14ac:dyDescent="0.2">
      <c r="B84" s="119" t="s">
        <v>929</v>
      </c>
      <c r="C84" s="119" t="s">
        <v>995</v>
      </c>
      <c r="D84" s="55" t="str">
        <f>VLOOKUP(VLOOKUP(Q84&amp;"_"&amp;R84,挑战模式!$A$3:$Z$55,2+5*S84,FALSE),'⚪设计'!$B$85:$H$114,2,FALSE)</f>
        <v>ResUnit_ZhiZhu1</v>
      </c>
      <c r="E84" s="55">
        <f>VLOOKUP(VLOOKUP(Q84&amp;"_"&amp;R84,挑战模式!$A$3:$Z$55,2+5*S84,FALSE),'⚪设计'!$B$85:$H$114,6,FALSE)*VLOOKUP(Q84&amp;"_"&amp;R84,挑战模式!$A$3:$Z$55,5,FALSE)</f>
        <v>3</v>
      </c>
      <c r="F84">
        <v>400</v>
      </c>
      <c r="G84" t="b">
        <v>1</v>
      </c>
      <c r="H84">
        <v>1</v>
      </c>
      <c r="I84">
        <v>1</v>
      </c>
      <c r="J84">
        <v>0.5</v>
      </c>
      <c r="K84" s="55">
        <f>VLOOKUP(VLOOKUP(Q84&amp;"_"&amp;R84,挑战模式!$A$3:$Z$55,2+5*S84,FALSE),'⚪设计'!$B$85:$H$114,7,FALSE)</f>
        <v>1</v>
      </c>
      <c r="L84" s="57" t="str">
        <f t="shared" si="8"/>
        <v>Monster_Challenge8_3_2</v>
      </c>
      <c r="M84" t="s">
        <v>468</v>
      </c>
      <c r="N84" t="s">
        <v>469</v>
      </c>
      <c r="O84" t="s">
        <v>470</v>
      </c>
      <c r="P84" s="57" t="str">
        <f>IF(VLOOKUP(D84,'⚪设计'!$C$85:$I$113,7,FALSE)="","",VLOOKUP(D84,'⚪设计'!$C$85:$I$113,7,FALSE))</f>
        <v/>
      </c>
      <c r="Q84" s="110" t="str">
        <f t="shared" ref="Q84:Q106" si="9">LEFT(RIGHT(C84,5),1)</f>
        <v>8</v>
      </c>
      <c r="R84" s="110" t="str">
        <f t="shared" ref="R84:R130" si="10">LEFT(RIGHT(C84,3),1)</f>
        <v>3</v>
      </c>
      <c r="S84" s="110" t="str">
        <f t="shared" ref="S84:S130" si="11">RIGHT(C84,1)</f>
        <v>2</v>
      </c>
    </row>
    <row r="85" spans="2:19" x14ac:dyDescent="0.2">
      <c r="B85" s="119" t="s">
        <v>930</v>
      </c>
      <c r="C85" s="119" t="s">
        <v>996</v>
      </c>
      <c r="D85" s="55" t="str">
        <f>VLOOKUP(VLOOKUP(Q85&amp;"_"&amp;R85,挑战模式!$A$3:$Z$55,2+5*S85,FALSE),'⚪设计'!$B$85:$H$114,2,FALSE)</f>
        <v>ResUnit_Gui2</v>
      </c>
      <c r="E85" s="55">
        <f>VLOOKUP(VLOOKUP(Q85&amp;"_"&amp;R85,挑战模式!$A$3:$Z$55,2+5*S85,FALSE),'⚪设计'!$B$85:$H$114,6,FALSE)*VLOOKUP(Q85&amp;"_"&amp;R85,挑战模式!$A$3:$Z$55,5,FALSE)</f>
        <v>2</v>
      </c>
      <c r="F85">
        <v>400</v>
      </c>
      <c r="G85" t="b">
        <v>1</v>
      </c>
      <c r="H85">
        <v>1</v>
      </c>
      <c r="I85">
        <v>1</v>
      </c>
      <c r="J85">
        <v>0.5</v>
      </c>
      <c r="K85" s="55">
        <f>VLOOKUP(VLOOKUP(Q85&amp;"_"&amp;R85,挑战模式!$A$3:$Z$55,2+5*S85,FALSE),'⚪设计'!$B$85:$H$114,7,FALSE)</f>
        <v>1.5</v>
      </c>
      <c r="L85" s="57" t="str">
        <f t="shared" si="8"/>
        <v>Monster_Challenge8_3_3</v>
      </c>
      <c r="M85" t="s">
        <v>468</v>
      </c>
      <c r="N85" t="s">
        <v>469</v>
      </c>
      <c r="O85" t="s">
        <v>470</v>
      </c>
      <c r="P85" s="57" t="str">
        <f>IF(VLOOKUP(D85,'⚪设计'!$C$85:$I$113,7,FALSE)="","",VLOOKUP(D85,'⚪设计'!$C$85:$I$113,7,FALSE))</f>
        <v>Skill_Monster_Invisible,NormalAttack</v>
      </c>
      <c r="Q85" s="110" t="str">
        <f t="shared" si="9"/>
        <v>8</v>
      </c>
      <c r="R85" s="110" t="str">
        <f t="shared" si="10"/>
        <v>3</v>
      </c>
      <c r="S85" s="110" t="str">
        <f t="shared" si="11"/>
        <v>3</v>
      </c>
    </row>
    <row r="86" spans="2:19" x14ac:dyDescent="0.2">
      <c r="B86" s="119" t="s">
        <v>931</v>
      </c>
      <c r="C86" s="119" t="s">
        <v>997</v>
      </c>
      <c r="D86" s="55" t="str">
        <f>VLOOKUP(VLOOKUP(Q86&amp;"_"&amp;R86,挑战模式!$A$3:$Z$55,2+5*S86,FALSE),'⚪设计'!$B$85:$H$114,2,FALSE)</f>
        <v>ResUnit_Dan2</v>
      </c>
      <c r="E86" s="55">
        <f>VLOOKUP(VLOOKUP(Q86&amp;"_"&amp;R86,挑战模式!$A$3:$Z$55,2+5*S86,FALSE),'⚪设计'!$B$85:$H$114,6,FALSE)*VLOOKUP(Q86&amp;"_"&amp;R86,挑战模式!$A$3:$Z$55,5,FALSE)</f>
        <v>2</v>
      </c>
      <c r="F86">
        <v>400</v>
      </c>
      <c r="G86" t="b">
        <v>1</v>
      </c>
      <c r="H86">
        <v>1</v>
      </c>
      <c r="I86">
        <v>1</v>
      </c>
      <c r="J86">
        <v>0.5</v>
      </c>
      <c r="K86" s="55">
        <f>VLOOKUP(VLOOKUP(Q86&amp;"_"&amp;R86,挑战模式!$A$3:$Z$55,2+5*S86,FALSE),'⚪设计'!$B$85:$H$114,7,FALSE)</f>
        <v>1.5</v>
      </c>
      <c r="L86" s="57" t="str">
        <f t="shared" si="8"/>
        <v>Monster_Challenge8_4_1</v>
      </c>
      <c r="M86" t="s">
        <v>468</v>
      </c>
      <c r="N86" t="s">
        <v>469</v>
      </c>
      <c r="O86" t="s">
        <v>470</v>
      </c>
      <c r="P86" s="57" t="str">
        <f>IF(VLOOKUP(D86,'⚪设计'!$C$85:$I$113,7,FALSE)="","",VLOOKUP(D86,'⚪设计'!$C$85:$I$113,7,FALSE))</f>
        <v>Skill_Monster_Weaken,NormalAttack</v>
      </c>
      <c r="Q86" s="110" t="str">
        <f t="shared" si="9"/>
        <v>8</v>
      </c>
      <c r="R86" s="110" t="str">
        <f t="shared" si="10"/>
        <v>4</v>
      </c>
      <c r="S86" s="110" t="str">
        <f t="shared" si="11"/>
        <v>1</v>
      </c>
    </row>
    <row r="87" spans="2:19" x14ac:dyDescent="0.2">
      <c r="B87" s="119" t="s">
        <v>932</v>
      </c>
      <c r="C87" s="119" t="s">
        <v>998</v>
      </c>
      <c r="D87" s="55" t="str">
        <f>VLOOKUP(VLOOKUP(Q87&amp;"_"&amp;R87,挑战模式!$A$3:$Z$55,2+5*S87,FALSE),'⚪设计'!$B$85:$H$114,2,FALSE)</f>
        <v>ResUnit_Gui2</v>
      </c>
      <c r="E87" s="55">
        <f>VLOOKUP(VLOOKUP(Q87&amp;"_"&amp;R87,挑战模式!$A$3:$Z$55,2+5*S87,FALSE),'⚪设计'!$B$85:$H$114,6,FALSE)*VLOOKUP(Q87&amp;"_"&amp;R87,挑战模式!$A$3:$Z$55,5,FALSE)</f>
        <v>2</v>
      </c>
      <c r="F87">
        <v>400</v>
      </c>
      <c r="G87" t="b">
        <v>1</v>
      </c>
      <c r="H87">
        <v>1</v>
      </c>
      <c r="I87">
        <v>1</v>
      </c>
      <c r="J87">
        <v>0.5</v>
      </c>
      <c r="K87" s="55">
        <f>VLOOKUP(VLOOKUP(Q87&amp;"_"&amp;R87,挑战模式!$A$3:$Z$55,2+5*S87,FALSE),'⚪设计'!$B$85:$H$114,7,FALSE)</f>
        <v>1.5</v>
      </c>
      <c r="L87" s="57" t="str">
        <f t="shared" si="8"/>
        <v>Monster_Challenge8_4_2</v>
      </c>
      <c r="M87" t="s">
        <v>468</v>
      </c>
      <c r="N87" t="s">
        <v>469</v>
      </c>
      <c r="O87" t="s">
        <v>470</v>
      </c>
      <c r="P87" s="57" t="str">
        <f>IF(VLOOKUP(D87,'⚪设计'!$C$85:$I$113,7,FALSE)="","",VLOOKUP(D87,'⚪设计'!$C$85:$I$113,7,FALSE))</f>
        <v>Skill_Monster_Invisible,NormalAttack</v>
      </c>
      <c r="Q87" s="110" t="str">
        <f t="shared" si="9"/>
        <v>8</v>
      </c>
      <c r="R87" s="110" t="str">
        <f t="shared" si="10"/>
        <v>4</v>
      </c>
      <c r="S87" s="110" t="str">
        <f t="shared" si="11"/>
        <v>2</v>
      </c>
    </row>
    <row r="88" spans="2:19" x14ac:dyDescent="0.2">
      <c r="B88" s="119" t="s">
        <v>933</v>
      </c>
      <c r="C88" s="119" t="s">
        <v>999</v>
      </c>
      <c r="D88" s="55" t="str">
        <f>VLOOKUP(VLOOKUP(Q88&amp;"_"&amp;R88,挑战模式!$A$3:$Z$55,2+5*S88,FALSE),'⚪设计'!$B$85:$H$114,2,FALSE)</f>
        <v>ResUnit_BianFu2</v>
      </c>
      <c r="E88" s="55">
        <f>VLOOKUP(VLOOKUP(Q88&amp;"_"&amp;R88,挑战模式!$A$3:$Z$55,2+5*S88,FALSE),'⚪设计'!$B$85:$H$114,6,FALSE)*VLOOKUP(Q88&amp;"_"&amp;R88,挑战模式!$A$3:$Z$55,5,FALSE)</f>
        <v>2</v>
      </c>
      <c r="F88">
        <v>400</v>
      </c>
      <c r="G88" t="b">
        <v>1</v>
      </c>
      <c r="H88">
        <v>1</v>
      </c>
      <c r="I88">
        <v>1</v>
      </c>
      <c r="J88">
        <v>0.5</v>
      </c>
      <c r="K88" s="55">
        <f>VLOOKUP(VLOOKUP(Q88&amp;"_"&amp;R88,挑战模式!$A$3:$Z$55,2+5*S88,FALSE),'⚪设计'!$B$85:$H$114,7,FALSE)</f>
        <v>1.5</v>
      </c>
      <c r="L88" s="57" t="str">
        <f t="shared" si="8"/>
        <v>Monster_Challenge8_4_3</v>
      </c>
      <c r="M88" t="s">
        <v>468</v>
      </c>
      <c r="N88" t="s">
        <v>469</v>
      </c>
      <c r="O88" t="s">
        <v>470</v>
      </c>
      <c r="P88" s="57" t="str">
        <f>IF(VLOOKUP(D88,'⚪设计'!$C$85:$I$113,7,FALSE)="","",VLOOKUP(D88,'⚪设计'!$C$85:$I$113,7,FALSE))</f>
        <v/>
      </c>
      <c r="Q88" s="110" t="str">
        <f t="shared" si="9"/>
        <v>8</v>
      </c>
      <c r="R88" s="110" t="str">
        <f t="shared" si="10"/>
        <v>4</v>
      </c>
      <c r="S88" s="110" t="str">
        <f t="shared" si="11"/>
        <v>3</v>
      </c>
    </row>
    <row r="89" spans="2:19" x14ac:dyDescent="0.2">
      <c r="B89" s="119" t="s">
        <v>934</v>
      </c>
      <c r="C89" s="119" t="s">
        <v>1000</v>
      </c>
      <c r="D89" s="55" t="str">
        <f>VLOOKUP(VLOOKUP(Q89&amp;"_"&amp;R89,挑战模式!$A$3:$Z$55,2+5*S89,FALSE),'⚪设计'!$B$85:$H$114,2,FALSE)</f>
        <v>ResUnit_Dan2</v>
      </c>
      <c r="E89" s="55">
        <f>VLOOKUP(VLOOKUP(Q89&amp;"_"&amp;R89,挑战模式!$A$3:$Z$55,2+5*S89,FALSE),'⚪设计'!$B$85:$H$114,6,FALSE)*VLOOKUP(Q89&amp;"_"&amp;R89,挑战模式!$A$3:$Z$55,5,FALSE)</f>
        <v>2</v>
      </c>
      <c r="F89">
        <v>400</v>
      </c>
      <c r="G89" t="b">
        <v>1</v>
      </c>
      <c r="H89">
        <v>1</v>
      </c>
      <c r="I89">
        <v>1</v>
      </c>
      <c r="J89">
        <v>0.5</v>
      </c>
      <c r="K89" s="55">
        <f>VLOOKUP(VLOOKUP(Q89&amp;"_"&amp;R89,挑战模式!$A$3:$Z$55,2+5*S89,FALSE),'⚪设计'!$B$85:$H$114,7,FALSE)</f>
        <v>1.5</v>
      </c>
      <c r="L89" s="57" t="str">
        <f t="shared" si="8"/>
        <v>Monster_Challenge8_5_1</v>
      </c>
      <c r="M89" t="s">
        <v>468</v>
      </c>
      <c r="N89" t="s">
        <v>469</v>
      </c>
      <c r="O89" t="s">
        <v>470</v>
      </c>
      <c r="P89" s="57" t="str">
        <f>IF(VLOOKUP(D89,'⚪设计'!$C$85:$I$113,7,FALSE)="","",VLOOKUP(D89,'⚪设计'!$C$85:$I$113,7,FALSE))</f>
        <v>Skill_Monster_Weaken,NormalAttack</v>
      </c>
      <c r="Q89" s="110" t="str">
        <f t="shared" si="9"/>
        <v>8</v>
      </c>
      <c r="R89" s="110" t="str">
        <f t="shared" si="10"/>
        <v>5</v>
      </c>
      <c r="S89" s="110" t="str">
        <f t="shared" si="11"/>
        <v>1</v>
      </c>
    </row>
    <row r="90" spans="2:19" x14ac:dyDescent="0.2">
      <c r="B90" s="119" t="s">
        <v>935</v>
      </c>
      <c r="C90" s="119" t="s">
        <v>1001</v>
      </c>
      <c r="D90" s="55" t="str">
        <f>VLOOKUP(VLOOKUP(Q90&amp;"_"&amp;R90,挑战模式!$A$3:$Z$55,2+5*S90,FALSE),'⚪设计'!$B$85:$H$114,2,FALSE)</f>
        <v>ResUnit_Gui2</v>
      </c>
      <c r="E90" s="55">
        <f>VLOOKUP(VLOOKUP(Q90&amp;"_"&amp;R90,挑战模式!$A$3:$Z$55,2+5*S90,FALSE),'⚪设计'!$B$85:$H$114,6,FALSE)*VLOOKUP(Q90&amp;"_"&amp;R90,挑战模式!$A$3:$Z$55,5,FALSE)</f>
        <v>2</v>
      </c>
      <c r="F90">
        <v>400</v>
      </c>
      <c r="G90" t="b">
        <v>1</v>
      </c>
      <c r="H90">
        <v>1</v>
      </c>
      <c r="I90">
        <v>1</v>
      </c>
      <c r="J90">
        <v>0.5</v>
      </c>
      <c r="K90" s="55">
        <f>VLOOKUP(VLOOKUP(Q90&amp;"_"&amp;R90,挑战模式!$A$3:$Z$55,2+5*S90,FALSE),'⚪设计'!$B$85:$H$114,7,FALSE)</f>
        <v>1.5</v>
      </c>
      <c r="L90" s="57" t="str">
        <f t="shared" si="8"/>
        <v>Monster_Challenge8_5_2</v>
      </c>
      <c r="M90" t="s">
        <v>468</v>
      </c>
      <c r="N90" t="s">
        <v>469</v>
      </c>
      <c r="O90" t="s">
        <v>470</v>
      </c>
      <c r="P90" s="57" t="str">
        <f>IF(VLOOKUP(D90,'⚪设计'!$C$85:$I$113,7,FALSE)="","",VLOOKUP(D90,'⚪设计'!$C$85:$I$113,7,FALSE))</f>
        <v>Skill_Monster_Invisible,NormalAttack</v>
      </c>
      <c r="Q90" s="110" t="str">
        <f t="shared" si="9"/>
        <v>8</v>
      </c>
      <c r="R90" s="110" t="str">
        <f t="shared" si="10"/>
        <v>5</v>
      </c>
      <c r="S90" s="110" t="str">
        <f t="shared" si="11"/>
        <v>2</v>
      </c>
    </row>
    <row r="91" spans="2:19" x14ac:dyDescent="0.2">
      <c r="B91" s="119" t="s">
        <v>936</v>
      </c>
      <c r="C91" s="119" t="s">
        <v>1002</v>
      </c>
      <c r="D91" s="55" t="str">
        <f>VLOOKUP(VLOOKUP(Q91&amp;"_"&amp;R91,挑战模式!$A$3:$Z$55,2+5*S91,FALSE),'⚪设计'!$B$85:$H$114,2,FALSE)</f>
        <v>ResUnit_MiFeng2</v>
      </c>
      <c r="E91" s="55">
        <f>VLOOKUP(VLOOKUP(Q91&amp;"_"&amp;R91,挑战模式!$A$3:$Z$55,2+5*S91,FALSE),'⚪设计'!$B$85:$H$114,6,FALSE)*VLOOKUP(Q91&amp;"_"&amp;R91,挑战模式!$A$3:$Z$55,5,FALSE)</f>
        <v>2</v>
      </c>
      <c r="F91">
        <v>400</v>
      </c>
      <c r="G91" t="b">
        <v>1</v>
      </c>
      <c r="H91">
        <v>1</v>
      </c>
      <c r="I91">
        <v>1</v>
      </c>
      <c r="J91">
        <v>0.5</v>
      </c>
      <c r="K91" s="55">
        <f>VLOOKUP(VLOOKUP(Q91&amp;"_"&amp;R91,挑战模式!$A$3:$Z$55,2+5*S91,FALSE),'⚪设计'!$B$85:$H$114,7,FALSE)</f>
        <v>1.5</v>
      </c>
      <c r="L91" s="57" t="str">
        <f t="shared" si="8"/>
        <v>Monster_Challenge8_5_3</v>
      </c>
      <c r="M91" t="s">
        <v>468</v>
      </c>
      <c r="N91" t="s">
        <v>469</v>
      </c>
      <c r="O91" t="s">
        <v>470</v>
      </c>
      <c r="P91" s="57" t="str">
        <f>IF(VLOOKUP(D91,'⚪设计'!$C$85:$I$113,7,FALSE)="","",VLOOKUP(D91,'⚪设计'!$C$85:$I$113,7,FALSE))</f>
        <v/>
      </c>
      <c r="Q91" s="110" t="str">
        <f t="shared" si="9"/>
        <v>8</v>
      </c>
      <c r="R91" s="110" t="str">
        <f t="shared" si="10"/>
        <v>5</v>
      </c>
      <c r="S91" s="110" t="str">
        <f t="shared" si="11"/>
        <v>3</v>
      </c>
    </row>
    <row r="92" spans="2:19" x14ac:dyDescent="0.2">
      <c r="B92" s="119" t="s">
        <v>937</v>
      </c>
      <c r="C92" s="119" t="s">
        <v>1003</v>
      </c>
      <c r="D92" s="55" t="str">
        <f>VLOOKUP(VLOOKUP(Q92&amp;"_"&amp;R92,挑战模式!$A$3:$Z$55,2+5*S92,FALSE),'⚪设计'!$B$85:$H$114,2,FALSE)</f>
        <v>ResUnit_BianFu2</v>
      </c>
      <c r="E92" s="55">
        <f>VLOOKUP(VLOOKUP(Q92&amp;"_"&amp;R92,挑战模式!$A$3:$Z$55,2+5*S92,FALSE),'⚪设计'!$B$85:$H$114,6,FALSE)*VLOOKUP(Q92&amp;"_"&amp;R92,挑战模式!$A$3:$Z$55,5,FALSE)</f>
        <v>2</v>
      </c>
      <c r="F92">
        <v>400</v>
      </c>
      <c r="G92" t="b">
        <v>1</v>
      </c>
      <c r="H92">
        <v>1</v>
      </c>
      <c r="I92">
        <v>1</v>
      </c>
      <c r="J92">
        <v>0.5</v>
      </c>
      <c r="K92" s="55">
        <f>VLOOKUP(VLOOKUP(Q92&amp;"_"&amp;R92,挑战模式!$A$3:$Z$55,2+5*S92,FALSE),'⚪设计'!$B$85:$H$114,7,FALSE)</f>
        <v>1.5</v>
      </c>
      <c r="L92" s="57" t="str">
        <f t="shared" si="8"/>
        <v>Monster_Challenge8_5_4</v>
      </c>
      <c r="M92" t="s">
        <v>468</v>
      </c>
      <c r="N92" t="s">
        <v>469</v>
      </c>
      <c r="O92" t="s">
        <v>470</v>
      </c>
      <c r="P92" s="57" t="str">
        <f>IF(VLOOKUP(D92,'⚪设计'!$C$85:$I$113,7,FALSE)="","",VLOOKUP(D92,'⚪设计'!$C$85:$I$113,7,FALSE))</f>
        <v/>
      </c>
      <c r="Q92" s="110" t="str">
        <f t="shared" si="9"/>
        <v>8</v>
      </c>
      <c r="R92" s="110" t="str">
        <f t="shared" si="10"/>
        <v>5</v>
      </c>
      <c r="S92" s="110" t="str">
        <f t="shared" si="11"/>
        <v>4</v>
      </c>
    </row>
    <row r="93" spans="2:19" x14ac:dyDescent="0.2">
      <c r="B93" s="119" t="s">
        <v>938</v>
      </c>
      <c r="C93" s="119" t="s">
        <v>1004</v>
      </c>
      <c r="D93" s="55" t="str">
        <f>VLOOKUP(VLOOKUP(Q93&amp;"_"&amp;R93,挑战模式!$A$3:$Z$55,2+5*S93,FALSE),'⚪设计'!$B$85:$H$114,2,FALSE)</f>
        <v>ResUnit_ZhongZi1</v>
      </c>
      <c r="E93" s="55">
        <f>VLOOKUP(VLOOKUP(Q93&amp;"_"&amp;R93,挑战模式!$A$3:$Z$55,2+5*S93,FALSE),'⚪设计'!$B$85:$H$114,6,FALSE)*VLOOKUP(Q93&amp;"_"&amp;R93,挑战模式!$A$3:$Z$55,5,FALSE)</f>
        <v>2</v>
      </c>
      <c r="F93">
        <v>400</v>
      </c>
      <c r="G93" t="b">
        <v>1</v>
      </c>
      <c r="H93">
        <v>1</v>
      </c>
      <c r="I93">
        <v>1</v>
      </c>
      <c r="J93">
        <v>0.5</v>
      </c>
      <c r="K93" s="55">
        <f>VLOOKUP(VLOOKUP(Q93&amp;"_"&amp;R93,挑战模式!$A$3:$Z$55,2+5*S93,FALSE),'⚪设计'!$B$85:$H$114,7,FALSE)</f>
        <v>1</v>
      </c>
      <c r="L93" s="57" t="str">
        <f t="shared" si="8"/>
        <v>Monster_Challenge9_1_1</v>
      </c>
      <c r="M93" t="s">
        <v>468</v>
      </c>
      <c r="N93" t="s">
        <v>469</v>
      </c>
      <c r="O93" t="s">
        <v>470</v>
      </c>
      <c r="P93" s="57" t="str">
        <f>IF(VLOOKUP(D93,'⚪设计'!$C$85:$I$113,7,FALSE)="","",VLOOKUP(D93,'⚪设计'!$C$85:$I$113,7,FALSE))</f>
        <v>Skill_Monster_Heal,NormalAttack</v>
      </c>
      <c r="Q93" s="110" t="str">
        <f t="shared" si="9"/>
        <v>9</v>
      </c>
      <c r="R93" s="110" t="str">
        <f t="shared" si="10"/>
        <v>1</v>
      </c>
      <c r="S93" s="110" t="str">
        <f t="shared" si="11"/>
        <v>1</v>
      </c>
    </row>
    <row r="94" spans="2:19" x14ac:dyDescent="0.2">
      <c r="B94" s="119" t="s">
        <v>939</v>
      </c>
      <c r="C94" s="119" t="s">
        <v>1005</v>
      </c>
      <c r="D94" s="55" t="str">
        <f>VLOOKUP(VLOOKUP(Q94&amp;"_"&amp;R94,挑战模式!$A$3:$Z$55,2+5*S94,FALSE),'⚪设计'!$B$85:$H$114,2,FALSE)</f>
        <v>ResUnit_Dan1</v>
      </c>
      <c r="E94" s="55">
        <f>VLOOKUP(VLOOKUP(Q94&amp;"_"&amp;R94,挑战模式!$A$3:$Z$55,2+5*S94,FALSE),'⚪设计'!$B$85:$H$114,6,FALSE)*VLOOKUP(Q94&amp;"_"&amp;R94,挑战模式!$A$3:$Z$55,5,FALSE)</f>
        <v>2</v>
      </c>
      <c r="F94">
        <v>400</v>
      </c>
      <c r="G94" t="b">
        <v>1</v>
      </c>
      <c r="H94">
        <v>1</v>
      </c>
      <c r="I94">
        <v>1</v>
      </c>
      <c r="J94">
        <v>0.5</v>
      </c>
      <c r="K94" s="55">
        <f>VLOOKUP(VLOOKUP(Q94&amp;"_"&amp;R94,挑战模式!$A$3:$Z$55,2+5*S94,FALSE),'⚪设计'!$B$85:$H$114,7,FALSE)</f>
        <v>1</v>
      </c>
      <c r="L94" s="57" t="str">
        <f t="shared" si="8"/>
        <v>Monster_Challenge9_1_2</v>
      </c>
      <c r="M94" t="s">
        <v>468</v>
      </c>
      <c r="N94" t="s">
        <v>469</v>
      </c>
      <c r="O94" t="s">
        <v>470</v>
      </c>
      <c r="P94" s="57" t="str">
        <f>IF(VLOOKUP(D94,'⚪设计'!$C$85:$I$113,7,FALSE)="","",VLOOKUP(D94,'⚪设计'!$C$85:$I$113,7,FALSE))</f>
        <v/>
      </c>
      <c r="Q94" s="110" t="str">
        <f t="shared" si="9"/>
        <v>9</v>
      </c>
      <c r="R94" s="110" t="str">
        <f t="shared" si="10"/>
        <v>1</v>
      </c>
      <c r="S94" s="110" t="str">
        <f t="shared" si="11"/>
        <v>2</v>
      </c>
    </row>
    <row r="95" spans="2:19" x14ac:dyDescent="0.2">
      <c r="B95" s="119" t="s">
        <v>940</v>
      </c>
      <c r="C95" s="119" t="s">
        <v>1006</v>
      </c>
      <c r="D95" s="55" t="str">
        <f>VLOOKUP(VLOOKUP(Q95&amp;"_"&amp;R95,挑战模式!$A$3:$Z$55,2+5*S95,FALSE),'⚪设计'!$B$85:$H$114,2,FALSE)</f>
        <v>ResUnit_Gui1</v>
      </c>
      <c r="E95" s="55">
        <f>VLOOKUP(VLOOKUP(Q95&amp;"_"&amp;R95,挑战模式!$A$3:$Z$55,2+5*S95,FALSE),'⚪设计'!$B$85:$H$114,6,FALSE)*VLOOKUP(Q95&amp;"_"&amp;R95,挑战模式!$A$3:$Z$55,5,FALSE)</f>
        <v>2</v>
      </c>
      <c r="F95">
        <v>400</v>
      </c>
      <c r="G95" t="b">
        <v>1</v>
      </c>
      <c r="H95">
        <v>1</v>
      </c>
      <c r="I95">
        <v>1</v>
      </c>
      <c r="J95">
        <v>0.5</v>
      </c>
      <c r="K95" s="55">
        <f>VLOOKUP(VLOOKUP(Q95&amp;"_"&amp;R95,挑战模式!$A$3:$Z$55,2+5*S95,FALSE),'⚪设计'!$B$85:$H$114,7,FALSE)</f>
        <v>1</v>
      </c>
      <c r="L95" s="57" t="str">
        <f t="shared" si="8"/>
        <v>Monster_Challenge9_2_1</v>
      </c>
      <c r="M95" t="s">
        <v>468</v>
      </c>
      <c r="N95" t="s">
        <v>469</v>
      </c>
      <c r="O95" t="s">
        <v>470</v>
      </c>
      <c r="P95" s="57" t="str">
        <f>IF(VLOOKUP(D95,'⚪设计'!$C$85:$I$113,7,FALSE)="","",VLOOKUP(D95,'⚪设计'!$C$85:$I$113,7,FALSE))</f>
        <v>Skill_Monster_Invisible,NormalAttack</v>
      </c>
      <c r="Q95" s="110" t="str">
        <f t="shared" si="9"/>
        <v>9</v>
      </c>
      <c r="R95" s="110" t="str">
        <f t="shared" si="10"/>
        <v>2</v>
      </c>
      <c r="S95" s="110" t="str">
        <f t="shared" si="11"/>
        <v>1</v>
      </c>
    </row>
    <row r="96" spans="2:19" x14ac:dyDescent="0.2">
      <c r="B96" s="119" t="s">
        <v>941</v>
      </c>
      <c r="C96" s="119" t="s">
        <v>1007</v>
      </c>
      <c r="D96" s="55" t="str">
        <f>VLOOKUP(VLOOKUP(Q96&amp;"_"&amp;R96,挑战模式!$A$3:$Z$55,2+5*S96,FALSE),'⚪设计'!$B$85:$H$114,2,FALSE)</f>
        <v>ResUnit_ZhiZhu2</v>
      </c>
      <c r="E96" s="55">
        <f>VLOOKUP(VLOOKUP(Q96&amp;"_"&amp;R96,挑战模式!$A$3:$Z$55,2+5*S96,FALSE),'⚪设计'!$B$85:$H$114,6,FALSE)*VLOOKUP(Q96&amp;"_"&amp;R96,挑战模式!$A$3:$Z$55,5,FALSE)</f>
        <v>3</v>
      </c>
      <c r="F96">
        <v>400</v>
      </c>
      <c r="G96" t="b">
        <v>1</v>
      </c>
      <c r="H96">
        <v>1</v>
      </c>
      <c r="I96">
        <v>1</v>
      </c>
      <c r="J96">
        <v>0.5</v>
      </c>
      <c r="K96" s="55">
        <f>VLOOKUP(VLOOKUP(Q96&amp;"_"&amp;R96,挑战模式!$A$3:$Z$55,2+5*S96,FALSE),'⚪设计'!$B$85:$H$114,7,FALSE)</f>
        <v>1.5</v>
      </c>
      <c r="L96" s="57" t="str">
        <f t="shared" si="8"/>
        <v>Monster_Challenge9_2_2</v>
      </c>
      <c r="M96" t="s">
        <v>468</v>
      </c>
      <c r="N96" t="s">
        <v>469</v>
      </c>
      <c r="O96" t="s">
        <v>470</v>
      </c>
      <c r="P96" s="57" t="str">
        <f>IF(VLOOKUP(D96,'⚪设计'!$C$85:$I$113,7,FALSE)="","",VLOOKUP(D96,'⚪设计'!$C$85:$I$113,7,FALSE))</f>
        <v/>
      </c>
      <c r="Q96" s="110" t="str">
        <f t="shared" si="9"/>
        <v>9</v>
      </c>
      <c r="R96" s="110" t="str">
        <f t="shared" si="10"/>
        <v>2</v>
      </c>
      <c r="S96" s="110" t="str">
        <f t="shared" si="11"/>
        <v>2</v>
      </c>
    </row>
    <row r="97" spans="2:19" x14ac:dyDescent="0.2">
      <c r="B97" s="119" t="s">
        <v>942</v>
      </c>
      <c r="C97" s="119" t="s">
        <v>1008</v>
      </c>
      <c r="D97" s="55" t="str">
        <f>VLOOKUP(VLOOKUP(Q97&amp;"_"&amp;R97,挑战模式!$A$3:$Z$55,2+5*S97,FALSE),'⚪设计'!$B$85:$H$114,2,FALSE)</f>
        <v>ResUnit_Gui2</v>
      </c>
      <c r="E97" s="55">
        <f>VLOOKUP(VLOOKUP(Q97&amp;"_"&amp;R97,挑战模式!$A$3:$Z$55,2+5*S97,FALSE),'⚪设计'!$B$85:$H$114,6,FALSE)*VLOOKUP(Q97&amp;"_"&amp;R97,挑战模式!$A$3:$Z$55,5,FALSE)</f>
        <v>2</v>
      </c>
      <c r="F97">
        <v>400</v>
      </c>
      <c r="G97" t="b">
        <v>1</v>
      </c>
      <c r="H97">
        <v>1</v>
      </c>
      <c r="I97">
        <v>1</v>
      </c>
      <c r="J97">
        <v>0.5</v>
      </c>
      <c r="K97" s="55">
        <f>VLOOKUP(VLOOKUP(Q97&amp;"_"&amp;R97,挑战模式!$A$3:$Z$55,2+5*S97,FALSE),'⚪设计'!$B$85:$H$114,7,FALSE)</f>
        <v>1.5</v>
      </c>
      <c r="L97" s="57" t="str">
        <f t="shared" si="8"/>
        <v>Monster_Challenge9_3_1</v>
      </c>
      <c r="M97" t="s">
        <v>468</v>
      </c>
      <c r="N97" t="s">
        <v>469</v>
      </c>
      <c r="O97" t="s">
        <v>470</v>
      </c>
      <c r="P97" s="57" t="str">
        <f>IF(VLOOKUP(D97,'⚪设计'!$C$85:$I$113,7,FALSE)="","",VLOOKUP(D97,'⚪设计'!$C$85:$I$113,7,FALSE))</f>
        <v>Skill_Monster_Invisible,NormalAttack</v>
      </c>
      <c r="Q97" s="110" t="str">
        <f t="shared" si="9"/>
        <v>9</v>
      </c>
      <c r="R97" s="110" t="str">
        <f t="shared" si="10"/>
        <v>3</v>
      </c>
      <c r="S97" s="110" t="str">
        <f t="shared" si="11"/>
        <v>1</v>
      </c>
    </row>
    <row r="98" spans="2:19" x14ac:dyDescent="0.2">
      <c r="B98" s="119" t="s">
        <v>943</v>
      </c>
      <c r="C98" s="119" t="s">
        <v>1009</v>
      </c>
      <c r="D98" s="55" t="str">
        <f>VLOOKUP(VLOOKUP(Q98&amp;"_"&amp;R98,挑战模式!$A$3:$Z$55,2+5*S98,FALSE),'⚪设计'!$B$85:$H$114,2,FALSE)</f>
        <v>ResUnit_Dan2</v>
      </c>
      <c r="E98" s="55">
        <f>VLOOKUP(VLOOKUP(Q98&amp;"_"&amp;R98,挑战模式!$A$3:$Z$55,2+5*S98,FALSE),'⚪设计'!$B$85:$H$114,6,FALSE)*VLOOKUP(Q98&amp;"_"&amp;R98,挑战模式!$A$3:$Z$55,5,FALSE)</f>
        <v>2</v>
      </c>
      <c r="F98">
        <v>400</v>
      </c>
      <c r="G98" t="b">
        <v>1</v>
      </c>
      <c r="H98">
        <v>1</v>
      </c>
      <c r="I98">
        <v>1</v>
      </c>
      <c r="J98">
        <v>0.5</v>
      </c>
      <c r="K98" s="55">
        <f>VLOOKUP(VLOOKUP(Q98&amp;"_"&amp;R98,挑战模式!$A$3:$Z$55,2+5*S98,FALSE),'⚪设计'!$B$85:$H$114,7,FALSE)</f>
        <v>1.5</v>
      </c>
      <c r="L98" s="57" t="str">
        <f t="shared" si="8"/>
        <v>Monster_Challenge9_3_2</v>
      </c>
      <c r="M98" t="s">
        <v>468</v>
      </c>
      <c r="N98" t="s">
        <v>469</v>
      </c>
      <c r="O98" t="s">
        <v>470</v>
      </c>
      <c r="P98" s="57" t="str">
        <f>IF(VLOOKUP(D98,'⚪设计'!$C$85:$I$113,7,FALSE)="","",VLOOKUP(D98,'⚪设计'!$C$85:$I$113,7,FALSE))</f>
        <v>Skill_Monster_Weaken,NormalAttack</v>
      </c>
      <c r="Q98" s="110" t="str">
        <f t="shared" si="9"/>
        <v>9</v>
      </c>
      <c r="R98" s="110" t="str">
        <f t="shared" si="10"/>
        <v>3</v>
      </c>
      <c r="S98" s="110" t="str">
        <f t="shared" si="11"/>
        <v>2</v>
      </c>
    </row>
    <row r="99" spans="2:19" x14ac:dyDescent="0.2">
      <c r="B99" s="119" t="s">
        <v>944</v>
      </c>
      <c r="C99" s="119" t="s">
        <v>1010</v>
      </c>
      <c r="D99" s="55" t="str">
        <f>VLOOKUP(VLOOKUP(Q99&amp;"_"&amp;R99,挑战模式!$A$3:$Z$55,2+5*S99,FALSE),'⚪设计'!$B$85:$H$114,2,FALSE)</f>
        <v>ResUnit_Dan1</v>
      </c>
      <c r="E99" s="55">
        <f>VLOOKUP(VLOOKUP(Q99&amp;"_"&amp;R99,挑战模式!$A$3:$Z$55,2+5*S99,FALSE),'⚪设计'!$B$85:$H$114,6,FALSE)*VLOOKUP(Q99&amp;"_"&amp;R99,挑战模式!$A$3:$Z$55,5,FALSE)</f>
        <v>2</v>
      </c>
      <c r="F99">
        <v>400</v>
      </c>
      <c r="G99" t="b">
        <v>1</v>
      </c>
      <c r="H99">
        <v>1</v>
      </c>
      <c r="I99">
        <v>1</v>
      </c>
      <c r="J99">
        <v>0.5</v>
      </c>
      <c r="K99" s="55">
        <f>VLOOKUP(VLOOKUP(Q99&amp;"_"&amp;R99,挑战模式!$A$3:$Z$55,2+5*S99,FALSE),'⚪设计'!$B$85:$H$114,7,FALSE)</f>
        <v>1</v>
      </c>
      <c r="L99" s="57" t="str">
        <f t="shared" si="8"/>
        <v>Monster_Challenge9_3_3</v>
      </c>
      <c r="M99" t="s">
        <v>468</v>
      </c>
      <c r="N99" t="s">
        <v>469</v>
      </c>
      <c r="O99" t="s">
        <v>470</v>
      </c>
      <c r="P99" s="57" t="str">
        <f>IF(VLOOKUP(D99,'⚪设计'!$C$85:$I$113,7,FALSE)="","",VLOOKUP(D99,'⚪设计'!$C$85:$I$113,7,FALSE))</f>
        <v/>
      </c>
      <c r="Q99" s="110" t="str">
        <f t="shared" si="9"/>
        <v>9</v>
      </c>
      <c r="R99" s="110" t="str">
        <f t="shared" si="10"/>
        <v>3</v>
      </c>
      <c r="S99" s="110" t="str">
        <f t="shared" si="11"/>
        <v>3</v>
      </c>
    </row>
    <row r="100" spans="2:19" x14ac:dyDescent="0.2">
      <c r="B100" s="119" t="s">
        <v>945</v>
      </c>
      <c r="C100" s="119" t="s">
        <v>1011</v>
      </c>
      <c r="D100" s="55" t="str">
        <f>VLOOKUP(VLOOKUP(Q100&amp;"_"&amp;R100,挑战模式!$A$3:$Z$55,2+5*S100,FALSE),'⚪设计'!$B$85:$H$114,2,FALSE)</f>
        <v>ResUnit_ZhongZi2</v>
      </c>
      <c r="E100" s="55">
        <f>VLOOKUP(VLOOKUP(Q100&amp;"_"&amp;R100,挑战模式!$A$3:$Z$55,2+5*S100,FALSE),'⚪设计'!$B$85:$H$114,6,FALSE)*VLOOKUP(Q100&amp;"_"&amp;R100,挑战模式!$A$3:$Z$55,5,FALSE)</f>
        <v>2</v>
      </c>
      <c r="F100">
        <v>400</v>
      </c>
      <c r="G100" t="b">
        <v>1</v>
      </c>
      <c r="H100">
        <v>1</v>
      </c>
      <c r="I100">
        <v>1</v>
      </c>
      <c r="J100">
        <v>0.5</v>
      </c>
      <c r="K100" s="55">
        <f>VLOOKUP(VLOOKUP(Q100&amp;"_"&amp;R100,挑战模式!$A$3:$Z$55,2+5*S100,FALSE),'⚪设计'!$B$85:$H$114,7,FALSE)</f>
        <v>1.5</v>
      </c>
      <c r="L100" s="57" t="str">
        <f t="shared" si="8"/>
        <v>Monster_Challenge9_4_1</v>
      </c>
      <c r="M100" t="s">
        <v>468</v>
      </c>
      <c r="N100" t="s">
        <v>469</v>
      </c>
      <c r="O100" t="s">
        <v>470</v>
      </c>
      <c r="P100" s="57" t="str">
        <f>IF(VLOOKUP(D100,'⚪设计'!$C$85:$I$113,7,FALSE)="","",VLOOKUP(D100,'⚪设计'!$C$85:$I$113,7,FALSE))</f>
        <v>Skill_Monster_Heal,NormalAttack</v>
      </c>
      <c r="Q100" s="110" t="str">
        <f t="shared" si="9"/>
        <v>9</v>
      </c>
      <c r="R100" s="110" t="str">
        <f t="shared" si="10"/>
        <v>4</v>
      </c>
      <c r="S100" s="110" t="str">
        <f t="shared" si="11"/>
        <v>1</v>
      </c>
    </row>
    <row r="101" spans="2:19" x14ac:dyDescent="0.2">
      <c r="B101" s="119" t="s">
        <v>946</v>
      </c>
      <c r="C101" s="119" t="s">
        <v>1012</v>
      </c>
      <c r="D101" s="55" t="str">
        <f>VLOOKUP(VLOOKUP(Q101&amp;"_"&amp;R101,挑战模式!$A$3:$Z$55,2+5*S101,FALSE),'⚪设计'!$B$85:$H$114,2,FALSE)</f>
        <v>ResUnit_Gui2</v>
      </c>
      <c r="E101" s="55">
        <f>VLOOKUP(VLOOKUP(Q101&amp;"_"&amp;R101,挑战模式!$A$3:$Z$55,2+5*S101,FALSE),'⚪设计'!$B$85:$H$114,6,FALSE)*VLOOKUP(Q101&amp;"_"&amp;R101,挑战模式!$A$3:$Z$55,5,FALSE)</f>
        <v>2</v>
      </c>
      <c r="F101">
        <v>400</v>
      </c>
      <c r="G101" t="b">
        <v>1</v>
      </c>
      <c r="H101">
        <v>1</v>
      </c>
      <c r="I101">
        <v>1</v>
      </c>
      <c r="J101">
        <v>0.5</v>
      </c>
      <c r="K101" s="55">
        <f>VLOOKUP(VLOOKUP(Q101&amp;"_"&amp;R101,挑战模式!$A$3:$Z$55,2+5*S101,FALSE),'⚪设计'!$B$85:$H$114,7,FALSE)</f>
        <v>1.5</v>
      </c>
      <c r="L101" s="57" t="str">
        <f t="shared" si="8"/>
        <v>Monster_Challenge9_4_2</v>
      </c>
      <c r="M101" t="s">
        <v>468</v>
      </c>
      <c r="N101" t="s">
        <v>469</v>
      </c>
      <c r="O101" t="s">
        <v>470</v>
      </c>
      <c r="P101" s="57" t="str">
        <f>IF(VLOOKUP(D101,'⚪设计'!$C$85:$I$113,7,FALSE)="","",VLOOKUP(D101,'⚪设计'!$C$85:$I$113,7,FALSE))</f>
        <v>Skill_Monster_Invisible,NormalAttack</v>
      </c>
      <c r="Q101" s="110" t="str">
        <f t="shared" si="9"/>
        <v>9</v>
      </c>
      <c r="R101" s="110" t="str">
        <f t="shared" si="10"/>
        <v>4</v>
      </c>
      <c r="S101" s="110" t="str">
        <f t="shared" si="11"/>
        <v>2</v>
      </c>
    </row>
    <row r="102" spans="2:19" x14ac:dyDescent="0.2">
      <c r="B102" s="119" t="s">
        <v>947</v>
      </c>
      <c r="C102" s="119" t="s">
        <v>1013</v>
      </c>
      <c r="D102" s="55" t="str">
        <f>VLOOKUP(VLOOKUP(Q102&amp;"_"&amp;R102,挑战模式!$A$3:$Z$55,2+5*S102,FALSE),'⚪设计'!$B$85:$H$114,2,FALSE)</f>
        <v>ResUnit_BianFu2</v>
      </c>
      <c r="E102" s="55">
        <f>VLOOKUP(VLOOKUP(Q102&amp;"_"&amp;R102,挑战模式!$A$3:$Z$55,2+5*S102,FALSE),'⚪设计'!$B$85:$H$114,6,FALSE)*VLOOKUP(Q102&amp;"_"&amp;R102,挑战模式!$A$3:$Z$55,5,FALSE)</f>
        <v>2</v>
      </c>
      <c r="F102">
        <v>400</v>
      </c>
      <c r="G102" t="b">
        <v>1</v>
      </c>
      <c r="H102">
        <v>1</v>
      </c>
      <c r="I102">
        <v>1</v>
      </c>
      <c r="J102">
        <v>0.5</v>
      </c>
      <c r="K102" s="55">
        <f>VLOOKUP(VLOOKUP(Q102&amp;"_"&amp;R102,挑战模式!$A$3:$Z$55,2+5*S102,FALSE),'⚪设计'!$B$85:$H$114,7,FALSE)</f>
        <v>1.5</v>
      </c>
      <c r="L102" s="57" t="str">
        <f t="shared" si="8"/>
        <v>Monster_Challenge9_4_3</v>
      </c>
      <c r="M102" t="s">
        <v>468</v>
      </c>
      <c r="N102" t="s">
        <v>469</v>
      </c>
      <c r="O102" t="s">
        <v>470</v>
      </c>
      <c r="P102" s="57" t="str">
        <f>IF(VLOOKUP(D102,'⚪设计'!$C$85:$I$113,7,FALSE)="","",VLOOKUP(D102,'⚪设计'!$C$85:$I$113,7,FALSE))</f>
        <v/>
      </c>
      <c r="Q102" s="110" t="str">
        <f t="shared" si="9"/>
        <v>9</v>
      </c>
      <c r="R102" s="110" t="str">
        <f t="shared" si="10"/>
        <v>4</v>
      </c>
      <c r="S102" s="110" t="str">
        <f t="shared" si="11"/>
        <v>3</v>
      </c>
    </row>
    <row r="103" spans="2:19" x14ac:dyDescent="0.2">
      <c r="B103" s="119" t="s">
        <v>948</v>
      </c>
      <c r="C103" s="119" t="s">
        <v>1014</v>
      </c>
      <c r="D103" s="55" t="str">
        <f>VLOOKUP(VLOOKUP(Q103&amp;"_"&amp;R103,挑战模式!$A$3:$Z$55,2+5*S103,FALSE),'⚪设计'!$B$85:$H$114,2,FALSE)</f>
        <v>ResUnit_ZhongZi2</v>
      </c>
      <c r="E103" s="55">
        <f>VLOOKUP(VLOOKUP(Q103&amp;"_"&amp;R103,挑战模式!$A$3:$Z$55,2+5*S103,FALSE),'⚪设计'!$B$85:$H$114,6,FALSE)*VLOOKUP(Q103&amp;"_"&amp;R103,挑战模式!$A$3:$Z$55,5,FALSE)</f>
        <v>2</v>
      </c>
      <c r="F103">
        <v>400</v>
      </c>
      <c r="G103" t="b">
        <v>1</v>
      </c>
      <c r="H103">
        <v>1</v>
      </c>
      <c r="I103">
        <v>1</v>
      </c>
      <c r="J103">
        <v>0.5</v>
      </c>
      <c r="K103" s="55">
        <f>VLOOKUP(VLOOKUP(Q103&amp;"_"&amp;R103,挑战模式!$A$3:$Z$55,2+5*S103,FALSE),'⚪设计'!$B$85:$H$114,7,FALSE)</f>
        <v>1.5</v>
      </c>
      <c r="L103" s="57" t="str">
        <f t="shared" si="8"/>
        <v>Monster_Challenge9_5_1</v>
      </c>
      <c r="M103" t="s">
        <v>468</v>
      </c>
      <c r="N103" t="s">
        <v>469</v>
      </c>
      <c r="O103" t="s">
        <v>470</v>
      </c>
      <c r="P103" s="57" t="str">
        <f>IF(VLOOKUP(D103,'⚪设计'!$C$85:$I$113,7,FALSE)="","",VLOOKUP(D103,'⚪设计'!$C$85:$I$113,7,FALSE))</f>
        <v>Skill_Monster_Heal,NormalAttack</v>
      </c>
      <c r="Q103" s="110" t="str">
        <f t="shared" si="9"/>
        <v>9</v>
      </c>
      <c r="R103" s="110" t="str">
        <f t="shared" si="10"/>
        <v>5</v>
      </c>
      <c r="S103" s="110" t="str">
        <f t="shared" si="11"/>
        <v>1</v>
      </c>
    </row>
    <row r="104" spans="2:19" x14ac:dyDescent="0.2">
      <c r="B104" s="119" t="s">
        <v>949</v>
      </c>
      <c r="C104" s="119" t="s">
        <v>1015</v>
      </c>
      <c r="D104" s="55" t="str">
        <f>VLOOKUP(VLOOKUP(Q104&amp;"_"&amp;R104,挑战模式!$A$3:$Z$55,2+5*S104,FALSE),'⚪设计'!$B$85:$H$114,2,FALSE)</f>
        <v>ResUnit_Gui2</v>
      </c>
      <c r="E104" s="55">
        <f>VLOOKUP(VLOOKUP(Q104&amp;"_"&amp;R104,挑战模式!$A$3:$Z$55,2+5*S104,FALSE),'⚪设计'!$B$85:$H$114,6,FALSE)*VLOOKUP(Q104&amp;"_"&amp;R104,挑战模式!$A$3:$Z$55,5,FALSE)</f>
        <v>2</v>
      </c>
      <c r="F104">
        <v>400</v>
      </c>
      <c r="G104" t="b">
        <v>1</v>
      </c>
      <c r="H104">
        <v>1</v>
      </c>
      <c r="I104">
        <v>1</v>
      </c>
      <c r="J104">
        <v>0.5</v>
      </c>
      <c r="K104" s="55">
        <f>VLOOKUP(VLOOKUP(Q104&amp;"_"&amp;R104,挑战模式!$A$3:$Z$55,2+5*S104,FALSE),'⚪设计'!$B$85:$H$114,7,FALSE)</f>
        <v>1.5</v>
      </c>
      <c r="L104" s="57" t="str">
        <f t="shared" si="8"/>
        <v>Monster_Challenge9_5_2</v>
      </c>
      <c r="M104" t="s">
        <v>468</v>
      </c>
      <c r="N104" t="s">
        <v>469</v>
      </c>
      <c r="O104" t="s">
        <v>470</v>
      </c>
      <c r="P104" s="57" t="str">
        <f>IF(VLOOKUP(D104,'⚪设计'!$C$85:$I$113,7,FALSE)="","",VLOOKUP(D104,'⚪设计'!$C$85:$I$113,7,FALSE))</f>
        <v>Skill_Monster_Invisible,NormalAttack</v>
      </c>
      <c r="Q104" s="110" t="str">
        <f t="shared" si="9"/>
        <v>9</v>
      </c>
      <c r="R104" s="110" t="str">
        <f t="shared" si="10"/>
        <v>5</v>
      </c>
      <c r="S104" s="110" t="str">
        <f t="shared" si="11"/>
        <v>2</v>
      </c>
    </row>
    <row r="105" spans="2:19" x14ac:dyDescent="0.2">
      <c r="B105" s="119" t="s">
        <v>950</v>
      </c>
      <c r="C105" s="119" t="s">
        <v>1016</v>
      </c>
      <c r="D105" s="55" t="str">
        <f>VLOOKUP(VLOOKUP(Q105&amp;"_"&amp;R105,挑战模式!$A$3:$Z$55,2+5*S105,FALSE),'⚪设计'!$B$85:$H$114,2,FALSE)</f>
        <v>ResUnit_Dan2</v>
      </c>
      <c r="E105" s="55">
        <f>VLOOKUP(VLOOKUP(Q105&amp;"_"&amp;R105,挑战模式!$A$3:$Z$55,2+5*S105,FALSE),'⚪设计'!$B$85:$H$114,6,FALSE)*VLOOKUP(Q105&amp;"_"&amp;R105,挑战模式!$A$3:$Z$55,5,FALSE)</f>
        <v>2</v>
      </c>
      <c r="F105">
        <v>400</v>
      </c>
      <c r="G105" t="b">
        <v>1</v>
      </c>
      <c r="H105">
        <v>1</v>
      </c>
      <c r="I105">
        <v>1</v>
      </c>
      <c r="J105">
        <v>0.5</v>
      </c>
      <c r="K105" s="55">
        <f>VLOOKUP(VLOOKUP(Q105&amp;"_"&amp;R105,挑战模式!$A$3:$Z$55,2+5*S105,FALSE),'⚪设计'!$B$85:$H$114,7,FALSE)</f>
        <v>1.5</v>
      </c>
      <c r="L105" s="57" t="str">
        <f t="shared" si="8"/>
        <v>Monster_Challenge9_5_3</v>
      </c>
      <c r="M105" t="s">
        <v>468</v>
      </c>
      <c r="N105" t="s">
        <v>469</v>
      </c>
      <c r="O105" t="s">
        <v>470</v>
      </c>
      <c r="P105" s="57" t="str">
        <f>IF(VLOOKUP(D105,'⚪设计'!$C$85:$I$113,7,FALSE)="","",VLOOKUP(D105,'⚪设计'!$C$85:$I$113,7,FALSE))</f>
        <v>Skill_Monster_Weaken,NormalAttack</v>
      </c>
      <c r="Q105" s="110" t="str">
        <f t="shared" si="9"/>
        <v>9</v>
      </c>
      <c r="R105" s="110" t="str">
        <f t="shared" si="10"/>
        <v>5</v>
      </c>
      <c r="S105" s="110" t="str">
        <f t="shared" si="11"/>
        <v>3</v>
      </c>
    </row>
    <row r="106" spans="2:19" x14ac:dyDescent="0.2">
      <c r="B106" s="119" t="s">
        <v>3076</v>
      </c>
      <c r="C106" s="119" t="s">
        <v>3099</v>
      </c>
      <c r="D106" s="55" t="str">
        <f>VLOOKUP(VLOOKUP(Q106&amp;"_"&amp;R106,挑战模式!$A$3:$Z$55,2+5*S106,FALSE),'⚪设计'!$B$85:$H$114,2,FALSE)</f>
        <v>ResUnit_Dan1</v>
      </c>
      <c r="E106" s="55">
        <f>VLOOKUP(VLOOKUP(Q106&amp;"_"&amp;R106,挑战模式!$A$3:$Z$55,2+5*S106,FALSE),'⚪设计'!$B$85:$H$114,6,FALSE)*VLOOKUP(Q106&amp;"_"&amp;R106,挑战模式!$A$3:$Z$55,5,FALSE)</f>
        <v>2</v>
      </c>
      <c r="F106">
        <v>400</v>
      </c>
      <c r="G106" t="b">
        <v>1</v>
      </c>
      <c r="H106">
        <v>1</v>
      </c>
      <c r="I106">
        <v>1</v>
      </c>
      <c r="J106">
        <v>0.5</v>
      </c>
      <c r="K106" s="55">
        <f>VLOOKUP(VLOOKUP(Q106&amp;"_"&amp;R106,挑战模式!$A$3:$Z$55,2+5*S106,FALSE),'⚪设计'!$B$85:$H$114,7,FALSE)</f>
        <v>1</v>
      </c>
      <c r="L106" s="57" t="str">
        <f t="shared" si="8"/>
        <v>Monster_Challenge9_5_4</v>
      </c>
      <c r="M106" t="s">
        <v>468</v>
      </c>
      <c r="N106" t="s">
        <v>469</v>
      </c>
      <c r="O106" t="s">
        <v>470</v>
      </c>
      <c r="P106" s="57" t="str">
        <f>IF(VLOOKUP(D106,'⚪设计'!$C$85:$I$113,7,FALSE)="","",VLOOKUP(D106,'⚪设计'!$C$85:$I$113,7,FALSE))</f>
        <v/>
      </c>
      <c r="Q106" s="110" t="str">
        <f t="shared" si="9"/>
        <v>9</v>
      </c>
      <c r="R106" s="110" t="str">
        <f t="shared" si="10"/>
        <v>5</v>
      </c>
      <c r="S106" s="110" t="str">
        <f t="shared" si="11"/>
        <v>4</v>
      </c>
    </row>
    <row r="107" spans="2:19" x14ac:dyDescent="0.2">
      <c r="B107" s="119" t="s">
        <v>951</v>
      </c>
      <c r="C107" s="119" t="s">
        <v>1017</v>
      </c>
      <c r="D107" s="55" t="str">
        <f>VLOOKUP(VLOOKUP(Q107&amp;"_"&amp;R107,挑战模式!$A$3:$Z$55,2+5*S107,FALSE),'⚪设计'!$B$85:$H$114,2,FALSE)</f>
        <v>ResUnit_Gui1</v>
      </c>
      <c r="E107" s="55">
        <f>VLOOKUP(VLOOKUP(Q107&amp;"_"&amp;R107,挑战模式!$A$3:$Z$55,2+5*S107,FALSE),'⚪设计'!$B$85:$H$114,6,FALSE)*VLOOKUP(Q107&amp;"_"&amp;R107,挑战模式!$A$3:$Z$55,5,FALSE)</f>
        <v>2</v>
      </c>
      <c r="F107">
        <v>400</v>
      </c>
      <c r="G107" t="b">
        <v>1</v>
      </c>
      <c r="H107">
        <v>1</v>
      </c>
      <c r="I107">
        <v>1</v>
      </c>
      <c r="J107">
        <v>0.5</v>
      </c>
      <c r="K107" s="55">
        <f>VLOOKUP(VLOOKUP(Q107&amp;"_"&amp;R107,挑战模式!$A$3:$Z$55,2+5*S107,FALSE),'⚪设计'!$B$85:$H$114,7,FALSE)</f>
        <v>1</v>
      </c>
      <c r="L107" s="57" t="str">
        <f t="shared" si="8"/>
        <v>Monster_Challenge10_1_1</v>
      </c>
      <c r="M107" t="s">
        <v>468</v>
      </c>
      <c r="N107" t="s">
        <v>469</v>
      </c>
      <c r="O107" t="s">
        <v>470</v>
      </c>
      <c r="P107" s="57" t="str">
        <f>IF(VLOOKUP(D107,'⚪设计'!$C$85:$I$113,7,FALSE)="","",VLOOKUP(D107,'⚪设计'!$C$85:$I$113,7,FALSE))</f>
        <v>Skill_Monster_Invisible,NormalAttack</v>
      </c>
      <c r="Q107" s="110">
        <v>10</v>
      </c>
      <c r="R107" s="110" t="str">
        <f t="shared" si="10"/>
        <v>1</v>
      </c>
      <c r="S107" s="110" t="str">
        <f t="shared" si="11"/>
        <v>1</v>
      </c>
    </row>
    <row r="108" spans="2:19" x14ac:dyDescent="0.2">
      <c r="B108" s="119" t="s">
        <v>952</v>
      </c>
      <c r="C108" s="119" t="s">
        <v>1018</v>
      </c>
      <c r="D108" s="55" t="str">
        <f>VLOOKUP(VLOOKUP(Q108&amp;"_"&amp;R108,挑战模式!$A$3:$Z$55,2+5*S108,FALSE),'⚪设计'!$B$85:$H$114,2,FALSE)</f>
        <v>ResUnit_ZhiZhu1</v>
      </c>
      <c r="E108" s="55">
        <f>VLOOKUP(VLOOKUP(Q108&amp;"_"&amp;R108,挑战模式!$A$3:$Z$55,2+5*S108,FALSE),'⚪设计'!$B$85:$H$114,6,FALSE)*VLOOKUP(Q108&amp;"_"&amp;R108,挑战模式!$A$3:$Z$55,5,FALSE)</f>
        <v>3</v>
      </c>
      <c r="F108">
        <v>400</v>
      </c>
      <c r="G108" t="b">
        <v>1</v>
      </c>
      <c r="H108">
        <v>1</v>
      </c>
      <c r="I108">
        <v>1</v>
      </c>
      <c r="J108">
        <v>0.5</v>
      </c>
      <c r="K108" s="55">
        <f>VLOOKUP(VLOOKUP(Q108&amp;"_"&amp;R108,挑战模式!$A$3:$Z$55,2+5*S108,FALSE),'⚪设计'!$B$85:$H$114,7,FALSE)</f>
        <v>1</v>
      </c>
      <c r="L108" s="57" t="str">
        <f t="shared" si="8"/>
        <v>Monster_Challenge10_1_2</v>
      </c>
      <c r="M108" t="s">
        <v>468</v>
      </c>
      <c r="N108" t="s">
        <v>469</v>
      </c>
      <c r="O108" t="s">
        <v>470</v>
      </c>
      <c r="P108" s="57" t="str">
        <f>IF(VLOOKUP(D108,'⚪设计'!$C$85:$I$113,7,FALSE)="","",VLOOKUP(D108,'⚪设计'!$C$85:$I$113,7,FALSE))</f>
        <v/>
      </c>
      <c r="Q108" s="110">
        <v>10</v>
      </c>
      <c r="R108" s="110" t="str">
        <f t="shared" si="10"/>
        <v>1</v>
      </c>
      <c r="S108" s="110" t="str">
        <f t="shared" si="11"/>
        <v>2</v>
      </c>
    </row>
    <row r="109" spans="2:19" x14ac:dyDescent="0.2">
      <c r="B109" s="119" t="s">
        <v>953</v>
      </c>
      <c r="C109" s="119" t="s">
        <v>1019</v>
      </c>
      <c r="D109" s="55" t="str">
        <f>VLOOKUP(VLOOKUP(Q109&amp;"_"&amp;R109,挑战模式!$A$3:$Z$55,2+5*S109,FALSE),'⚪设计'!$B$85:$H$114,2,FALSE)</f>
        <v>ResUnit_Gui2</v>
      </c>
      <c r="E109" s="55">
        <f>VLOOKUP(VLOOKUP(Q109&amp;"_"&amp;R109,挑战模式!$A$3:$Z$55,2+5*S109,FALSE),'⚪设计'!$B$85:$H$114,6,FALSE)*VLOOKUP(Q109&amp;"_"&amp;R109,挑战模式!$A$3:$Z$55,5,FALSE)</f>
        <v>2</v>
      </c>
      <c r="F109">
        <v>400</v>
      </c>
      <c r="G109" t="b">
        <v>1</v>
      </c>
      <c r="H109">
        <v>1</v>
      </c>
      <c r="I109">
        <v>1</v>
      </c>
      <c r="J109">
        <v>0.5</v>
      </c>
      <c r="K109" s="55">
        <f>VLOOKUP(VLOOKUP(Q109&amp;"_"&amp;R109,挑战模式!$A$3:$Z$55,2+5*S109,FALSE),'⚪设计'!$B$85:$H$114,7,FALSE)</f>
        <v>1.5</v>
      </c>
      <c r="L109" s="57" t="str">
        <f t="shared" si="8"/>
        <v>Monster_Challenge10_2_1</v>
      </c>
      <c r="M109" t="s">
        <v>468</v>
      </c>
      <c r="N109" t="s">
        <v>469</v>
      </c>
      <c r="O109" t="s">
        <v>470</v>
      </c>
      <c r="P109" s="57" t="str">
        <f>IF(VLOOKUP(D109,'⚪设计'!$C$85:$I$113,7,FALSE)="","",VLOOKUP(D109,'⚪设计'!$C$85:$I$113,7,FALSE))</f>
        <v>Skill_Monster_Invisible,NormalAttack</v>
      </c>
      <c r="Q109" s="110">
        <v>10</v>
      </c>
      <c r="R109" s="110" t="str">
        <f t="shared" si="10"/>
        <v>2</v>
      </c>
      <c r="S109" s="110" t="str">
        <f t="shared" si="11"/>
        <v>1</v>
      </c>
    </row>
    <row r="110" spans="2:19" x14ac:dyDescent="0.2">
      <c r="B110" s="119" t="s">
        <v>954</v>
      </c>
      <c r="C110" s="119" t="s">
        <v>1020</v>
      </c>
      <c r="D110" s="55" t="str">
        <f>VLOOKUP(VLOOKUP(Q110&amp;"_"&amp;R110,挑战模式!$A$3:$Z$55,2+5*S110,FALSE),'⚪设计'!$B$85:$H$114,2,FALSE)</f>
        <v>ResUnit_Dan1</v>
      </c>
      <c r="E110" s="55">
        <f>VLOOKUP(VLOOKUP(Q110&amp;"_"&amp;R110,挑战模式!$A$3:$Z$55,2+5*S110,FALSE),'⚪设计'!$B$85:$H$114,6,FALSE)*VLOOKUP(Q110&amp;"_"&amp;R110,挑战模式!$A$3:$Z$55,5,FALSE)</f>
        <v>2</v>
      </c>
      <c r="F110">
        <v>400</v>
      </c>
      <c r="G110" t="b">
        <v>1</v>
      </c>
      <c r="H110">
        <v>1</v>
      </c>
      <c r="I110">
        <v>1</v>
      </c>
      <c r="J110">
        <v>0.5</v>
      </c>
      <c r="K110" s="55">
        <f>VLOOKUP(VLOOKUP(Q110&amp;"_"&amp;R110,挑战模式!$A$3:$Z$55,2+5*S110,FALSE),'⚪设计'!$B$85:$H$114,7,FALSE)</f>
        <v>1</v>
      </c>
      <c r="L110" s="57" t="str">
        <f t="shared" si="8"/>
        <v>Monster_Challenge10_2_2</v>
      </c>
      <c r="M110" t="s">
        <v>468</v>
      </c>
      <c r="N110" t="s">
        <v>469</v>
      </c>
      <c r="O110" t="s">
        <v>470</v>
      </c>
      <c r="P110" s="57" t="str">
        <f>IF(VLOOKUP(D110,'⚪设计'!$C$85:$I$113,7,FALSE)="","",VLOOKUP(D110,'⚪设计'!$C$85:$I$113,7,FALSE))</f>
        <v/>
      </c>
      <c r="Q110" s="110">
        <v>10</v>
      </c>
      <c r="R110" s="110" t="str">
        <f t="shared" si="10"/>
        <v>2</v>
      </c>
      <c r="S110" s="110" t="str">
        <f t="shared" si="11"/>
        <v>2</v>
      </c>
    </row>
    <row r="111" spans="2:19" x14ac:dyDescent="0.2">
      <c r="B111" s="119" t="s">
        <v>955</v>
      </c>
      <c r="C111" s="119" t="s">
        <v>1021</v>
      </c>
      <c r="D111" s="55" t="str">
        <f>VLOOKUP(VLOOKUP(Q111&amp;"_"&amp;R111,挑战模式!$A$3:$Z$55,2+5*S111,FALSE),'⚪设计'!$B$85:$H$114,2,FALSE)</f>
        <v>ResUnit_Gui2</v>
      </c>
      <c r="E111" s="55">
        <f>VLOOKUP(VLOOKUP(Q111&amp;"_"&amp;R111,挑战模式!$A$3:$Z$55,2+5*S111,FALSE),'⚪设计'!$B$85:$H$114,6,FALSE)*VLOOKUP(Q111&amp;"_"&amp;R111,挑战模式!$A$3:$Z$55,5,FALSE)</f>
        <v>2</v>
      </c>
      <c r="F111">
        <v>400</v>
      </c>
      <c r="G111" t="b">
        <v>1</v>
      </c>
      <c r="H111">
        <v>1</v>
      </c>
      <c r="I111">
        <v>1</v>
      </c>
      <c r="J111">
        <v>0.5</v>
      </c>
      <c r="K111" s="55">
        <f>VLOOKUP(VLOOKUP(Q111&amp;"_"&amp;R111,挑战模式!$A$3:$Z$55,2+5*S111,FALSE),'⚪设计'!$B$85:$H$114,7,FALSE)</f>
        <v>1.5</v>
      </c>
      <c r="L111" s="57" t="str">
        <f t="shared" si="8"/>
        <v>Monster_Challenge10_3_1</v>
      </c>
      <c r="M111" t="s">
        <v>468</v>
      </c>
      <c r="N111" t="s">
        <v>469</v>
      </c>
      <c r="O111" t="s">
        <v>470</v>
      </c>
      <c r="P111" s="57" t="str">
        <f>IF(VLOOKUP(D111,'⚪设计'!$C$85:$I$113,7,FALSE)="","",VLOOKUP(D111,'⚪设计'!$C$85:$I$113,7,FALSE))</f>
        <v>Skill_Monster_Invisible,NormalAttack</v>
      </c>
      <c r="Q111" s="110">
        <v>10</v>
      </c>
      <c r="R111" s="110" t="str">
        <f t="shared" si="10"/>
        <v>3</v>
      </c>
      <c r="S111" s="110" t="str">
        <f t="shared" si="11"/>
        <v>1</v>
      </c>
    </row>
    <row r="112" spans="2:19" x14ac:dyDescent="0.2">
      <c r="B112" s="119" t="s">
        <v>956</v>
      </c>
      <c r="C112" s="119" t="s">
        <v>1022</v>
      </c>
      <c r="D112" s="55" t="str">
        <f>VLOOKUP(VLOOKUP(Q112&amp;"_"&amp;R112,挑战模式!$A$3:$Z$55,2+5*S112,FALSE),'⚪设计'!$B$85:$H$114,2,FALSE)</f>
        <v>ResUnit_Dan2</v>
      </c>
      <c r="E112" s="55">
        <f>VLOOKUP(VLOOKUP(Q112&amp;"_"&amp;R112,挑战模式!$A$3:$Z$55,2+5*S112,FALSE),'⚪设计'!$B$85:$H$114,6,FALSE)*VLOOKUP(Q112&amp;"_"&amp;R112,挑战模式!$A$3:$Z$55,5,FALSE)</f>
        <v>2</v>
      </c>
      <c r="F112">
        <v>400</v>
      </c>
      <c r="G112" t="b">
        <v>1</v>
      </c>
      <c r="H112">
        <v>1</v>
      </c>
      <c r="I112">
        <v>1</v>
      </c>
      <c r="J112">
        <v>0.5</v>
      </c>
      <c r="K112" s="55">
        <f>VLOOKUP(VLOOKUP(Q112&amp;"_"&amp;R112,挑战模式!$A$3:$Z$55,2+5*S112,FALSE),'⚪设计'!$B$85:$H$114,7,FALSE)</f>
        <v>1.5</v>
      </c>
      <c r="L112" s="57" t="str">
        <f t="shared" si="8"/>
        <v>Monster_Challenge10_3_2</v>
      </c>
      <c r="M112" t="s">
        <v>468</v>
      </c>
      <c r="N112" t="s">
        <v>469</v>
      </c>
      <c r="O112" t="s">
        <v>470</v>
      </c>
      <c r="P112" s="57" t="str">
        <f>IF(VLOOKUP(D112,'⚪设计'!$C$85:$I$113,7,FALSE)="","",VLOOKUP(D112,'⚪设计'!$C$85:$I$113,7,FALSE))</f>
        <v>Skill_Monster_Weaken,NormalAttack</v>
      </c>
      <c r="Q112" s="110">
        <v>10</v>
      </c>
      <c r="R112" s="110" t="str">
        <f t="shared" si="10"/>
        <v>3</v>
      </c>
      <c r="S112" s="110" t="str">
        <f t="shared" si="11"/>
        <v>2</v>
      </c>
    </row>
    <row r="113" spans="2:19" x14ac:dyDescent="0.2">
      <c r="B113" s="119" t="s">
        <v>957</v>
      </c>
      <c r="C113" s="119" t="s">
        <v>1023</v>
      </c>
      <c r="D113" s="55" t="str">
        <f>VLOOKUP(VLOOKUP(Q113&amp;"_"&amp;R113,挑战模式!$A$3:$Z$55,2+5*S113,FALSE),'⚪设计'!$B$85:$H$114,2,FALSE)</f>
        <v>ResUnit_MiFeng2</v>
      </c>
      <c r="E113" s="55">
        <f>VLOOKUP(VLOOKUP(Q113&amp;"_"&amp;R113,挑战模式!$A$3:$Z$55,2+5*S113,FALSE),'⚪设计'!$B$85:$H$114,6,FALSE)*VLOOKUP(Q113&amp;"_"&amp;R113,挑战模式!$A$3:$Z$55,5,FALSE)</f>
        <v>2</v>
      </c>
      <c r="F113">
        <v>400</v>
      </c>
      <c r="G113" t="b">
        <v>1</v>
      </c>
      <c r="H113">
        <v>1</v>
      </c>
      <c r="I113">
        <v>1</v>
      </c>
      <c r="J113">
        <v>0.5</v>
      </c>
      <c r="K113" s="55">
        <f>VLOOKUP(VLOOKUP(Q113&amp;"_"&amp;R113,挑战模式!$A$3:$Z$55,2+5*S113,FALSE),'⚪设计'!$B$85:$H$114,7,FALSE)</f>
        <v>1.5</v>
      </c>
      <c r="L113" s="57" t="str">
        <f t="shared" si="8"/>
        <v>Monster_Challenge10_3_3</v>
      </c>
      <c r="M113" t="s">
        <v>468</v>
      </c>
      <c r="N113" t="s">
        <v>469</v>
      </c>
      <c r="O113" t="s">
        <v>470</v>
      </c>
      <c r="P113" s="57" t="str">
        <f>IF(VLOOKUP(D113,'⚪设计'!$C$85:$I$113,7,FALSE)="","",VLOOKUP(D113,'⚪设计'!$C$85:$I$113,7,FALSE))</f>
        <v/>
      </c>
      <c r="Q113" s="110">
        <v>10</v>
      </c>
      <c r="R113" s="110" t="str">
        <f t="shared" si="10"/>
        <v>3</v>
      </c>
      <c r="S113" s="110" t="str">
        <f t="shared" si="11"/>
        <v>3</v>
      </c>
    </row>
    <row r="114" spans="2:19" x14ac:dyDescent="0.2">
      <c r="B114" s="119" t="s">
        <v>958</v>
      </c>
      <c r="C114" s="119" t="s">
        <v>1024</v>
      </c>
      <c r="D114" s="55" t="str">
        <f>VLOOKUP(VLOOKUP(Q114&amp;"_"&amp;R114,挑战模式!$A$3:$Z$55,2+5*S114,FALSE),'⚪设计'!$B$85:$H$114,2,FALSE)</f>
        <v>ResUnit_ZhongZi2</v>
      </c>
      <c r="E114" s="55">
        <f>VLOOKUP(VLOOKUP(Q114&amp;"_"&amp;R114,挑战模式!$A$3:$Z$55,2+5*S114,FALSE),'⚪设计'!$B$85:$H$114,6,FALSE)*VLOOKUP(Q114&amp;"_"&amp;R114,挑战模式!$A$3:$Z$55,5,FALSE)</f>
        <v>2</v>
      </c>
      <c r="F114">
        <v>400</v>
      </c>
      <c r="G114" t="b">
        <v>1</v>
      </c>
      <c r="H114">
        <v>1</v>
      </c>
      <c r="I114">
        <v>1</v>
      </c>
      <c r="J114">
        <v>0.5</v>
      </c>
      <c r="K114" s="55">
        <f>VLOOKUP(VLOOKUP(Q114&amp;"_"&amp;R114,挑战模式!$A$3:$Z$55,2+5*S114,FALSE),'⚪设计'!$B$85:$H$114,7,FALSE)</f>
        <v>1.5</v>
      </c>
      <c r="L114" s="57" t="str">
        <f t="shared" si="8"/>
        <v>Monster_Challenge10_4_1</v>
      </c>
      <c r="M114" t="s">
        <v>468</v>
      </c>
      <c r="N114" t="s">
        <v>469</v>
      </c>
      <c r="O114" t="s">
        <v>470</v>
      </c>
      <c r="P114" s="57" t="str">
        <f>IF(VLOOKUP(D114,'⚪设计'!$C$85:$I$113,7,FALSE)="","",VLOOKUP(D114,'⚪设计'!$C$85:$I$113,7,FALSE))</f>
        <v>Skill_Monster_Heal,NormalAttack</v>
      </c>
      <c r="Q114" s="110">
        <v>10</v>
      </c>
      <c r="R114" s="110" t="str">
        <f t="shared" si="10"/>
        <v>4</v>
      </c>
      <c r="S114" s="110" t="str">
        <f t="shared" si="11"/>
        <v>1</v>
      </c>
    </row>
    <row r="115" spans="2:19" x14ac:dyDescent="0.2">
      <c r="B115" s="119" t="s">
        <v>959</v>
      </c>
      <c r="C115" s="119" t="s">
        <v>1025</v>
      </c>
      <c r="D115" s="55" t="str">
        <f>VLOOKUP(VLOOKUP(Q115&amp;"_"&amp;R115,挑战模式!$A$3:$Z$55,2+5*S115,FALSE),'⚪设计'!$B$85:$H$114,2,FALSE)</f>
        <v>ResUnit_Dan2</v>
      </c>
      <c r="E115" s="55">
        <f>VLOOKUP(VLOOKUP(Q115&amp;"_"&amp;R115,挑战模式!$A$3:$Z$55,2+5*S115,FALSE),'⚪设计'!$B$85:$H$114,6,FALSE)*VLOOKUP(Q115&amp;"_"&amp;R115,挑战模式!$A$3:$Z$55,5,FALSE)</f>
        <v>2</v>
      </c>
      <c r="F115">
        <v>400</v>
      </c>
      <c r="G115" t="b">
        <v>1</v>
      </c>
      <c r="H115">
        <v>1</v>
      </c>
      <c r="I115">
        <v>1</v>
      </c>
      <c r="J115">
        <v>0.5</v>
      </c>
      <c r="K115" s="55">
        <f>VLOOKUP(VLOOKUP(Q115&amp;"_"&amp;R115,挑战模式!$A$3:$Z$55,2+5*S115,FALSE),'⚪设计'!$B$85:$H$114,7,FALSE)</f>
        <v>1.5</v>
      </c>
      <c r="L115" s="57" t="str">
        <f t="shared" si="8"/>
        <v>Monster_Challenge10_4_2</v>
      </c>
      <c r="M115" t="s">
        <v>468</v>
      </c>
      <c r="N115" t="s">
        <v>469</v>
      </c>
      <c r="O115" t="s">
        <v>470</v>
      </c>
      <c r="P115" s="57" t="str">
        <f>IF(VLOOKUP(D115,'⚪设计'!$C$85:$I$113,7,FALSE)="","",VLOOKUP(D115,'⚪设计'!$C$85:$I$113,7,FALSE))</f>
        <v>Skill_Monster_Weaken,NormalAttack</v>
      </c>
      <c r="Q115" s="110">
        <v>10</v>
      </c>
      <c r="R115" s="110" t="str">
        <f t="shared" si="10"/>
        <v>4</v>
      </c>
      <c r="S115" s="110" t="str">
        <f t="shared" si="11"/>
        <v>2</v>
      </c>
    </row>
    <row r="116" spans="2:19" x14ac:dyDescent="0.2">
      <c r="B116" s="119" t="s">
        <v>960</v>
      </c>
      <c r="C116" s="119" t="s">
        <v>1026</v>
      </c>
      <c r="D116" s="55" t="str">
        <f>VLOOKUP(VLOOKUP(Q116&amp;"_"&amp;R116,挑战模式!$A$3:$Z$55,2+5*S116,FALSE),'⚪设计'!$B$85:$H$114,2,FALSE)</f>
        <v>ResUnit_ZhiZhu2</v>
      </c>
      <c r="E116" s="55">
        <f>VLOOKUP(VLOOKUP(Q116&amp;"_"&amp;R116,挑战模式!$A$3:$Z$55,2+5*S116,FALSE),'⚪设计'!$B$85:$H$114,6,FALSE)*VLOOKUP(Q116&amp;"_"&amp;R116,挑战模式!$A$3:$Z$55,5,FALSE)</f>
        <v>3</v>
      </c>
      <c r="F116">
        <v>400</v>
      </c>
      <c r="G116" t="b">
        <v>1</v>
      </c>
      <c r="H116">
        <v>1</v>
      </c>
      <c r="I116">
        <v>1</v>
      </c>
      <c r="J116">
        <v>0.5</v>
      </c>
      <c r="K116" s="55">
        <f>VLOOKUP(VLOOKUP(Q116&amp;"_"&amp;R116,挑战模式!$A$3:$Z$55,2+5*S116,FALSE),'⚪设计'!$B$85:$H$114,7,FALSE)</f>
        <v>1.5</v>
      </c>
      <c r="L116" s="57" t="str">
        <f t="shared" si="8"/>
        <v>Monster_Challenge10_4_3</v>
      </c>
      <c r="M116" t="s">
        <v>468</v>
      </c>
      <c r="N116" t="s">
        <v>469</v>
      </c>
      <c r="O116" t="s">
        <v>470</v>
      </c>
      <c r="P116" s="57" t="str">
        <f>IF(VLOOKUP(D116,'⚪设计'!$C$85:$I$113,7,FALSE)="","",VLOOKUP(D116,'⚪设计'!$C$85:$I$113,7,FALSE))</f>
        <v/>
      </c>
      <c r="Q116" s="110">
        <v>10</v>
      </c>
      <c r="R116" s="110" t="str">
        <f t="shared" si="10"/>
        <v>4</v>
      </c>
      <c r="S116" s="110" t="str">
        <f t="shared" si="11"/>
        <v>3</v>
      </c>
    </row>
    <row r="117" spans="2:19" x14ac:dyDescent="0.2">
      <c r="B117" s="119" t="s">
        <v>961</v>
      </c>
      <c r="C117" s="119" t="s">
        <v>1027</v>
      </c>
      <c r="D117" s="55" t="str">
        <f>VLOOKUP(VLOOKUP(Q117&amp;"_"&amp;R117,挑战模式!$A$3:$Z$55,2+5*S117,FALSE),'⚪设计'!$B$85:$H$114,2,FALSE)</f>
        <v>ResUnit_ZhongZi2</v>
      </c>
      <c r="E117" s="55">
        <f>VLOOKUP(VLOOKUP(Q117&amp;"_"&amp;R117,挑战模式!$A$3:$Z$55,2+5*S117,FALSE),'⚪设计'!$B$85:$H$114,6,FALSE)*VLOOKUP(Q117&amp;"_"&amp;R117,挑战模式!$A$3:$Z$55,5,FALSE)</f>
        <v>2</v>
      </c>
      <c r="F117">
        <v>400</v>
      </c>
      <c r="G117" t="b">
        <v>1</v>
      </c>
      <c r="H117">
        <v>1</v>
      </c>
      <c r="I117">
        <v>1</v>
      </c>
      <c r="J117">
        <v>0.5</v>
      </c>
      <c r="K117" s="55">
        <f>VLOOKUP(VLOOKUP(Q117&amp;"_"&amp;R117,挑战模式!$A$3:$Z$55,2+5*S117,FALSE),'⚪设计'!$B$85:$H$114,7,FALSE)</f>
        <v>1.5</v>
      </c>
      <c r="L117" s="57" t="str">
        <f t="shared" si="8"/>
        <v>Monster_Challenge10_5_1</v>
      </c>
      <c r="M117" t="s">
        <v>468</v>
      </c>
      <c r="N117" t="s">
        <v>469</v>
      </c>
      <c r="O117" t="s">
        <v>470</v>
      </c>
      <c r="P117" s="57" t="str">
        <f>IF(VLOOKUP(D117,'⚪设计'!$C$85:$I$113,7,FALSE)="","",VLOOKUP(D117,'⚪设计'!$C$85:$I$113,7,FALSE))</f>
        <v>Skill_Monster_Heal,NormalAttack</v>
      </c>
      <c r="Q117" s="110">
        <v>10</v>
      </c>
      <c r="R117" s="110" t="str">
        <f t="shared" si="10"/>
        <v>5</v>
      </c>
      <c r="S117" s="110" t="str">
        <f t="shared" si="11"/>
        <v>1</v>
      </c>
    </row>
    <row r="118" spans="2:19" x14ac:dyDescent="0.2">
      <c r="B118" s="119" t="s">
        <v>962</v>
      </c>
      <c r="C118" s="119" t="s">
        <v>1028</v>
      </c>
      <c r="D118" s="55" t="str">
        <f>VLOOKUP(VLOOKUP(Q118&amp;"_"&amp;R118,挑战模式!$A$3:$Z$55,2+5*S118,FALSE),'⚪设计'!$B$85:$H$114,2,FALSE)</f>
        <v>ResUnit_Gui2</v>
      </c>
      <c r="E118" s="55">
        <f>VLOOKUP(VLOOKUP(Q118&amp;"_"&amp;R118,挑战模式!$A$3:$Z$55,2+5*S118,FALSE),'⚪设计'!$B$85:$H$114,6,FALSE)*VLOOKUP(Q118&amp;"_"&amp;R118,挑战模式!$A$3:$Z$55,5,FALSE)</f>
        <v>2</v>
      </c>
      <c r="F118">
        <v>400</v>
      </c>
      <c r="G118" t="b">
        <v>1</v>
      </c>
      <c r="H118">
        <v>1</v>
      </c>
      <c r="I118">
        <v>1</v>
      </c>
      <c r="J118">
        <v>0.5</v>
      </c>
      <c r="K118" s="55">
        <f>VLOOKUP(VLOOKUP(Q118&amp;"_"&amp;R118,挑战模式!$A$3:$Z$55,2+5*S118,FALSE),'⚪设计'!$B$85:$H$114,7,FALSE)</f>
        <v>1.5</v>
      </c>
      <c r="L118" s="57" t="str">
        <f t="shared" si="8"/>
        <v>Monster_Challenge10_5_2</v>
      </c>
      <c r="M118" t="s">
        <v>468</v>
      </c>
      <c r="N118" t="s">
        <v>469</v>
      </c>
      <c r="O118" t="s">
        <v>470</v>
      </c>
      <c r="P118" s="57" t="str">
        <f>IF(VLOOKUP(D118,'⚪设计'!$C$85:$I$113,7,FALSE)="","",VLOOKUP(D118,'⚪设计'!$C$85:$I$113,7,FALSE))</f>
        <v>Skill_Monster_Invisible,NormalAttack</v>
      </c>
      <c r="Q118" s="110">
        <v>10</v>
      </c>
      <c r="R118" s="110" t="str">
        <f t="shared" si="10"/>
        <v>5</v>
      </c>
      <c r="S118" s="110" t="str">
        <f t="shared" si="11"/>
        <v>2</v>
      </c>
    </row>
    <row r="119" spans="2:19" x14ac:dyDescent="0.2">
      <c r="B119" s="119" t="s">
        <v>963</v>
      </c>
      <c r="C119" s="119" t="s">
        <v>1029</v>
      </c>
      <c r="D119" s="55" t="str">
        <f>VLOOKUP(VLOOKUP(Q119&amp;"_"&amp;R119,挑战模式!$A$3:$Z$55,2+5*S119,FALSE),'⚪设计'!$B$85:$H$114,2,FALSE)</f>
        <v>ResUnit_BianFu2</v>
      </c>
      <c r="E119" s="55">
        <f>VLOOKUP(VLOOKUP(Q119&amp;"_"&amp;R119,挑战模式!$A$3:$Z$55,2+5*S119,FALSE),'⚪设计'!$B$85:$H$114,6,FALSE)*VLOOKUP(Q119&amp;"_"&amp;R119,挑战模式!$A$3:$Z$55,5,FALSE)</f>
        <v>2</v>
      </c>
      <c r="F119">
        <v>400</v>
      </c>
      <c r="G119" t="b">
        <v>1</v>
      </c>
      <c r="H119">
        <v>1</v>
      </c>
      <c r="I119">
        <v>1</v>
      </c>
      <c r="J119">
        <v>0.5</v>
      </c>
      <c r="K119" s="55">
        <f>VLOOKUP(VLOOKUP(Q119&amp;"_"&amp;R119,挑战模式!$A$3:$Z$55,2+5*S119,FALSE),'⚪设计'!$B$85:$H$114,7,FALSE)</f>
        <v>1.5</v>
      </c>
      <c r="L119" s="57" t="str">
        <f t="shared" si="8"/>
        <v>Monster_Challenge10_5_3</v>
      </c>
      <c r="M119" t="s">
        <v>468</v>
      </c>
      <c r="N119" t="s">
        <v>469</v>
      </c>
      <c r="O119" t="s">
        <v>470</v>
      </c>
      <c r="P119" s="57" t="str">
        <f>IF(VLOOKUP(D119,'⚪设计'!$C$85:$I$113,7,FALSE)="","",VLOOKUP(D119,'⚪设计'!$C$85:$I$113,7,FALSE))</f>
        <v/>
      </c>
      <c r="Q119" s="110">
        <v>10</v>
      </c>
      <c r="R119" s="110" t="str">
        <f t="shared" si="10"/>
        <v>5</v>
      </c>
      <c r="S119" s="110" t="str">
        <f t="shared" si="11"/>
        <v>3</v>
      </c>
    </row>
    <row r="120" spans="2:19" x14ac:dyDescent="0.2">
      <c r="B120" s="119" t="s">
        <v>3077</v>
      </c>
      <c r="C120" s="119" t="s">
        <v>3100</v>
      </c>
      <c r="D120" s="55" t="str">
        <f>VLOOKUP(VLOOKUP(Q120&amp;"_"&amp;R120,挑战模式!$A$3:$Z$55,2+5*S120,FALSE),'⚪设计'!$B$85:$H$114,2,FALSE)</f>
        <v>ResUnit_ZhongZi2</v>
      </c>
      <c r="E120" s="55">
        <f>VLOOKUP(VLOOKUP(Q120&amp;"_"&amp;R120,挑战模式!$A$3:$Z$55,2+5*S120,FALSE),'⚪设计'!$B$85:$H$114,6,FALSE)*VLOOKUP(Q120&amp;"_"&amp;R120,挑战模式!$A$3:$Z$55,5,FALSE)</f>
        <v>2</v>
      </c>
      <c r="F120">
        <v>400</v>
      </c>
      <c r="G120" t="b">
        <v>1</v>
      </c>
      <c r="H120">
        <v>1</v>
      </c>
      <c r="I120">
        <v>1</v>
      </c>
      <c r="J120">
        <v>0.5</v>
      </c>
      <c r="K120" s="55">
        <f>VLOOKUP(VLOOKUP(Q120&amp;"_"&amp;R120,挑战模式!$A$3:$Z$55,2+5*S120,FALSE),'⚪设计'!$B$85:$H$114,7,FALSE)</f>
        <v>1.5</v>
      </c>
      <c r="L120" s="57" t="str">
        <f t="shared" si="8"/>
        <v>Monster_Challenge10_6_1</v>
      </c>
      <c r="M120" t="s">
        <v>468</v>
      </c>
      <c r="N120" t="s">
        <v>469</v>
      </c>
      <c r="O120" t="s">
        <v>470</v>
      </c>
      <c r="P120" s="57" t="str">
        <f>IF(VLOOKUP(D120,'⚪设计'!$C$85:$I$113,7,FALSE)="","",VLOOKUP(D120,'⚪设计'!$C$85:$I$113,7,FALSE))</f>
        <v>Skill_Monster_Heal,NormalAttack</v>
      </c>
      <c r="Q120" s="110">
        <v>10</v>
      </c>
      <c r="R120" s="110" t="str">
        <f t="shared" si="10"/>
        <v>6</v>
      </c>
      <c r="S120" s="110" t="str">
        <f t="shared" si="11"/>
        <v>1</v>
      </c>
    </row>
    <row r="121" spans="2:19" x14ac:dyDescent="0.2">
      <c r="B121" s="119" t="s">
        <v>3078</v>
      </c>
      <c r="C121" s="119" t="s">
        <v>3101</v>
      </c>
      <c r="D121" s="55" t="str">
        <f>VLOOKUP(VLOOKUP(Q121&amp;"_"&amp;R121,挑战模式!$A$3:$Z$55,2+5*S121,FALSE),'⚪设计'!$B$85:$H$114,2,FALSE)</f>
        <v>ResUnit_Gui2</v>
      </c>
      <c r="E121" s="55">
        <f>VLOOKUP(VLOOKUP(Q121&amp;"_"&amp;R121,挑战模式!$A$3:$Z$55,2+5*S121,FALSE),'⚪设计'!$B$85:$H$114,6,FALSE)*VLOOKUP(Q121&amp;"_"&amp;R121,挑战模式!$A$3:$Z$55,5,FALSE)</f>
        <v>2</v>
      </c>
      <c r="F121">
        <v>400</v>
      </c>
      <c r="G121" t="b">
        <v>1</v>
      </c>
      <c r="H121">
        <v>1</v>
      </c>
      <c r="I121">
        <v>1</v>
      </c>
      <c r="J121">
        <v>0.5</v>
      </c>
      <c r="K121" s="55">
        <f>VLOOKUP(VLOOKUP(Q121&amp;"_"&amp;R121,挑战模式!$A$3:$Z$55,2+5*S121,FALSE),'⚪设计'!$B$85:$H$114,7,FALSE)</f>
        <v>1.5</v>
      </c>
      <c r="L121" s="57" t="str">
        <f t="shared" si="8"/>
        <v>Monster_Challenge10_6_2</v>
      </c>
      <c r="M121" t="s">
        <v>468</v>
      </c>
      <c r="N121" t="s">
        <v>469</v>
      </c>
      <c r="O121" t="s">
        <v>470</v>
      </c>
      <c r="P121" s="57" t="str">
        <f>IF(VLOOKUP(D121,'⚪设计'!$C$85:$I$113,7,FALSE)="","",VLOOKUP(D121,'⚪设计'!$C$85:$I$113,7,FALSE))</f>
        <v>Skill_Monster_Invisible,NormalAttack</v>
      </c>
      <c r="Q121" s="110">
        <v>10</v>
      </c>
      <c r="R121" s="110" t="str">
        <f t="shared" si="10"/>
        <v>6</v>
      </c>
      <c r="S121" s="110" t="str">
        <f t="shared" si="11"/>
        <v>2</v>
      </c>
    </row>
    <row r="122" spans="2:19" x14ac:dyDescent="0.2">
      <c r="B122" s="119" t="s">
        <v>3079</v>
      </c>
      <c r="C122" s="119" t="s">
        <v>3102</v>
      </c>
      <c r="D122" s="55" t="str">
        <f>VLOOKUP(VLOOKUP(Q122&amp;"_"&amp;R122,挑战模式!$A$3:$Z$55,2+5*S122,FALSE),'⚪设计'!$B$85:$H$114,2,FALSE)</f>
        <v>ResUnit_Dan2</v>
      </c>
      <c r="E122" s="55">
        <f>VLOOKUP(VLOOKUP(Q122&amp;"_"&amp;R122,挑战模式!$A$3:$Z$55,2+5*S122,FALSE),'⚪设计'!$B$85:$H$114,6,FALSE)*VLOOKUP(Q122&amp;"_"&amp;R122,挑战模式!$A$3:$Z$55,5,FALSE)</f>
        <v>2</v>
      </c>
      <c r="F122">
        <v>400</v>
      </c>
      <c r="G122" t="b">
        <v>1</v>
      </c>
      <c r="H122">
        <v>1</v>
      </c>
      <c r="I122">
        <v>1</v>
      </c>
      <c r="J122">
        <v>0.5</v>
      </c>
      <c r="K122" s="55">
        <f>VLOOKUP(VLOOKUP(Q122&amp;"_"&amp;R122,挑战模式!$A$3:$Z$55,2+5*S122,FALSE),'⚪设计'!$B$85:$H$114,7,FALSE)</f>
        <v>1.5</v>
      </c>
      <c r="L122" s="57" t="str">
        <f t="shared" si="8"/>
        <v>Monster_Challenge10_6_3</v>
      </c>
      <c r="M122" t="s">
        <v>468</v>
      </c>
      <c r="N122" t="s">
        <v>469</v>
      </c>
      <c r="O122" t="s">
        <v>470</v>
      </c>
      <c r="P122" s="57" t="str">
        <f>IF(VLOOKUP(D122,'⚪设计'!$C$85:$I$113,7,FALSE)="","",VLOOKUP(D122,'⚪设计'!$C$85:$I$113,7,FALSE))</f>
        <v>Skill_Monster_Weaken,NormalAttack</v>
      </c>
      <c r="Q122" s="110">
        <v>10</v>
      </c>
      <c r="R122" s="110" t="str">
        <f t="shared" si="10"/>
        <v>6</v>
      </c>
      <c r="S122" s="110" t="str">
        <f t="shared" si="11"/>
        <v>3</v>
      </c>
    </row>
    <row r="123" spans="2:19" x14ac:dyDescent="0.2">
      <c r="B123" s="119" t="s">
        <v>3080</v>
      </c>
      <c r="C123" s="119" t="s">
        <v>3103</v>
      </c>
      <c r="D123" s="55" t="str">
        <f>VLOOKUP(VLOOKUP(Q123&amp;"_"&amp;R123,挑战模式!$A$3:$Z$55,2+5*S123,FALSE),'⚪设计'!$B$85:$H$114,2,FALSE)</f>
        <v>ResUnit_ZhongZi2</v>
      </c>
      <c r="E123" s="55">
        <f>VLOOKUP(VLOOKUP(Q123&amp;"_"&amp;R123,挑战模式!$A$3:$Z$55,2+5*S123,FALSE),'⚪设计'!$B$85:$H$114,6,FALSE)*VLOOKUP(Q123&amp;"_"&amp;R123,挑战模式!$A$3:$Z$55,5,FALSE)</f>
        <v>2</v>
      </c>
      <c r="F123">
        <v>400</v>
      </c>
      <c r="G123" t="b">
        <v>1</v>
      </c>
      <c r="H123">
        <v>1</v>
      </c>
      <c r="I123">
        <v>1</v>
      </c>
      <c r="J123">
        <v>0.5</v>
      </c>
      <c r="K123" s="55">
        <f>VLOOKUP(VLOOKUP(Q123&amp;"_"&amp;R123,挑战模式!$A$3:$Z$55,2+5*S123,FALSE),'⚪设计'!$B$85:$H$114,7,FALSE)</f>
        <v>1.5</v>
      </c>
      <c r="L123" s="57" t="str">
        <f t="shared" si="8"/>
        <v>Monster_Challenge10_7_1</v>
      </c>
      <c r="M123" t="s">
        <v>468</v>
      </c>
      <c r="N123" t="s">
        <v>469</v>
      </c>
      <c r="O123" t="s">
        <v>470</v>
      </c>
      <c r="P123" s="57" t="str">
        <f>IF(VLOOKUP(D123,'⚪设计'!$C$85:$I$113,7,FALSE)="","",VLOOKUP(D123,'⚪设计'!$C$85:$I$113,7,FALSE))</f>
        <v>Skill_Monster_Heal,NormalAttack</v>
      </c>
      <c r="Q123" s="110">
        <v>10</v>
      </c>
      <c r="R123" s="110" t="str">
        <f t="shared" si="10"/>
        <v>7</v>
      </c>
      <c r="S123" s="110" t="str">
        <f t="shared" si="11"/>
        <v>1</v>
      </c>
    </row>
    <row r="124" spans="2:19" x14ac:dyDescent="0.2">
      <c r="B124" s="119" t="s">
        <v>3081</v>
      </c>
      <c r="C124" s="119" t="s">
        <v>3104</v>
      </c>
      <c r="D124" s="55" t="str">
        <f>VLOOKUP(VLOOKUP(Q124&amp;"_"&amp;R124,挑战模式!$A$3:$Z$55,2+5*S124,FALSE),'⚪设计'!$B$85:$H$114,2,FALSE)</f>
        <v>ResUnit_Gui2</v>
      </c>
      <c r="E124" s="55">
        <f>VLOOKUP(VLOOKUP(Q124&amp;"_"&amp;R124,挑战模式!$A$3:$Z$55,2+5*S124,FALSE),'⚪设计'!$B$85:$H$114,6,FALSE)*VLOOKUP(Q124&amp;"_"&amp;R124,挑战模式!$A$3:$Z$55,5,FALSE)</f>
        <v>2</v>
      </c>
      <c r="F124">
        <v>400</v>
      </c>
      <c r="G124" t="b">
        <v>1</v>
      </c>
      <c r="H124">
        <v>1</v>
      </c>
      <c r="I124">
        <v>1</v>
      </c>
      <c r="J124">
        <v>0.5</v>
      </c>
      <c r="K124" s="55">
        <f>VLOOKUP(VLOOKUP(Q124&amp;"_"&amp;R124,挑战模式!$A$3:$Z$55,2+5*S124,FALSE),'⚪设计'!$B$85:$H$114,7,FALSE)</f>
        <v>1.5</v>
      </c>
      <c r="L124" s="57" t="str">
        <f t="shared" si="8"/>
        <v>Monster_Challenge10_7_2</v>
      </c>
      <c r="M124" t="s">
        <v>468</v>
      </c>
      <c r="N124" t="s">
        <v>469</v>
      </c>
      <c r="O124" t="s">
        <v>470</v>
      </c>
      <c r="P124" s="57" t="str">
        <f>IF(VLOOKUP(D124,'⚪设计'!$C$85:$I$113,7,FALSE)="","",VLOOKUP(D124,'⚪设计'!$C$85:$I$113,7,FALSE))</f>
        <v>Skill_Monster_Invisible,NormalAttack</v>
      </c>
      <c r="Q124" s="110">
        <v>10</v>
      </c>
      <c r="R124" s="110" t="str">
        <f t="shared" si="10"/>
        <v>7</v>
      </c>
      <c r="S124" s="110" t="str">
        <f t="shared" si="11"/>
        <v>2</v>
      </c>
    </row>
    <row r="125" spans="2:19" x14ac:dyDescent="0.2">
      <c r="B125" s="119" t="s">
        <v>3082</v>
      </c>
      <c r="C125" s="119" t="s">
        <v>3105</v>
      </c>
      <c r="D125" s="55" t="str">
        <f>VLOOKUP(VLOOKUP(Q125&amp;"_"&amp;R125,挑战模式!$A$3:$Z$55,2+5*S125,FALSE),'⚪设计'!$B$85:$H$114,2,FALSE)</f>
        <v>ResUnit_Dan2</v>
      </c>
      <c r="E125" s="55">
        <f>VLOOKUP(VLOOKUP(Q125&amp;"_"&amp;R125,挑战模式!$A$3:$Z$55,2+5*S125,FALSE),'⚪设计'!$B$85:$H$114,6,FALSE)*VLOOKUP(Q125&amp;"_"&amp;R125,挑战模式!$A$3:$Z$55,5,FALSE)</f>
        <v>2</v>
      </c>
      <c r="F125">
        <v>400</v>
      </c>
      <c r="G125" t="b">
        <v>1</v>
      </c>
      <c r="H125">
        <v>1</v>
      </c>
      <c r="I125">
        <v>1</v>
      </c>
      <c r="J125">
        <v>0.5</v>
      </c>
      <c r="K125" s="55">
        <f>VLOOKUP(VLOOKUP(Q125&amp;"_"&amp;R125,挑战模式!$A$3:$Z$55,2+5*S125,FALSE),'⚪设计'!$B$85:$H$114,7,FALSE)</f>
        <v>1.5</v>
      </c>
      <c r="L125" s="57" t="str">
        <f t="shared" si="8"/>
        <v>Monster_Challenge10_7_3</v>
      </c>
      <c r="M125" t="s">
        <v>468</v>
      </c>
      <c r="N125" t="s">
        <v>469</v>
      </c>
      <c r="O125" t="s">
        <v>470</v>
      </c>
      <c r="P125" s="57" t="str">
        <f>IF(VLOOKUP(D125,'⚪设计'!$C$85:$I$113,7,FALSE)="","",VLOOKUP(D125,'⚪设计'!$C$85:$I$113,7,FALSE))</f>
        <v>Skill_Monster_Weaken,NormalAttack</v>
      </c>
      <c r="Q125" s="110">
        <v>10</v>
      </c>
      <c r="R125" s="110" t="str">
        <f t="shared" si="10"/>
        <v>7</v>
      </c>
      <c r="S125" s="110" t="str">
        <f t="shared" si="11"/>
        <v>3</v>
      </c>
    </row>
    <row r="126" spans="2:19" x14ac:dyDescent="0.2">
      <c r="B126" s="119" t="s">
        <v>3083</v>
      </c>
      <c r="C126" s="119" t="s">
        <v>3106</v>
      </c>
      <c r="D126" s="55" t="str">
        <f>VLOOKUP(VLOOKUP(Q126&amp;"_"&amp;R126,挑战模式!$A$3:$Z$55,2+5*S126,FALSE),'⚪设计'!$B$85:$H$114,2,FALSE)</f>
        <v>ResUnit_ZhiZhu2</v>
      </c>
      <c r="E126" s="55">
        <f>VLOOKUP(VLOOKUP(Q126&amp;"_"&amp;R126,挑战模式!$A$3:$Z$55,2+5*S126,FALSE),'⚪设计'!$B$85:$H$114,6,FALSE)*VLOOKUP(Q126&amp;"_"&amp;R126,挑战模式!$A$3:$Z$55,5,FALSE)</f>
        <v>3</v>
      </c>
      <c r="F126">
        <v>400</v>
      </c>
      <c r="G126" t="b">
        <v>1</v>
      </c>
      <c r="H126">
        <v>1</v>
      </c>
      <c r="I126">
        <v>1</v>
      </c>
      <c r="J126">
        <v>0.5</v>
      </c>
      <c r="K126" s="55">
        <f>VLOOKUP(VLOOKUP(Q126&amp;"_"&amp;R126,挑战模式!$A$3:$Z$55,2+5*S126,FALSE),'⚪设计'!$B$85:$H$114,7,FALSE)</f>
        <v>1.5</v>
      </c>
      <c r="L126" s="57" t="str">
        <f t="shared" si="8"/>
        <v>Monster_Challenge10_7_4</v>
      </c>
      <c r="M126" t="s">
        <v>468</v>
      </c>
      <c r="N126" t="s">
        <v>469</v>
      </c>
      <c r="O126" t="s">
        <v>470</v>
      </c>
      <c r="P126" s="57" t="str">
        <f>IF(VLOOKUP(D126,'⚪设计'!$C$85:$I$113,7,FALSE)="","",VLOOKUP(D126,'⚪设计'!$C$85:$I$113,7,FALSE))</f>
        <v/>
      </c>
      <c r="Q126" s="110">
        <v>10</v>
      </c>
      <c r="R126" s="110" t="str">
        <f t="shared" si="10"/>
        <v>7</v>
      </c>
      <c r="S126" s="110" t="str">
        <f t="shared" si="11"/>
        <v>4</v>
      </c>
    </row>
    <row r="127" spans="2:19" x14ac:dyDescent="0.2">
      <c r="B127" s="119" t="s">
        <v>3084</v>
      </c>
      <c r="C127" s="119" t="s">
        <v>3107</v>
      </c>
      <c r="D127" s="55" t="str">
        <f>VLOOKUP(VLOOKUP(Q127&amp;"_"&amp;R127,挑战模式!$A$3:$Z$55,2+5*S127,FALSE),'⚪设计'!$B$85:$H$114,2,FALSE)</f>
        <v>ResUnit_ZhongZi2</v>
      </c>
      <c r="E127" s="55">
        <f>VLOOKUP(VLOOKUP(Q127&amp;"_"&amp;R127,挑战模式!$A$3:$Z$55,2+5*S127,FALSE),'⚪设计'!$B$85:$H$114,6,FALSE)*VLOOKUP(Q127&amp;"_"&amp;R127,挑战模式!$A$3:$Z$55,5,FALSE)</f>
        <v>2</v>
      </c>
      <c r="F127">
        <v>400</v>
      </c>
      <c r="G127" t="b">
        <v>1</v>
      </c>
      <c r="H127">
        <v>1</v>
      </c>
      <c r="I127">
        <v>1</v>
      </c>
      <c r="J127">
        <v>0.5</v>
      </c>
      <c r="K127" s="55">
        <f>VLOOKUP(VLOOKUP(Q127&amp;"_"&amp;R127,挑战模式!$A$3:$Z$55,2+5*S127,FALSE),'⚪设计'!$B$85:$H$114,7,FALSE)</f>
        <v>1.5</v>
      </c>
      <c r="L127" s="57" t="str">
        <f t="shared" si="8"/>
        <v>Monster_Challenge10_8_1</v>
      </c>
      <c r="M127" t="s">
        <v>468</v>
      </c>
      <c r="N127" t="s">
        <v>469</v>
      </c>
      <c r="O127" t="s">
        <v>470</v>
      </c>
      <c r="P127" s="57" t="str">
        <f>IF(VLOOKUP(D127,'⚪设计'!$C$85:$I$113,7,FALSE)="","",VLOOKUP(D127,'⚪设计'!$C$85:$I$113,7,FALSE))</f>
        <v>Skill_Monster_Heal,NormalAttack</v>
      </c>
      <c r="Q127" s="110">
        <v>10</v>
      </c>
      <c r="R127" s="110" t="str">
        <f t="shared" si="10"/>
        <v>8</v>
      </c>
      <c r="S127" s="110" t="str">
        <f t="shared" si="11"/>
        <v>1</v>
      </c>
    </row>
    <row r="128" spans="2:19" x14ac:dyDescent="0.2">
      <c r="B128" s="119" t="s">
        <v>3085</v>
      </c>
      <c r="C128" s="119" t="s">
        <v>3108</v>
      </c>
      <c r="D128" s="55" t="str">
        <f>VLOOKUP(VLOOKUP(Q128&amp;"_"&amp;R128,挑战模式!$A$3:$Z$55,2+5*S128,FALSE),'⚪设计'!$B$85:$H$114,2,FALSE)</f>
        <v>ResUnit_Gui2</v>
      </c>
      <c r="E128" s="55">
        <f>VLOOKUP(VLOOKUP(Q128&amp;"_"&amp;R128,挑战模式!$A$3:$Z$55,2+5*S128,FALSE),'⚪设计'!$B$85:$H$114,6,FALSE)*VLOOKUP(Q128&amp;"_"&amp;R128,挑战模式!$A$3:$Z$55,5,FALSE)</f>
        <v>2</v>
      </c>
      <c r="F128">
        <v>400</v>
      </c>
      <c r="G128" t="b">
        <v>1</v>
      </c>
      <c r="H128">
        <v>1</v>
      </c>
      <c r="I128">
        <v>1</v>
      </c>
      <c r="J128">
        <v>0.5</v>
      </c>
      <c r="K128" s="55">
        <f>VLOOKUP(VLOOKUP(Q128&amp;"_"&amp;R128,挑战模式!$A$3:$Z$55,2+5*S128,FALSE),'⚪设计'!$B$85:$H$114,7,FALSE)</f>
        <v>1.5</v>
      </c>
      <c r="L128" s="57" t="str">
        <f t="shared" si="8"/>
        <v>Monster_Challenge10_8_2</v>
      </c>
      <c r="M128" t="s">
        <v>468</v>
      </c>
      <c r="N128" t="s">
        <v>469</v>
      </c>
      <c r="O128" t="s">
        <v>470</v>
      </c>
      <c r="P128" s="57" t="str">
        <f>IF(VLOOKUP(D128,'⚪设计'!$C$85:$I$113,7,FALSE)="","",VLOOKUP(D128,'⚪设计'!$C$85:$I$113,7,FALSE))</f>
        <v>Skill_Monster_Invisible,NormalAttack</v>
      </c>
      <c r="Q128" s="110">
        <v>10</v>
      </c>
      <c r="R128" s="110" t="str">
        <f t="shared" si="10"/>
        <v>8</v>
      </c>
      <c r="S128" s="110" t="str">
        <f t="shared" si="11"/>
        <v>2</v>
      </c>
    </row>
    <row r="129" spans="2:19" x14ac:dyDescent="0.2">
      <c r="B129" s="119" t="s">
        <v>3086</v>
      </c>
      <c r="C129" s="119" t="s">
        <v>3109</v>
      </c>
      <c r="D129" s="55" t="str">
        <f>VLOOKUP(VLOOKUP(Q129&amp;"_"&amp;R129,挑战模式!$A$3:$Z$55,2+5*S129,FALSE),'⚪设计'!$B$85:$H$114,2,FALSE)</f>
        <v>ResUnit_Dan2</v>
      </c>
      <c r="E129" s="55">
        <f>VLOOKUP(VLOOKUP(Q129&amp;"_"&amp;R129,挑战模式!$A$3:$Z$55,2+5*S129,FALSE),'⚪设计'!$B$85:$H$114,6,FALSE)*VLOOKUP(Q129&amp;"_"&amp;R129,挑战模式!$A$3:$Z$55,5,FALSE)</f>
        <v>2</v>
      </c>
      <c r="F129">
        <v>400</v>
      </c>
      <c r="G129" t="b">
        <v>1</v>
      </c>
      <c r="H129">
        <v>1</v>
      </c>
      <c r="I129">
        <v>1</v>
      </c>
      <c r="J129">
        <v>0.5</v>
      </c>
      <c r="K129" s="55">
        <f>VLOOKUP(VLOOKUP(Q129&amp;"_"&amp;R129,挑战模式!$A$3:$Z$55,2+5*S129,FALSE),'⚪设计'!$B$85:$H$114,7,FALSE)</f>
        <v>1.5</v>
      </c>
      <c r="L129" s="57" t="str">
        <f t="shared" si="8"/>
        <v>Monster_Challenge10_8_3</v>
      </c>
      <c r="M129" t="s">
        <v>468</v>
      </c>
      <c r="N129" t="s">
        <v>469</v>
      </c>
      <c r="O129" t="s">
        <v>470</v>
      </c>
      <c r="P129" s="57" t="str">
        <f>IF(VLOOKUP(D129,'⚪设计'!$C$85:$I$113,7,FALSE)="","",VLOOKUP(D129,'⚪设计'!$C$85:$I$113,7,FALSE))</f>
        <v>Skill_Monster_Weaken,NormalAttack</v>
      </c>
      <c r="Q129" s="110">
        <v>10</v>
      </c>
      <c r="R129" s="110" t="str">
        <f t="shared" si="10"/>
        <v>8</v>
      </c>
      <c r="S129" s="110" t="str">
        <f t="shared" si="11"/>
        <v>3</v>
      </c>
    </row>
    <row r="130" spans="2:19" x14ac:dyDescent="0.2">
      <c r="B130" s="119" t="s">
        <v>3087</v>
      </c>
      <c r="C130" s="119" t="s">
        <v>3110</v>
      </c>
      <c r="D130" s="55" t="str">
        <f>VLOOKUP(VLOOKUP(Q130&amp;"_"&amp;R130,挑战模式!$A$3:$Z$55,2+5*S130,FALSE),'⚪设计'!$B$85:$H$114,2,FALSE)</f>
        <v>ResUnit_Dan3</v>
      </c>
      <c r="E130" s="55">
        <f>VLOOKUP(VLOOKUP(Q130&amp;"_"&amp;R130,挑战模式!$A$3:$Z$55,2+5*S130,FALSE),'⚪设计'!$B$85:$H$114,6,FALSE)*VLOOKUP(Q130&amp;"_"&amp;R130,挑战模式!$A$3:$Z$55,5,FALSE)</f>
        <v>1.25</v>
      </c>
      <c r="F130">
        <v>400</v>
      </c>
      <c r="G130" t="b">
        <v>1</v>
      </c>
      <c r="H130">
        <v>1</v>
      </c>
      <c r="I130">
        <v>1</v>
      </c>
      <c r="J130">
        <v>0.5</v>
      </c>
      <c r="K130" s="55">
        <f>VLOOKUP(VLOOKUP(Q130&amp;"_"&amp;R130,挑战模式!$A$3:$Z$55,2+5*S130,FALSE),'⚪设计'!$B$85:$H$114,7,FALSE)</f>
        <v>2.5</v>
      </c>
      <c r="L130" s="57" t="str">
        <f t="shared" si="8"/>
        <v>Monster_Challenge10_8_4</v>
      </c>
      <c r="M130" t="s">
        <v>468</v>
      </c>
      <c r="N130" t="s">
        <v>469</v>
      </c>
      <c r="O130" t="s">
        <v>470</v>
      </c>
      <c r="P130" s="57" t="str">
        <f>IF(VLOOKUP(D130,'⚪设计'!$C$85:$I$113,7,FALSE)="","",VLOOKUP(D130,'⚪设计'!$C$85:$I$113,7,FALSE))</f>
        <v>Skill_Monster_Weaken,NormalAttack</v>
      </c>
      <c r="Q130" s="110">
        <v>10</v>
      </c>
      <c r="R130" s="110" t="str">
        <f t="shared" si="10"/>
        <v>8</v>
      </c>
      <c r="S130" s="110" t="str">
        <f t="shared" si="11"/>
        <v>4</v>
      </c>
    </row>
    <row r="131" spans="2:19" s="166" customFormat="1" x14ac:dyDescent="0.2"/>
    <row r="132" spans="2:19" x14ac:dyDescent="0.2">
      <c r="B132" t="s">
        <v>467</v>
      </c>
      <c r="C132" t="s">
        <v>688</v>
      </c>
      <c r="D132" s="55" t="str">
        <f>VLOOKUP(VLOOKUP(Q132,'⚪设计'!$A$205:$G$224,3+UnitCfg!R132,FALSE),'⚪设计'!$B$85:$C$113,2,FALSE)</f>
        <v>ResUnit_MiFeng1</v>
      </c>
      <c r="E132" s="55">
        <f>VLOOKUP(D132,'⚪设计'!$C$85:$I$113,5,FALSE)*VLOOKUP(UnitCfg!Q132,无限模式!$A$3:$C$22,3,FALSE)</f>
        <v>2</v>
      </c>
      <c r="F132">
        <v>400</v>
      </c>
      <c r="G132" t="b">
        <v>1</v>
      </c>
      <c r="H132">
        <v>1</v>
      </c>
      <c r="I132">
        <v>1</v>
      </c>
      <c r="J132">
        <v>0.5</v>
      </c>
      <c r="K132" s="55">
        <f>VLOOKUP(D132,'⚪设计'!$C$85:$I$113,6,FALSE)</f>
        <v>1</v>
      </c>
      <c r="L132" t="s">
        <v>785</v>
      </c>
      <c r="M132" t="s">
        <v>468</v>
      </c>
      <c r="N132" t="s">
        <v>469</v>
      </c>
      <c r="O132" t="s">
        <v>470</v>
      </c>
      <c r="Q132" s="110">
        <v>1</v>
      </c>
      <c r="R132" s="110">
        <v>1</v>
      </c>
      <c r="S132" s="110"/>
    </row>
    <row r="133" spans="2:19" x14ac:dyDescent="0.2">
      <c r="B133" t="s">
        <v>471</v>
      </c>
      <c r="C133" t="s">
        <v>689</v>
      </c>
      <c r="D133" s="55" t="str">
        <f>VLOOKUP(VLOOKUP(Q133,'⚪设计'!$A$205:$G$224,3+UnitCfg!R133,FALSE),'⚪设计'!$B$85:$C$113,2,FALSE)</f>
        <v>ResUnit_MiFeng1</v>
      </c>
      <c r="E133" s="55">
        <f>VLOOKUP(D133,'⚪设计'!$C$85:$I$113,5,FALSE)*VLOOKUP(UnitCfg!Q133,无限模式!$A$3:$C$22,3,FALSE)</f>
        <v>2.1</v>
      </c>
      <c r="F133">
        <v>400</v>
      </c>
      <c r="G133" t="b">
        <v>1</v>
      </c>
      <c r="H133">
        <v>1</v>
      </c>
      <c r="I133">
        <v>1</v>
      </c>
      <c r="J133">
        <v>0.5</v>
      </c>
      <c r="K133" s="55">
        <f>VLOOKUP(D133,'⚪设计'!$C$85:$I$113,6,FALSE)</f>
        <v>1</v>
      </c>
      <c r="L133" t="s">
        <v>529</v>
      </c>
      <c r="M133" t="s">
        <v>468</v>
      </c>
      <c r="N133" t="s">
        <v>469</v>
      </c>
      <c r="O133" t="s">
        <v>470</v>
      </c>
      <c r="Q133" s="110">
        <v>2</v>
      </c>
      <c r="R133" s="110">
        <v>1</v>
      </c>
      <c r="S133" s="110"/>
    </row>
    <row r="134" spans="2:19" x14ac:dyDescent="0.2">
      <c r="B134" t="s">
        <v>472</v>
      </c>
      <c r="C134" t="s">
        <v>690</v>
      </c>
      <c r="D134" s="55" t="str">
        <f>VLOOKUP(VLOOKUP(Q134,'⚪设计'!$A$205:$G$224,3+UnitCfg!R134,FALSE),'⚪设计'!$B$85:$C$113,2,FALSE)</f>
        <v>ResUnit_MiFeng2</v>
      </c>
      <c r="E134" s="55">
        <f>VLOOKUP(D134,'⚪设计'!$C$85:$I$113,5,FALSE)*VLOOKUP(UnitCfg!Q134,无限模式!$A$3:$C$22,3,FALSE)</f>
        <v>2.1</v>
      </c>
      <c r="F134">
        <v>400</v>
      </c>
      <c r="G134" t="b">
        <v>1</v>
      </c>
      <c r="H134">
        <v>1</v>
      </c>
      <c r="I134">
        <v>1</v>
      </c>
      <c r="J134">
        <v>0.5</v>
      </c>
      <c r="K134" s="55">
        <f>VLOOKUP(D134,'⚪设计'!$C$85:$I$113,6,FALSE)</f>
        <v>1.5</v>
      </c>
      <c r="L134" t="s">
        <v>565</v>
      </c>
      <c r="M134" t="s">
        <v>468</v>
      </c>
      <c r="N134" t="s">
        <v>469</v>
      </c>
      <c r="O134" t="s">
        <v>470</v>
      </c>
      <c r="Q134" s="110">
        <v>2</v>
      </c>
      <c r="R134" s="110">
        <v>2</v>
      </c>
      <c r="S134" s="110"/>
    </row>
    <row r="135" spans="2:19" x14ac:dyDescent="0.2">
      <c r="B135" t="s">
        <v>473</v>
      </c>
      <c r="C135" t="s">
        <v>691</v>
      </c>
      <c r="D135" s="55" t="str">
        <f>VLOOKUP(VLOOKUP(Q135,'⚪设计'!$A$205:$G$224,3+UnitCfg!R135,FALSE),'⚪设计'!$B$85:$C$113,2,FALSE)</f>
        <v>ResUnit_MiFeng2</v>
      </c>
      <c r="E135" s="55">
        <f>VLOOKUP(D135,'⚪设计'!$C$85:$I$113,5,FALSE)*VLOOKUP(UnitCfg!Q135,无限模式!$A$3:$C$22,3,FALSE)</f>
        <v>2.2000000000000002</v>
      </c>
      <c r="F135">
        <v>400</v>
      </c>
      <c r="G135" t="b">
        <v>1</v>
      </c>
      <c r="H135">
        <v>1</v>
      </c>
      <c r="I135">
        <v>1</v>
      </c>
      <c r="J135">
        <v>0.5</v>
      </c>
      <c r="K135" s="55">
        <f>VLOOKUP(D135,'⚪设计'!$C$85:$I$113,6,FALSE)</f>
        <v>1.5</v>
      </c>
      <c r="L135" t="s">
        <v>530</v>
      </c>
      <c r="M135" t="s">
        <v>468</v>
      </c>
      <c r="N135" t="s">
        <v>469</v>
      </c>
      <c r="O135" t="s">
        <v>470</v>
      </c>
      <c r="Q135" s="110">
        <v>3</v>
      </c>
      <c r="R135" s="110">
        <v>1</v>
      </c>
      <c r="S135" s="110"/>
    </row>
    <row r="136" spans="2:19" x14ac:dyDescent="0.2">
      <c r="B136" t="s">
        <v>474</v>
      </c>
      <c r="C136" t="s">
        <v>692</v>
      </c>
      <c r="D136" s="55" t="str">
        <f>VLOOKUP(VLOOKUP(Q136,'⚪设计'!$A$205:$G$224,3+UnitCfg!R136,FALSE),'⚪设计'!$B$85:$C$113,2,FALSE)</f>
        <v>ResUnit_BianFu1</v>
      </c>
      <c r="E136" s="55">
        <f>VLOOKUP(D136,'⚪设计'!$C$85:$I$113,5,FALSE)*VLOOKUP(UnitCfg!Q136,无限模式!$A$3:$C$22,3,FALSE)</f>
        <v>2.2000000000000002</v>
      </c>
      <c r="F136">
        <v>400</v>
      </c>
      <c r="G136" t="b">
        <v>1</v>
      </c>
      <c r="H136">
        <v>1</v>
      </c>
      <c r="I136">
        <v>1</v>
      </c>
      <c r="J136">
        <v>0.5</v>
      </c>
      <c r="K136" s="55">
        <f>VLOOKUP(D136,'⚪设计'!$C$85:$I$113,6,FALSE)</f>
        <v>1</v>
      </c>
      <c r="L136" t="s">
        <v>566</v>
      </c>
      <c r="M136" t="s">
        <v>468</v>
      </c>
      <c r="N136" t="s">
        <v>469</v>
      </c>
      <c r="O136" t="s">
        <v>470</v>
      </c>
      <c r="Q136" s="110">
        <v>3</v>
      </c>
      <c r="R136" s="110">
        <v>2</v>
      </c>
      <c r="S136" s="110"/>
    </row>
    <row r="137" spans="2:19" x14ac:dyDescent="0.2">
      <c r="B137" t="s">
        <v>475</v>
      </c>
      <c r="C137" t="s">
        <v>693</v>
      </c>
      <c r="D137" s="55" t="str">
        <f>VLOOKUP(VLOOKUP(Q137,'⚪设计'!$A$205:$G$224,3+UnitCfg!R137,FALSE),'⚪设计'!$B$85:$C$113,2,FALSE)</f>
        <v>ResUnit_MiFeng3</v>
      </c>
      <c r="E137" s="55">
        <f>VLOOKUP(D137,'⚪设计'!$C$85:$I$113,5,FALSE)*VLOOKUP(UnitCfg!Q137,无限模式!$A$3:$C$22,3,FALSE)</f>
        <v>1.4375</v>
      </c>
      <c r="F137">
        <v>400</v>
      </c>
      <c r="G137" t="b">
        <v>1</v>
      </c>
      <c r="H137">
        <v>1</v>
      </c>
      <c r="I137">
        <v>1</v>
      </c>
      <c r="J137">
        <v>0.5</v>
      </c>
      <c r="K137" s="55">
        <f>VLOOKUP(D137,'⚪设计'!$C$85:$I$113,6,FALSE)</f>
        <v>2.5</v>
      </c>
      <c r="L137" t="s">
        <v>531</v>
      </c>
      <c r="M137" t="s">
        <v>468</v>
      </c>
      <c r="N137" t="s">
        <v>469</v>
      </c>
      <c r="O137" t="s">
        <v>470</v>
      </c>
      <c r="Q137" s="110">
        <v>4</v>
      </c>
      <c r="R137" s="110">
        <v>1</v>
      </c>
      <c r="S137" s="110"/>
    </row>
    <row r="138" spans="2:19" x14ac:dyDescent="0.2">
      <c r="B138" t="s">
        <v>476</v>
      </c>
      <c r="C138" t="s">
        <v>694</v>
      </c>
      <c r="D138" s="55" t="str">
        <f>VLOOKUP(VLOOKUP(Q138,'⚪设计'!$A$205:$G$224,3+UnitCfg!R138,FALSE),'⚪设计'!$B$85:$C$113,2,FALSE)</f>
        <v>ResUnit_BianFu1</v>
      </c>
      <c r="E138" s="55">
        <f>VLOOKUP(D138,'⚪设计'!$C$85:$I$113,5,FALSE)*VLOOKUP(UnitCfg!Q138,无限模式!$A$3:$C$22,3,FALSE)</f>
        <v>2.2999999999999998</v>
      </c>
      <c r="F138">
        <v>400</v>
      </c>
      <c r="G138" t="b">
        <v>1</v>
      </c>
      <c r="H138">
        <v>1</v>
      </c>
      <c r="I138">
        <v>1</v>
      </c>
      <c r="J138">
        <v>0.5</v>
      </c>
      <c r="K138" s="55">
        <f>VLOOKUP(D138,'⚪设计'!$C$85:$I$113,6,FALSE)</f>
        <v>1</v>
      </c>
      <c r="L138" t="s">
        <v>532</v>
      </c>
      <c r="M138" t="s">
        <v>468</v>
      </c>
      <c r="N138" t="s">
        <v>469</v>
      </c>
      <c r="O138" t="s">
        <v>470</v>
      </c>
      <c r="Q138" s="110">
        <v>4</v>
      </c>
      <c r="R138" s="110">
        <v>2</v>
      </c>
      <c r="S138" s="110"/>
    </row>
    <row r="139" spans="2:19" x14ac:dyDescent="0.2">
      <c r="B139" t="s">
        <v>477</v>
      </c>
      <c r="C139" t="s">
        <v>695</v>
      </c>
      <c r="D139" s="55" t="str">
        <f>VLOOKUP(VLOOKUP(Q139,'⚪设计'!$A$205:$G$224,3+UnitCfg!R139,FALSE),'⚪设计'!$B$85:$C$113,2,FALSE)</f>
        <v>ResUnit_MiFeng2</v>
      </c>
      <c r="E139" s="55">
        <f>VLOOKUP(D139,'⚪设计'!$C$85:$I$113,5,FALSE)*VLOOKUP(UnitCfg!Q139,无限模式!$A$3:$C$22,3,FALSE)</f>
        <v>2.4</v>
      </c>
      <c r="F139">
        <v>400</v>
      </c>
      <c r="G139" t="b">
        <v>1</v>
      </c>
      <c r="H139">
        <v>1</v>
      </c>
      <c r="I139">
        <v>1</v>
      </c>
      <c r="J139">
        <v>0.5</v>
      </c>
      <c r="K139" s="55">
        <f>VLOOKUP(D139,'⚪设计'!$C$85:$I$113,6,FALSE)</f>
        <v>1.5</v>
      </c>
      <c r="L139" t="s">
        <v>533</v>
      </c>
      <c r="M139" t="s">
        <v>468</v>
      </c>
      <c r="N139" t="s">
        <v>469</v>
      </c>
      <c r="O139" t="s">
        <v>470</v>
      </c>
      <c r="Q139" s="110">
        <v>5</v>
      </c>
      <c r="R139" s="110">
        <v>1</v>
      </c>
      <c r="S139" s="110"/>
    </row>
    <row r="140" spans="2:19" x14ac:dyDescent="0.2">
      <c r="B140" t="s">
        <v>478</v>
      </c>
      <c r="C140" t="s">
        <v>696</v>
      </c>
      <c r="D140" s="55" t="str">
        <f>VLOOKUP(VLOOKUP(Q140,'⚪设计'!$A$205:$G$224,3+UnitCfg!R140,FALSE),'⚪设计'!$B$85:$C$113,2,FALSE)</f>
        <v>ResUnit_ZhiZhu1</v>
      </c>
      <c r="E140" s="55">
        <f>VLOOKUP(D140,'⚪设计'!$C$85:$I$113,5,FALSE)*VLOOKUP(UnitCfg!Q140,无限模式!$A$3:$C$22,3,FALSE)</f>
        <v>3.5999999999999996</v>
      </c>
      <c r="F140">
        <v>400</v>
      </c>
      <c r="G140" t="b">
        <v>1</v>
      </c>
      <c r="H140">
        <v>1</v>
      </c>
      <c r="I140">
        <v>1</v>
      </c>
      <c r="J140">
        <v>0.5</v>
      </c>
      <c r="K140" s="55">
        <f>VLOOKUP(D140,'⚪设计'!$C$85:$I$113,6,FALSE)</f>
        <v>1</v>
      </c>
      <c r="L140" t="s">
        <v>534</v>
      </c>
      <c r="M140" t="s">
        <v>468</v>
      </c>
      <c r="N140" t="s">
        <v>469</v>
      </c>
      <c r="O140" t="s">
        <v>470</v>
      </c>
      <c r="Q140" s="110">
        <v>5</v>
      </c>
      <c r="R140" s="110">
        <v>2</v>
      </c>
      <c r="S140" s="110"/>
    </row>
    <row r="141" spans="2:19" x14ac:dyDescent="0.2">
      <c r="B141" t="s">
        <v>479</v>
      </c>
      <c r="C141" t="s">
        <v>697</v>
      </c>
      <c r="D141" s="55" t="str">
        <f>VLOOKUP(VLOOKUP(Q141,'⚪设计'!$A$205:$G$224,3+UnitCfg!R141,FALSE),'⚪设计'!$B$85:$C$113,2,FALSE)</f>
        <v>ResUnit_MiFeng2</v>
      </c>
      <c r="E141" s="55">
        <f>VLOOKUP(D141,'⚪设计'!$C$85:$I$113,5,FALSE)*VLOOKUP(UnitCfg!Q141,无限模式!$A$3:$C$22,3,FALSE)</f>
        <v>2.5</v>
      </c>
      <c r="F141">
        <v>400</v>
      </c>
      <c r="G141" t="b">
        <v>1</v>
      </c>
      <c r="H141">
        <v>1</v>
      </c>
      <c r="I141">
        <v>1</v>
      </c>
      <c r="J141">
        <v>0.5</v>
      </c>
      <c r="K141" s="55">
        <f>VLOOKUP(D141,'⚪设计'!$C$85:$I$113,6,FALSE)</f>
        <v>1.5</v>
      </c>
      <c r="L141" t="s">
        <v>535</v>
      </c>
      <c r="M141" t="s">
        <v>468</v>
      </c>
      <c r="N141" t="s">
        <v>469</v>
      </c>
      <c r="O141" t="s">
        <v>470</v>
      </c>
      <c r="Q141" s="110">
        <v>6</v>
      </c>
      <c r="R141" s="110">
        <v>1</v>
      </c>
      <c r="S141" s="110"/>
    </row>
    <row r="142" spans="2:19" x14ac:dyDescent="0.2">
      <c r="B142" t="s">
        <v>480</v>
      </c>
      <c r="C142" t="s">
        <v>698</v>
      </c>
      <c r="D142" s="55" t="str">
        <f>VLOOKUP(VLOOKUP(Q142,'⚪设计'!$A$205:$G$224,3+UnitCfg!R142,FALSE),'⚪设计'!$B$85:$C$113,2,FALSE)</f>
        <v>ResUnit_ZhiZhu1</v>
      </c>
      <c r="E142" s="55">
        <f>VLOOKUP(D142,'⚪设计'!$C$85:$I$113,5,FALSE)*VLOOKUP(UnitCfg!Q142,无限模式!$A$3:$C$22,3,FALSE)</f>
        <v>3.75</v>
      </c>
      <c r="F142">
        <v>400</v>
      </c>
      <c r="G142" t="b">
        <v>1</v>
      </c>
      <c r="H142">
        <v>1</v>
      </c>
      <c r="I142">
        <v>1</v>
      </c>
      <c r="J142">
        <v>0.5</v>
      </c>
      <c r="K142" s="55">
        <f>VLOOKUP(D142,'⚪设计'!$C$85:$I$113,6,FALSE)</f>
        <v>1</v>
      </c>
      <c r="L142" t="s">
        <v>536</v>
      </c>
      <c r="M142" t="s">
        <v>468</v>
      </c>
      <c r="N142" t="s">
        <v>469</v>
      </c>
      <c r="O142" t="s">
        <v>470</v>
      </c>
      <c r="Q142" s="110">
        <v>6</v>
      </c>
      <c r="R142" s="110">
        <v>2</v>
      </c>
      <c r="S142" s="110"/>
    </row>
    <row r="143" spans="2:19" x14ac:dyDescent="0.2">
      <c r="B143" t="s">
        <v>481</v>
      </c>
      <c r="C143" t="s">
        <v>699</v>
      </c>
      <c r="D143" s="55" t="str">
        <f>VLOOKUP(VLOOKUP(Q143,'⚪设计'!$A$205:$G$224,3+UnitCfg!R143,FALSE),'⚪设计'!$B$85:$C$113,2,FALSE)</f>
        <v>ResUnit_MiFeng1</v>
      </c>
      <c r="E143" s="55">
        <f>VLOOKUP(D143,'⚪设计'!$C$85:$I$113,5,FALSE)*VLOOKUP(UnitCfg!Q143,无限模式!$A$3:$C$22,3,FALSE)</f>
        <v>2.6</v>
      </c>
      <c r="F143">
        <v>400</v>
      </c>
      <c r="G143" t="b">
        <v>1</v>
      </c>
      <c r="H143">
        <v>1</v>
      </c>
      <c r="I143">
        <v>1</v>
      </c>
      <c r="J143">
        <v>0.5</v>
      </c>
      <c r="K143" s="55">
        <f>VLOOKUP(D143,'⚪设计'!$C$85:$I$113,6,FALSE)</f>
        <v>1</v>
      </c>
      <c r="L143" t="s">
        <v>537</v>
      </c>
      <c r="M143" t="s">
        <v>468</v>
      </c>
      <c r="N143" t="s">
        <v>469</v>
      </c>
      <c r="O143" t="s">
        <v>470</v>
      </c>
      <c r="Q143" s="110">
        <v>7</v>
      </c>
      <c r="R143" s="110">
        <v>1</v>
      </c>
      <c r="S143" s="110"/>
    </row>
    <row r="144" spans="2:19" x14ac:dyDescent="0.2">
      <c r="B144" t="s">
        <v>482</v>
      </c>
      <c r="C144" t="s">
        <v>700</v>
      </c>
      <c r="D144" s="55" t="str">
        <f>VLOOKUP(VLOOKUP(Q144,'⚪设计'!$A$205:$G$224,3+UnitCfg!R144,FALSE),'⚪设计'!$B$85:$C$113,2,FALSE)</f>
        <v>ResUnit_ZhiZhu1</v>
      </c>
      <c r="E144" s="55">
        <f>VLOOKUP(D144,'⚪设计'!$C$85:$I$113,5,FALSE)*VLOOKUP(UnitCfg!Q144,无限模式!$A$3:$C$22,3,FALSE)</f>
        <v>3.9000000000000004</v>
      </c>
      <c r="F144">
        <v>400</v>
      </c>
      <c r="G144" t="b">
        <v>1</v>
      </c>
      <c r="H144">
        <v>1</v>
      </c>
      <c r="I144">
        <v>1</v>
      </c>
      <c r="J144">
        <v>0.5</v>
      </c>
      <c r="K144" s="55">
        <f>VLOOKUP(D144,'⚪设计'!$C$85:$I$113,6,FALSE)</f>
        <v>1</v>
      </c>
      <c r="L144" t="s">
        <v>538</v>
      </c>
      <c r="M144" t="s">
        <v>468</v>
      </c>
      <c r="N144" t="s">
        <v>469</v>
      </c>
      <c r="O144" t="s">
        <v>470</v>
      </c>
      <c r="Q144" s="110">
        <v>7</v>
      </c>
      <c r="R144" s="110">
        <v>2</v>
      </c>
      <c r="S144" s="110"/>
    </row>
    <row r="145" spans="2:19" x14ac:dyDescent="0.2">
      <c r="B145" t="s">
        <v>483</v>
      </c>
      <c r="C145" t="s">
        <v>701</v>
      </c>
      <c r="D145" s="55" t="str">
        <f>VLOOKUP(VLOOKUP(Q145,'⚪设计'!$A$205:$G$224,3+UnitCfg!R145,FALSE),'⚪设计'!$B$85:$C$113,2,FALSE)</f>
        <v>ResUnit_BianFu2</v>
      </c>
      <c r="E145" s="55">
        <f>VLOOKUP(D145,'⚪设计'!$C$85:$I$113,5,FALSE)*VLOOKUP(UnitCfg!Q145,无限模式!$A$3:$C$22,3,FALSE)</f>
        <v>2.7</v>
      </c>
      <c r="F145">
        <v>400</v>
      </c>
      <c r="G145" t="b">
        <v>1</v>
      </c>
      <c r="H145">
        <v>1</v>
      </c>
      <c r="I145">
        <v>1</v>
      </c>
      <c r="J145">
        <v>0.5</v>
      </c>
      <c r="K145" s="55">
        <f>VLOOKUP(D145,'⚪设计'!$C$85:$I$113,6,FALSE)</f>
        <v>1.5</v>
      </c>
      <c r="L145" t="s">
        <v>539</v>
      </c>
      <c r="M145" t="s">
        <v>468</v>
      </c>
      <c r="N145" t="s">
        <v>469</v>
      </c>
      <c r="O145" t="s">
        <v>470</v>
      </c>
      <c r="Q145" s="110">
        <v>8</v>
      </c>
      <c r="R145" s="110">
        <v>1</v>
      </c>
      <c r="S145" s="110"/>
    </row>
    <row r="146" spans="2:19" x14ac:dyDescent="0.2">
      <c r="B146" t="s">
        <v>484</v>
      </c>
      <c r="C146" t="s">
        <v>702</v>
      </c>
      <c r="D146" s="55" t="str">
        <f>VLOOKUP(VLOOKUP(Q146,'⚪设计'!$A$205:$G$224,3+UnitCfg!R146,FALSE),'⚪设计'!$B$85:$C$113,2,FALSE)</f>
        <v>ResUnit_ZhiZhu3</v>
      </c>
      <c r="E146" s="55">
        <f>VLOOKUP(D146,'⚪设计'!$C$85:$I$113,5,FALSE)*VLOOKUP(UnitCfg!Q146,无限模式!$A$3:$C$22,3,FALSE)</f>
        <v>1.6875</v>
      </c>
      <c r="F146">
        <v>400</v>
      </c>
      <c r="G146" t="b">
        <v>1</v>
      </c>
      <c r="H146">
        <v>1</v>
      </c>
      <c r="I146">
        <v>1</v>
      </c>
      <c r="J146">
        <v>0.5</v>
      </c>
      <c r="K146" s="55">
        <f>VLOOKUP(D146,'⚪设计'!$C$85:$I$113,6,FALSE)</f>
        <v>2.5</v>
      </c>
      <c r="L146" t="s">
        <v>540</v>
      </c>
      <c r="M146" t="s">
        <v>468</v>
      </c>
      <c r="N146" t="s">
        <v>469</v>
      </c>
      <c r="O146" t="s">
        <v>470</v>
      </c>
      <c r="Q146" s="110">
        <v>8</v>
      </c>
      <c r="R146" s="110">
        <v>2</v>
      </c>
      <c r="S146" s="110"/>
    </row>
    <row r="147" spans="2:19" x14ac:dyDescent="0.2">
      <c r="B147" t="s">
        <v>485</v>
      </c>
      <c r="C147" t="s">
        <v>703</v>
      </c>
      <c r="D147" s="55" t="str">
        <f>VLOOKUP(VLOOKUP(Q147,'⚪设计'!$A$205:$G$224,3+UnitCfg!R147,FALSE),'⚪设计'!$B$85:$C$113,2,FALSE)</f>
        <v>ResUnit_MiFeng2</v>
      </c>
      <c r="E147" s="55">
        <f>VLOOKUP(D147,'⚪设计'!$C$85:$I$113,5,FALSE)*VLOOKUP(UnitCfg!Q147,无限模式!$A$3:$C$22,3,FALSE)</f>
        <v>2.8</v>
      </c>
      <c r="F147">
        <v>400</v>
      </c>
      <c r="G147" t="b">
        <v>1</v>
      </c>
      <c r="H147">
        <v>1</v>
      </c>
      <c r="I147">
        <v>1</v>
      </c>
      <c r="J147">
        <v>0.5</v>
      </c>
      <c r="K147" s="55">
        <f>VLOOKUP(D147,'⚪设计'!$C$85:$I$113,6,FALSE)</f>
        <v>1.5</v>
      </c>
      <c r="L147" t="s">
        <v>541</v>
      </c>
      <c r="M147" t="s">
        <v>468</v>
      </c>
      <c r="N147" t="s">
        <v>469</v>
      </c>
      <c r="O147" t="s">
        <v>470</v>
      </c>
      <c r="Q147" s="110">
        <v>9</v>
      </c>
      <c r="R147" s="110">
        <v>1</v>
      </c>
      <c r="S147" s="110"/>
    </row>
    <row r="148" spans="2:19" x14ac:dyDescent="0.2">
      <c r="B148" t="s">
        <v>486</v>
      </c>
      <c r="C148" t="s">
        <v>704</v>
      </c>
      <c r="D148" s="55" t="str">
        <f>VLOOKUP(VLOOKUP(Q148,'⚪设计'!$A$205:$G$224,3+UnitCfg!R148,FALSE),'⚪设计'!$B$85:$C$113,2,FALSE)</f>
        <v>ResUnit_ZhongZi1</v>
      </c>
      <c r="E148" s="55">
        <f>VLOOKUP(D148,'⚪设计'!$C$85:$I$113,5,FALSE)*VLOOKUP(UnitCfg!Q148,无限模式!$A$3:$C$22,3,FALSE)</f>
        <v>2.8</v>
      </c>
      <c r="F148">
        <v>400</v>
      </c>
      <c r="G148" t="b">
        <v>1</v>
      </c>
      <c r="H148">
        <v>1</v>
      </c>
      <c r="I148">
        <v>1</v>
      </c>
      <c r="J148">
        <v>0.5</v>
      </c>
      <c r="K148" s="55">
        <f>VLOOKUP(D148,'⚪设计'!$C$85:$I$113,6,FALSE)</f>
        <v>1</v>
      </c>
      <c r="L148" t="s">
        <v>542</v>
      </c>
      <c r="M148" t="s">
        <v>468</v>
      </c>
      <c r="N148" t="s">
        <v>469</v>
      </c>
      <c r="O148" t="s">
        <v>470</v>
      </c>
      <c r="P148" t="str">
        <f>"Skill_"&amp;MID($B148,6,99)&amp;"_"&amp;MID(LEFT(D148,LEN(D148)-1),9,99)&amp;",NormalAttack"</f>
        <v>Skill_Monster_Infinite_9_2_ZhongZi,NormalAttack</v>
      </c>
      <c r="Q148" s="110">
        <v>9</v>
      </c>
      <c r="R148" s="110">
        <v>2</v>
      </c>
      <c r="S148" s="110"/>
    </row>
    <row r="149" spans="2:19" x14ac:dyDescent="0.2">
      <c r="B149" t="s">
        <v>487</v>
      </c>
      <c r="C149" t="s">
        <v>705</v>
      </c>
      <c r="D149" s="55" t="str">
        <f>VLOOKUP(VLOOKUP(Q149,'⚪设计'!$A$205:$G$224,3+UnitCfg!R149,FALSE),'⚪设计'!$B$85:$C$113,2,FALSE)</f>
        <v>ResUnit_MiFeng2</v>
      </c>
      <c r="E149" s="55">
        <f>VLOOKUP(D149,'⚪设计'!$C$85:$I$113,5,FALSE)*VLOOKUP(UnitCfg!Q149,无限模式!$A$3:$C$22,3,FALSE)</f>
        <v>2.9</v>
      </c>
      <c r="F149">
        <v>400</v>
      </c>
      <c r="G149" t="b">
        <v>1</v>
      </c>
      <c r="H149">
        <v>1</v>
      </c>
      <c r="I149">
        <v>1</v>
      </c>
      <c r="J149">
        <v>0.5</v>
      </c>
      <c r="K149" s="55">
        <f>VLOOKUP(D149,'⚪设计'!$C$85:$I$113,6,FALSE)</f>
        <v>1.5</v>
      </c>
      <c r="L149" t="s">
        <v>543</v>
      </c>
      <c r="M149" t="s">
        <v>468</v>
      </c>
      <c r="N149" t="s">
        <v>469</v>
      </c>
      <c r="O149" t="s">
        <v>470</v>
      </c>
      <c r="Q149" s="110">
        <v>10</v>
      </c>
      <c r="R149" s="110">
        <v>1</v>
      </c>
      <c r="S149" s="110"/>
    </row>
    <row r="150" spans="2:19" x14ac:dyDescent="0.2">
      <c r="B150" t="s">
        <v>488</v>
      </c>
      <c r="C150" t="s">
        <v>706</v>
      </c>
      <c r="D150" s="55" t="str">
        <f>VLOOKUP(VLOOKUP(Q150,'⚪设计'!$A$205:$G$224,3+UnitCfg!R150,FALSE),'⚪设计'!$B$85:$C$113,2,FALSE)</f>
        <v>ResUnit_ZhongZi1</v>
      </c>
      <c r="E150" s="55">
        <f>VLOOKUP(D150,'⚪设计'!$C$85:$I$113,5,FALSE)*VLOOKUP(UnitCfg!Q150,无限模式!$A$3:$C$22,3,FALSE)</f>
        <v>2.9</v>
      </c>
      <c r="F150">
        <v>400</v>
      </c>
      <c r="G150" t="b">
        <v>1</v>
      </c>
      <c r="H150">
        <v>1</v>
      </c>
      <c r="I150">
        <v>1</v>
      </c>
      <c r="J150">
        <v>0.5</v>
      </c>
      <c r="K150" s="55">
        <f>VLOOKUP(D150,'⚪设计'!$C$85:$I$113,6,FALSE)</f>
        <v>1</v>
      </c>
      <c r="L150" t="s">
        <v>544</v>
      </c>
      <c r="M150" t="s">
        <v>468</v>
      </c>
      <c r="N150" t="s">
        <v>469</v>
      </c>
      <c r="O150" t="s">
        <v>470</v>
      </c>
      <c r="P150" t="str">
        <f>"Skill_"&amp;MID($B150,6,99)&amp;"_"&amp;MID(LEFT(D150,LEN(D150)-1),9,99)&amp;",NormalAttack"</f>
        <v>Skill_Monster_Infinite_10_2_ZhongZi,NormalAttack</v>
      </c>
      <c r="Q150" s="110">
        <v>10</v>
      </c>
      <c r="R150" s="110">
        <v>2</v>
      </c>
      <c r="S150" s="110"/>
    </row>
    <row r="151" spans="2:19" x14ac:dyDescent="0.2">
      <c r="B151" t="s">
        <v>489</v>
      </c>
      <c r="C151" t="s">
        <v>707</v>
      </c>
      <c r="D151" s="55" t="str">
        <f>VLOOKUP(VLOOKUP(Q151,'⚪设计'!$A$205:$G$224,3+UnitCfg!R151,FALSE),'⚪设计'!$B$85:$C$113,2,FALSE)</f>
        <v>ResUnit_ZhongZi1</v>
      </c>
      <c r="E151" s="55">
        <f>VLOOKUP(D151,'⚪设计'!$C$85:$I$113,5,FALSE)*VLOOKUP(UnitCfg!Q151,无限模式!$A$3:$C$22,3,FALSE)</f>
        <v>3</v>
      </c>
      <c r="F151">
        <v>400</v>
      </c>
      <c r="G151" t="b">
        <v>1</v>
      </c>
      <c r="H151">
        <v>1</v>
      </c>
      <c r="I151">
        <v>1</v>
      </c>
      <c r="J151">
        <v>0.5</v>
      </c>
      <c r="K151" s="55">
        <f>VLOOKUP(D151,'⚪设计'!$C$85:$I$113,6,FALSE)</f>
        <v>1</v>
      </c>
      <c r="L151" t="s">
        <v>545</v>
      </c>
      <c r="M151" t="s">
        <v>468</v>
      </c>
      <c r="N151" t="s">
        <v>469</v>
      </c>
      <c r="O151" t="s">
        <v>470</v>
      </c>
      <c r="P151" t="str">
        <f>"Skill_"&amp;MID($B151,6,99)&amp;"_"&amp;MID(LEFT(D151,LEN(D151)-1),9,99)&amp;",NormalAttack"</f>
        <v>Skill_Monster_Infinite_11_1_ZhongZi,NormalAttack</v>
      </c>
      <c r="Q151" s="110">
        <v>11</v>
      </c>
      <c r="R151" s="110">
        <v>1</v>
      </c>
      <c r="S151" s="110"/>
    </row>
    <row r="152" spans="2:19" x14ac:dyDescent="0.2">
      <c r="B152" t="s">
        <v>490</v>
      </c>
      <c r="C152" t="s">
        <v>708</v>
      </c>
      <c r="D152" s="55" t="str">
        <f>VLOOKUP(VLOOKUP(Q152,'⚪设计'!$A$205:$G$224,3+UnitCfg!R152,FALSE),'⚪设计'!$B$85:$C$113,2,FALSE)</f>
        <v>ResUnit_ZhiZhu2</v>
      </c>
      <c r="E152" s="55">
        <f>VLOOKUP(D152,'⚪设计'!$C$85:$I$113,5,FALSE)*VLOOKUP(UnitCfg!Q152,无限模式!$A$3:$C$22,3,FALSE)</f>
        <v>4.5</v>
      </c>
      <c r="F152">
        <v>400</v>
      </c>
      <c r="G152" t="b">
        <v>1</v>
      </c>
      <c r="H152">
        <v>1</v>
      </c>
      <c r="I152">
        <v>1</v>
      </c>
      <c r="J152">
        <v>0.5</v>
      </c>
      <c r="K152" s="55">
        <f>VLOOKUP(D152,'⚪设计'!$C$85:$I$113,6,FALSE)</f>
        <v>1.5</v>
      </c>
      <c r="L152" t="s">
        <v>546</v>
      </c>
      <c r="M152" t="s">
        <v>468</v>
      </c>
      <c r="N152" t="s">
        <v>469</v>
      </c>
      <c r="O152" t="s">
        <v>470</v>
      </c>
      <c r="Q152" s="110">
        <v>11</v>
      </c>
      <c r="R152" s="110">
        <v>2</v>
      </c>
      <c r="S152" s="110"/>
    </row>
    <row r="153" spans="2:19" x14ac:dyDescent="0.2">
      <c r="B153" t="s">
        <v>491</v>
      </c>
      <c r="C153" t="s">
        <v>709</v>
      </c>
      <c r="D153" s="55" t="str">
        <f>VLOOKUP(VLOOKUP(Q153,'⚪设计'!$A$205:$G$224,3+UnitCfg!R153,FALSE),'⚪设计'!$B$85:$C$113,2,FALSE)</f>
        <v>ResUnit_MiFeng2</v>
      </c>
      <c r="E153" s="55">
        <f>VLOOKUP(D153,'⚪设计'!$C$85:$I$113,5,FALSE)*VLOOKUP(UnitCfg!Q153,无限模式!$A$3:$C$22,3,FALSE)</f>
        <v>3.1</v>
      </c>
      <c r="F153">
        <v>400</v>
      </c>
      <c r="G153" t="b">
        <v>1</v>
      </c>
      <c r="H153">
        <v>1</v>
      </c>
      <c r="I153">
        <v>1</v>
      </c>
      <c r="J153">
        <v>0.5</v>
      </c>
      <c r="K153" s="55">
        <f>VLOOKUP(D153,'⚪设计'!$C$85:$I$113,6,FALSE)</f>
        <v>1.5</v>
      </c>
      <c r="L153" t="s">
        <v>547</v>
      </c>
      <c r="M153" t="s">
        <v>468</v>
      </c>
      <c r="N153" t="s">
        <v>469</v>
      </c>
      <c r="O153" t="s">
        <v>470</v>
      </c>
      <c r="Q153" s="110">
        <v>12</v>
      </c>
      <c r="R153" s="110">
        <v>1</v>
      </c>
      <c r="S153" s="110"/>
    </row>
    <row r="154" spans="2:19" x14ac:dyDescent="0.2">
      <c r="B154" t="s">
        <v>492</v>
      </c>
      <c r="C154" t="s">
        <v>710</v>
      </c>
      <c r="D154" s="55" t="str">
        <f>VLOOKUP(VLOOKUP(Q154,'⚪设计'!$A$205:$G$224,3+UnitCfg!R154,FALSE),'⚪设计'!$B$85:$C$113,2,FALSE)</f>
        <v>ResUnit_ZhongZi1</v>
      </c>
      <c r="E154" s="55">
        <f>VLOOKUP(D154,'⚪设计'!$C$85:$I$113,5,FALSE)*VLOOKUP(UnitCfg!Q154,无限模式!$A$3:$C$22,3,FALSE)</f>
        <v>3.1</v>
      </c>
      <c r="F154">
        <v>400</v>
      </c>
      <c r="G154" t="b">
        <v>1</v>
      </c>
      <c r="H154">
        <v>1</v>
      </c>
      <c r="I154">
        <v>1</v>
      </c>
      <c r="J154">
        <v>0.5</v>
      </c>
      <c r="K154" s="55">
        <f>VLOOKUP(D154,'⚪设计'!$C$85:$I$113,6,FALSE)</f>
        <v>1</v>
      </c>
      <c r="L154" t="s">
        <v>548</v>
      </c>
      <c r="M154" t="s">
        <v>468</v>
      </c>
      <c r="N154" t="s">
        <v>469</v>
      </c>
      <c r="O154" t="s">
        <v>470</v>
      </c>
      <c r="P154" t="str">
        <f>"Skill_"&amp;MID($B154,6,99)&amp;"_"&amp;MID(LEFT(D154,LEN(D154)-1),9,99)&amp;",NormalAttack"</f>
        <v>Skill_Monster_Infinite_12_2_ZhongZi,NormalAttack</v>
      </c>
      <c r="Q154" s="110">
        <v>12</v>
      </c>
      <c r="R154" s="110">
        <v>2</v>
      </c>
      <c r="S154" s="110"/>
    </row>
    <row r="155" spans="2:19" x14ac:dyDescent="0.2">
      <c r="B155" t="s">
        <v>493</v>
      </c>
      <c r="C155" t="s">
        <v>711</v>
      </c>
      <c r="D155" s="55" t="str">
        <f>VLOOKUP(VLOOKUP(Q155,'⚪设计'!$A$205:$G$224,3+UnitCfg!R155,FALSE),'⚪设计'!$B$85:$C$113,2,FALSE)</f>
        <v>ResUnit_ZhongZi3</v>
      </c>
      <c r="E155" s="55">
        <f>VLOOKUP(D155,'⚪设计'!$C$85:$I$113,5,FALSE)*VLOOKUP(UnitCfg!Q155,无限模式!$A$3:$C$22,3,FALSE)</f>
        <v>1.9375</v>
      </c>
      <c r="F155">
        <v>400</v>
      </c>
      <c r="G155" t="b">
        <v>1</v>
      </c>
      <c r="H155">
        <v>1</v>
      </c>
      <c r="I155">
        <v>1</v>
      </c>
      <c r="J155">
        <v>0.5</v>
      </c>
      <c r="K155" s="55">
        <f>VLOOKUP(D155,'⚪设计'!$C$85:$I$113,6,FALSE)</f>
        <v>2.5</v>
      </c>
      <c r="L155" t="s">
        <v>567</v>
      </c>
      <c r="M155" t="s">
        <v>468</v>
      </c>
      <c r="N155" t="s">
        <v>469</v>
      </c>
      <c r="O155" t="s">
        <v>470</v>
      </c>
      <c r="P155" t="str">
        <f t="shared" ref="P155:P162" si="12">"Skill_"&amp;MID($B155,6,99)&amp;"_"&amp;MID(LEFT(D155,LEN(D155)-1),9,99)&amp;",NormalAttack"</f>
        <v>Skill_Monster_Infinite_12_3_ZhongZi,NormalAttack</v>
      </c>
      <c r="Q155" s="110">
        <v>12</v>
      </c>
      <c r="R155" s="110">
        <v>3</v>
      </c>
      <c r="S155" s="110"/>
    </row>
    <row r="156" spans="2:19" x14ac:dyDescent="0.2">
      <c r="B156" t="s">
        <v>494</v>
      </c>
      <c r="C156" t="s">
        <v>712</v>
      </c>
      <c r="D156" s="55" t="str">
        <f>VLOOKUP(VLOOKUP(Q156,'⚪设计'!$A$205:$G$224,3+UnitCfg!R156,FALSE),'⚪设计'!$B$85:$C$113,2,FALSE)</f>
        <v>ResUnit_Gui1</v>
      </c>
      <c r="E156" s="55">
        <f>VLOOKUP(D156,'⚪设计'!$C$85:$I$113,5,FALSE)*VLOOKUP(UnitCfg!Q156,无限模式!$A$3:$C$22,3,FALSE)</f>
        <v>3.2</v>
      </c>
      <c r="F156">
        <v>400</v>
      </c>
      <c r="G156" t="b">
        <v>1</v>
      </c>
      <c r="H156">
        <v>1</v>
      </c>
      <c r="I156">
        <v>1</v>
      </c>
      <c r="J156">
        <v>0.5</v>
      </c>
      <c r="K156" s="55">
        <f>VLOOKUP(D156,'⚪设计'!$C$85:$I$113,6,FALSE)</f>
        <v>1</v>
      </c>
      <c r="L156" t="s">
        <v>549</v>
      </c>
      <c r="M156" t="s">
        <v>468</v>
      </c>
      <c r="N156" t="s">
        <v>469</v>
      </c>
      <c r="O156" t="s">
        <v>470</v>
      </c>
      <c r="P156" t="str">
        <f t="shared" si="12"/>
        <v>Skill_Monster_Infinite_13_1_Gui,NormalAttack</v>
      </c>
      <c r="Q156" s="110">
        <v>13</v>
      </c>
      <c r="R156" s="110">
        <v>1</v>
      </c>
      <c r="S156" s="110"/>
    </row>
    <row r="157" spans="2:19" x14ac:dyDescent="0.2">
      <c r="B157" t="s">
        <v>495</v>
      </c>
      <c r="C157" t="s">
        <v>713</v>
      </c>
      <c r="D157" s="55" t="str">
        <f>VLOOKUP(VLOOKUP(Q157,'⚪设计'!$A$205:$G$224,3+UnitCfg!R157,FALSE),'⚪设计'!$B$85:$C$113,2,FALSE)</f>
        <v>ResUnit_Gui1</v>
      </c>
      <c r="E157" s="55">
        <f>VLOOKUP(D157,'⚪设计'!$C$85:$I$113,5,FALSE)*VLOOKUP(UnitCfg!Q157,无限模式!$A$3:$C$22,3,FALSE)</f>
        <v>3.3</v>
      </c>
      <c r="F157">
        <v>400</v>
      </c>
      <c r="G157" t="b">
        <v>1</v>
      </c>
      <c r="H157">
        <v>1</v>
      </c>
      <c r="I157">
        <v>1</v>
      </c>
      <c r="J157">
        <v>0.5</v>
      </c>
      <c r="K157" s="55">
        <f>VLOOKUP(D157,'⚪设计'!$C$85:$I$113,6,FALSE)</f>
        <v>1</v>
      </c>
      <c r="L157" t="s">
        <v>550</v>
      </c>
      <c r="M157" t="s">
        <v>468</v>
      </c>
      <c r="N157" t="s">
        <v>469</v>
      </c>
      <c r="O157" t="s">
        <v>470</v>
      </c>
      <c r="P157" t="str">
        <f t="shared" si="12"/>
        <v>Skill_Monster_Infinite_14_1_Gui,NormalAttack</v>
      </c>
      <c r="Q157" s="110">
        <v>14</v>
      </c>
      <c r="R157" s="110">
        <v>1</v>
      </c>
      <c r="S157" s="110"/>
    </row>
    <row r="158" spans="2:19" x14ac:dyDescent="0.2">
      <c r="B158" t="s">
        <v>496</v>
      </c>
      <c r="C158" t="s">
        <v>714</v>
      </c>
      <c r="D158" s="55" t="str">
        <f>VLOOKUP(VLOOKUP(Q158,'⚪设计'!$A$205:$G$224,3+UnitCfg!R158,FALSE),'⚪设计'!$B$85:$C$113,2,FALSE)</f>
        <v>ResUnit_ZhiZhu2</v>
      </c>
      <c r="E158" s="55">
        <f>VLOOKUP(D158,'⚪设计'!$C$85:$I$113,5,FALSE)*VLOOKUP(UnitCfg!Q158,无限模式!$A$3:$C$22,3,FALSE)</f>
        <v>4.9499999999999993</v>
      </c>
      <c r="F158">
        <v>400</v>
      </c>
      <c r="G158" t="b">
        <v>1</v>
      </c>
      <c r="H158">
        <v>1</v>
      </c>
      <c r="I158">
        <v>1</v>
      </c>
      <c r="J158">
        <v>0.5</v>
      </c>
      <c r="K158" s="55">
        <f>VLOOKUP(D158,'⚪设计'!$C$85:$I$113,6,FALSE)</f>
        <v>1.5</v>
      </c>
      <c r="L158" t="s">
        <v>551</v>
      </c>
      <c r="M158" t="s">
        <v>468</v>
      </c>
      <c r="N158" t="s">
        <v>469</v>
      </c>
      <c r="O158" t="s">
        <v>470</v>
      </c>
      <c r="Q158" s="110">
        <v>14</v>
      </c>
      <c r="R158" s="110">
        <v>2</v>
      </c>
      <c r="S158" s="110"/>
    </row>
    <row r="159" spans="2:19" x14ac:dyDescent="0.2">
      <c r="B159" t="s">
        <v>497</v>
      </c>
      <c r="C159" t="s">
        <v>715</v>
      </c>
      <c r="D159" s="55" t="str">
        <f>VLOOKUP(VLOOKUP(Q159,'⚪设计'!$A$205:$G$224,3+UnitCfg!R159,FALSE),'⚪设计'!$B$85:$C$113,2,FALSE)</f>
        <v>ResUnit_Gui1</v>
      </c>
      <c r="E159" s="55">
        <f>VLOOKUP(D159,'⚪设计'!$C$85:$I$113,5,FALSE)*VLOOKUP(UnitCfg!Q159,无限模式!$A$3:$C$22,3,FALSE)</f>
        <v>3.4</v>
      </c>
      <c r="F159">
        <v>400</v>
      </c>
      <c r="G159" t="b">
        <v>1</v>
      </c>
      <c r="H159">
        <v>1</v>
      </c>
      <c r="I159">
        <v>1</v>
      </c>
      <c r="J159">
        <v>0.5</v>
      </c>
      <c r="K159" s="55">
        <f>VLOOKUP(D159,'⚪设计'!$C$85:$I$113,6,FALSE)</f>
        <v>1</v>
      </c>
      <c r="L159" t="s">
        <v>552</v>
      </c>
      <c r="M159" t="s">
        <v>468</v>
      </c>
      <c r="N159" t="s">
        <v>469</v>
      </c>
      <c r="O159" t="s">
        <v>470</v>
      </c>
      <c r="P159" t="str">
        <f t="shared" si="12"/>
        <v>Skill_Monster_Infinite_15_1_Gui,NormalAttack</v>
      </c>
      <c r="Q159" s="110">
        <v>15</v>
      </c>
      <c r="R159" s="110">
        <v>1</v>
      </c>
      <c r="S159" s="110"/>
    </row>
    <row r="160" spans="2:19" x14ac:dyDescent="0.2">
      <c r="B160" t="s">
        <v>498</v>
      </c>
      <c r="C160" t="s">
        <v>716</v>
      </c>
      <c r="D160" s="55" t="str">
        <f>VLOOKUP(VLOOKUP(Q160,'⚪设计'!$A$205:$G$224,3+UnitCfg!R160,FALSE),'⚪设计'!$B$85:$C$113,2,FALSE)</f>
        <v>ResUnit_ZhongZi2</v>
      </c>
      <c r="E160" s="55">
        <f>VLOOKUP(D160,'⚪设计'!$C$85:$I$113,5,FALSE)*VLOOKUP(UnitCfg!Q160,无限模式!$A$3:$C$22,3,FALSE)</f>
        <v>3.4</v>
      </c>
      <c r="F160">
        <v>400</v>
      </c>
      <c r="G160" t="b">
        <v>1</v>
      </c>
      <c r="H160">
        <v>1</v>
      </c>
      <c r="I160">
        <v>1</v>
      </c>
      <c r="J160">
        <v>0.5</v>
      </c>
      <c r="K160" s="55">
        <f>VLOOKUP(D160,'⚪设计'!$C$85:$I$113,6,FALSE)</f>
        <v>1.5</v>
      </c>
      <c r="L160" t="s">
        <v>553</v>
      </c>
      <c r="M160" t="s">
        <v>468</v>
      </c>
      <c r="N160" t="s">
        <v>469</v>
      </c>
      <c r="O160" t="s">
        <v>470</v>
      </c>
      <c r="P160" t="str">
        <f t="shared" si="12"/>
        <v>Skill_Monster_Infinite_15_2_ZhongZi,NormalAttack</v>
      </c>
      <c r="Q160" s="110">
        <v>15</v>
      </c>
      <c r="R160" s="110">
        <v>2</v>
      </c>
      <c r="S160" s="110"/>
    </row>
    <row r="161" spans="2:19" x14ac:dyDescent="0.2">
      <c r="B161" t="s">
        <v>499</v>
      </c>
      <c r="C161" t="s">
        <v>717</v>
      </c>
      <c r="D161" s="55" t="str">
        <f>VLOOKUP(VLOOKUP(Q161,'⚪设计'!$A$205:$G$224,3+UnitCfg!R161,FALSE),'⚪设计'!$B$85:$C$113,2,FALSE)</f>
        <v>ResUnit_MiFeng2</v>
      </c>
      <c r="E161" s="55">
        <f>VLOOKUP(D161,'⚪设计'!$C$85:$I$113,5,FALSE)*VLOOKUP(UnitCfg!Q161,无限模式!$A$3:$C$22,3,FALSE)</f>
        <v>3.5</v>
      </c>
      <c r="F161">
        <v>400</v>
      </c>
      <c r="G161" t="b">
        <v>1</v>
      </c>
      <c r="H161">
        <v>1</v>
      </c>
      <c r="I161">
        <v>1</v>
      </c>
      <c r="J161">
        <v>0.5</v>
      </c>
      <c r="K161" s="55">
        <f>VLOOKUP(D161,'⚪设计'!$C$85:$I$113,6,FALSE)</f>
        <v>1.5</v>
      </c>
      <c r="L161" t="s">
        <v>554</v>
      </c>
      <c r="M161" t="s">
        <v>468</v>
      </c>
      <c r="N161" t="s">
        <v>469</v>
      </c>
      <c r="O161" t="s">
        <v>470</v>
      </c>
      <c r="Q161" s="110">
        <v>16</v>
      </c>
      <c r="R161" s="110">
        <v>1</v>
      </c>
      <c r="S161" s="110"/>
    </row>
    <row r="162" spans="2:19" x14ac:dyDescent="0.2">
      <c r="B162" t="s">
        <v>500</v>
      </c>
      <c r="C162" t="s">
        <v>718</v>
      </c>
      <c r="D162" s="55" t="str">
        <f>VLOOKUP(VLOOKUP(Q162,'⚪设计'!$A$205:$G$224,3+UnitCfg!R162,FALSE),'⚪设计'!$B$85:$C$113,2,FALSE)</f>
        <v>ResUnit_Gui3</v>
      </c>
      <c r="E162" s="55">
        <f>VLOOKUP(D162,'⚪设计'!$C$85:$I$113,5,FALSE)*VLOOKUP(UnitCfg!Q162,无限模式!$A$3:$C$22,3,FALSE)</f>
        <v>2.1875</v>
      </c>
      <c r="F162">
        <v>400</v>
      </c>
      <c r="G162" t="b">
        <v>1</v>
      </c>
      <c r="H162">
        <v>1</v>
      </c>
      <c r="I162">
        <v>1</v>
      </c>
      <c r="J162">
        <v>0.5</v>
      </c>
      <c r="K162" s="55">
        <f>VLOOKUP(D162,'⚪设计'!$C$85:$I$113,6,FALSE)</f>
        <v>2.5</v>
      </c>
      <c r="L162" t="s">
        <v>555</v>
      </c>
      <c r="M162" t="s">
        <v>468</v>
      </c>
      <c r="N162" t="s">
        <v>469</v>
      </c>
      <c r="O162" t="s">
        <v>470</v>
      </c>
      <c r="P162" t="str">
        <f t="shared" si="12"/>
        <v>Skill_Monster_Infinite_16_2_Gui,NormalAttack</v>
      </c>
      <c r="Q162" s="110">
        <v>16</v>
      </c>
      <c r="R162" s="110">
        <v>2</v>
      </c>
      <c r="S162" s="110"/>
    </row>
    <row r="163" spans="2:19" x14ac:dyDescent="0.2">
      <c r="B163" t="s">
        <v>501</v>
      </c>
      <c r="C163" t="s">
        <v>719</v>
      </c>
      <c r="D163" s="55" t="str">
        <f>VLOOKUP(VLOOKUP(Q163,'⚪设计'!$A$205:$G$224,3+UnitCfg!R163,FALSE),'⚪设计'!$B$85:$C$113,2,FALSE)</f>
        <v>ResUnit_Dan1</v>
      </c>
      <c r="E163" s="55">
        <f>VLOOKUP(D163,'⚪设计'!$C$85:$I$113,5,FALSE)*VLOOKUP(UnitCfg!Q163,无限模式!$A$3:$C$22,3,FALSE)</f>
        <v>3.6</v>
      </c>
      <c r="F163">
        <v>400</v>
      </c>
      <c r="G163" t="b">
        <v>1</v>
      </c>
      <c r="H163">
        <v>1</v>
      </c>
      <c r="I163">
        <v>1</v>
      </c>
      <c r="J163">
        <v>0.5</v>
      </c>
      <c r="K163" s="55">
        <f>VLOOKUP(D163,'⚪设计'!$C$85:$I$113,6,FALSE)</f>
        <v>1</v>
      </c>
      <c r="L163" t="s">
        <v>556</v>
      </c>
      <c r="M163" t="s">
        <v>468</v>
      </c>
      <c r="N163" t="s">
        <v>469</v>
      </c>
      <c r="O163" t="s">
        <v>470</v>
      </c>
      <c r="Q163" s="110">
        <v>17</v>
      </c>
      <c r="R163" s="110">
        <v>1</v>
      </c>
      <c r="S163" s="110"/>
    </row>
    <row r="164" spans="2:19" x14ac:dyDescent="0.2">
      <c r="B164" t="s">
        <v>502</v>
      </c>
      <c r="C164" t="s">
        <v>720</v>
      </c>
      <c r="D164" s="55" t="str">
        <f>VLOOKUP(VLOOKUP(Q164,'⚪设计'!$A$205:$G$224,3+UnitCfg!R164,FALSE),'⚪设计'!$B$85:$C$113,2,FALSE)</f>
        <v>ResUnit_Dan2</v>
      </c>
      <c r="E164" s="55">
        <f>VLOOKUP(D164,'⚪设计'!$C$85:$I$113,5,FALSE)*VLOOKUP(UnitCfg!Q164,无限模式!$A$3:$C$22,3,FALSE)</f>
        <v>3.6</v>
      </c>
      <c r="F164">
        <v>400</v>
      </c>
      <c r="G164" t="b">
        <v>1</v>
      </c>
      <c r="H164">
        <v>1</v>
      </c>
      <c r="I164">
        <v>1</v>
      </c>
      <c r="J164">
        <v>0.5</v>
      </c>
      <c r="K164" s="55">
        <f>VLOOKUP(D164,'⚪设计'!$C$85:$I$113,6,FALSE)</f>
        <v>1.5</v>
      </c>
      <c r="L164" t="s">
        <v>557</v>
      </c>
      <c r="M164" t="s">
        <v>468</v>
      </c>
      <c r="N164" t="s">
        <v>469</v>
      </c>
      <c r="O164" t="s">
        <v>470</v>
      </c>
      <c r="P164" t="str">
        <f t="shared" ref="P164:P165" si="13">"Skill_"&amp;MID($B164,6,99)&amp;"_"&amp;MID(LEFT(D164,LEN(D164)-1),9,99)&amp;",NormalAttack"</f>
        <v>Skill_Monster_Infinite_17_2_Dan,NormalAttack</v>
      </c>
      <c r="Q164" s="110">
        <v>17</v>
      </c>
      <c r="R164" s="110">
        <v>2</v>
      </c>
      <c r="S164" s="110"/>
    </row>
    <row r="165" spans="2:19" x14ac:dyDescent="0.2">
      <c r="B165" t="s">
        <v>503</v>
      </c>
      <c r="C165" t="s">
        <v>721</v>
      </c>
      <c r="D165" s="55" t="str">
        <f>VLOOKUP(VLOOKUP(Q165,'⚪设计'!$A$205:$G$224,3+UnitCfg!R165,FALSE),'⚪设计'!$B$85:$C$113,2,FALSE)</f>
        <v>ResUnit_Dan2</v>
      </c>
      <c r="E165" s="55">
        <f>VLOOKUP(D165,'⚪设计'!$C$85:$I$113,5,FALSE)*VLOOKUP(UnitCfg!Q165,无限模式!$A$3:$C$22,3,FALSE)</f>
        <v>3.7</v>
      </c>
      <c r="F165">
        <v>400</v>
      </c>
      <c r="G165" t="b">
        <v>1</v>
      </c>
      <c r="H165">
        <v>1</v>
      </c>
      <c r="I165">
        <v>1</v>
      </c>
      <c r="J165">
        <v>0.5</v>
      </c>
      <c r="K165" s="55">
        <f>VLOOKUP(D165,'⚪设计'!$C$85:$I$113,6,FALSE)</f>
        <v>1.5</v>
      </c>
      <c r="L165" t="s">
        <v>558</v>
      </c>
      <c r="M165" t="s">
        <v>468</v>
      </c>
      <c r="N165" t="s">
        <v>469</v>
      </c>
      <c r="O165" t="s">
        <v>470</v>
      </c>
      <c r="P165" t="str">
        <f t="shared" si="13"/>
        <v>Skill_Monster_Infinite_18_1_Dan,NormalAttack</v>
      </c>
      <c r="Q165" s="110">
        <v>18</v>
      </c>
      <c r="R165" s="110">
        <v>1</v>
      </c>
      <c r="S165" s="110"/>
    </row>
    <row r="166" spans="2:19" x14ac:dyDescent="0.2">
      <c r="B166" t="s">
        <v>504</v>
      </c>
      <c r="C166" t="s">
        <v>722</v>
      </c>
      <c r="D166" s="55" t="str">
        <f>VLOOKUP(VLOOKUP(Q166,'⚪设计'!$A$205:$G$224,3+UnitCfg!R166,FALSE),'⚪设计'!$B$85:$C$113,2,FALSE)</f>
        <v>ResUnit_ZhiZhu2</v>
      </c>
      <c r="E166" s="55">
        <f>VLOOKUP(D166,'⚪设计'!$C$85:$I$113,5,FALSE)*VLOOKUP(UnitCfg!Q166,无限模式!$A$3:$C$22,3,FALSE)</f>
        <v>5.5500000000000007</v>
      </c>
      <c r="F166">
        <v>400</v>
      </c>
      <c r="G166" t="b">
        <v>1</v>
      </c>
      <c r="H166">
        <v>1</v>
      </c>
      <c r="I166">
        <v>1</v>
      </c>
      <c r="J166">
        <v>0.5</v>
      </c>
      <c r="K166" s="55">
        <f>VLOOKUP(D166,'⚪设计'!$C$85:$I$113,6,FALSE)</f>
        <v>1.5</v>
      </c>
      <c r="L166" t="s">
        <v>559</v>
      </c>
      <c r="M166" t="s">
        <v>468</v>
      </c>
      <c r="N166" t="s">
        <v>469</v>
      </c>
      <c r="O166" t="s">
        <v>470</v>
      </c>
      <c r="Q166" s="110">
        <v>18</v>
      </c>
      <c r="R166" s="110">
        <v>2</v>
      </c>
      <c r="S166" s="110"/>
    </row>
    <row r="167" spans="2:19" x14ac:dyDescent="0.2">
      <c r="B167" t="s">
        <v>505</v>
      </c>
      <c r="C167" t="s">
        <v>723</v>
      </c>
      <c r="D167" s="55" t="str">
        <f>VLOOKUP(VLOOKUP(Q167,'⚪设计'!$A$205:$G$224,3+UnitCfg!R167,FALSE),'⚪设计'!$B$85:$C$113,2,FALSE)</f>
        <v>ResUnit_Dan2</v>
      </c>
      <c r="E167" s="55">
        <f>VLOOKUP(D167,'⚪设计'!$C$85:$I$113,5,FALSE)*VLOOKUP(UnitCfg!Q167,无限模式!$A$3:$C$22,3,FALSE)</f>
        <v>3.8</v>
      </c>
      <c r="F167">
        <v>400</v>
      </c>
      <c r="G167" t="b">
        <v>1</v>
      </c>
      <c r="H167">
        <v>1</v>
      </c>
      <c r="I167">
        <v>1</v>
      </c>
      <c r="J167">
        <v>0.5</v>
      </c>
      <c r="K167" s="55">
        <f>VLOOKUP(D167,'⚪设计'!$C$85:$I$113,6,FALSE)</f>
        <v>1.5</v>
      </c>
      <c r="L167" t="s">
        <v>560</v>
      </c>
      <c r="M167" t="s">
        <v>468</v>
      </c>
      <c r="N167" t="s">
        <v>469</v>
      </c>
      <c r="O167" t="s">
        <v>470</v>
      </c>
      <c r="Q167" s="110">
        <v>19</v>
      </c>
      <c r="R167" s="110">
        <v>1</v>
      </c>
      <c r="S167" s="110"/>
    </row>
    <row r="168" spans="2:19" x14ac:dyDescent="0.2">
      <c r="B168" t="s">
        <v>506</v>
      </c>
      <c r="C168" t="s">
        <v>724</v>
      </c>
      <c r="D168" s="55" t="str">
        <f>VLOOKUP(VLOOKUP(Q168,'⚪设计'!$A$205:$G$224,3+UnitCfg!R168,FALSE),'⚪设计'!$B$85:$C$113,2,FALSE)</f>
        <v>ResUnit_ZhiZhu2</v>
      </c>
      <c r="E168" s="55">
        <f>VLOOKUP(D168,'⚪设计'!$C$85:$I$113,5,FALSE)*VLOOKUP(UnitCfg!Q168,无限模式!$A$3:$C$22,3,FALSE)</f>
        <v>5.6999999999999993</v>
      </c>
      <c r="F168">
        <v>400</v>
      </c>
      <c r="G168" t="b">
        <v>1</v>
      </c>
      <c r="H168">
        <v>1</v>
      </c>
      <c r="I168">
        <v>1</v>
      </c>
      <c r="J168">
        <v>0.5</v>
      </c>
      <c r="K168" s="55">
        <f>VLOOKUP(D168,'⚪设计'!$C$85:$I$113,6,FALSE)</f>
        <v>1.5</v>
      </c>
      <c r="L168" t="s">
        <v>561</v>
      </c>
      <c r="M168" t="s">
        <v>468</v>
      </c>
      <c r="N168" t="s">
        <v>469</v>
      </c>
      <c r="O168" t="s">
        <v>470</v>
      </c>
      <c r="Q168" s="110">
        <v>19</v>
      </c>
      <c r="R168" s="110">
        <v>2</v>
      </c>
      <c r="S168" s="110"/>
    </row>
    <row r="169" spans="2:19" x14ac:dyDescent="0.2">
      <c r="B169" t="s">
        <v>507</v>
      </c>
      <c r="C169" t="s">
        <v>725</v>
      </c>
      <c r="D169" s="55" t="str">
        <f>VLOOKUP(VLOOKUP(Q169,'⚪设计'!$A$205:$G$224,3+UnitCfg!R169,FALSE),'⚪设计'!$B$85:$C$113,2,FALSE)</f>
        <v>ResUnit_ZhongZi2</v>
      </c>
      <c r="E169" s="55">
        <f>VLOOKUP(D169,'⚪设计'!$C$85:$I$113,5,FALSE)*VLOOKUP(UnitCfg!Q169,无限模式!$A$3:$C$22,3,FALSE)</f>
        <v>3.8</v>
      </c>
      <c r="F169">
        <v>400</v>
      </c>
      <c r="G169" t="b">
        <v>1</v>
      </c>
      <c r="H169">
        <v>1</v>
      </c>
      <c r="I169">
        <v>1</v>
      </c>
      <c r="J169">
        <v>0.5</v>
      </c>
      <c r="K169" s="55">
        <f>VLOOKUP(D169,'⚪设计'!$C$85:$I$113,6,FALSE)</f>
        <v>1.5</v>
      </c>
      <c r="L169" t="s">
        <v>568</v>
      </c>
      <c r="M169" t="s">
        <v>468</v>
      </c>
      <c r="N169" t="s">
        <v>469</v>
      </c>
      <c r="O169" t="s">
        <v>470</v>
      </c>
      <c r="P169" t="str">
        <f t="shared" ref="P169:P173" si="14">"Skill_"&amp;MID($B169,6,99)&amp;"_"&amp;MID(LEFT(D169,LEN(D169)-1),9,99)&amp;",NormalAttack"</f>
        <v>Skill_Monster_Infinite_19_3_ZhongZi,NormalAttack</v>
      </c>
      <c r="Q169" s="110">
        <v>19</v>
      </c>
      <c r="R169" s="110">
        <v>3</v>
      </c>
      <c r="S169" s="110"/>
    </row>
    <row r="170" spans="2:19" x14ac:dyDescent="0.2">
      <c r="B170" t="s">
        <v>508</v>
      </c>
      <c r="C170" t="s">
        <v>726</v>
      </c>
      <c r="D170" s="55" t="str">
        <f>VLOOKUP(VLOOKUP(Q170,'⚪设计'!$A$205:$G$224,3+UnitCfg!R170,FALSE),'⚪设计'!$B$85:$C$113,2,FALSE)</f>
        <v>ResUnit_Dan2</v>
      </c>
      <c r="E170" s="55">
        <f>VLOOKUP(D170,'⚪设计'!$C$85:$I$113,5,FALSE)*VLOOKUP(UnitCfg!Q170,无限模式!$A$3:$C$22,3,FALSE)</f>
        <v>3.9</v>
      </c>
      <c r="F170">
        <v>400</v>
      </c>
      <c r="G170" t="b">
        <v>1</v>
      </c>
      <c r="H170">
        <v>1</v>
      </c>
      <c r="I170">
        <v>1</v>
      </c>
      <c r="J170">
        <v>0.5</v>
      </c>
      <c r="K170" s="55">
        <f>VLOOKUP(D170,'⚪设计'!$C$85:$I$113,6,FALSE)</f>
        <v>1.5</v>
      </c>
      <c r="L170" t="s">
        <v>562</v>
      </c>
      <c r="M170" t="s">
        <v>468</v>
      </c>
      <c r="N170" t="s">
        <v>469</v>
      </c>
      <c r="O170" t="s">
        <v>470</v>
      </c>
      <c r="P170" t="str">
        <f t="shared" si="14"/>
        <v>Skill_Monster_Infinite_20_1_Dan,NormalAttack</v>
      </c>
      <c r="Q170" s="110">
        <v>20</v>
      </c>
      <c r="R170" s="110">
        <v>1</v>
      </c>
      <c r="S170" s="110"/>
    </row>
    <row r="171" spans="2:19" x14ac:dyDescent="0.2">
      <c r="B171" t="s">
        <v>509</v>
      </c>
      <c r="C171" t="s">
        <v>727</v>
      </c>
      <c r="D171" s="55" t="str">
        <f>VLOOKUP(VLOOKUP(Q171,'⚪设计'!$A$205:$G$224,3+UnitCfg!R171,FALSE),'⚪设计'!$B$85:$C$113,2,FALSE)</f>
        <v>ResUnit_Gui2</v>
      </c>
      <c r="E171" s="55">
        <f>VLOOKUP(D171,'⚪设计'!$C$85:$I$113,5,FALSE)*VLOOKUP(UnitCfg!Q171,无限模式!$A$3:$C$22,3,FALSE)</f>
        <v>3.9</v>
      </c>
      <c r="F171">
        <v>400</v>
      </c>
      <c r="G171" t="b">
        <v>1</v>
      </c>
      <c r="H171">
        <v>1</v>
      </c>
      <c r="I171">
        <v>1</v>
      </c>
      <c r="J171">
        <v>0.5</v>
      </c>
      <c r="K171" s="55">
        <f>VLOOKUP(D171,'⚪设计'!$C$85:$I$113,6,FALSE)</f>
        <v>1.5</v>
      </c>
      <c r="L171" t="s">
        <v>563</v>
      </c>
      <c r="M171" t="s">
        <v>468</v>
      </c>
      <c r="N171" t="s">
        <v>469</v>
      </c>
      <c r="O171" t="s">
        <v>470</v>
      </c>
      <c r="P171" t="str">
        <f t="shared" si="14"/>
        <v>Skill_Monster_Infinite_20_2_Gui,NormalAttack</v>
      </c>
      <c r="Q171" s="110">
        <v>20</v>
      </c>
      <c r="R171" s="110">
        <v>2</v>
      </c>
      <c r="S171" s="110"/>
    </row>
    <row r="172" spans="2:19" x14ac:dyDescent="0.2">
      <c r="B172" t="s">
        <v>510</v>
      </c>
      <c r="C172" t="s">
        <v>728</v>
      </c>
      <c r="D172" s="55" t="str">
        <f>VLOOKUP(VLOOKUP(Q172,'⚪设计'!$A$205:$G$224,3+UnitCfg!R172,FALSE),'⚪设计'!$B$85:$C$113,2,FALSE)</f>
        <v>ResUnit_ZhongZi2</v>
      </c>
      <c r="E172" s="55">
        <f>VLOOKUP(D172,'⚪设计'!$C$85:$I$113,5,FALSE)*VLOOKUP(UnitCfg!Q172,无限模式!$A$3:$C$22,3,FALSE)</f>
        <v>3.9</v>
      </c>
      <c r="F172">
        <v>400</v>
      </c>
      <c r="G172" t="b">
        <v>1</v>
      </c>
      <c r="H172">
        <v>1</v>
      </c>
      <c r="I172">
        <v>1</v>
      </c>
      <c r="J172">
        <v>0.5</v>
      </c>
      <c r="K172" s="55">
        <f>VLOOKUP(D172,'⚪设计'!$C$85:$I$113,6,FALSE)</f>
        <v>1.5</v>
      </c>
      <c r="L172" t="s">
        <v>569</v>
      </c>
      <c r="M172" t="s">
        <v>468</v>
      </c>
      <c r="N172" t="s">
        <v>469</v>
      </c>
      <c r="O172" t="s">
        <v>470</v>
      </c>
      <c r="P172" t="str">
        <f t="shared" si="14"/>
        <v>Skill_Monster_Infinite_20_3_ZhongZi,NormalAttack</v>
      </c>
      <c r="Q172" s="110">
        <v>20</v>
      </c>
      <c r="R172" s="110">
        <v>3</v>
      </c>
      <c r="S172" s="110"/>
    </row>
    <row r="173" spans="2:19" x14ac:dyDescent="0.2">
      <c r="B173" t="s">
        <v>511</v>
      </c>
      <c r="C173" t="s">
        <v>729</v>
      </c>
      <c r="D173" s="55" t="str">
        <f>VLOOKUP(VLOOKUP(Q173,'⚪设计'!$A$205:$G$224,3+UnitCfg!R173,FALSE),'⚪设计'!$B$85:$C$113,2,FALSE)</f>
        <v>ResUnit_Dan3</v>
      </c>
      <c r="E173" s="55">
        <f>VLOOKUP(D173,'⚪设计'!$C$85:$I$113,5,FALSE)*VLOOKUP(UnitCfg!Q173,无限模式!$A$3:$C$22,3,FALSE)</f>
        <v>2.4375</v>
      </c>
      <c r="F173">
        <v>400</v>
      </c>
      <c r="G173" t="b">
        <v>1</v>
      </c>
      <c r="H173">
        <v>1</v>
      </c>
      <c r="I173">
        <v>1</v>
      </c>
      <c r="J173">
        <v>0.5</v>
      </c>
      <c r="K173" s="55">
        <f>VLOOKUP(D173,'⚪设计'!$C$85:$I$113,6,FALSE)</f>
        <v>2.5</v>
      </c>
      <c r="L173" t="s">
        <v>570</v>
      </c>
      <c r="M173" t="s">
        <v>468</v>
      </c>
      <c r="N173" t="s">
        <v>469</v>
      </c>
      <c r="O173" t="s">
        <v>470</v>
      </c>
      <c r="P173" t="str">
        <f t="shared" si="14"/>
        <v>Skill_Monster_Infinite_20_4_Dan,NormalAttack</v>
      </c>
      <c r="Q173" s="110">
        <v>20</v>
      </c>
      <c r="R173" s="110">
        <v>4</v>
      </c>
      <c r="S173" s="110"/>
    </row>
    <row r="174" spans="2:19" s="125" customFormat="1" x14ac:dyDescent="0.2"/>
    <row r="175" spans="2:19" x14ac:dyDescent="0.2">
      <c r="B175" t="s">
        <v>3183</v>
      </c>
      <c r="C175" t="s">
        <v>3141</v>
      </c>
      <c r="D175" s="55" t="str">
        <f>VLOOKUP(VLOOKUP(Q175,'⚪设计'!$A$229:$G$248,3+UnitCfg!R175,FALSE),'⚪设计'!$B$85:$C$113,2,FALSE)</f>
        <v>ResUnit_Niao1</v>
      </c>
      <c r="E175" s="55">
        <f>VLOOKUP(D175,'⚪设计'!$C$85:$I$113,5,FALSE)*VLOOKUP(UnitCfg!Q175,无限模式!$A$3:$C$22,3,FALSE)</f>
        <v>2</v>
      </c>
      <c r="F175">
        <v>400</v>
      </c>
      <c r="G175" t="b">
        <v>1</v>
      </c>
      <c r="H175">
        <v>1</v>
      </c>
      <c r="I175">
        <v>1</v>
      </c>
      <c r="J175">
        <v>0.5</v>
      </c>
      <c r="K175" s="55">
        <f>VLOOKUP(D175,'⚪设计'!$C$85:$I$113,6,FALSE)</f>
        <v>1</v>
      </c>
      <c r="L175" t="s">
        <v>3184</v>
      </c>
      <c r="M175" t="s">
        <v>468</v>
      </c>
      <c r="N175" t="s">
        <v>469</v>
      </c>
      <c r="O175" t="s">
        <v>470</v>
      </c>
      <c r="P175" s="57" t="str">
        <f>IF(VLOOKUP(D175,'⚪设计'!$C$85:$I$113,7,FALSE)="","",VLOOKUP(D175,'⚪设计'!$C$85:$I$113,7,FALSE))</f>
        <v>Skill_Monster_Niao1,NormalAttack</v>
      </c>
      <c r="Q175" s="110">
        <v>1</v>
      </c>
      <c r="R175" s="110">
        <v>1</v>
      </c>
      <c r="S175" s="110"/>
    </row>
    <row r="176" spans="2:19" x14ac:dyDescent="0.2">
      <c r="B176" t="s">
        <v>3185</v>
      </c>
      <c r="C176" t="s">
        <v>3142</v>
      </c>
      <c r="D176" s="55" t="str">
        <f>VLOOKUP(VLOOKUP(Q176,'⚪设计'!$A$229:$G$248,3+UnitCfg!R176,FALSE),'⚪设计'!$B$85:$C$113,2,FALSE)</f>
        <v>ResUnit_MiFeng1</v>
      </c>
      <c r="E176" s="55">
        <f>VLOOKUP(D176,'⚪设计'!$C$85:$I$113,5,FALSE)*VLOOKUP(UnitCfg!Q176,无限模式!$A$3:$C$22,3,FALSE)</f>
        <v>2.1</v>
      </c>
      <c r="F176">
        <v>400</v>
      </c>
      <c r="G176" t="b">
        <v>1</v>
      </c>
      <c r="H176">
        <v>1</v>
      </c>
      <c r="I176">
        <v>1</v>
      </c>
      <c r="J176">
        <v>0.5</v>
      </c>
      <c r="K176" s="55">
        <f>VLOOKUP(D176,'⚪设计'!$C$85:$I$113,6,FALSE)</f>
        <v>1</v>
      </c>
      <c r="L176" t="s">
        <v>3186</v>
      </c>
      <c r="M176" t="s">
        <v>468</v>
      </c>
      <c r="N176" t="s">
        <v>469</v>
      </c>
      <c r="O176" t="s">
        <v>470</v>
      </c>
      <c r="P176" s="57" t="str">
        <f>IF(VLOOKUP(D176,'⚪设计'!$C$85:$I$113,7,FALSE)="","",VLOOKUP(D176,'⚪设计'!$C$85:$I$113,7,FALSE))</f>
        <v/>
      </c>
      <c r="Q176" s="110">
        <v>2</v>
      </c>
      <c r="R176" s="110">
        <v>1</v>
      </c>
      <c r="S176" s="110"/>
    </row>
    <row r="177" spans="2:19" x14ac:dyDescent="0.2">
      <c r="B177" t="s">
        <v>3187</v>
      </c>
      <c r="C177" t="s">
        <v>3143</v>
      </c>
      <c r="D177" s="55" t="str">
        <f>VLOOKUP(VLOOKUP(Q177,'⚪设计'!$A$229:$G$248,3+UnitCfg!R177,FALSE),'⚪设计'!$B$85:$C$113,2,FALSE)</f>
        <v>ResUnit_Niao1</v>
      </c>
      <c r="E177" s="55">
        <f>VLOOKUP(D177,'⚪设计'!$C$85:$I$113,5,FALSE)*VLOOKUP(UnitCfg!Q177,无限模式!$A$3:$C$22,3,FALSE)</f>
        <v>2.1</v>
      </c>
      <c r="F177">
        <v>400</v>
      </c>
      <c r="G177" t="b">
        <v>1</v>
      </c>
      <c r="H177">
        <v>1</v>
      </c>
      <c r="I177">
        <v>1</v>
      </c>
      <c r="J177">
        <v>0.5</v>
      </c>
      <c r="K177" s="55">
        <f>VLOOKUP(D177,'⚪设计'!$C$85:$I$113,6,FALSE)</f>
        <v>1</v>
      </c>
      <c r="L177" t="s">
        <v>3188</v>
      </c>
      <c r="M177" t="s">
        <v>468</v>
      </c>
      <c r="N177" t="s">
        <v>469</v>
      </c>
      <c r="O177" t="s">
        <v>470</v>
      </c>
      <c r="P177" s="57" t="str">
        <f>IF(VLOOKUP(D177,'⚪设计'!$C$85:$I$113,7,FALSE)="","",VLOOKUP(D177,'⚪设计'!$C$85:$I$113,7,FALSE))</f>
        <v>Skill_Monster_Niao1,NormalAttack</v>
      </c>
      <c r="Q177" s="110">
        <v>2</v>
      </c>
      <c r="R177" s="110">
        <v>2</v>
      </c>
      <c r="S177" s="110"/>
    </row>
    <row r="178" spans="2:19" x14ac:dyDescent="0.2">
      <c r="B178" t="s">
        <v>3189</v>
      </c>
      <c r="C178" t="s">
        <v>3144</v>
      </c>
      <c r="D178" s="55" t="str">
        <f>VLOOKUP(VLOOKUP(Q178,'⚪设计'!$A$229:$G$248,3+UnitCfg!R178,FALSE),'⚪设计'!$B$85:$C$113,2,FALSE)</f>
        <v>ResUnit_Niao1</v>
      </c>
      <c r="E178" s="55">
        <f>VLOOKUP(D178,'⚪设计'!$C$85:$I$113,5,FALSE)*VLOOKUP(UnitCfg!Q178,无限模式!$A$3:$C$22,3,FALSE)</f>
        <v>2.2000000000000002</v>
      </c>
      <c r="F178">
        <v>400</v>
      </c>
      <c r="G178" t="b">
        <v>1</v>
      </c>
      <c r="H178">
        <v>1</v>
      </c>
      <c r="I178">
        <v>1</v>
      </c>
      <c r="J178">
        <v>0.5</v>
      </c>
      <c r="K178" s="55">
        <f>VLOOKUP(D178,'⚪设计'!$C$85:$I$113,6,FALSE)</f>
        <v>1</v>
      </c>
      <c r="L178" t="s">
        <v>3190</v>
      </c>
      <c r="M178" t="s">
        <v>468</v>
      </c>
      <c r="N178" t="s">
        <v>469</v>
      </c>
      <c r="O178" t="s">
        <v>470</v>
      </c>
      <c r="P178" s="57" t="str">
        <f>IF(VLOOKUP(D178,'⚪设计'!$C$85:$I$113,7,FALSE)="","",VLOOKUP(D178,'⚪设计'!$C$85:$I$113,7,FALSE))</f>
        <v>Skill_Monster_Niao1,NormalAttack</v>
      </c>
      <c r="Q178" s="110">
        <v>3</v>
      </c>
      <c r="R178" s="110">
        <v>1</v>
      </c>
      <c r="S178" s="110"/>
    </row>
    <row r="179" spans="2:19" x14ac:dyDescent="0.2">
      <c r="B179" t="s">
        <v>3191</v>
      </c>
      <c r="C179" t="s">
        <v>3145</v>
      </c>
      <c r="D179" s="55" t="str">
        <f>VLOOKUP(VLOOKUP(Q179,'⚪设计'!$A$229:$G$248,3+UnitCfg!R179,FALSE),'⚪设计'!$B$85:$C$113,2,FALSE)</f>
        <v>ResUnit_BianFu1</v>
      </c>
      <c r="E179" s="55">
        <f>VLOOKUP(D179,'⚪设计'!$C$85:$I$113,5,FALSE)*VLOOKUP(UnitCfg!Q179,无限模式!$A$3:$C$22,3,FALSE)</f>
        <v>2.2000000000000002</v>
      </c>
      <c r="F179">
        <v>400</v>
      </c>
      <c r="G179" t="b">
        <v>1</v>
      </c>
      <c r="H179">
        <v>1</v>
      </c>
      <c r="I179">
        <v>1</v>
      </c>
      <c r="J179">
        <v>0.5</v>
      </c>
      <c r="K179" s="55">
        <f>VLOOKUP(D179,'⚪设计'!$C$85:$I$113,6,FALSE)</f>
        <v>1</v>
      </c>
      <c r="L179" t="s">
        <v>3192</v>
      </c>
      <c r="M179" t="s">
        <v>468</v>
      </c>
      <c r="N179" t="s">
        <v>469</v>
      </c>
      <c r="O179" t="s">
        <v>470</v>
      </c>
      <c r="P179" s="57" t="str">
        <f>IF(VLOOKUP(D179,'⚪设计'!$C$85:$I$113,7,FALSE)="","",VLOOKUP(D179,'⚪设计'!$C$85:$I$113,7,FALSE))</f>
        <v/>
      </c>
      <c r="Q179" s="110">
        <v>3</v>
      </c>
      <c r="R179" s="110">
        <v>2</v>
      </c>
      <c r="S179" s="110"/>
    </row>
    <row r="180" spans="2:19" x14ac:dyDescent="0.2">
      <c r="B180" t="s">
        <v>3193</v>
      </c>
      <c r="C180" t="s">
        <v>3146</v>
      </c>
      <c r="D180" s="55" t="str">
        <f>VLOOKUP(VLOOKUP(Q180,'⚪设计'!$A$229:$G$248,3+UnitCfg!R180,FALSE),'⚪设计'!$B$85:$C$113,2,FALSE)</f>
        <v>ResUnit_MiFeng3</v>
      </c>
      <c r="E180" s="55">
        <f>VLOOKUP(D180,'⚪设计'!$C$85:$I$113,5,FALSE)*VLOOKUP(UnitCfg!Q180,无限模式!$A$3:$C$22,3,FALSE)</f>
        <v>1.4375</v>
      </c>
      <c r="F180">
        <v>400</v>
      </c>
      <c r="G180" t="b">
        <v>1</v>
      </c>
      <c r="H180">
        <v>1</v>
      </c>
      <c r="I180">
        <v>1</v>
      </c>
      <c r="J180">
        <v>0.5</v>
      </c>
      <c r="K180" s="55">
        <f>VLOOKUP(D180,'⚪设计'!$C$85:$I$113,6,FALSE)</f>
        <v>2.5</v>
      </c>
      <c r="L180" t="s">
        <v>3194</v>
      </c>
      <c r="M180" t="s">
        <v>468</v>
      </c>
      <c r="N180" t="s">
        <v>469</v>
      </c>
      <c r="O180" t="s">
        <v>470</v>
      </c>
      <c r="P180" s="57" t="str">
        <f>IF(VLOOKUP(D180,'⚪设计'!$C$85:$I$113,7,FALSE)="","",VLOOKUP(D180,'⚪设计'!$C$85:$I$113,7,FALSE))</f>
        <v/>
      </c>
      <c r="Q180" s="110">
        <v>4</v>
      </c>
      <c r="R180" s="110">
        <v>1</v>
      </c>
      <c r="S180" s="110"/>
    </row>
    <row r="181" spans="2:19" x14ac:dyDescent="0.2">
      <c r="B181" t="s">
        <v>3195</v>
      </c>
      <c r="C181" t="s">
        <v>3147</v>
      </c>
      <c r="D181" s="55" t="str">
        <f>VLOOKUP(VLOOKUP(Q181,'⚪设计'!$A$229:$G$248,3+UnitCfg!R181,FALSE),'⚪设计'!$B$85:$C$113,2,FALSE)</f>
        <v>ResUnit_Niao1</v>
      </c>
      <c r="E181" s="55">
        <f>VLOOKUP(D181,'⚪设计'!$C$85:$I$113,5,FALSE)*VLOOKUP(UnitCfg!Q181,无限模式!$A$3:$C$22,3,FALSE)</f>
        <v>2.2999999999999998</v>
      </c>
      <c r="F181">
        <v>400</v>
      </c>
      <c r="G181" t="b">
        <v>1</v>
      </c>
      <c r="H181">
        <v>1</v>
      </c>
      <c r="I181">
        <v>1</v>
      </c>
      <c r="J181">
        <v>0.5</v>
      </c>
      <c r="K181" s="55">
        <f>VLOOKUP(D181,'⚪设计'!$C$85:$I$113,6,FALSE)</f>
        <v>1</v>
      </c>
      <c r="L181" t="s">
        <v>3196</v>
      </c>
      <c r="M181" t="s">
        <v>468</v>
      </c>
      <c r="N181" t="s">
        <v>469</v>
      </c>
      <c r="O181" t="s">
        <v>470</v>
      </c>
      <c r="P181" s="57" t="str">
        <f>IF(VLOOKUP(D181,'⚪设计'!$C$85:$I$113,7,FALSE)="","",VLOOKUP(D181,'⚪设计'!$C$85:$I$113,7,FALSE))</f>
        <v>Skill_Monster_Niao1,NormalAttack</v>
      </c>
      <c r="Q181" s="110">
        <v>4</v>
      </c>
      <c r="R181" s="110">
        <v>2</v>
      </c>
      <c r="S181" s="110"/>
    </row>
    <row r="182" spans="2:19" x14ac:dyDescent="0.2">
      <c r="B182" t="s">
        <v>3197</v>
      </c>
      <c r="C182" t="s">
        <v>3148</v>
      </c>
      <c r="D182" s="55" t="str">
        <f>VLOOKUP(VLOOKUP(Q182,'⚪设计'!$A$229:$G$248,3+UnitCfg!R182,FALSE),'⚪设计'!$B$85:$C$113,2,FALSE)</f>
        <v>ResUnit_Niao1</v>
      </c>
      <c r="E182" s="55">
        <f>VLOOKUP(D182,'⚪设计'!$C$85:$I$113,5,FALSE)*VLOOKUP(UnitCfg!Q182,无限模式!$A$3:$C$22,3,FALSE)</f>
        <v>2.4</v>
      </c>
      <c r="F182">
        <v>400</v>
      </c>
      <c r="G182" t="b">
        <v>1</v>
      </c>
      <c r="H182">
        <v>1</v>
      </c>
      <c r="I182">
        <v>1</v>
      </c>
      <c r="J182">
        <v>0.5</v>
      </c>
      <c r="K182" s="55">
        <f>VLOOKUP(D182,'⚪设计'!$C$85:$I$113,6,FALSE)</f>
        <v>1</v>
      </c>
      <c r="L182" t="s">
        <v>3198</v>
      </c>
      <c r="M182" t="s">
        <v>468</v>
      </c>
      <c r="N182" t="s">
        <v>469</v>
      </c>
      <c r="O182" t="s">
        <v>470</v>
      </c>
      <c r="P182" s="57" t="str">
        <f>IF(VLOOKUP(D182,'⚪设计'!$C$85:$I$113,7,FALSE)="","",VLOOKUP(D182,'⚪设计'!$C$85:$I$113,7,FALSE))</f>
        <v>Skill_Monster_Niao1,NormalAttack</v>
      </c>
      <c r="Q182" s="110">
        <v>5</v>
      </c>
      <c r="R182" s="110">
        <v>1</v>
      </c>
      <c r="S182" s="110"/>
    </row>
    <row r="183" spans="2:19" x14ac:dyDescent="0.2">
      <c r="B183" t="s">
        <v>3199</v>
      </c>
      <c r="C183" t="s">
        <v>3149</v>
      </c>
      <c r="D183" s="55" t="str">
        <f>VLOOKUP(VLOOKUP(Q183,'⚪设计'!$A$229:$G$248,3+UnitCfg!R183,FALSE),'⚪设计'!$B$85:$C$113,2,FALSE)</f>
        <v>ResUnit_ZhiZhu1</v>
      </c>
      <c r="E183" s="55">
        <f>VLOOKUP(D183,'⚪设计'!$C$85:$I$113,5,FALSE)*VLOOKUP(UnitCfg!Q183,无限模式!$A$3:$C$22,3,FALSE)</f>
        <v>3.5999999999999996</v>
      </c>
      <c r="F183">
        <v>400</v>
      </c>
      <c r="G183" t="b">
        <v>1</v>
      </c>
      <c r="H183">
        <v>1</v>
      </c>
      <c r="I183">
        <v>1</v>
      </c>
      <c r="J183">
        <v>0.5</v>
      </c>
      <c r="K183" s="55">
        <f>VLOOKUP(D183,'⚪设计'!$C$85:$I$113,6,FALSE)</f>
        <v>1</v>
      </c>
      <c r="L183" t="s">
        <v>3200</v>
      </c>
      <c r="M183" t="s">
        <v>468</v>
      </c>
      <c r="N183" t="s">
        <v>469</v>
      </c>
      <c r="O183" t="s">
        <v>470</v>
      </c>
      <c r="P183" s="57" t="str">
        <f>IF(VLOOKUP(D183,'⚪设计'!$C$85:$I$113,7,FALSE)="","",VLOOKUP(D183,'⚪设计'!$C$85:$I$113,7,FALSE))</f>
        <v/>
      </c>
      <c r="Q183" s="110">
        <v>5</v>
      </c>
      <c r="R183" s="110">
        <v>2</v>
      </c>
      <c r="S183" s="110"/>
    </row>
    <row r="184" spans="2:19" x14ac:dyDescent="0.2">
      <c r="B184" t="s">
        <v>3201</v>
      </c>
      <c r="C184" t="s">
        <v>3150</v>
      </c>
      <c r="D184" s="55" t="str">
        <f>VLOOKUP(VLOOKUP(Q184,'⚪设计'!$A$229:$G$248,3+UnitCfg!R184,FALSE),'⚪设计'!$B$85:$C$113,2,FALSE)</f>
        <v>ResUnit_MiFeng2</v>
      </c>
      <c r="E184" s="55">
        <f>VLOOKUP(D184,'⚪设计'!$C$85:$I$113,5,FALSE)*VLOOKUP(UnitCfg!Q184,无限模式!$A$3:$C$22,3,FALSE)</f>
        <v>2.5</v>
      </c>
      <c r="F184">
        <v>400</v>
      </c>
      <c r="G184" t="b">
        <v>1</v>
      </c>
      <c r="H184">
        <v>1</v>
      </c>
      <c r="I184">
        <v>1</v>
      </c>
      <c r="J184">
        <v>0.5</v>
      </c>
      <c r="K184" s="55">
        <f>VLOOKUP(D184,'⚪设计'!$C$85:$I$113,6,FALSE)</f>
        <v>1.5</v>
      </c>
      <c r="L184" t="s">
        <v>3202</v>
      </c>
      <c r="M184" t="s">
        <v>468</v>
      </c>
      <c r="N184" t="s">
        <v>469</v>
      </c>
      <c r="O184" t="s">
        <v>470</v>
      </c>
      <c r="P184" s="57" t="str">
        <f>IF(VLOOKUP(D184,'⚪设计'!$C$85:$I$113,7,FALSE)="","",VLOOKUP(D184,'⚪设计'!$C$85:$I$113,7,FALSE))</f>
        <v/>
      </c>
      <c r="Q184" s="110">
        <v>6</v>
      </c>
      <c r="R184" s="110">
        <v>1</v>
      </c>
      <c r="S184" s="110"/>
    </row>
    <row r="185" spans="2:19" x14ac:dyDescent="0.2">
      <c r="B185" t="s">
        <v>3203</v>
      </c>
      <c r="C185" t="s">
        <v>3151</v>
      </c>
      <c r="D185" s="55" t="str">
        <f>VLOOKUP(VLOOKUP(Q185,'⚪设计'!$A$229:$G$248,3+UnitCfg!R185,FALSE),'⚪设计'!$B$85:$C$113,2,FALSE)</f>
        <v>ResUnit_Niao1</v>
      </c>
      <c r="E185" s="55">
        <f>VLOOKUP(D185,'⚪设计'!$C$85:$I$113,5,FALSE)*VLOOKUP(UnitCfg!Q185,无限模式!$A$3:$C$22,3,FALSE)</f>
        <v>2.5</v>
      </c>
      <c r="F185">
        <v>400</v>
      </c>
      <c r="G185" t="b">
        <v>1</v>
      </c>
      <c r="H185">
        <v>1</v>
      </c>
      <c r="I185">
        <v>1</v>
      </c>
      <c r="J185">
        <v>0.5</v>
      </c>
      <c r="K185" s="55">
        <f>VLOOKUP(D185,'⚪设计'!$C$85:$I$113,6,FALSE)</f>
        <v>1</v>
      </c>
      <c r="L185" t="s">
        <v>3204</v>
      </c>
      <c r="M185" t="s">
        <v>468</v>
      </c>
      <c r="N185" t="s">
        <v>469</v>
      </c>
      <c r="O185" t="s">
        <v>470</v>
      </c>
      <c r="P185" s="57" t="str">
        <f>IF(VLOOKUP(D185,'⚪设计'!$C$85:$I$113,7,FALSE)="","",VLOOKUP(D185,'⚪设计'!$C$85:$I$113,7,FALSE))</f>
        <v>Skill_Monster_Niao1,NormalAttack</v>
      </c>
      <c r="Q185" s="110">
        <v>6</v>
      </c>
      <c r="R185" s="110">
        <v>2</v>
      </c>
      <c r="S185" s="110"/>
    </row>
    <row r="186" spans="2:19" x14ac:dyDescent="0.2">
      <c r="B186" t="s">
        <v>3205</v>
      </c>
      <c r="C186" t="s">
        <v>3152</v>
      </c>
      <c r="D186" s="55" t="str">
        <f>VLOOKUP(VLOOKUP(Q186,'⚪设计'!$A$229:$G$248,3+UnitCfg!R186,FALSE),'⚪设计'!$B$85:$C$113,2,FALSE)</f>
        <v>ResUnit_Niao1</v>
      </c>
      <c r="E186" s="55">
        <f>VLOOKUP(D186,'⚪设计'!$C$85:$I$113,5,FALSE)*VLOOKUP(UnitCfg!Q186,无限模式!$A$3:$C$22,3,FALSE)</f>
        <v>2.6</v>
      </c>
      <c r="F186">
        <v>400</v>
      </c>
      <c r="G186" t="b">
        <v>1</v>
      </c>
      <c r="H186">
        <v>1</v>
      </c>
      <c r="I186">
        <v>1</v>
      </c>
      <c r="J186">
        <v>0.5</v>
      </c>
      <c r="K186" s="55">
        <f>VLOOKUP(D186,'⚪设计'!$C$85:$I$113,6,FALSE)</f>
        <v>1</v>
      </c>
      <c r="L186" t="s">
        <v>3206</v>
      </c>
      <c r="M186" t="s">
        <v>468</v>
      </c>
      <c r="N186" t="s">
        <v>469</v>
      </c>
      <c r="O186" t="s">
        <v>470</v>
      </c>
      <c r="P186" s="57" t="str">
        <f>IF(VLOOKUP(D186,'⚪设计'!$C$85:$I$113,7,FALSE)="","",VLOOKUP(D186,'⚪设计'!$C$85:$I$113,7,FALSE))</f>
        <v>Skill_Monster_Niao1,NormalAttack</v>
      </c>
      <c r="Q186" s="110">
        <v>7</v>
      </c>
      <c r="R186" s="110">
        <v>1</v>
      </c>
      <c r="S186" s="110"/>
    </row>
    <row r="187" spans="2:19" x14ac:dyDescent="0.2">
      <c r="B187" t="s">
        <v>3207</v>
      </c>
      <c r="C187" t="s">
        <v>3153</v>
      </c>
      <c r="D187" s="55" t="str">
        <f>VLOOKUP(VLOOKUP(Q187,'⚪设计'!$A$229:$G$248,3+UnitCfg!R187,FALSE),'⚪设计'!$B$85:$C$113,2,FALSE)</f>
        <v>ResUnit_ZhiZhu1</v>
      </c>
      <c r="E187" s="55">
        <f>VLOOKUP(D187,'⚪设计'!$C$85:$I$113,5,FALSE)*VLOOKUP(UnitCfg!Q187,无限模式!$A$3:$C$22,3,FALSE)</f>
        <v>3.9000000000000004</v>
      </c>
      <c r="F187">
        <v>400</v>
      </c>
      <c r="G187" t="b">
        <v>1</v>
      </c>
      <c r="H187">
        <v>1</v>
      </c>
      <c r="I187">
        <v>1</v>
      </c>
      <c r="J187">
        <v>0.5</v>
      </c>
      <c r="K187" s="55">
        <f>VLOOKUP(D187,'⚪设计'!$C$85:$I$113,6,FALSE)</f>
        <v>1</v>
      </c>
      <c r="L187" t="s">
        <v>3208</v>
      </c>
      <c r="M187" t="s">
        <v>468</v>
      </c>
      <c r="N187" t="s">
        <v>469</v>
      </c>
      <c r="O187" t="s">
        <v>470</v>
      </c>
      <c r="P187" s="57" t="str">
        <f>IF(VLOOKUP(D187,'⚪设计'!$C$85:$I$113,7,FALSE)="","",VLOOKUP(D187,'⚪设计'!$C$85:$I$113,7,FALSE))</f>
        <v/>
      </c>
      <c r="Q187" s="110">
        <v>7</v>
      </c>
      <c r="R187" s="110">
        <v>2</v>
      </c>
      <c r="S187" s="110"/>
    </row>
    <row r="188" spans="2:19" x14ac:dyDescent="0.2">
      <c r="B188" t="s">
        <v>3209</v>
      </c>
      <c r="C188" t="s">
        <v>3154</v>
      </c>
      <c r="D188" s="55" t="str">
        <f>VLOOKUP(VLOOKUP(Q188,'⚪设计'!$A$229:$G$248,3+UnitCfg!R188,FALSE),'⚪设计'!$B$85:$C$113,2,FALSE)</f>
        <v>ResUnit_Niao1</v>
      </c>
      <c r="E188" s="55">
        <f>VLOOKUP(D188,'⚪设计'!$C$85:$I$113,5,FALSE)*VLOOKUP(UnitCfg!Q188,无限模式!$A$3:$C$22,3,FALSE)</f>
        <v>2.7</v>
      </c>
      <c r="F188">
        <v>400</v>
      </c>
      <c r="G188" t="b">
        <v>1</v>
      </c>
      <c r="H188">
        <v>1</v>
      </c>
      <c r="I188">
        <v>1</v>
      </c>
      <c r="J188">
        <v>0.5</v>
      </c>
      <c r="K188" s="55">
        <f>VLOOKUP(D188,'⚪设计'!$C$85:$I$113,6,FALSE)</f>
        <v>1</v>
      </c>
      <c r="L188" t="s">
        <v>3210</v>
      </c>
      <c r="M188" t="s">
        <v>468</v>
      </c>
      <c r="N188" t="s">
        <v>469</v>
      </c>
      <c r="O188" t="s">
        <v>470</v>
      </c>
      <c r="P188" s="57" t="str">
        <f>IF(VLOOKUP(D188,'⚪设计'!$C$85:$I$113,7,FALSE)="","",VLOOKUP(D188,'⚪设计'!$C$85:$I$113,7,FALSE))</f>
        <v>Skill_Monster_Niao1,NormalAttack</v>
      </c>
      <c r="Q188" s="110">
        <v>8</v>
      </c>
      <c r="R188" s="110">
        <v>1</v>
      </c>
      <c r="S188" s="110"/>
    </row>
    <row r="189" spans="2:19" x14ac:dyDescent="0.2">
      <c r="B189" t="s">
        <v>3211</v>
      </c>
      <c r="C189" t="s">
        <v>3155</v>
      </c>
      <c r="D189" s="55" t="str">
        <f>VLOOKUP(VLOOKUP(Q189,'⚪设计'!$A$229:$G$248,3+UnitCfg!R189,FALSE),'⚪设计'!$B$85:$C$113,2,FALSE)</f>
        <v>ResUnit_ZhiZhu3</v>
      </c>
      <c r="E189" s="55">
        <f>VLOOKUP(D189,'⚪设计'!$C$85:$I$113,5,FALSE)*VLOOKUP(UnitCfg!Q189,无限模式!$A$3:$C$22,3,FALSE)</f>
        <v>1.6875</v>
      </c>
      <c r="F189">
        <v>400</v>
      </c>
      <c r="G189" t="b">
        <v>1</v>
      </c>
      <c r="H189">
        <v>1</v>
      </c>
      <c r="I189">
        <v>1</v>
      </c>
      <c r="J189">
        <v>0.5</v>
      </c>
      <c r="K189" s="55">
        <f>VLOOKUP(D189,'⚪设计'!$C$85:$I$113,6,FALSE)</f>
        <v>2.5</v>
      </c>
      <c r="L189" t="s">
        <v>3212</v>
      </c>
      <c r="M189" t="s">
        <v>468</v>
      </c>
      <c r="N189" t="s">
        <v>469</v>
      </c>
      <c r="O189" t="s">
        <v>470</v>
      </c>
      <c r="P189" s="57" t="str">
        <f>IF(VLOOKUP(D189,'⚪设计'!$C$85:$I$113,7,FALSE)="","",VLOOKUP(D189,'⚪设计'!$C$85:$I$113,7,FALSE))</f>
        <v/>
      </c>
      <c r="Q189" s="110">
        <v>8</v>
      </c>
      <c r="R189" s="110">
        <v>2</v>
      </c>
      <c r="S189" s="110"/>
    </row>
    <row r="190" spans="2:19" x14ac:dyDescent="0.2">
      <c r="B190" t="s">
        <v>3213</v>
      </c>
      <c r="C190" t="s">
        <v>3156</v>
      </c>
      <c r="D190" s="55" t="str">
        <f>VLOOKUP(VLOOKUP(Q190,'⚪设计'!$A$229:$G$248,3+UnitCfg!R190,FALSE),'⚪设计'!$B$85:$C$113,2,FALSE)</f>
        <v>ResUnit_Niao2</v>
      </c>
      <c r="E190" s="55">
        <f>VLOOKUP(D190,'⚪设计'!$C$85:$I$113,5,FALSE)*VLOOKUP(UnitCfg!Q190,无限模式!$A$3:$C$22,3,FALSE)</f>
        <v>2.8</v>
      </c>
      <c r="F190">
        <v>400</v>
      </c>
      <c r="G190" t="b">
        <v>1</v>
      </c>
      <c r="H190">
        <v>1</v>
      </c>
      <c r="I190">
        <v>1</v>
      </c>
      <c r="J190">
        <v>0.5</v>
      </c>
      <c r="K190" s="55">
        <f>VLOOKUP(D190,'⚪设计'!$C$85:$I$113,6,FALSE)</f>
        <v>1.5</v>
      </c>
      <c r="L190" t="s">
        <v>3214</v>
      </c>
      <c r="M190" t="s">
        <v>468</v>
      </c>
      <c r="N190" t="s">
        <v>469</v>
      </c>
      <c r="O190" t="s">
        <v>470</v>
      </c>
      <c r="P190" s="57" t="str">
        <f>IF(VLOOKUP(D190,'⚪设计'!$C$85:$I$113,7,FALSE)="","",VLOOKUP(D190,'⚪设计'!$C$85:$I$113,7,FALSE))</f>
        <v>Skill_Monster_Niao2,NormalAttack</v>
      </c>
      <c r="Q190" s="110">
        <v>9</v>
      </c>
      <c r="R190" s="110">
        <v>1</v>
      </c>
      <c r="S190" s="110"/>
    </row>
    <row r="191" spans="2:19" x14ac:dyDescent="0.2">
      <c r="B191" t="s">
        <v>3215</v>
      </c>
      <c r="C191" t="s">
        <v>3157</v>
      </c>
      <c r="D191" s="55" t="str">
        <f>VLOOKUP(VLOOKUP(Q191,'⚪设计'!$A$229:$G$248,3+UnitCfg!R191,FALSE),'⚪设计'!$B$85:$C$113,2,FALSE)</f>
        <v>ResUnit_ZhongZi1</v>
      </c>
      <c r="E191" s="55">
        <f>VLOOKUP(D191,'⚪设计'!$C$85:$I$113,5,FALSE)*VLOOKUP(UnitCfg!Q191,无限模式!$A$3:$C$22,3,FALSE)</f>
        <v>2.8</v>
      </c>
      <c r="F191">
        <v>400</v>
      </c>
      <c r="G191" t="b">
        <v>1</v>
      </c>
      <c r="H191">
        <v>1</v>
      </c>
      <c r="I191">
        <v>1</v>
      </c>
      <c r="J191">
        <v>0.5</v>
      </c>
      <c r="K191" s="55">
        <f>VLOOKUP(D191,'⚪设计'!$C$85:$I$113,6,FALSE)</f>
        <v>1</v>
      </c>
      <c r="L191" t="s">
        <v>3216</v>
      </c>
      <c r="M191" t="s">
        <v>468</v>
      </c>
      <c r="N191" t="s">
        <v>469</v>
      </c>
      <c r="O191" t="s">
        <v>470</v>
      </c>
      <c r="P191" s="57" t="str">
        <f>IF(VLOOKUP(D191,'⚪设计'!$C$85:$I$113,7,FALSE)="","",VLOOKUP(D191,'⚪设计'!$C$85:$I$113,7,FALSE))</f>
        <v>Skill_Monster_Heal,NormalAttack</v>
      </c>
      <c r="Q191" s="110">
        <v>9</v>
      </c>
      <c r="R191" s="110">
        <v>2</v>
      </c>
      <c r="S191" s="110"/>
    </row>
    <row r="192" spans="2:19" x14ac:dyDescent="0.2">
      <c r="B192" t="s">
        <v>3217</v>
      </c>
      <c r="C192" t="s">
        <v>3158</v>
      </c>
      <c r="D192" s="55" t="str">
        <f>VLOOKUP(VLOOKUP(Q192,'⚪设计'!$A$229:$G$248,3+UnitCfg!R192,FALSE),'⚪设计'!$B$85:$C$113,2,FALSE)</f>
        <v>ResUnit_Niao2</v>
      </c>
      <c r="E192" s="55">
        <f>VLOOKUP(D192,'⚪设计'!$C$85:$I$113,5,FALSE)*VLOOKUP(UnitCfg!Q192,无限模式!$A$3:$C$22,3,FALSE)</f>
        <v>2.9</v>
      </c>
      <c r="F192">
        <v>400</v>
      </c>
      <c r="G192" t="b">
        <v>1</v>
      </c>
      <c r="H192">
        <v>1</v>
      </c>
      <c r="I192">
        <v>1</v>
      </c>
      <c r="J192">
        <v>0.5</v>
      </c>
      <c r="K192" s="55">
        <f>VLOOKUP(D192,'⚪设计'!$C$85:$I$113,6,FALSE)</f>
        <v>1.5</v>
      </c>
      <c r="L192" t="s">
        <v>3218</v>
      </c>
      <c r="M192" t="s">
        <v>468</v>
      </c>
      <c r="N192" t="s">
        <v>469</v>
      </c>
      <c r="O192" t="s">
        <v>470</v>
      </c>
      <c r="P192" s="57" t="str">
        <f>IF(VLOOKUP(D192,'⚪设计'!$C$85:$I$113,7,FALSE)="","",VLOOKUP(D192,'⚪设计'!$C$85:$I$113,7,FALSE))</f>
        <v>Skill_Monster_Niao2,NormalAttack</v>
      </c>
      <c r="Q192" s="110">
        <v>10</v>
      </c>
      <c r="R192" s="110">
        <v>1</v>
      </c>
      <c r="S192" s="110"/>
    </row>
    <row r="193" spans="2:19" x14ac:dyDescent="0.2">
      <c r="B193" t="s">
        <v>3219</v>
      </c>
      <c r="C193" t="s">
        <v>3159</v>
      </c>
      <c r="D193" s="55" t="str">
        <f>VLOOKUP(VLOOKUP(Q193,'⚪设计'!$A$229:$G$248,3+UnitCfg!R193,FALSE),'⚪设计'!$B$85:$C$113,2,FALSE)</f>
        <v>ResUnit_ZhongZi1</v>
      </c>
      <c r="E193" s="55">
        <f>VLOOKUP(D193,'⚪设计'!$C$85:$I$113,5,FALSE)*VLOOKUP(UnitCfg!Q193,无限模式!$A$3:$C$22,3,FALSE)</f>
        <v>2.9</v>
      </c>
      <c r="F193">
        <v>400</v>
      </c>
      <c r="G193" t="b">
        <v>1</v>
      </c>
      <c r="H193">
        <v>1</v>
      </c>
      <c r="I193">
        <v>1</v>
      </c>
      <c r="J193">
        <v>0.5</v>
      </c>
      <c r="K193" s="55">
        <f>VLOOKUP(D193,'⚪设计'!$C$85:$I$113,6,FALSE)</f>
        <v>1</v>
      </c>
      <c r="L193" t="s">
        <v>3220</v>
      </c>
      <c r="M193" t="s">
        <v>468</v>
      </c>
      <c r="N193" t="s">
        <v>469</v>
      </c>
      <c r="O193" t="s">
        <v>470</v>
      </c>
      <c r="P193" s="57" t="str">
        <f>IF(VLOOKUP(D193,'⚪设计'!$C$85:$I$113,7,FALSE)="","",VLOOKUP(D193,'⚪设计'!$C$85:$I$113,7,FALSE))</f>
        <v>Skill_Monster_Heal,NormalAttack</v>
      </c>
      <c r="Q193" s="110">
        <v>10</v>
      </c>
      <c r="R193" s="110">
        <v>2</v>
      </c>
      <c r="S193" s="110"/>
    </row>
    <row r="194" spans="2:19" x14ac:dyDescent="0.2">
      <c r="B194" t="s">
        <v>3221</v>
      </c>
      <c r="C194" t="s">
        <v>3160</v>
      </c>
      <c r="D194" s="55" t="str">
        <f>VLOOKUP(VLOOKUP(Q194,'⚪设计'!$A$229:$G$248,3+UnitCfg!R194,FALSE),'⚪设计'!$B$85:$C$113,2,FALSE)</f>
        <v>ResUnit_Niao2</v>
      </c>
      <c r="E194" s="55">
        <f>VLOOKUP(D194,'⚪设计'!$C$85:$I$113,5,FALSE)*VLOOKUP(UnitCfg!Q194,无限模式!$A$3:$C$22,3,FALSE)</f>
        <v>3</v>
      </c>
      <c r="F194">
        <v>400</v>
      </c>
      <c r="G194" t="b">
        <v>1</v>
      </c>
      <c r="H194">
        <v>1</v>
      </c>
      <c r="I194">
        <v>1</v>
      </c>
      <c r="J194">
        <v>0.5</v>
      </c>
      <c r="K194" s="55">
        <f>VLOOKUP(D194,'⚪设计'!$C$85:$I$113,6,FALSE)</f>
        <v>1.5</v>
      </c>
      <c r="L194" t="s">
        <v>3222</v>
      </c>
      <c r="M194" t="s">
        <v>468</v>
      </c>
      <c r="N194" t="s">
        <v>469</v>
      </c>
      <c r="O194" t="s">
        <v>470</v>
      </c>
      <c r="P194" s="57" t="str">
        <f>IF(VLOOKUP(D194,'⚪设计'!$C$85:$I$113,7,FALSE)="","",VLOOKUP(D194,'⚪设计'!$C$85:$I$113,7,FALSE))</f>
        <v>Skill_Monster_Niao2,NormalAttack</v>
      </c>
      <c r="Q194" s="110">
        <v>11</v>
      </c>
      <c r="R194" s="110">
        <v>1</v>
      </c>
      <c r="S194" s="110"/>
    </row>
    <row r="195" spans="2:19" x14ac:dyDescent="0.2">
      <c r="B195" t="s">
        <v>3223</v>
      </c>
      <c r="C195" t="s">
        <v>3161</v>
      </c>
      <c r="D195" s="55" t="str">
        <f>VLOOKUP(VLOOKUP(Q195,'⚪设计'!$A$229:$G$248,3+UnitCfg!R195,FALSE),'⚪设计'!$B$85:$C$113,2,FALSE)</f>
        <v>ResUnit_ZhiZhu2</v>
      </c>
      <c r="E195" s="55">
        <f>VLOOKUP(D195,'⚪设计'!$C$85:$I$113,5,FALSE)*VLOOKUP(UnitCfg!Q195,无限模式!$A$3:$C$22,3,FALSE)</f>
        <v>4.5</v>
      </c>
      <c r="F195">
        <v>400</v>
      </c>
      <c r="G195" t="b">
        <v>1</v>
      </c>
      <c r="H195">
        <v>1</v>
      </c>
      <c r="I195">
        <v>1</v>
      </c>
      <c r="J195">
        <v>0.5</v>
      </c>
      <c r="K195" s="55">
        <f>VLOOKUP(D195,'⚪设计'!$C$85:$I$113,6,FALSE)</f>
        <v>1.5</v>
      </c>
      <c r="L195" t="s">
        <v>3224</v>
      </c>
      <c r="M195" t="s">
        <v>468</v>
      </c>
      <c r="N195" t="s">
        <v>469</v>
      </c>
      <c r="O195" t="s">
        <v>470</v>
      </c>
      <c r="P195" s="57" t="str">
        <f>IF(VLOOKUP(D195,'⚪设计'!$C$85:$I$113,7,FALSE)="","",VLOOKUP(D195,'⚪设计'!$C$85:$I$113,7,FALSE))</f>
        <v/>
      </c>
      <c r="Q195" s="110">
        <v>11</v>
      </c>
      <c r="R195" s="110">
        <v>2</v>
      </c>
      <c r="S195" s="110"/>
    </row>
    <row r="196" spans="2:19" x14ac:dyDescent="0.2">
      <c r="B196" t="s">
        <v>3225</v>
      </c>
      <c r="C196" t="s">
        <v>3162</v>
      </c>
      <c r="D196" s="55" t="str">
        <f>VLOOKUP(VLOOKUP(Q196,'⚪设计'!$A$229:$G$248,3+UnitCfg!R196,FALSE),'⚪设计'!$B$85:$C$113,2,FALSE)</f>
        <v>ResUnit_Niao2</v>
      </c>
      <c r="E196" s="55">
        <f>VLOOKUP(D196,'⚪设计'!$C$85:$I$113,5,FALSE)*VLOOKUP(UnitCfg!Q196,无限模式!$A$3:$C$22,3,FALSE)</f>
        <v>3.1</v>
      </c>
      <c r="F196">
        <v>400</v>
      </c>
      <c r="G196" t="b">
        <v>1</v>
      </c>
      <c r="H196">
        <v>1</v>
      </c>
      <c r="I196">
        <v>1</v>
      </c>
      <c r="J196">
        <v>0.5</v>
      </c>
      <c r="K196" s="55">
        <f>VLOOKUP(D196,'⚪设计'!$C$85:$I$113,6,FALSE)</f>
        <v>1.5</v>
      </c>
      <c r="L196" t="s">
        <v>3226</v>
      </c>
      <c r="M196" t="s">
        <v>468</v>
      </c>
      <c r="N196" t="s">
        <v>469</v>
      </c>
      <c r="O196" t="s">
        <v>470</v>
      </c>
      <c r="P196" s="57" t="str">
        <f>IF(VLOOKUP(D196,'⚪设计'!$C$85:$I$113,7,FALSE)="","",VLOOKUP(D196,'⚪设计'!$C$85:$I$113,7,FALSE))</f>
        <v>Skill_Monster_Niao2,NormalAttack</v>
      </c>
      <c r="Q196" s="110">
        <v>12</v>
      </c>
      <c r="R196" s="110">
        <v>1</v>
      </c>
      <c r="S196" s="110"/>
    </row>
    <row r="197" spans="2:19" x14ac:dyDescent="0.2">
      <c r="B197" t="s">
        <v>3227</v>
      </c>
      <c r="C197" t="s">
        <v>3163</v>
      </c>
      <c r="D197" s="55" t="str">
        <f>VLOOKUP(VLOOKUP(Q197,'⚪设计'!$A$229:$G$248,3+UnitCfg!R197,FALSE),'⚪设计'!$B$85:$C$113,2,FALSE)</f>
        <v>ResUnit_ZhongZi1</v>
      </c>
      <c r="E197" s="55">
        <f>VLOOKUP(D197,'⚪设计'!$C$85:$I$113,5,FALSE)*VLOOKUP(UnitCfg!Q197,无限模式!$A$3:$C$22,3,FALSE)</f>
        <v>3.1</v>
      </c>
      <c r="F197">
        <v>400</v>
      </c>
      <c r="G197" t="b">
        <v>1</v>
      </c>
      <c r="H197">
        <v>1</v>
      </c>
      <c r="I197">
        <v>1</v>
      </c>
      <c r="J197">
        <v>0.5</v>
      </c>
      <c r="K197" s="55">
        <f>VLOOKUP(D197,'⚪设计'!$C$85:$I$113,6,FALSE)</f>
        <v>1</v>
      </c>
      <c r="L197" t="s">
        <v>3228</v>
      </c>
      <c r="M197" t="s">
        <v>468</v>
      </c>
      <c r="N197" t="s">
        <v>469</v>
      </c>
      <c r="O197" t="s">
        <v>470</v>
      </c>
      <c r="P197" s="57" t="str">
        <f>IF(VLOOKUP(D197,'⚪设计'!$C$85:$I$113,7,FALSE)="","",VLOOKUP(D197,'⚪设计'!$C$85:$I$113,7,FALSE))</f>
        <v>Skill_Monster_Heal,NormalAttack</v>
      </c>
      <c r="Q197" s="110">
        <v>12</v>
      </c>
      <c r="R197" s="110">
        <v>2</v>
      </c>
      <c r="S197" s="110"/>
    </row>
    <row r="198" spans="2:19" x14ac:dyDescent="0.2">
      <c r="B198" t="s">
        <v>3229</v>
      </c>
      <c r="C198" t="s">
        <v>3164</v>
      </c>
      <c r="D198" s="55" t="str">
        <f>VLOOKUP(VLOOKUP(Q198,'⚪设计'!$A$229:$G$248,3+UnitCfg!R198,FALSE),'⚪设计'!$B$85:$C$113,2,FALSE)</f>
        <v>ResUnit_ZhongZi3</v>
      </c>
      <c r="E198" s="55">
        <f>VLOOKUP(D198,'⚪设计'!$C$85:$I$113,5,FALSE)*VLOOKUP(UnitCfg!Q198,无限模式!$A$3:$C$22,3,FALSE)</f>
        <v>1.9375</v>
      </c>
      <c r="F198">
        <v>400</v>
      </c>
      <c r="G198" t="b">
        <v>1</v>
      </c>
      <c r="H198">
        <v>1</v>
      </c>
      <c r="I198">
        <v>1</v>
      </c>
      <c r="J198">
        <v>0.5</v>
      </c>
      <c r="K198" s="55">
        <f>VLOOKUP(D198,'⚪设计'!$C$85:$I$113,6,FALSE)</f>
        <v>2.5</v>
      </c>
      <c r="L198" t="s">
        <v>3230</v>
      </c>
      <c r="M198" t="s">
        <v>468</v>
      </c>
      <c r="N198" t="s">
        <v>469</v>
      </c>
      <c r="O198" t="s">
        <v>470</v>
      </c>
      <c r="P198" s="57" t="str">
        <f>IF(VLOOKUP(D198,'⚪设计'!$C$85:$I$113,7,FALSE)="","",VLOOKUP(D198,'⚪设计'!$C$85:$I$113,7,FALSE))</f>
        <v>Skill_Monster_Heal,NormalAttack</v>
      </c>
      <c r="Q198" s="110">
        <v>12</v>
      </c>
      <c r="R198" s="110">
        <v>3</v>
      </c>
      <c r="S198" s="110"/>
    </row>
    <row r="199" spans="2:19" x14ac:dyDescent="0.2">
      <c r="B199" t="s">
        <v>3231</v>
      </c>
      <c r="C199" t="s">
        <v>3165</v>
      </c>
      <c r="D199" s="55" t="str">
        <f>VLOOKUP(VLOOKUP(Q199,'⚪设计'!$A$229:$G$248,3+UnitCfg!R199,FALSE),'⚪设计'!$B$85:$C$113,2,FALSE)</f>
        <v>ResUnit_Gui1</v>
      </c>
      <c r="E199" s="55">
        <f>VLOOKUP(D199,'⚪设计'!$C$85:$I$113,5,FALSE)*VLOOKUP(UnitCfg!Q199,无限模式!$A$3:$C$22,3,FALSE)</f>
        <v>3.2</v>
      </c>
      <c r="F199">
        <v>400</v>
      </c>
      <c r="G199" t="b">
        <v>1</v>
      </c>
      <c r="H199">
        <v>1</v>
      </c>
      <c r="I199">
        <v>1</v>
      </c>
      <c r="J199">
        <v>0.5</v>
      </c>
      <c r="K199" s="55">
        <f>VLOOKUP(D199,'⚪设计'!$C$85:$I$113,6,FALSE)</f>
        <v>1</v>
      </c>
      <c r="L199" t="s">
        <v>3232</v>
      </c>
      <c r="M199" t="s">
        <v>468</v>
      </c>
      <c r="N199" t="s">
        <v>469</v>
      </c>
      <c r="O199" t="s">
        <v>470</v>
      </c>
      <c r="P199" s="57" t="str">
        <f>IF(VLOOKUP(D199,'⚪设计'!$C$85:$I$113,7,FALSE)="","",VLOOKUP(D199,'⚪设计'!$C$85:$I$113,7,FALSE))</f>
        <v>Skill_Monster_Invisible,NormalAttack</v>
      </c>
      <c r="Q199" s="110">
        <v>13</v>
      </c>
      <c r="R199" s="110">
        <v>1</v>
      </c>
      <c r="S199" s="110"/>
    </row>
    <row r="200" spans="2:19" x14ac:dyDescent="0.2">
      <c r="B200" t="s">
        <v>3233</v>
      </c>
      <c r="C200" t="s">
        <v>3166</v>
      </c>
      <c r="D200" s="55" t="str">
        <f>VLOOKUP(VLOOKUP(Q200,'⚪设计'!$A$229:$G$248,3+UnitCfg!R200,FALSE),'⚪设计'!$B$85:$C$113,2,FALSE)</f>
        <v>ResUnit_Gui1</v>
      </c>
      <c r="E200" s="55">
        <f>VLOOKUP(D200,'⚪设计'!$C$85:$I$113,5,FALSE)*VLOOKUP(UnitCfg!Q200,无限模式!$A$3:$C$22,3,FALSE)</f>
        <v>3.3</v>
      </c>
      <c r="F200">
        <v>400</v>
      </c>
      <c r="G200" t="b">
        <v>1</v>
      </c>
      <c r="H200">
        <v>1</v>
      </c>
      <c r="I200">
        <v>1</v>
      </c>
      <c r="J200">
        <v>0.5</v>
      </c>
      <c r="K200" s="55">
        <f>VLOOKUP(D200,'⚪设计'!$C$85:$I$113,6,FALSE)</f>
        <v>1</v>
      </c>
      <c r="L200" t="s">
        <v>3234</v>
      </c>
      <c r="M200" t="s">
        <v>468</v>
      </c>
      <c r="N200" t="s">
        <v>469</v>
      </c>
      <c r="O200" t="s">
        <v>470</v>
      </c>
      <c r="P200" s="57" t="str">
        <f>IF(VLOOKUP(D200,'⚪设计'!$C$85:$I$113,7,FALSE)="","",VLOOKUP(D200,'⚪设计'!$C$85:$I$113,7,FALSE))</f>
        <v>Skill_Monster_Invisible,NormalAttack</v>
      </c>
      <c r="Q200" s="110">
        <v>14</v>
      </c>
      <c r="R200" s="110">
        <v>1</v>
      </c>
      <c r="S200" s="110"/>
    </row>
    <row r="201" spans="2:19" x14ac:dyDescent="0.2">
      <c r="B201" t="s">
        <v>3235</v>
      </c>
      <c r="C201" t="s">
        <v>3167</v>
      </c>
      <c r="D201" s="55" t="str">
        <f>VLOOKUP(VLOOKUP(Q201,'⚪设计'!$A$229:$G$248,3+UnitCfg!R201,FALSE),'⚪设计'!$B$85:$C$113,2,FALSE)</f>
        <v>ResUnit_Niao2</v>
      </c>
      <c r="E201" s="55">
        <f>VLOOKUP(D201,'⚪设计'!$C$85:$I$113,5,FALSE)*VLOOKUP(UnitCfg!Q201,无限模式!$A$3:$C$22,3,FALSE)</f>
        <v>3.3</v>
      </c>
      <c r="F201">
        <v>400</v>
      </c>
      <c r="G201" t="b">
        <v>1</v>
      </c>
      <c r="H201">
        <v>1</v>
      </c>
      <c r="I201">
        <v>1</v>
      </c>
      <c r="J201">
        <v>0.5</v>
      </c>
      <c r="K201" s="55">
        <f>VLOOKUP(D201,'⚪设计'!$C$85:$I$113,6,FALSE)</f>
        <v>1.5</v>
      </c>
      <c r="L201" t="s">
        <v>3236</v>
      </c>
      <c r="M201" t="s">
        <v>468</v>
      </c>
      <c r="N201" t="s">
        <v>469</v>
      </c>
      <c r="O201" t="s">
        <v>470</v>
      </c>
      <c r="P201" s="57" t="str">
        <f>IF(VLOOKUP(D201,'⚪设计'!$C$85:$I$113,7,FALSE)="","",VLOOKUP(D201,'⚪设计'!$C$85:$I$113,7,FALSE))</f>
        <v>Skill_Monster_Niao2,NormalAttack</v>
      </c>
      <c r="Q201" s="110">
        <v>14</v>
      </c>
      <c r="R201" s="110">
        <v>2</v>
      </c>
      <c r="S201" s="110"/>
    </row>
    <row r="202" spans="2:19" x14ac:dyDescent="0.2">
      <c r="B202" t="s">
        <v>3237</v>
      </c>
      <c r="C202" t="s">
        <v>3168</v>
      </c>
      <c r="D202" s="55" t="str">
        <f>VLOOKUP(VLOOKUP(Q202,'⚪设计'!$A$229:$G$248,3+UnitCfg!R202,FALSE),'⚪设计'!$B$85:$C$113,2,FALSE)</f>
        <v>ResUnit_Gui1</v>
      </c>
      <c r="E202" s="55">
        <f>VLOOKUP(D202,'⚪设计'!$C$85:$I$113,5,FALSE)*VLOOKUP(UnitCfg!Q202,无限模式!$A$3:$C$22,3,FALSE)</f>
        <v>3.4</v>
      </c>
      <c r="F202">
        <v>400</v>
      </c>
      <c r="G202" t="b">
        <v>1</v>
      </c>
      <c r="H202">
        <v>1</v>
      </c>
      <c r="I202">
        <v>1</v>
      </c>
      <c r="J202">
        <v>0.5</v>
      </c>
      <c r="K202" s="55">
        <f>VLOOKUP(D202,'⚪设计'!$C$85:$I$113,6,FALSE)</f>
        <v>1</v>
      </c>
      <c r="L202" t="s">
        <v>3238</v>
      </c>
      <c r="M202" t="s">
        <v>468</v>
      </c>
      <c r="N202" t="s">
        <v>469</v>
      </c>
      <c r="O202" t="s">
        <v>470</v>
      </c>
      <c r="P202" s="57" t="str">
        <f>IF(VLOOKUP(D202,'⚪设计'!$C$85:$I$113,7,FALSE)="","",VLOOKUP(D202,'⚪设计'!$C$85:$I$113,7,FALSE))</f>
        <v>Skill_Monster_Invisible,NormalAttack</v>
      </c>
      <c r="Q202" s="110">
        <v>15</v>
      </c>
      <c r="R202" s="110">
        <v>1</v>
      </c>
      <c r="S202" s="110"/>
    </row>
    <row r="203" spans="2:19" x14ac:dyDescent="0.2">
      <c r="B203" t="s">
        <v>3239</v>
      </c>
      <c r="C203" t="s">
        <v>3169</v>
      </c>
      <c r="D203" s="55" t="str">
        <f>VLOOKUP(VLOOKUP(Q203,'⚪设计'!$A$229:$G$248,3+UnitCfg!R203,FALSE),'⚪设计'!$B$85:$C$113,2,FALSE)</f>
        <v>ResUnit_ZhongZi2</v>
      </c>
      <c r="E203" s="55">
        <f>VLOOKUP(D203,'⚪设计'!$C$85:$I$113,5,FALSE)*VLOOKUP(UnitCfg!Q203,无限模式!$A$3:$C$22,3,FALSE)</f>
        <v>3.4</v>
      </c>
      <c r="F203">
        <v>400</v>
      </c>
      <c r="G203" t="b">
        <v>1</v>
      </c>
      <c r="H203">
        <v>1</v>
      </c>
      <c r="I203">
        <v>1</v>
      </c>
      <c r="J203">
        <v>0.5</v>
      </c>
      <c r="K203" s="55">
        <f>VLOOKUP(D203,'⚪设计'!$C$85:$I$113,6,FALSE)</f>
        <v>1.5</v>
      </c>
      <c r="L203" t="s">
        <v>3240</v>
      </c>
      <c r="M203" t="s">
        <v>468</v>
      </c>
      <c r="N203" t="s">
        <v>469</v>
      </c>
      <c r="O203" t="s">
        <v>470</v>
      </c>
      <c r="P203" s="57" t="str">
        <f>IF(VLOOKUP(D203,'⚪设计'!$C$85:$I$113,7,FALSE)="","",VLOOKUP(D203,'⚪设计'!$C$85:$I$113,7,FALSE))</f>
        <v>Skill_Monster_Heal,NormalAttack</v>
      </c>
      <c r="Q203" s="110">
        <v>15</v>
      </c>
      <c r="R203" s="110">
        <v>2</v>
      </c>
      <c r="S203" s="110"/>
    </row>
    <row r="204" spans="2:19" x14ac:dyDescent="0.2">
      <c r="B204" t="s">
        <v>3241</v>
      </c>
      <c r="C204" t="s">
        <v>3170</v>
      </c>
      <c r="D204" s="55" t="str">
        <f>VLOOKUP(VLOOKUP(Q204,'⚪设计'!$A$229:$G$248,3+UnitCfg!R204,FALSE),'⚪设计'!$B$85:$C$113,2,FALSE)</f>
        <v>ResUnit_Niao2</v>
      </c>
      <c r="E204" s="55">
        <f>VLOOKUP(D204,'⚪设计'!$C$85:$I$113,5,FALSE)*VLOOKUP(UnitCfg!Q204,无限模式!$A$3:$C$22,3,FALSE)</f>
        <v>3.5</v>
      </c>
      <c r="F204">
        <v>400</v>
      </c>
      <c r="G204" t="b">
        <v>1</v>
      </c>
      <c r="H204">
        <v>1</v>
      </c>
      <c r="I204">
        <v>1</v>
      </c>
      <c r="J204">
        <v>0.5</v>
      </c>
      <c r="K204" s="55">
        <f>VLOOKUP(D204,'⚪设计'!$C$85:$I$113,6,FALSE)</f>
        <v>1.5</v>
      </c>
      <c r="L204" t="s">
        <v>3242</v>
      </c>
      <c r="M204" t="s">
        <v>468</v>
      </c>
      <c r="N204" t="s">
        <v>469</v>
      </c>
      <c r="O204" t="s">
        <v>470</v>
      </c>
      <c r="P204" s="57" t="str">
        <f>IF(VLOOKUP(D204,'⚪设计'!$C$85:$I$113,7,FALSE)="","",VLOOKUP(D204,'⚪设计'!$C$85:$I$113,7,FALSE))</f>
        <v>Skill_Monster_Niao2,NormalAttack</v>
      </c>
      <c r="Q204" s="110">
        <v>16</v>
      </c>
      <c r="R204" s="110">
        <v>1</v>
      </c>
      <c r="S204" s="110"/>
    </row>
    <row r="205" spans="2:19" x14ac:dyDescent="0.2">
      <c r="B205" t="s">
        <v>3243</v>
      </c>
      <c r="C205" t="s">
        <v>3171</v>
      </c>
      <c r="D205" s="55" t="str">
        <f>VLOOKUP(VLOOKUP(Q205,'⚪设计'!$A$229:$G$248,3+UnitCfg!R205,FALSE),'⚪设计'!$B$85:$C$113,2,FALSE)</f>
        <v>ResUnit_Gui3</v>
      </c>
      <c r="E205" s="55">
        <f>VLOOKUP(D205,'⚪设计'!$C$85:$I$113,5,FALSE)*VLOOKUP(UnitCfg!Q205,无限模式!$A$3:$C$22,3,FALSE)</f>
        <v>2.1875</v>
      </c>
      <c r="F205">
        <v>400</v>
      </c>
      <c r="G205" t="b">
        <v>1</v>
      </c>
      <c r="H205">
        <v>1</v>
      </c>
      <c r="I205">
        <v>1</v>
      </c>
      <c r="J205">
        <v>0.5</v>
      </c>
      <c r="K205" s="55">
        <f>VLOOKUP(D205,'⚪设计'!$C$85:$I$113,6,FALSE)</f>
        <v>2.5</v>
      </c>
      <c r="L205" t="s">
        <v>3244</v>
      </c>
      <c r="M205" t="s">
        <v>468</v>
      </c>
      <c r="N205" t="s">
        <v>469</v>
      </c>
      <c r="O205" t="s">
        <v>470</v>
      </c>
      <c r="P205" s="57" t="str">
        <f>IF(VLOOKUP(D205,'⚪设计'!$C$85:$I$113,7,FALSE)="","",VLOOKUP(D205,'⚪设计'!$C$85:$I$113,7,FALSE))</f>
        <v>Skill_Monster_Invisible,NormalAttack</v>
      </c>
      <c r="Q205" s="110">
        <v>16</v>
      </c>
      <c r="R205" s="110">
        <v>2</v>
      </c>
      <c r="S205" s="110"/>
    </row>
    <row r="206" spans="2:19" x14ac:dyDescent="0.2">
      <c r="B206" t="s">
        <v>3245</v>
      </c>
      <c r="C206" t="s">
        <v>3172</v>
      </c>
      <c r="D206" s="55" t="str">
        <f>VLOOKUP(VLOOKUP(Q206,'⚪设计'!$A$229:$G$248,3+UnitCfg!R206,FALSE),'⚪设计'!$B$85:$C$113,2,FALSE)</f>
        <v>ResUnit_Niao3</v>
      </c>
      <c r="E206" s="55">
        <f>VLOOKUP(D206,'⚪设计'!$C$85:$I$113,5,FALSE)*VLOOKUP(UnitCfg!Q206,无限模式!$A$3:$C$22,3,FALSE)</f>
        <v>3.6</v>
      </c>
      <c r="F206">
        <v>400</v>
      </c>
      <c r="G206" t="b">
        <v>1</v>
      </c>
      <c r="H206">
        <v>1</v>
      </c>
      <c r="I206">
        <v>1</v>
      </c>
      <c r="J206">
        <v>0.5</v>
      </c>
      <c r="K206" s="55">
        <f>VLOOKUP(D206,'⚪设计'!$C$85:$I$113,6,FALSE)</f>
        <v>2.5</v>
      </c>
      <c r="L206" t="s">
        <v>3246</v>
      </c>
      <c r="M206" t="s">
        <v>468</v>
      </c>
      <c r="N206" t="s">
        <v>469</v>
      </c>
      <c r="O206" t="s">
        <v>470</v>
      </c>
      <c r="P206" s="57" t="str">
        <f>IF(VLOOKUP(D206,'⚪设计'!$C$85:$I$113,7,FALSE)="","",VLOOKUP(D206,'⚪设计'!$C$85:$I$113,7,FALSE))</f>
        <v>Skill_Monster_Niao3,NormalAttack</v>
      </c>
      <c r="Q206" s="110">
        <v>17</v>
      </c>
      <c r="R206" s="110">
        <v>1</v>
      </c>
      <c r="S206" s="110"/>
    </row>
    <row r="207" spans="2:19" x14ac:dyDescent="0.2">
      <c r="B207" t="s">
        <v>3247</v>
      </c>
      <c r="C207" t="s">
        <v>3173</v>
      </c>
      <c r="D207" s="55" t="str">
        <f>VLOOKUP(VLOOKUP(Q207,'⚪设计'!$A$229:$G$248,3+UnitCfg!R207,FALSE),'⚪设计'!$B$85:$C$113,2,FALSE)</f>
        <v>ResUnit_Dan2</v>
      </c>
      <c r="E207" s="55">
        <f>VLOOKUP(D207,'⚪设计'!$C$85:$I$113,5,FALSE)*VLOOKUP(UnitCfg!Q207,无限模式!$A$3:$C$22,3,FALSE)</f>
        <v>3.6</v>
      </c>
      <c r="F207">
        <v>400</v>
      </c>
      <c r="G207" t="b">
        <v>1</v>
      </c>
      <c r="H207">
        <v>1</v>
      </c>
      <c r="I207">
        <v>1</v>
      </c>
      <c r="J207">
        <v>0.5</v>
      </c>
      <c r="K207" s="55">
        <f>VLOOKUP(D207,'⚪设计'!$C$85:$I$113,6,FALSE)</f>
        <v>1.5</v>
      </c>
      <c r="L207" t="s">
        <v>3248</v>
      </c>
      <c r="M207" t="s">
        <v>468</v>
      </c>
      <c r="N207" t="s">
        <v>469</v>
      </c>
      <c r="O207" t="s">
        <v>470</v>
      </c>
      <c r="P207" s="57" t="str">
        <f>IF(VLOOKUP(D207,'⚪设计'!$C$85:$I$113,7,FALSE)="","",VLOOKUP(D207,'⚪设计'!$C$85:$I$113,7,FALSE))</f>
        <v>Skill_Monster_Weaken,NormalAttack</v>
      </c>
      <c r="Q207" s="110">
        <v>17</v>
      </c>
      <c r="R207" s="110">
        <v>2</v>
      </c>
      <c r="S207" s="110"/>
    </row>
    <row r="208" spans="2:19" x14ac:dyDescent="0.2">
      <c r="B208" t="s">
        <v>3249</v>
      </c>
      <c r="C208" t="s">
        <v>3174</v>
      </c>
      <c r="D208" s="55" t="str">
        <f>VLOOKUP(VLOOKUP(Q208,'⚪设计'!$A$229:$G$248,3+UnitCfg!R208,FALSE),'⚪设计'!$B$85:$C$113,2,FALSE)</f>
        <v>ResUnit_Dan2</v>
      </c>
      <c r="E208" s="55">
        <f>VLOOKUP(D208,'⚪设计'!$C$85:$I$113,5,FALSE)*VLOOKUP(UnitCfg!Q208,无限模式!$A$3:$C$22,3,FALSE)</f>
        <v>3.7</v>
      </c>
      <c r="F208">
        <v>400</v>
      </c>
      <c r="G208" t="b">
        <v>1</v>
      </c>
      <c r="H208">
        <v>1</v>
      </c>
      <c r="I208">
        <v>1</v>
      </c>
      <c r="J208">
        <v>0.5</v>
      </c>
      <c r="K208" s="55">
        <f>VLOOKUP(D208,'⚪设计'!$C$85:$I$113,6,FALSE)</f>
        <v>1.5</v>
      </c>
      <c r="L208" t="s">
        <v>3250</v>
      </c>
      <c r="M208" t="s">
        <v>468</v>
      </c>
      <c r="N208" t="s">
        <v>469</v>
      </c>
      <c r="O208" t="s">
        <v>470</v>
      </c>
      <c r="P208" s="57" t="str">
        <f>IF(VLOOKUP(D208,'⚪设计'!$C$85:$I$113,7,FALSE)="","",VLOOKUP(D208,'⚪设计'!$C$85:$I$113,7,FALSE))</f>
        <v>Skill_Monster_Weaken,NormalAttack</v>
      </c>
      <c r="Q208" s="110">
        <v>18</v>
      </c>
      <c r="R208" s="110">
        <v>1</v>
      </c>
      <c r="S208" s="110"/>
    </row>
    <row r="209" spans="2:19" x14ac:dyDescent="0.2">
      <c r="B209" t="s">
        <v>3251</v>
      </c>
      <c r="C209" t="s">
        <v>3175</v>
      </c>
      <c r="D209" s="55" t="str">
        <f>VLOOKUP(VLOOKUP(Q209,'⚪设计'!$A$229:$G$248,3+UnitCfg!R209,FALSE),'⚪设计'!$B$85:$C$113,2,FALSE)</f>
        <v>ResUnit_ZhiZhu2</v>
      </c>
      <c r="E209" s="55">
        <f>VLOOKUP(D209,'⚪设计'!$C$85:$I$113,5,FALSE)*VLOOKUP(UnitCfg!Q209,无限模式!$A$3:$C$22,3,FALSE)</f>
        <v>5.5500000000000007</v>
      </c>
      <c r="F209">
        <v>400</v>
      </c>
      <c r="G209" t="b">
        <v>1</v>
      </c>
      <c r="H209">
        <v>1</v>
      </c>
      <c r="I209">
        <v>1</v>
      </c>
      <c r="J209">
        <v>0.5</v>
      </c>
      <c r="K209" s="55">
        <f>VLOOKUP(D209,'⚪设计'!$C$85:$I$113,6,FALSE)</f>
        <v>1.5</v>
      </c>
      <c r="L209" t="s">
        <v>3252</v>
      </c>
      <c r="M209" t="s">
        <v>468</v>
      </c>
      <c r="N209" t="s">
        <v>469</v>
      </c>
      <c r="O209" t="s">
        <v>470</v>
      </c>
      <c r="P209" s="57" t="str">
        <f>IF(VLOOKUP(D209,'⚪设计'!$C$85:$I$113,7,FALSE)="","",VLOOKUP(D209,'⚪设计'!$C$85:$I$113,7,FALSE))</f>
        <v/>
      </c>
      <c r="Q209" s="110">
        <v>18</v>
      </c>
      <c r="R209" s="110">
        <v>2</v>
      </c>
      <c r="S209" s="110"/>
    </row>
    <row r="210" spans="2:19" x14ac:dyDescent="0.2">
      <c r="B210" t="s">
        <v>3253</v>
      </c>
      <c r="C210" t="s">
        <v>3176</v>
      </c>
      <c r="D210" s="55" t="str">
        <f>VLOOKUP(VLOOKUP(Q210,'⚪设计'!$A$229:$G$248,3+UnitCfg!R210,FALSE),'⚪设计'!$B$85:$C$113,2,FALSE)</f>
        <v>ResUnit_Dan2</v>
      </c>
      <c r="E210" s="55">
        <f>VLOOKUP(D210,'⚪设计'!$C$85:$I$113,5,FALSE)*VLOOKUP(UnitCfg!Q210,无限模式!$A$3:$C$22,3,FALSE)</f>
        <v>3.8</v>
      </c>
      <c r="F210">
        <v>400</v>
      </c>
      <c r="G210" t="b">
        <v>1</v>
      </c>
      <c r="H210">
        <v>1</v>
      </c>
      <c r="I210">
        <v>1</v>
      </c>
      <c r="J210">
        <v>0.5</v>
      </c>
      <c r="K210" s="55">
        <f>VLOOKUP(D210,'⚪设计'!$C$85:$I$113,6,FALSE)</f>
        <v>1.5</v>
      </c>
      <c r="L210" t="s">
        <v>3254</v>
      </c>
      <c r="M210" t="s">
        <v>468</v>
      </c>
      <c r="N210" t="s">
        <v>469</v>
      </c>
      <c r="O210" t="s">
        <v>470</v>
      </c>
      <c r="P210" s="57" t="str">
        <f>IF(VLOOKUP(D210,'⚪设计'!$C$85:$I$113,7,FALSE)="","",VLOOKUP(D210,'⚪设计'!$C$85:$I$113,7,FALSE))</f>
        <v>Skill_Monster_Weaken,NormalAttack</v>
      </c>
      <c r="Q210" s="110">
        <v>19</v>
      </c>
      <c r="R210" s="110">
        <v>1</v>
      </c>
      <c r="S210" s="110"/>
    </row>
    <row r="211" spans="2:19" x14ac:dyDescent="0.2">
      <c r="B211" t="s">
        <v>3255</v>
      </c>
      <c r="C211" t="s">
        <v>3177</v>
      </c>
      <c r="D211" s="55" t="str">
        <f>VLOOKUP(VLOOKUP(Q211,'⚪设计'!$A$229:$G$248,3+UnitCfg!R211,FALSE),'⚪设计'!$B$85:$C$113,2,FALSE)</f>
        <v>ResUnit_Niao3</v>
      </c>
      <c r="E211" s="55">
        <f>VLOOKUP(D211,'⚪设计'!$C$85:$I$113,5,FALSE)*VLOOKUP(UnitCfg!Q211,无限模式!$A$3:$C$22,3,FALSE)</f>
        <v>3.8</v>
      </c>
      <c r="F211">
        <v>400</v>
      </c>
      <c r="G211" t="b">
        <v>1</v>
      </c>
      <c r="H211">
        <v>1</v>
      </c>
      <c r="I211">
        <v>1</v>
      </c>
      <c r="J211">
        <v>0.5</v>
      </c>
      <c r="K211" s="55">
        <f>VLOOKUP(D211,'⚪设计'!$C$85:$I$113,6,FALSE)</f>
        <v>2.5</v>
      </c>
      <c r="L211" t="s">
        <v>3256</v>
      </c>
      <c r="M211" t="s">
        <v>468</v>
      </c>
      <c r="N211" t="s">
        <v>469</v>
      </c>
      <c r="O211" t="s">
        <v>470</v>
      </c>
      <c r="P211" s="57" t="str">
        <f>IF(VLOOKUP(D211,'⚪设计'!$C$85:$I$113,7,FALSE)="","",VLOOKUP(D211,'⚪设计'!$C$85:$I$113,7,FALSE))</f>
        <v>Skill_Monster_Niao3,NormalAttack</v>
      </c>
      <c r="Q211" s="110">
        <v>19</v>
      </c>
      <c r="R211" s="110">
        <v>2</v>
      </c>
      <c r="S211" s="110"/>
    </row>
    <row r="212" spans="2:19" x14ac:dyDescent="0.2">
      <c r="B212" t="s">
        <v>3257</v>
      </c>
      <c r="C212" t="s">
        <v>3178</v>
      </c>
      <c r="D212" s="55" t="str">
        <f>VLOOKUP(VLOOKUP(Q212,'⚪设计'!$A$229:$G$248,3+UnitCfg!R212,FALSE),'⚪设计'!$B$85:$C$113,2,FALSE)</f>
        <v>ResUnit_ZhongZi2</v>
      </c>
      <c r="E212" s="55">
        <f>VLOOKUP(D212,'⚪设计'!$C$85:$I$113,5,FALSE)*VLOOKUP(UnitCfg!Q212,无限模式!$A$3:$C$22,3,FALSE)</f>
        <v>3.8</v>
      </c>
      <c r="F212">
        <v>400</v>
      </c>
      <c r="G212" t="b">
        <v>1</v>
      </c>
      <c r="H212">
        <v>1</v>
      </c>
      <c r="I212">
        <v>1</v>
      </c>
      <c r="J212">
        <v>0.5</v>
      </c>
      <c r="K212" s="55">
        <f>VLOOKUP(D212,'⚪设计'!$C$85:$I$113,6,FALSE)</f>
        <v>1.5</v>
      </c>
      <c r="L212" t="s">
        <v>3258</v>
      </c>
      <c r="M212" t="s">
        <v>468</v>
      </c>
      <c r="N212" t="s">
        <v>469</v>
      </c>
      <c r="O212" t="s">
        <v>470</v>
      </c>
      <c r="P212" s="57" t="str">
        <f>IF(VLOOKUP(D212,'⚪设计'!$C$85:$I$113,7,FALSE)="","",VLOOKUP(D212,'⚪设计'!$C$85:$I$113,7,FALSE))</f>
        <v>Skill_Monster_Heal,NormalAttack</v>
      </c>
      <c r="Q212" s="110">
        <v>19</v>
      </c>
      <c r="R212" s="110">
        <v>3</v>
      </c>
      <c r="S212" s="110"/>
    </row>
    <row r="213" spans="2:19" x14ac:dyDescent="0.2">
      <c r="B213" t="s">
        <v>3259</v>
      </c>
      <c r="C213" t="s">
        <v>3179</v>
      </c>
      <c r="D213" s="55" t="str">
        <f>VLOOKUP(VLOOKUP(Q213,'⚪设计'!$A$229:$G$248,3+UnitCfg!R213,FALSE),'⚪设计'!$B$85:$C$113,2,FALSE)</f>
        <v>ResUnit_Dan3</v>
      </c>
      <c r="E213" s="55">
        <f>VLOOKUP(D213,'⚪设计'!$C$85:$I$113,5,FALSE)*VLOOKUP(UnitCfg!Q213,无限模式!$A$3:$C$22,3,FALSE)</f>
        <v>2.4375</v>
      </c>
      <c r="F213">
        <v>400</v>
      </c>
      <c r="G213" t="b">
        <v>1</v>
      </c>
      <c r="H213">
        <v>1</v>
      </c>
      <c r="I213">
        <v>1</v>
      </c>
      <c r="J213">
        <v>0.5</v>
      </c>
      <c r="K213" s="55">
        <f>VLOOKUP(D213,'⚪设计'!$C$85:$I$113,6,FALSE)</f>
        <v>2.5</v>
      </c>
      <c r="L213" t="s">
        <v>3260</v>
      </c>
      <c r="M213" t="s">
        <v>468</v>
      </c>
      <c r="N213" t="s">
        <v>469</v>
      </c>
      <c r="O213" t="s">
        <v>470</v>
      </c>
      <c r="P213" s="57" t="str">
        <f>IF(VLOOKUP(D213,'⚪设计'!$C$85:$I$113,7,FALSE)="","",VLOOKUP(D213,'⚪设计'!$C$85:$I$113,7,FALSE))</f>
        <v>Skill_Monster_Weaken,NormalAttack</v>
      </c>
      <c r="Q213" s="110">
        <v>20</v>
      </c>
      <c r="R213" s="110">
        <v>1</v>
      </c>
      <c r="S213" s="110"/>
    </row>
    <row r="214" spans="2:19" x14ac:dyDescent="0.2">
      <c r="B214" t="s">
        <v>3261</v>
      </c>
      <c r="C214" t="s">
        <v>3180</v>
      </c>
      <c r="D214" s="55" t="str">
        <f>VLOOKUP(VLOOKUP(Q214,'⚪设计'!$A$229:$G$248,3+UnitCfg!R214,FALSE),'⚪设计'!$B$85:$C$113,2,FALSE)</f>
        <v>ResUnit_Gui2</v>
      </c>
      <c r="E214" s="55">
        <f>VLOOKUP(D214,'⚪设计'!$C$85:$I$113,5,FALSE)*VLOOKUP(UnitCfg!Q214,无限模式!$A$3:$C$22,3,FALSE)</f>
        <v>3.9</v>
      </c>
      <c r="F214">
        <v>400</v>
      </c>
      <c r="G214" t="b">
        <v>1</v>
      </c>
      <c r="H214">
        <v>1</v>
      </c>
      <c r="I214">
        <v>1</v>
      </c>
      <c r="J214">
        <v>0.5</v>
      </c>
      <c r="K214" s="55">
        <f>VLOOKUP(D214,'⚪设计'!$C$85:$I$113,6,FALSE)</f>
        <v>1.5</v>
      </c>
      <c r="L214" t="s">
        <v>3262</v>
      </c>
      <c r="M214" t="s">
        <v>468</v>
      </c>
      <c r="N214" t="s">
        <v>469</v>
      </c>
      <c r="O214" t="s">
        <v>470</v>
      </c>
      <c r="P214" s="57" t="str">
        <f>IF(VLOOKUP(D214,'⚪设计'!$C$85:$I$113,7,FALSE)="","",VLOOKUP(D214,'⚪设计'!$C$85:$I$113,7,FALSE))</f>
        <v>Skill_Monster_Invisible,NormalAttack</v>
      </c>
      <c r="Q214" s="110">
        <v>20</v>
      </c>
      <c r="R214" s="110">
        <v>2</v>
      </c>
      <c r="S214" s="110"/>
    </row>
    <row r="215" spans="2:19" x14ac:dyDescent="0.2">
      <c r="B215" t="s">
        <v>3263</v>
      </c>
      <c r="C215" t="s">
        <v>3181</v>
      </c>
      <c r="D215" s="55" t="str">
        <f>VLOOKUP(VLOOKUP(Q215,'⚪设计'!$A$229:$G$248,3+UnitCfg!R215,FALSE),'⚪设计'!$B$85:$C$113,2,FALSE)</f>
        <v>ResUnit_ZhongZi2</v>
      </c>
      <c r="E215" s="55">
        <f>VLOOKUP(D215,'⚪设计'!$C$85:$I$113,5,FALSE)*VLOOKUP(UnitCfg!Q215,无限模式!$A$3:$C$22,3,FALSE)</f>
        <v>3.9</v>
      </c>
      <c r="F215">
        <v>400</v>
      </c>
      <c r="G215" t="b">
        <v>1</v>
      </c>
      <c r="H215">
        <v>1</v>
      </c>
      <c r="I215">
        <v>1</v>
      </c>
      <c r="J215">
        <v>0.5</v>
      </c>
      <c r="K215" s="55">
        <f>VLOOKUP(D215,'⚪设计'!$C$85:$I$113,6,FALSE)</f>
        <v>1.5</v>
      </c>
      <c r="L215" t="s">
        <v>3264</v>
      </c>
      <c r="M215" t="s">
        <v>468</v>
      </c>
      <c r="N215" t="s">
        <v>469</v>
      </c>
      <c r="O215" t="s">
        <v>470</v>
      </c>
      <c r="P215" s="57" t="str">
        <f>IF(VLOOKUP(D215,'⚪设计'!$C$85:$I$113,7,FALSE)="","",VLOOKUP(D215,'⚪设计'!$C$85:$I$113,7,FALSE))</f>
        <v>Skill_Monster_Heal,NormalAttack</v>
      </c>
      <c r="Q215" s="110">
        <v>20</v>
      </c>
      <c r="R215" s="110">
        <v>3</v>
      </c>
      <c r="S215" s="110"/>
    </row>
    <row r="216" spans="2:19" x14ac:dyDescent="0.2">
      <c r="B216" t="s">
        <v>3265</v>
      </c>
      <c r="C216" t="s">
        <v>3182</v>
      </c>
      <c r="D216" s="55" t="str">
        <f>VLOOKUP(VLOOKUP(Q216,'⚪设计'!$A$229:$G$248,3+UnitCfg!R216,FALSE),'⚪设计'!$B$85:$C$113,2,FALSE)</f>
        <v>ResUnit_Niao3</v>
      </c>
      <c r="E216" s="55">
        <f>VLOOKUP(D216,'⚪设计'!$C$85:$I$113,5,FALSE)*VLOOKUP(UnitCfg!Q216,无限模式!$A$3:$C$22,3,FALSE)</f>
        <v>3.9</v>
      </c>
      <c r="F216">
        <v>400</v>
      </c>
      <c r="G216" t="b">
        <v>1</v>
      </c>
      <c r="H216">
        <v>1</v>
      </c>
      <c r="I216">
        <v>1</v>
      </c>
      <c r="J216">
        <v>0.5</v>
      </c>
      <c r="K216" s="55">
        <f>VLOOKUP(D216,'⚪设计'!$C$85:$I$113,6,FALSE)</f>
        <v>2.5</v>
      </c>
      <c r="L216" t="s">
        <v>3266</v>
      </c>
      <c r="M216" t="s">
        <v>468</v>
      </c>
      <c r="N216" t="s">
        <v>469</v>
      </c>
      <c r="O216" t="s">
        <v>470</v>
      </c>
      <c r="P216" s="57" t="str">
        <f>IF(VLOOKUP(D216,'⚪设计'!$C$85:$I$113,7,FALSE)="","",VLOOKUP(D216,'⚪设计'!$C$85:$I$113,7,FALSE))</f>
        <v>Skill_Monster_Niao3,NormalAttack</v>
      </c>
      <c r="Q216" s="110">
        <v>20</v>
      </c>
      <c r="R216" s="110">
        <v>4</v>
      </c>
      <c r="S216" s="110"/>
    </row>
    <row r="217" spans="2:19" s="125" customFormat="1" x14ac:dyDescent="0.2"/>
    <row r="218" spans="2:19" x14ac:dyDescent="0.2">
      <c r="B218" t="s">
        <v>3405</v>
      </c>
      <c r="C218" t="s">
        <v>3279</v>
      </c>
      <c r="D218" s="55" t="str">
        <f>VLOOKUP(VLOOKUP(Q218,'⚪设计'!$A$253:$G$273,3+UnitCfg!R218,FALSE),'⚪设计'!$B$85:$C$113,2,FALSE)</f>
        <v>ResUnit_Rou1</v>
      </c>
      <c r="E218" s="55">
        <f>VLOOKUP(D218,'⚪设计'!$C$85:$I$113,5,FALSE)*VLOOKUP(UnitCfg!Q218,无限模式!$A$3:$C$22,3,FALSE)</f>
        <v>2</v>
      </c>
      <c r="F218">
        <v>400</v>
      </c>
      <c r="G218" t="b">
        <v>1</v>
      </c>
      <c r="H218">
        <v>1</v>
      </c>
      <c r="I218">
        <v>1</v>
      </c>
      <c r="J218">
        <v>0.5</v>
      </c>
      <c r="K218" s="55">
        <f>VLOOKUP(D218,'⚪设计'!$C$85:$I$113,6,FALSE)</f>
        <v>1</v>
      </c>
      <c r="L218" t="s">
        <v>3406</v>
      </c>
      <c r="M218" t="s">
        <v>468</v>
      </c>
      <c r="N218" t="s">
        <v>469</v>
      </c>
      <c r="O218" t="s">
        <v>470</v>
      </c>
      <c r="P218" s="57" t="str">
        <f>IF(VLOOKUP(D218,'⚪设计'!$C$85:$I$113,7,FALSE)="","",VLOOKUP(D218,'⚪设计'!$C$85:$I$113,7,FALSE))</f>
        <v/>
      </c>
      <c r="Q218" s="110">
        <v>1</v>
      </c>
      <c r="R218" s="110">
        <v>1</v>
      </c>
      <c r="S218" s="110"/>
    </row>
    <row r="219" spans="2:19" x14ac:dyDescent="0.2">
      <c r="B219" t="s">
        <v>3407</v>
      </c>
      <c r="C219" t="s">
        <v>3280</v>
      </c>
      <c r="D219" s="55" t="str">
        <f>VLOOKUP(VLOOKUP(Q219,'⚪设计'!$A$253:$G$273,3+UnitCfg!R219,FALSE),'⚪设计'!$B$85:$C$113,2,FALSE)</f>
        <v>ResUnit_MiFeng1</v>
      </c>
      <c r="E219" s="55">
        <f>VLOOKUP(D219,'⚪设计'!$C$85:$I$113,5,FALSE)*VLOOKUP(UnitCfg!Q219,无限模式!$A$3:$C$22,3,FALSE)</f>
        <v>2.1</v>
      </c>
      <c r="F219">
        <v>400</v>
      </c>
      <c r="G219" t="b">
        <v>1</v>
      </c>
      <c r="H219">
        <v>1</v>
      </c>
      <c r="I219">
        <v>1</v>
      </c>
      <c r="J219">
        <v>0.5</v>
      </c>
      <c r="K219" s="55">
        <f>VLOOKUP(D219,'⚪设计'!$C$85:$I$113,6,FALSE)</f>
        <v>1</v>
      </c>
      <c r="L219" t="s">
        <v>3408</v>
      </c>
      <c r="M219" t="s">
        <v>468</v>
      </c>
      <c r="N219" t="s">
        <v>469</v>
      </c>
      <c r="O219" t="s">
        <v>470</v>
      </c>
      <c r="P219" s="57" t="str">
        <f>IF(VLOOKUP(D219,'⚪设计'!$C$85:$I$113,7,FALSE)="","",VLOOKUP(D219,'⚪设计'!$C$85:$I$113,7,FALSE))</f>
        <v/>
      </c>
      <c r="Q219" s="110">
        <v>2</v>
      </c>
      <c r="R219" s="110">
        <v>1</v>
      </c>
      <c r="S219" s="110"/>
    </row>
    <row r="220" spans="2:19" x14ac:dyDescent="0.2">
      <c r="B220" t="s">
        <v>3409</v>
      </c>
      <c r="C220" t="s">
        <v>3281</v>
      </c>
      <c r="D220" s="55" t="str">
        <f>VLOOKUP(VLOOKUP(Q220,'⚪设计'!$A$253:$G$273,3+UnitCfg!R220,FALSE),'⚪设计'!$B$85:$C$113,2,FALSE)</f>
        <v>ResUnit_Rou1</v>
      </c>
      <c r="E220" s="55">
        <f>VLOOKUP(D220,'⚪设计'!$C$85:$I$113,5,FALSE)*VLOOKUP(UnitCfg!Q220,无限模式!$A$3:$C$22,3,FALSE)</f>
        <v>2.1</v>
      </c>
      <c r="F220">
        <v>400</v>
      </c>
      <c r="G220" t="b">
        <v>1</v>
      </c>
      <c r="H220">
        <v>1</v>
      </c>
      <c r="I220">
        <v>1</v>
      </c>
      <c r="J220">
        <v>0.5</v>
      </c>
      <c r="K220" s="55">
        <f>VLOOKUP(D220,'⚪设计'!$C$85:$I$113,6,FALSE)</f>
        <v>1</v>
      </c>
      <c r="L220" t="s">
        <v>3410</v>
      </c>
      <c r="M220" t="s">
        <v>468</v>
      </c>
      <c r="N220" t="s">
        <v>469</v>
      </c>
      <c r="O220" t="s">
        <v>470</v>
      </c>
      <c r="P220" s="57" t="str">
        <f>IF(VLOOKUP(D220,'⚪设计'!$C$85:$I$113,7,FALSE)="","",VLOOKUP(D220,'⚪设计'!$C$85:$I$113,7,FALSE))</f>
        <v/>
      </c>
      <c r="Q220" s="110">
        <v>2</v>
      </c>
      <c r="R220" s="110">
        <v>2</v>
      </c>
      <c r="S220" s="110"/>
    </row>
    <row r="221" spans="2:19" x14ac:dyDescent="0.2">
      <c r="B221" t="s">
        <v>3411</v>
      </c>
      <c r="C221" t="s">
        <v>3282</v>
      </c>
      <c r="D221" s="55" t="str">
        <f>VLOOKUP(VLOOKUP(Q221,'⚪设计'!$A$253:$G$273,3+UnitCfg!R221,FALSE),'⚪设计'!$B$85:$C$113,2,FALSE)</f>
        <v>ResUnit_Rou1</v>
      </c>
      <c r="E221" s="55">
        <f>VLOOKUP(D221,'⚪设计'!$C$85:$I$113,5,FALSE)*VLOOKUP(UnitCfg!Q221,无限模式!$A$3:$C$22,3,FALSE)</f>
        <v>2.2000000000000002</v>
      </c>
      <c r="F221">
        <v>400</v>
      </c>
      <c r="G221" t="b">
        <v>1</v>
      </c>
      <c r="H221">
        <v>1</v>
      </c>
      <c r="I221">
        <v>1</v>
      </c>
      <c r="J221">
        <v>0.5</v>
      </c>
      <c r="K221" s="55">
        <f>VLOOKUP(D221,'⚪设计'!$C$85:$I$113,6,FALSE)</f>
        <v>1</v>
      </c>
      <c r="L221" t="s">
        <v>3412</v>
      </c>
      <c r="M221" t="s">
        <v>468</v>
      </c>
      <c r="N221" t="s">
        <v>469</v>
      </c>
      <c r="O221" t="s">
        <v>470</v>
      </c>
      <c r="P221" s="57" t="str">
        <f>IF(VLOOKUP(D221,'⚪设计'!$C$85:$I$113,7,FALSE)="","",VLOOKUP(D221,'⚪设计'!$C$85:$I$113,7,FALSE))</f>
        <v/>
      </c>
      <c r="Q221" s="110">
        <v>3</v>
      </c>
      <c r="R221" s="110">
        <v>1</v>
      </c>
      <c r="S221" s="110"/>
    </row>
    <row r="222" spans="2:19" x14ac:dyDescent="0.2">
      <c r="B222" t="s">
        <v>3413</v>
      </c>
      <c r="C222" t="s">
        <v>3283</v>
      </c>
      <c r="D222" s="55" t="str">
        <f>VLOOKUP(VLOOKUP(Q222,'⚪设计'!$A$253:$G$273,3+UnitCfg!R222,FALSE),'⚪设计'!$B$85:$C$113,2,FALSE)</f>
        <v>ResUnit_BianFu1</v>
      </c>
      <c r="E222" s="55">
        <f>VLOOKUP(D222,'⚪设计'!$C$85:$I$113,5,FALSE)*VLOOKUP(UnitCfg!Q222,无限模式!$A$3:$C$22,3,FALSE)</f>
        <v>2.2000000000000002</v>
      </c>
      <c r="F222">
        <v>400</v>
      </c>
      <c r="G222" t="b">
        <v>1</v>
      </c>
      <c r="H222">
        <v>1</v>
      </c>
      <c r="I222">
        <v>1</v>
      </c>
      <c r="J222">
        <v>0.5</v>
      </c>
      <c r="K222" s="55">
        <f>VLOOKUP(D222,'⚪设计'!$C$85:$I$113,6,FALSE)</f>
        <v>1</v>
      </c>
      <c r="L222" t="s">
        <v>3414</v>
      </c>
      <c r="M222" t="s">
        <v>468</v>
      </c>
      <c r="N222" t="s">
        <v>469</v>
      </c>
      <c r="O222" t="s">
        <v>470</v>
      </c>
      <c r="P222" s="57" t="str">
        <f>IF(VLOOKUP(D222,'⚪设计'!$C$85:$I$113,7,FALSE)="","",VLOOKUP(D222,'⚪设计'!$C$85:$I$113,7,FALSE))</f>
        <v/>
      </c>
      <c r="Q222" s="110">
        <v>3</v>
      </c>
      <c r="R222" s="110">
        <v>2</v>
      </c>
      <c r="S222" s="110"/>
    </row>
    <row r="223" spans="2:19" x14ac:dyDescent="0.2">
      <c r="B223" t="s">
        <v>3415</v>
      </c>
      <c r="C223" t="s">
        <v>3284</v>
      </c>
      <c r="D223" s="55" t="str">
        <f>VLOOKUP(VLOOKUP(Q223,'⚪设计'!$A$253:$G$273,3+UnitCfg!R223,FALSE),'⚪设计'!$B$85:$C$113,2,FALSE)</f>
        <v>ResUnit_MiFeng3</v>
      </c>
      <c r="E223" s="55">
        <f>VLOOKUP(D223,'⚪设计'!$C$85:$I$113,5,FALSE)*VLOOKUP(UnitCfg!Q223,无限模式!$A$3:$C$22,3,FALSE)</f>
        <v>1.4375</v>
      </c>
      <c r="F223">
        <v>400</v>
      </c>
      <c r="G223" t="b">
        <v>1</v>
      </c>
      <c r="H223">
        <v>1</v>
      </c>
      <c r="I223">
        <v>1</v>
      </c>
      <c r="J223">
        <v>0.5</v>
      </c>
      <c r="K223" s="55">
        <f>VLOOKUP(D223,'⚪设计'!$C$85:$I$113,6,FALSE)</f>
        <v>2.5</v>
      </c>
      <c r="L223" t="s">
        <v>3416</v>
      </c>
      <c r="M223" t="s">
        <v>468</v>
      </c>
      <c r="N223" t="s">
        <v>469</v>
      </c>
      <c r="O223" t="s">
        <v>470</v>
      </c>
      <c r="P223" s="57" t="str">
        <f>IF(VLOOKUP(D223,'⚪设计'!$C$85:$I$113,7,FALSE)="","",VLOOKUP(D223,'⚪设计'!$C$85:$I$113,7,FALSE))</f>
        <v/>
      </c>
      <c r="Q223" s="110">
        <v>4</v>
      </c>
      <c r="R223" s="110">
        <v>1</v>
      </c>
      <c r="S223" s="110"/>
    </row>
    <row r="224" spans="2:19" x14ac:dyDescent="0.2">
      <c r="B224" t="s">
        <v>3417</v>
      </c>
      <c r="C224" t="s">
        <v>3285</v>
      </c>
      <c r="D224" s="55" t="str">
        <f>VLOOKUP(VLOOKUP(Q224,'⚪设计'!$A$253:$G$273,3+UnitCfg!R224,FALSE),'⚪设计'!$B$85:$C$113,2,FALSE)</f>
        <v>ResUnit_Rou1</v>
      </c>
      <c r="E224" s="55">
        <f>VLOOKUP(D224,'⚪设计'!$C$85:$I$113,5,FALSE)*VLOOKUP(UnitCfg!Q224,无限模式!$A$3:$C$22,3,FALSE)</f>
        <v>2.2999999999999998</v>
      </c>
      <c r="F224">
        <v>400</v>
      </c>
      <c r="G224" t="b">
        <v>1</v>
      </c>
      <c r="H224">
        <v>1</v>
      </c>
      <c r="I224">
        <v>1</v>
      </c>
      <c r="J224">
        <v>0.5</v>
      </c>
      <c r="K224" s="55">
        <f>VLOOKUP(D224,'⚪设计'!$C$85:$I$113,6,FALSE)</f>
        <v>1</v>
      </c>
      <c r="L224" t="s">
        <v>3418</v>
      </c>
      <c r="M224" t="s">
        <v>468</v>
      </c>
      <c r="N224" t="s">
        <v>469</v>
      </c>
      <c r="O224" t="s">
        <v>470</v>
      </c>
      <c r="P224" s="57" t="str">
        <f>IF(VLOOKUP(D224,'⚪设计'!$C$85:$I$113,7,FALSE)="","",VLOOKUP(D224,'⚪设计'!$C$85:$I$113,7,FALSE))</f>
        <v/>
      </c>
      <c r="Q224" s="110">
        <v>4</v>
      </c>
      <c r="R224" s="110">
        <v>2</v>
      </c>
      <c r="S224" s="110"/>
    </row>
    <row r="225" spans="2:19" x14ac:dyDescent="0.2">
      <c r="B225" t="s">
        <v>3419</v>
      </c>
      <c r="C225" t="s">
        <v>3286</v>
      </c>
      <c r="D225" s="55" t="str">
        <f>VLOOKUP(VLOOKUP(Q225,'⚪设计'!$A$253:$G$273,3+UnitCfg!R225,FALSE),'⚪设计'!$B$85:$C$113,2,FALSE)</f>
        <v>ResUnit_Rou1</v>
      </c>
      <c r="E225" s="55">
        <f>VLOOKUP(D225,'⚪设计'!$C$85:$I$113,5,FALSE)*VLOOKUP(UnitCfg!Q225,无限模式!$A$3:$C$22,3,FALSE)</f>
        <v>2.4</v>
      </c>
      <c r="F225">
        <v>400</v>
      </c>
      <c r="G225" t="b">
        <v>1</v>
      </c>
      <c r="H225">
        <v>1</v>
      </c>
      <c r="I225">
        <v>1</v>
      </c>
      <c r="J225">
        <v>0.5</v>
      </c>
      <c r="K225" s="55">
        <f>VLOOKUP(D225,'⚪设计'!$C$85:$I$113,6,FALSE)</f>
        <v>1</v>
      </c>
      <c r="L225" t="s">
        <v>3420</v>
      </c>
      <c r="M225" t="s">
        <v>468</v>
      </c>
      <c r="N225" t="s">
        <v>469</v>
      </c>
      <c r="O225" t="s">
        <v>470</v>
      </c>
      <c r="P225" s="57" t="str">
        <f>IF(VLOOKUP(D225,'⚪设计'!$C$85:$I$113,7,FALSE)="","",VLOOKUP(D225,'⚪设计'!$C$85:$I$113,7,FALSE))</f>
        <v/>
      </c>
      <c r="Q225" s="110">
        <v>5</v>
      </c>
      <c r="R225" s="110">
        <v>1</v>
      </c>
      <c r="S225" s="110"/>
    </row>
    <row r="226" spans="2:19" x14ac:dyDescent="0.2">
      <c r="B226" t="s">
        <v>3421</v>
      </c>
      <c r="C226" t="s">
        <v>3287</v>
      </c>
      <c r="D226" s="55" t="str">
        <f>VLOOKUP(VLOOKUP(Q226,'⚪设计'!$A$253:$G$273,3+UnitCfg!R226,FALSE),'⚪设计'!$B$85:$C$113,2,FALSE)</f>
        <v>ResUnit_ZhiZhu1</v>
      </c>
      <c r="E226" s="55">
        <f>VLOOKUP(D226,'⚪设计'!$C$85:$I$113,5,FALSE)*VLOOKUP(UnitCfg!Q226,无限模式!$A$3:$C$22,3,FALSE)</f>
        <v>3.5999999999999996</v>
      </c>
      <c r="F226">
        <v>400</v>
      </c>
      <c r="G226" t="b">
        <v>1</v>
      </c>
      <c r="H226">
        <v>1</v>
      </c>
      <c r="I226">
        <v>1</v>
      </c>
      <c r="J226">
        <v>0.5</v>
      </c>
      <c r="K226" s="55">
        <f>VLOOKUP(D226,'⚪设计'!$C$85:$I$113,6,FALSE)</f>
        <v>1</v>
      </c>
      <c r="L226" t="s">
        <v>3422</v>
      </c>
      <c r="M226" t="s">
        <v>468</v>
      </c>
      <c r="N226" t="s">
        <v>469</v>
      </c>
      <c r="O226" t="s">
        <v>470</v>
      </c>
      <c r="P226" s="57" t="str">
        <f>IF(VLOOKUP(D226,'⚪设计'!$C$85:$I$113,7,FALSE)="","",VLOOKUP(D226,'⚪设计'!$C$85:$I$113,7,FALSE))</f>
        <v/>
      </c>
      <c r="Q226" s="110">
        <v>5</v>
      </c>
      <c r="R226" s="110">
        <v>2</v>
      </c>
      <c r="S226" s="110"/>
    </row>
    <row r="227" spans="2:19" x14ac:dyDescent="0.2">
      <c r="B227" t="s">
        <v>3423</v>
      </c>
      <c r="C227" t="s">
        <v>3288</v>
      </c>
      <c r="D227" s="55" t="str">
        <f>VLOOKUP(VLOOKUP(Q227,'⚪设计'!$A$253:$G$273,3+UnitCfg!R227,FALSE),'⚪设计'!$B$85:$C$113,2,FALSE)</f>
        <v>ResUnit_MiFeng2</v>
      </c>
      <c r="E227" s="55">
        <f>VLOOKUP(D227,'⚪设计'!$C$85:$I$113,5,FALSE)*VLOOKUP(UnitCfg!Q227,无限模式!$A$3:$C$22,3,FALSE)</f>
        <v>2.5</v>
      </c>
      <c r="F227">
        <v>400</v>
      </c>
      <c r="G227" t="b">
        <v>1</v>
      </c>
      <c r="H227">
        <v>1</v>
      </c>
      <c r="I227">
        <v>1</v>
      </c>
      <c r="J227">
        <v>0.5</v>
      </c>
      <c r="K227" s="55">
        <f>VLOOKUP(D227,'⚪设计'!$C$85:$I$113,6,FALSE)</f>
        <v>1.5</v>
      </c>
      <c r="L227" t="s">
        <v>3424</v>
      </c>
      <c r="M227" t="s">
        <v>468</v>
      </c>
      <c r="N227" t="s">
        <v>469</v>
      </c>
      <c r="O227" t="s">
        <v>470</v>
      </c>
      <c r="P227" s="57" t="str">
        <f>IF(VLOOKUP(D227,'⚪设计'!$C$85:$I$113,7,FALSE)="","",VLOOKUP(D227,'⚪设计'!$C$85:$I$113,7,FALSE))</f>
        <v/>
      </c>
      <c r="Q227" s="110">
        <v>6</v>
      </c>
      <c r="R227" s="110">
        <v>1</v>
      </c>
      <c r="S227" s="110"/>
    </row>
    <row r="228" spans="2:19" x14ac:dyDescent="0.2">
      <c r="B228" t="s">
        <v>3425</v>
      </c>
      <c r="C228" t="s">
        <v>3289</v>
      </c>
      <c r="D228" s="55" t="str">
        <f>VLOOKUP(VLOOKUP(Q228,'⚪设计'!$A$253:$G$273,3+UnitCfg!R228,FALSE),'⚪设计'!$B$85:$C$113,2,FALSE)</f>
        <v>ResUnit_Rou1</v>
      </c>
      <c r="E228" s="55">
        <f>VLOOKUP(D228,'⚪设计'!$C$85:$I$113,5,FALSE)*VLOOKUP(UnitCfg!Q228,无限模式!$A$3:$C$22,3,FALSE)</f>
        <v>2.5</v>
      </c>
      <c r="F228">
        <v>400</v>
      </c>
      <c r="G228" t="b">
        <v>1</v>
      </c>
      <c r="H228">
        <v>1</v>
      </c>
      <c r="I228">
        <v>1</v>
      </c>
      <c r="J228">
        <v>0.5</v>
      </c>
      <c r="K228" s="55">
        <f>VLOOKUP(D228,'⚪设计'!$C$85:$I$113,6,FALSE)</f>
        <v>1</v>
      </c>
      <c r="L228" t="s">
        <v>3426</v>
      </c>
      <c r="M228" t="s">
        <v>468</v>
      </c>
      <c r="N228" t="s">
        <v>469</v>
      </c>
      <c r="O228" t="s">
        <v>470</v>
      </c>
      <c r="P228" s="57" t="str">
        <f>IF(VLOOKUP(D228,'⚪设计'!$C$85:$I$113,7,FALSE)="","",VLOOKUP(D228,'⚪设计'!$C$85:$I$113,7,FALSE))</f>
        <v/>
      </c>
      <c r="Q228" s="110">
        <v>6</v>
      </c>
      <c r="R228" s="110">
        <v>2</v>
      </c>
      <c r="S228" s="110"/>
    </row>
    <row r="229" spans="2:19" x14ac:dyDescent="0.2">
      <c r="B229" t="s">
        <v>3427</v>
      </c>
      <c r="C229" t="s">
        <v>3290</v>
      </c>
      <c r="D229" s="55" t="str">
        <f>VLOOKUP(VLOOKUP(Q229,'⚪设计'!$A$253:$G$273,3+UnitCfg!R229,FALSE),'⚪设计'!$B$85:$C$113,2,FALSE)</f>
        <v>ResUnit_Rou1</v>
      </c>
      <c r="E229" s="55">
        <f>VLOOKUP(D229,'⚪设计'!$C$85:$I$113,5,FALSE)*VLOOKUP(UnitCfg!Q229,无限模式!$A$3:$C$22,3,FALSE)</f>
        <v>2.6</v>
      </c>
      <c r="F229">
        <v>400</v>
      </c>
      <c r="G229" t="b">
        <v>1</v>
      </c>
      <c r="H229">
        <v>1</v>
      </c>
      <c r="I229">
        <v>1</v>
      </c>
      <c r="J229">
        <v>0.5</v>
      </c>
      <c r="K229" s="55">
        <f>VLOOKUP(D229,'⚪设计'!$C$85:$I$113,6,FALSE)</f>
        <v>1</v>
      </c>
      <c r="L229" t="s">
        <v>3428</v>
      </c>
      <c r="M229" t="s">
        <v>468</v>
      </c>
      <c r="N229" t="s">
        <v>469</v>
      </c>
      <c r="O229" t="s">
        <v>470</v>
      </c>
      <c r="P229" s="57" t="str">
        <f>IF(VLOOKUP(D229,'⚪设计'!$C$85:$I$113,7,FALSE)="","",VLOOKUP(D229,'⚪设计'!$C$85:$I$113,7,FALSE))</f>
        <v/>
      </c>
      <c r="Q229" s="110">
        <v>7</v>
      </c>
      <c r="R229" s="110">
        <v>1</v>
      </c>
      <c r="S229" s="110"/>
    </row>
    <row r="230" spans="2:19" x14ac:dyDescent="0.2">
      <c r="B230" t="s">
        <v>3429</v>
      </c>
      <c r="C230" t="s">
        <v>3291</v>
      </c>
      <c r="D230" s="55" t="str">
        <f>VLOOKUP(VLOOKUP(Q230,'⚪设计'!$A$253:$G$273,3+UnitCfg!R230,FALSE),'⚪设计'!$B$85:$C$113,2,FALSE)</f>
        <v>ResUnit_ZhiZhu1</v>
      </c>
      <c r="E230" s="55">
        <f>VLOOKUP(D230,'⚪设计'!$C$85:$I$113,5,FALSE)*VLOOKUP(UnitCfg!Q230,无限模式!$A$3:$C$22,3,FALSE)</f>
        <v>3.9000000000000004</v>
      </c>
      <c r="F230">
        <v>400</v>
      </c>
      <c r="G230" t="b">
        <v>1</v>
      </c>
      <c r="H230">
        <v>1</v>
      </c>
      <c r="I230">
        <v>1</v>
      </c>
      <c r="J230">
        <v>0.5</v>
      </c>
      <c r="K230" s="55">
        <f>VLOOKUP(D230,'⚪设计'!$C$85:$I$113,6,FALSE)</f>
        <v>1</v>
      </c>
      <c r="L230" t="s">
        <v>3430</v>
      </c>
      <c r="M230" t="s">
        <v>468</v>
      </c>
      <c r="N230" t="s">
        <v>469</v>
      </c>
      <c r="O230" t="s">
        <v>470</v>
      </c>
      <c r="P230" s="57" t="str">
        <f>IF(VLOOKUP(D230,'⚪设计'!$C$85:$I$113,7,FALSE)="","",VLOOKUP(D230,'⚪设计'!$C$85:$I$113,7,FALSE))</f>
        <v/>
      </c>
      <c r="Q230" s="110">
        <v>7</v>
      </c>
      <c r="R230" s="110">
        <v>2</v>
      </c>
      <c r="S230" s="110"/>
    </row>
    <row r="231" spans="2:19" x14ac:dyDescent="0.2">
      <c r="B231" t="s">
        <v>3431</v>
      </c>
      <c r="C231" t="s">
        <v>3292</v>
      </c>
      <c r="D231" s="55" t="str">
        <f>VLOOKUP(VLOOKUP(Q231,'⚪设计'!$A$253:$G$273,3+UnitCfg!R231,FALSE),'⚪设计'!$B$85:$C$113,2,FALSE)</f>
        <v>ResUnit_Rou1</v>
      </c>
      <c r="E231" s="55">
        <f>VLOOKUP(D231,'⚪设计'!$C$85:$I$113,5,FALSE)*VLOOKUP(UnitCfg!Q231,无限模式!$A$3:$C$22,3,FALSE)</f>
        <v>2.7</v>
      </c>
      <c r="F231">
        <v>400</v>
      </c>
      <c r="G231" t="b">
        <v>1</v>
      </c>
      <c r="H231">
        <v>1</v>
      </c>
      <c r="I231">
        <v>1</v>
      </c>
      <c r="J231">
        <v>0.5</v>
      </c>
      <c r="K231" s="55">
        <f>VLOOKUP(D231,'⚪设计'!$C$85:$I$113,6,FALSE)</f>
        <v>1</v>
      </c>
      <c r="L231" t="s">
        <v>3432</v>
      </c>
      <c r="M231" t="s">
        <v>468</v>
      </c>
      <c r="N231" t="s">
        <v>469</v>
      </c>
      <c r="O231" t="s">
        <v>470</v>
      </c>
      <c r="P231" s="57" t="str">
        <f>IF(VLOOKUP(D231,'⚪设计'!$C$85:$I$113,7,FALSE)="","",VLOOKUP(D231,'⚪设计'!$C$85:$I$113,7,FALSE))</f>
        <v/>
      </c>
      <c r="Q231" s="110">
        <v>8</v>
      </c>
      <c r="R231" s="110">
        <v>1</v>
      </c>
      <c r="S231" s="110"/>
    </row>
    <row r="232" spans="2:19" x14ac:dyDescent="0.2">
      <c r="B232" t="s">
        <v>3433</v>
      </c>
      <c r="C232" t="s">
        <v>3293</v>
      </c>
      <c r="D232" s="55" t="str">
        <f>VLOOKUP(VLOOKUP(Q232,'⚪设计'!$A$253:$G$273,3+UnitCfg!R232,FALSE),'⚪设计'!$B$85:$C$113,2,FALSE)</f>
        <v>ResUnit_ZhiZhu3</v>
      </c>
      <c r="E232" s="55">
        <f>VLOOKUP(D232,'⚪设计'!$C$85:$I$113,5,FALSE)*VLOOKUP(UnitCfg!Q232,无限模式!$A$3:$C$22,3,FALSE)</f>
        <v>1.6875</v>
      </c>
      <c r="F232">
        <v>400</v>
      </c>
      <c r="G232" t="b">
        <v>1</v>
      </c>
      <c r="H232">
        <v>1</v>
      </c>
      <c r="I232">
        <v>1</v>
      </c>
      <c r="J232">
        <v>0.5</v>
      </c>
      <c r="K232" s="55">
        <f>VLOOKUP(D232,'⚪设计'!$C$85:$I$113,6,FALSE)</f>
        <v>2.5</v>
      </c>
      <c r="L232" t="s">
        <v>3434</v>
      </c>
      <c r="M232" t="s">
        <v>468</v>
      </c>
      <c r="N232" t="s">
        <v>469</v>
      </c>
      <c r="O232" t="s">
        <v>470</v>
      </c>
      <c r="P232" s="57" t="str">
        <f>IF(VLOOKUP(D232,'⚪设计'!$C$85:$I$113,7,FALSE)="","",VLOOKUP(D232,'⚪设计'!$C$85:$I$113,7,FALSE))</f>
        <v/>
      </c>
      <c r="Q232" s="110">
        <v>8</v>
      </c>
      <c r="R232" s="110">
        <v>2</v>
      </c>
      <c r="S232" s="110"/>
    </row>
    <row r="233" spans="2:19" x14ac:dyDescent="0.2">
      <c r="B233" t="s">
        <v>3435</v>
      </c>
      <c r="C233" t="s">
        <v>3294</v>
      </c>
      <c r="D233" s="55" t="str">
        <f>VLOOKUP(VLOOKUP(Q233,'⚪设计'!$A$253:$G$273,3+UnitCfg!R233,FALSE),'⚪设计'!$B$85:$C$113,2,FALSE)</f>
        <v>ResUnit_Rou2</v>
      </c>
      <c r="E233" s="55">
        <f>VLOOKUP(D233,'⚪设计'!$C$85:$I$113,5,FALSE)*VLOOKUP(UnitCfg!Q233,无限模式!$A$3:$C$22,3,FALSE)</f>
        <v>2.8</v>
      </c>
      <c r="F233">
        <v>400</v>
      </c>
      <c r="G233" t="b">
        <v>1</v>
      </c>
      <c r="H233">
        <v>1</v>
      </c>
      <c r="I233">
        <v>1</v>
      </c>
      <c r="J233">
        <v>0.5</v>
      </c>
      <c r="K233" s="55">
        <f>VLOOKUP(D233,'⚪设计'!$C$85:$I$113,6,FALSE)</f>
        <v>1.5</v>
      </c>
      <c r="L233" t="s">
        <v>3436</v>
      </c>
      <c r="M233" t="s">
        <v>468</v>
      </c>
      <c r="N233" t="s">
        <v>469</v>
      </c>
      <c r="O233" t="s">
        <v>470</v>
      </c>
      <c r="P233" s="57" t="str">
        <f>IF(VLOOKUP(D233,'⚪设计'!$C$85:$I$113,7,FALSE)="","",VLOOKUP(D233,'⚪设计'!$C$85:$I$113,7,FALSE))</f>
        <v/>
      </c>
      <c r="Q233" s="110">
        <v>9</v>
      </c>
      <c r="R233" s="110">
        <v>1</v>
      </c>
      <c r="S233" s="110"/>
    </row>
    <row r="234" spans="2:19" x14ac:dyDescent="0.2">
      <c r="B234" t="s">
        <v>3437</v>
      </c>
      <c r="C234" t="s">
        <v>3295</v>
      </c>
      <c r="D234" s="55" t="str">
        <f>VLOOKUP(VLOOKUP(Q234,'⚪设计'!$A$253:$G$273,3+UnitCfg!R234,FALSE),'⚪设计'!$B$85:$C$113,2,FALSE)</f>
        <v>ResUnit_ZhongZi1</v>
      </c>
      <c r="E234" s="55">
        <f>VLOOKUP(D234,'⚪设计'!$C$85:$I$113,5,FALSE)*VLOOKUP(UnitCfg!Q234,无限模式!$A$3:$C$22,3,FALSE)</f>
        <v>2.8</v>
      </c>
      <c r="F234">
        <v>400</v>
      </c>
      <c r="G234" t="b">
        <v>1</v>
      </c>
      <c r="H234">
        <v>1</v>
      </c>
      <c r="I234">
        <v>1</v>
      </c>
      <c r="J234">
        <v>0.5</v>
      </c>
      <c r="K234" s="55">
        <f>VLOOKUP(D234,'⚪设计'!$C$85:$I$113,6,FALSE)</f>
        <v>1</v>
      </c>
      <c r="L234" t="s">
        <v>3438</v>
      </c>
      <c r="M234" t="s">
        <v>468</v>
      </c>
      <c r="N234" t="s">
        <v>469</v>
      </c>
      <c r="O234" t="s">
        <v>470</v>
      </c>
      <c r="P234" s="57" t="str">
        <f>IF(VLOOKUP(D234,'⚪设计'!$C$85:$I$113,7,FALSE)="","",VLOOKUP(D234,'⚪设计'!$C$85:$I$113,7,FALSE))</f>
        <v>Skill_Monster_Heal,NormalAttack</v>
      </c>
      <c r="Q234" s="110">
        <v>9</v>
      </c>
      <c r="R234" s="110">
        <v>2</v>
      </c>
      <c r="S234" s="110"/>
    </row>
    <row r="235" spans="2:19" x14ac:dyDescent="0.2">
      <c r="B235" t="s">
        <v>3439</v>
      </c>
      <c r="C235" t="s">
        <v>3296</v>
      </c>
      <c r="D235" s="55" t="str">
        <f>VLOOKUP(VLOOKUP(Q235,'⚪设计'!$A$253:$G$273,3+UnitCfg!R235,FALSE),'⚪设计'!$B$85:$C$113,2,FALSE)</f>
        <v>ResUnit_Rou2</v>
      </c>
      <c r="E235" s="55">
        <f>VLOOKUP(D235,'⚪设计'!$C$85:$I$113,5,FALSE)*VLOOKUP(UnitCfg!Q235,无限模式!$A$3:$C$22,3,FALSE)</f>
        <v>2.9</v>
      </c>
      <c r="F235">
        <v>400</v>
      </c>
      <c r="G235" t="b">
        <v>1</v>
      </c>
      <c r="H235">
        <v>1</v>
      </c>
      <c r="I235">
        <v>1</v>
      </c>
      <c r="J235">
        <v>0.5</v>
      </c>
      <c r="K235" s="55">
        <f>VLOOKUP(D235,'⚪设计'!$C$85:$I$113,6,FALSE)</f>
        <v>1.5</v>
      </c>
      <c r="L235" t="s">
        <v>3440</v>
      </c>
      <c r="M235" t="s">
        <v>468</v>
      </c>
      <c r="N235" t="s">
        <v>469</v>
      </c>
      <c r="O235" t="s">
        <v>470</v>
      </c>
      <c r="P235" s="57" t="s">
        <v>3661</v>
      </c>
      <c r="Q235" s="110">
        <v>10</v>
      </c>
      <c r="R235" s="110">
        <v>1</v>
      </c>
      <c r="S235" s="110"/>
    </row>
    <row r="236" spans="2:19" x14ac:dyDescent="0.2">
      <c r="B236" t="s">
        <v>3441</v>
      </c>
      <c r="C236" t="s">
        <v>3297</v>
      </c>
      <c r="D236" s="55" t="str">
        <f>VLOOKUP(VLOOKUP(Q236,'⚪设计'!$A$253:$G$273,3+UnitCfg!R236,FALSE),'⚪设计'!$B$85:$C$113,2,FALSE)</f>
        <v>ResUnit_ZhongZi1</v>
      </c>
      <c r="E236" s="55">
        <f>VLOOKUP(D236,'⚪设计'!$C$85:$I$113,5,FALSE)*VLOOKUP(UnitCfg!Q236,无限模式!$A$3:$C$22,3,FALSE)</f>
        <v>2.9</v>
      </c>
      <c r="F236">
        <v>400</v>
      </c>
      <c r="G236" t="b">
        <v>1</v>
      </c>
      <c r="H236">
        <v>1</v>
      </c>
      <c r="I236">
        <v>1</v>
      </c>
      <c r="J236">
        <v>0.5</v>
      </c>
      <c r="K236" s="55">
        <f>VLOOKUP(D236,'⚪设计'!$C$85:$I$113,6,FALSE)</f>
        <v>1</v>
      </c>
      <c r="L236" t="s">
        <v>3442</v>
      </c>
      <c r="M236" t="s">
        <v>468</v>
      </c>
      <c r="N236" t="s">
        <v>469</v>
      </c>
      <c r="O236" t="s">
        <v>470</v>
      </c>
      <c r="P236" s="57" t="str">
        <f>IF(VLOOKUP(D236,'⚪设计'!$C$85:$I$113,7,FALSE)="","",VLOOKUP(D236,'⚪设计'!$C$85:$I$113,7,FALSE))</f>
        <v>Skill_Monster_Heal,NormalAttack</v>
      </c>
      <c r="Q236" s="110">
        <v>10</v>
      </c>
      <c r="R236" s="110">
        <v>2</v>
      </c>
      <c r="S236" s="110"/>
    </row>
    <row r="237" spans="2:19" x14ac:dyDescent="0.2">
      <c r="B237" t="s">
        <v>3443</v>
      </c>
      <c r="C237" t="s">
        <v>3298</v>
      </c>
      <c r="D237" s="55" t="str">
        <f>VLOOKUP(VLOOKUP(Q237,'⚪设计'!$A$253:$G$273,3+UnitCfg!R237,FALSE),'⚪设计'!$B$85:$C$113,2,FALSE)</f>
        <v>ResUnit_Rou2</v>
      </c>
      <c r="E237" s="55">
        <f>VLOOKUP(D237,'⚪设计'!$C$85:$I$113,5,FALSE)*VLOOKUP(UnitCfg!Q237,无限模式!$A$3:$C$22,3,FALSE)</f>
        <v>3</v>
      </c>
      <c r="F237">
        <v>400</v>
      </c>
      <c r="G237" t="b">
        <v>1</v>
      </c>
      <c r="H237">
        <v>1</v>
      </c>
      <c r="I237">
        <v>1</v>
      </c>
      <c r="J237">
        <v>0.5</v>
      </c>
      <c r="K237" s="55">
        <f>VLOOKUP(D237,'⚪设计'!$C$85:$I$113,6,FALSE)</f>
        <v>1.5</v>
      </c>
      <c r="L237" t="s">
        <v>3444</v>
      </c>
      <c r="M237" t="s">
        <v>468</v>
      </c>
      <c r="N237" t="s">
        <v>469</v>
      </c>
      <c r="O237" t="s">
        <v>470</v>
      </c>
      <c r="P237" s="57" t="str">
        <f>IF(VLOOKUP(D237,'⚪设计'!$C$85:$I$113,7,FALSE)="","",VLOOKUP(D237,'⚪设计'!$C$85:$I$113,7,FALSE))</f>
        <v/>
      </c>
      <c r="Q237" s="110">
        <v>11</v>
      </c>
      <c r="R237" s="110">
        <v>1</v>
      </c>
      <c r="S237" s="110"/>
    </row>
    <row r="238" spans="2:19" x14ac:dyDescent="0.2">
      <c r="B238" t="s">
        <v>3445</v>
      </c>
      <c r="C238" t="s">
        <v>3299</v>
      </c>
      <c r="D238" s="55" t="str">
        <f>VLOOKUP(VLOOKUP(Q238,'⚪设计'!$A$253:$G$273,3+UnitCfg!R238,FALSE),'⚪设计'!$B$85:$C$113,2,FALSE)</f>
        <v>ResUnit_ZhiZhu2</v>
      </c>
      <c r="E238" s="55">
        <f>VLOOKUP(D238,'⚪设计'!$C$85:$I$113,5,FALSE)*VLOOKUP(UnitCfg!Q238,无限模式!$A$3:$C$22,3,FALSE)</f>
        <v>4.5</v>
      </c>
      <c r="F238">
        <v>400</v>
      </c>
      <c r="G238" t="b">
        <v>1</v>
      </c>
      <c r="H238">
        <v>1</v>
      </c>
      <c r="I238">
        <v>1</v>
      </c>
      <c r="J238">
        <v>0.5</v>
      </c>
      <c r="K238" s="55">
        <f>VLOOKUP(D238,'⚪设计'!$C$85:$I$113,6,FALSE)</f>
        <v>1.5</v>
      </c>
      <c r="L238" t="s">
        <v>3446</v>
      </c>
      <c r="M238" t="s">
        <v>468</v>
      </c>
      <c r="N238" t="s">
        <v>469</v>
      </c>
      <c r="O238" t="s">
        <v>470</v>
      </c>
      <c r="P238" s="57" t="str">
        <f>IF(VLOOKUP(D238,'⚪设计'!$C$85:$I$113,7,FALSE)="","",VLOOKUP(D238,'⚪设计'!$C$85:$I$113,7,FALSE))</f>
        <v/>
      </c>
      <c r="Q238" s="110">
        <v>11</v>
      </c>
      <c r="R238" s="110">
        <v>2</v>
      </c>
      <c r="S238" s="110"/>
    </row>
    <row r="239" spans="2:19" x14ac:dyDescent="0.2">
      <c r="B239" t="s">
        <v>3447</v>
      </c>
      <c r="C239" t="s">
        <v>3300</v>
      </c>
      <c r="D239" s="55" t="str">
        <f>VLOOKUP(VLOOKUP(Q239,'⚪设计'!$A$253:$G$273,3+UnitCfg!R239,FALSE),'⚪设计'!$B$85:$C$113,2,FALSE)</f>
        <v>ResUnit_Rou2</v>
      </c>
      <c r="E239" s="55">
        <f>VLOOKUP(D239,'⚪设计'!$C$85:$I$113,5,FALSE)*VLOOKUP(UnitCfg!Q239,无限模式!$A$3:$C$22,3,FALSE)</f>
        <v>3.1</v>
      </c>
      <c r="F239">
        <v>400</v>
      </c>
      <c r="G239" t="b">
        <v>1</v>
      </c>
      <c r="H239">
        <v>1</v>
      </c>
      <c r="I239">
        <v>1</v>
      </c>
      <c r="J239">
        <v>0.5</v>
      </c>
      <c r="K239" s="55">
        <f>VLOOKUP(D239,'⚪设计'!$C$85:$I$113,6,FALSE)</f>
        <v>1.5</v>
      </c>
      <c r="L239" t="s">
        <v>3448</v>
      </c>
      <c r="M239" t="s">
        <v>468</v>
      </c>
      <c r="N239" t="s">
        <v>469</v>
      </c>
      <c r="O239" t="s">
        <v>470</v>
      </c>
      <c r="P239" s="57" t="str">
        <f>IF(VLOOKUP(D239,'⚪设计'!$C$85:$I$113,7,FALSE)="","",VLOOKUP(D239,'⚪设计'!$C$85:$I$113,7,FALSE))</f>
        <v/>
      </c>
      <c r="Q239" s="110">
        <v>12</v>
      </c>
      <c r="R239" s="110">
        <v>1</v>
      </c>
      <c r="S239" s="110"/>
    </row>
    <row r="240" spans="2:19" x14ac:dyDescent="0.2">
      <c r="B240" t="s">
        <v>3449</v>
      </c>
      <c r="C240" t="s">
        <v>3301</v>
      </c>
      <c r="D240" s="55" t="str">
        <f>VLOOKUP(VLOOKUP(Q240,'⚪设计'!$A$253:$G$273,3+UnitCfg!R240,FALSE),'⚪设计'!$B$85:$C$113,2,FALSE)</f>
        <v>ResUnit_ZhongZi1</v>
      </c>
      <c r="E240" s="55">
        <f>VLOOKUP(D240,'⚪设计'!$C$85:$I$113,5,FALSE)*VLOOKUP(UnitCfg!Q240,无限模式!$A$3:$C$22,3,FALSE)</f>
        <v>3.1</v>
      </c>
      <c r="F240">
        <v>400</v>
      </c>
      <c r="G240" t="b">
        <v>1</v>
      </c>
      <c r="H240">
        <v>1</v>
      </c>
      <c r="I240">
        <v>1</v>
      </c>
      <c r="J240">
        <v>0.5</v>
      </c>
      <c r="K240" s="55">
        <f>VLOOKUP(D240,'⚪设计'!$C$85:$I$113,6,FALSE)</f>
        <v>1</v>
      </c>
      <c r="L240" t="s">
        <v>3450</v>
      </c>
      <c r="M240" t="s">
        <v>468</v>
      </c>
      <c r="N240" t="s">
        <v>469</v>
      </c>
      <c r="O240" t="s">
        <v>470</v>
      </c>
      <c r="P240" s="57" t="str">
        <f>IF(VLOOKUP(D240,'⚪设计'!$C$85:$I$113,7,FALSE)="","",VLOOKUP(D240,'⚪设计'!$C$85:$I$113,7,FALSE))</f>
        <v>Skill_Monster_Heal,NormalAttack</v>
      </c>
      <c r="Q240" s="110">
        <v>12</v>
      </c>
      <c r="R240" s="110">
        <v>2</v>
      </c>
      <c r="S240" s="110"/>
    </row>
    <row r="241" spans="2:19" x14ac:dyDescent="0.2">
      <c r="B241" t="s">
        <v>3451</v>
      </c>
      <c r="C241" t="s">
        <v>3302</v>
      </c>
      <c r="D241" s="55" t="str">
        <f>VLOOKUP(VLOOKUP(Q241,'⚪设计'!$A$253:$G$273,3+UnitCfg!R241,FALSE),'⚪设计'!$B$85:$C$113,2,FALSE)</f>
        <v>ResUnit_ZhongZi3</v>
      </c>
      <c r="E241" s="55">
        <f>VLOOKUP(D241,'⚪设计'!$C$85:$I$113,5,FALSE)*VLOOKUP(UnitCfg!Q241,无限模式!$A$3:$C$22,3,FALSE)</f>
        <v>1.9375</v>
      </c>
      <c r="F241">
        <v>400</v>
      </c>
      <c r="G241" t="b">
        <v>1</v>
      </c>
      <c r="H241">
        <v>1</v>
      </c>
      <c r="I241">
        <v>1</v>
      </c>
      <c r="J241">
        <v>0.5</v>
      </c>
      <c r="K241" s="55">
        <f>VLOOKUP(D241,'⚪设计'!$C$85:$I$113,6,FALSE)</f>
        <v>2.5</v>
      </c>
      <c r="L241" t="s">
        <v>3452</v>
      </c>
      <c r="M241" t="s">
        <v>468</v>
      </c>
      <c r="N241" t="s">
        <v>469</v>
      </c>
      <c r="O241" t="s">
        <v>470</v>
      </c>
      <c r="P241" s="57" t="str">
        <f>IF(VLOOKUP(D241,'⚪设计'!$C$85:$I$113,7,FALSE)="","",VLOOKUP(D241,'⚪设计'!$C$85:$I$113,7,FALSE))</f>
        <v>Skill_Monster_Heal,NormalAttack</v>
      </c>
      <c r="Q241" s="110">
        <v>12</v>
      </c>
      <c r="R241" s="110">
        <v>3</v>
      </c>
      <c r="S241" s="110"/>
    </row>
    <row r="242" spans="2:19" x14ac:dyDescent="0.2">
      <c r="B242" t="s">
        <v>3453</v>
      </c>
      <c r="C242" t="s">
        <v>3303</v>
      </c>
      <c r="D242" s="55" t="str">
        <f>VLOOKUP(VLOOKUP(Q242,'⚪设计'!$A$253:$G$273,3+UnitCfg!R242,FALSE),'⚪设计'!$B$85:$C$113,2,FALSE)</f>
        <v>ResUnit_Gui1</v>
      </c>
      <c r="E242" s="55">
        <f>VLOOKUP(D242,'⚪设计'!$C$85:$I$113,5,FALSE)*VLOOKUP(UnitCfg!Q242,无限模式!$A$3:$C$22,3,FALSE)</f>
        <v>3.2</v>
      </c>
      <c r="F242">
        <v>400</v>
      </c>
      <c r="G242" t="b">
        <v>1</v>
      </c>
      <c r="H242">
        <v>1</v>
      </c>
      <c r="I242">
        <v>1</v>
      </c>
      <c r="J242">
        <v>0.5</v>
      </c>
      <c r="K242" s="55">
        <f>VLOOKUP(D242,'⚪设计'!$C$85:$I$113,6,FALSE)</f>
        <v>1</v>
      </c>
      <c r="L242" t="s">
        <v>3454</v>
      </c>
      <c r="M242" t="s">
        <v>468</v>
      </c>
      <c r="N242" t="s">
        <v>469</v>
      </c>
      <c r="O242" t="s">
        <v>470</v>
      </c>
      <c r="P242" s="57" t="str">
        <f>IF(VLOOKUP(D242,'⚪设计'!$C$85:$I$113,7,FALSE)="","",VLOOKUP(D242,'⚪设计'!$C$85:$I$113,7,FALSE))</f>
        <v>Skill_Monster_Invisible,NormalAttack</v>
      </c>
      <c r="Q242" s="110">
        <v>13</v>
      </c>
      <c r="R242" s="110">
        <v>1</v>
      </c>
      <c r="S242" s="110"/>
    </row>
    <row r="243" spans="2:19" x14ac:dyDescent="0.2">
      <c r="B243" t="s">
        <v>3455</v>
      </c>
      <c r="C243" t="s">
        <v>3304</v>
      </c>
      <c r="D243" s="55" t="str">
        <f>VLOOKUP(VLOOKUP(Q243,'⚪设计'!$A$253:$G$273,3+UnitCfg!R243,FALSE),'⚪设计'!$B$85:$C$113,2,FALSE)</f>
        <v>ResUnit_Gui1</v>
      </c>
      <c r="E243" s="55">
        <f>VLOOKUP(D243,'⚪设计'!$C$85:$I$113,5,FALSE)*VLOOKUP(UnitCfg!Q243,无限模式!$A$3:$C$22,3,FALSE)</f>
        <v>3.3</v>
      </c>
      <c r="F243">
        <v>400</v>
      </c>
      <c r="G243" t="b">
        <v>1</v>
      </c>
      <c r="H243">
        <v>1</v>
      </c>
      <c r="I243">
        <v>1</v>
      </c>
      <c r="J243">
        <v>0.5</v>
      </c>
      <c r="K243" s="55">
        <f>VLOOKUP(D243,'⚪设计'!$C$85:$I$113,6,FALSE)</f>
        <v>1</v>
      </c>
      <c r="L243" t="s">
        <v>3456</v>
      </c>
      <c r="M243" t="s">
        <v>468</v>
      </c>
      <c r="N243" t="s">
        <v>469</v>
      </c>
      <c r="O243" t="s">
        <v>470</v>
      </c>
      <c r="P243" s="57" t="str">
        <f>IF(VLOOKUP(D243,'⚪设计'!$C$85:$I$113,7,FALSE)="","",VLOOKUP(D243,'⚪设计'!$C$85:$I$113,7,FALSE))</f>
        <v>Skill_Monster_Invisible,NormalAttack</v>
      </c>
      <c r="Q243" s="110">
        <v>14</v>
      </c>
      <c r="R243" s="110">
        <v>1</v>
      </c>
      <c r="S243" s="110"/>
    </row>
    <row r="244" spans="2:19" x14ac:dyDescent="0.2">
      <c r="B244" t="s">
        <v>3457</v>
      </c>
      <c r="C244" t="s">
        <v>3305</v>
      </c>
      <c r="D244" s="55" t="str">
        <f>VLOOKUP(VLOOKUP(Q244,'⚪设计'!$A$253:$G$273,3+UnitCfg!R244,FALSE),'⚪设计'!$B$85:$C$113,2,FALSE)</f>
        <v>ResUnit_Rou2</v>
      </c>
      <c r="E244" s="55">
        <f>VLOOKUP(D244,'⚪设计'!$C$85:$I$113,5,FALSE)*VLOOKUP(UnitCfg!Q244,无限模式!$A$3:$C$22,3,FALSE)</f>
        <v>3.3</v>
      </c>
      <c r="F244">
        <v>400</v>
      </c>
      <c r="G244" t="b">
        <v>1</v>
      </c>
      <c r="H244">
        <v>1</v>
      </c>
      <c r="I244">
        <v>1</v>
      </c>
      <c r="J244">
        <v>0.5</v>
      </c>
      <c r="K244" s="55">
        <f>VLOOKUP(D244,'⚪设计'!$C$85:$I$113,6,FALSE)</f>
        <v>1.5</v>
      </c>
      <c r="L244" t="s">
        <v>3458</v>
      </c>
      <c r="M244" t="s">
        <v>468</v>
      </c>
      <c r="N244" t="s">
        <v>469</v>
      </c>
      <c r="O244" t="s">
        <v>470</v>
      </c>
      <c r="P244" s="57" t="str">
        <f>IF(VLOOKUP(D244,'⚪设计'!$C$85:$I$113,7,FALSE)="","",VLOOKUP(D244,'⚪设计'!$C$85:$I$113,7,FALSE))</f>
        <v/>
      </c>
      <c r="Q244" s="110">
        <v>14</v>
      </c>
      <c r="R244" s="110">
        <v>2</v>
      </c>
      <c r="S244" s="110"/>
    </row>
    <row r="245" spans="2:19" x14ac:dyDescent="0.2">
      <c r="B245" t="s">
        <v>3459</v>
      </c>
      <c r="C245" t="s">
        <v>3306</v>
      </c>
      <c r="D245" s="55" t="str">
        <f>VLOOKUP(VLOOKUP(Q245,'⚪设计'!$A$253:$G$273,3+UnitCfg!R245,FALSE),'⚪设计'!$B$85:$C$113,2,FALSE)</f>
        <v>ResUnit_Gui1</v>
      </c>
      <c r="E245" s="55">
        <f>VLOOKUP(D245,'⚪设计'!$C$85:$I$113,5,FALSE)*VLOOKUP(UnitCfg!Q245,无限模式!$A$3:$C$22,3,FALSE)</f>
        <v>3.4</v>
      </c>
      <c r="F245">
        <v>400</v>
      </c>
      <c r="G245" t="b">
        <v>1</v>
      </c>
      <c r="H245">
        <v>1</v>
      </c>
      <c r="I245">
        <v>1</v>
      </c>
      <c r="J245">
        <v>0.5</v>
      </c>
      <c r="K245" s="55">
        <f>VLOOKUP(D245,'⚪设计'!$C$85:$I$113,6,FALSE)</f>
        <v>1</v>
      </c>
      <c r="L245" t="s">
        <v>3460</v>
      </c>
      <c r="M245" t="s">
        <v>468</v>
      </c>
      <c r="N245" t="s">
        <v>469</v>
      </c>
      <c r="O245" t="s">
        <v>470</v>
      </c>
      <c r="P245" s="57" t="str">
        <f>IF(VLOOKUP(D245,'⚪设计'!$C$85:$I$113,7,FALSE)="","",VLOOKUP(D245,'⚪设计'!$C$85:$I$113,7,FALSE))</f>
        <v>Skill_Monster_Invisible,NormalAttack</v>
      </c>
      <c r="Q245" s="110">
        <v>15</v>
      </c>
      <c r="R245" s="110">
        <v>1</v>
      </c>
      <c r="S245" s="110"/>
    </row>
    <row r="246" spans="2:19" x14ac:dyDescent="0.2">
      <c r="B246" t="s">
        <v>3461</v>
      </c>
      <c r="C246" t="s">
        <v>3307</v>
      </c>
      <c r="D246" s="55" t="str">
        <f>VLOOKUP(VLOOKUP(Q246,'⚪设计'!$A$253:$G$273,3+UnitCfg!R246,FALSE),'⚪设计'!$B$85:$C$113,2,FALSE)</f>
        <v>ResUnit_ZhongZi2</v>
      </c>
      <c r="E246" s="55">
        <f>VLOOKUP(D246,'⚪设计'!$C$85:$I$113,5,FALSE)*VLOOKUP(UnitCfg!Q246,无限模式!$A$3:$C$22,3,FALSE)</f>
        <v>3.4</v>
      </c>
      <c r="F246">
        <v>400</v>
      </c>
      <c r="G246" t="b">
        <v>1</v>
      </c>
      <c r="H246">
        <v>1</v>
      </c>
      <c r="I246">
        <v>1</v>
      </c>
      <c r="J246">
        <v>0.5</v>
      </c>
      <c r="K246" s="55">
        <f>VLOOKUP(D246,'⚪设计'!$C$85:$I$113,6,FALSE)</f>
        <v>1.5</v>
      </c>
      <c r="L246" t="s">
        <v>3462</v>
      </c>
      <c r="M246" t="s">
        <v>468</v>
      </c>
      <c r="N246" t="s">
        <v>469</v>
      </c>
      <c r="O246" t="s">
        <v>470</v>
      </c>
      <c r="P246" s="57" t="str">
        <f>IF(VLOOKUP(D246,'⚪设计'!$C$85:$I$113,7,FALSE)="","",VLOOKUP(D246,'⚪设计'!$C$85:$I$113,7,FALSE))</f>
        <v>Skill_Monster_Heal,NormalAttack</v>
      </c>
      <c r="Q246" s="110">
        <v>15</v>
      </c>
      <c r="R246" s="110">
        <v>2</v>
      </c>
      <c r="S246" s="110"/>
    </row>
    <row r="247" spans="2:19" x14ac:dyDescent="0.2">
      <c r="B247" t="s">
        <v>3463</v>
      </c>
      <c r="C247" t="s">
        <v>3308</v>
      </c>
      <c r="D247" s="55" t="str">
        <f>VLOOKUP(VLOOKUP(Q247,'⚪设计'!$A$253:$G$273,3+UnitCfg!R247,FALSE),'⚪设计'!$B$85:$C$113,2,FALSE)</f>
        <v>ResUnit_Rou2</v>
      </c>
      <c r="E247" s="55">
        <f>VLOOKUP(D247,'⚪设计'!$C$85:$I$113,5,FALSE)*VLOOKUP(UnitCfg!Q247,无限模式!$A$3:$C$22,3,FALSE)</f>
        <v>3.5</v>
      </c>
      <c r="F247">
        <v>400</v>
      </c>
      <c r="G247" t="b">
        <v>1</v>
      </c>
      <c r="H247">
        <v>1</v>
      </c>
      <c r="I247">
        <v>1</v>
      </c>
      <c r="J247">
        <v>0.5</v>
      </c>
      <c r="K247" s="55">
        <f>VLOOKUP(D247,'⚪设计'!$C$85:$I$113,6,FALSE)</f>
        <v>1.5</v>
      </c>
      <c r="L247" t="s">
        <v>3464</v>
      </c>
      <c r="M247" t="s">
        <v>468</v>
      </c>
      <c r="N247" t="s">
        <v>469</v>
      </c>
      <c r="O247" t="s">
        <v>470</v>
      </c>
      <c r="P247" s="57" t="str">
        <f>IF(VLOOKUP(D247,'⚪设计'!$C$85:$I$113,7,FALSE)="","",VLOOKUP(D247,'⚪设计'!$C$85:$I$113,7,FALSE))</f>
        <v/>
      </c>
      <c r="Q247" s="110">
        <v>16</v>
      </c>
      <c r="R247" s="110">
        <v>1</v>
      </c>
      <c r="S247" s="110"/>
    </row>
    <row r="248" spans="2:19" x14ac:dyDescent="0.2">
      <c r="B248" t="s">
        <v>3465</v>
      </c>
      <c r="C248" t="s">
        <v>3309</v>
      </c>
      <c r="D248" s="55" t="str">
        <f>VLOOKUP(VLOOKUP(Q248,'⚪设计'!$A$253:$G$273,3+UnitCfg!R248,FALSE),'⚪设计'!$B$85:$C$113,2,FALSE)</f>
        <v>ResUnit_Gui3</v>
      </c>
      <c r="E248" s="55">
        <f>VLOOKUP(D248,'⚪设计'!$C$85:$I$113,5,FALSE)*VLOOKUP(UnitCfg!Q248,无限模式!$A$3:$C$22,3,FALSE)</f>
        <v>2.1875</v>
      </c>
      <c r="F248">
        <v>400</v>
      </c>
      <c r="G248" t="b">
        <v>1</v>
      </c>
      <c r="H248">
        <v>1</v>
      </c>
      <c r="I248">
        <v>1</v>
      </c>
      <c r="J248">
        <v>0.5</v>
      </c>
      <c r="K248" s="55">
        <f>VLOOKUP(D248,'⚪设计'!$C$85:$I$113,6,FALSE)</f>
        <v>2.5</v>
      </c>
      <c r="L248" t="s">
        <v>3466</v>
      </c>
      <c r="M248" t="s">
        <v>468</v>
      </c>
      <c r="N248" t="s">
        <v>469</v>
      </c>
      <c r="O248" t="s">
        <v>470</v>
      </c>
      <c r="P248" s="57" t="str">
        <f>IF(VLOOKUP(D248,'⚪设计'!$C$85:$I$113,7,FALSE)="","",VLOOKUP(D248,'⚪设计'!$C$85:$I$113,7,FALSE))</f>
        <v>Skill_Monster_Invisible,NormalAttack</v>
      </c>
      <c r="Q248" s="110">
        <v>16</v>
      </c>
      <c r="R248" s="110">
        <v>2</v>
      </c>
      <c r="S248" s="110"/>
    </row>
    <row r="249" spans="2:19" x14ac:dyDescent="0.2">
      <c r="B249" t="s">
        <v>3467</v>
      </c>
      <c r="C249" t="s">
        <v>3310</v>
      </c>
      <c r="D249" s="55" t="str">
        <f>VLOOKUP(VLOOKUP(Q249,'⚪设计'!$A$253:$G$273,3+UnitCfg!R249,FALSE),'⚪设计'!$B$85:$C$113,2,FALSE)</f>
        <v>ResUnit_Rou3</v>
      </c>
      <c r="E249" s="55">
        <f>VLOOKUP(D249,'⚪设计'!$C$85:$I$113,5,FALSE)*VLOOKUP(UnitCfg!Q249,无限模式!$A$3:$C$22,3,FALSE)</f>
        <v>3.6</v>
      </c>
      <c r="F249">
        <v>400</v>
      </c>
      <c r="G249" t="b">
        <v>1</v>
      </c>
      <c r="H249">
        <v>1</v>
      </c>
      <c r="I249">
        <v>1</v>
      </c>
      <c r="J249">
        <v>0.5</v>
      </c>
      <c r="K249" s="55">
        <f>VLOOKUP(D249,'⚪设计'!$C$85:$I$113,6,FALSE)</f>
        <v>2.5</v>
      </c>
      <c r="L249" t="s">
        <v>3468</v>
      </c>
      <c r="M249" t="s">
        <v>468</v>
      </c>
      <c r="N249" t="s">
        <v>469</v>
      </c>
      <c r="O249" t="s">
        <v>470</v>
      </c>
      <c r="P249" s="57" t="str">
        <f>IF(VLOOKUP(D249,'⚪设计'!$C$85:$I$113,7,FALSE)="","",VLOOKUP(D249,'⚪设计'!$C$85:$I$113,7,FALSE))</f>
        <v/>
      </c>
      <c r="Q249" s="110">
        <v>17</v>
      </c>
      <c r="R249" s="110">
        <v>1</v>
      </c>
      <c r="S249" s="110"/>
    </row>
    <row r="250" spans="2:19" x14ac:dyDescent="0.2">
      <c r="B250" t="s">
        <v>3469</v>
      </c>
      <c r="C250" t="s">
        <v>3311</v>
      </c>
      <c r="D250" s="55" t="str">
        <f>VLOOKUP(VLOOKUP(Q250,'⚪设计'!$A$253:$G$273,3+UnitCfg!R250,FALSE),'⚪设计'!$B$85:$C$113,2,FALSE)</f>
        <v>ResUnit_Dan2</v>
      </c>
      <c r="E250" s="55">
        <f>VLOOKUP(D250,'⚪设计'!$C$85:$I$113,5,FALSE)*VLOOKUP(UnitCfg!Q250,无限模式!$A$3:$C$22,3,FALSE)</f>
        <v>3.6</v>
      </c>
      <c r="F250">
        <v>400</v>
      </c>
      <c r="G250" t="b">
        <v>1</v>
      </c>
      <c r="H250">
        <v>1</v>
      </c>
      <c r="I250">
        <v>1</v>
      </c>
      <c r="J250">
        <v>0.5</v>
      </c>
      <c r="K250" s="55">
        <f>VLOOKUP(D250,'⚪设计'!$C$85:$I$113,6,FALSE)</f>
        <v>1.5</v>
      </c>
      <c r="L250" t="s">
        <v>3470</v>
      </c>
      <c r="M250" t="s">
        <v>468</v>
      </c>
      <c r="N250" t="s">
        <v>469</v>
      </c>
      <c r="O250" t="s">
        <v>470</v>
      </c>
      <c r="P250" s="57" t="str">
        <f>IF(VLOOKUP(D250,'⚪设计'!$C$85:$I$113,7,FALSE)="","",VLOOKUP(D250,'⚪设计'!$C$85:$I$113,7,FALSE))</f>
        <v>Skill_Monster_Weaken,NormalAttack</v>
      </c>
      <c r="Q250" s="110">
        <v>17</v>
      </c>
      <c r="R250" s="110">
        <v>2</v>
      </c>
      <c r="S250" s="110"/>
    </row>
    <row r="251" spans="2:19" x14ac:dyDescent="0.2">
      <c r="B251" t="s">
        <v>3471</v>
      </c>
      <c r="C251" t="s">
        <v>3312</v>
      </c>
      <c r="D251" s="55" t="str">
        <f>VLOOKUP(VLOOKUP(Q251,'⚪设计'!$A$253:$G$273,3+UnitCfg!R251,FALSE),'⚪设计'!$B$85:$C$113,2,FALSE)</f>
        <v>ResUnit_Dan2</v>
      </c>
      <c r="E251" s="55">
        <f>VLOOKUP(D251,'⚪设计'!$C$85:$I$113,5,FALSE)*VLOOKUP(UnitCfg!Q251,无限模式!$A$3:$C$22,3,FALSE)</f>
        <v>3.7</v>
      </c>
      <c r="F251">
        <v>400</v>
      </c>
      <c r="G251" t="b">
        <v>1</v>
      </c>
      <c r="H251">
        <v>1</v>
      </c>
      <c r="I251">
        <v>1</v>
      </c>
      <c r="J251">
        <v>0.5</v>
      </c>
      <c r="K251" s="55">
        <f>VLOOKUP(D251,'⚪设计'!$C$85:$I$113,6,FALSE)</f>
        <v>1.5</v>
      </c>
      <c r="L251" t="s">
        <v>3472</v>
      </c>
      <c r="M251" t="s">
        <v>468</v>
      </c>
      <c r="N251" t="s">
        <v>469</v>
      </c>
      <c r="O251" t="s">
        <v>470</v>
      </c>
      <c r="P251" s="57" t="str">
        <f>IF(VLOOKUP(D251,'⚪设计'!$C$85:$I$113,7,FALSE)="","",VLOOKUP(D251,'⚪设计'!$C$85:$I$113,7,FALSE))</f>
        <v>Skill_Monster_Weaken,NormalAttack</v>
      </c>
      <c r="Q251" s="110">
        <v>18</v>
      </c>
      <c r="R251" s="110">
        <v>1</v>
      </c>
      <c r="S251" s="110"/>
    </row>
    <row r="252" spans="2:19" x14ac:dyDescent="0.2">
      <c r="B252" t="s">
        <v>3473</v>
      </c>
      <c r="C252" t="s">
        <v>3313</v>
      </c>
      <c r="D252" s="55" t="str">
        <f>VLOOKUP(VLOOKUP(Q252,'⚪设计'!$A$253:$G$273,3+UnitCfg!R252,FALSE),'⚪设计'!$B$85:$C$113,2,FALSE)</f>
        <v>ResUnit_ZhiZhu2</v>
      </c>
      <c r="E252" s="55">
        <f>VLOOKUP(D252,'⚪设计'!$C$85:$I$113,5,FALSE)*VLOOKUP(UnitCfg!Q252,无限模式!$A$3:$C$22,3,FALSE)</f>
        <v>5.5500000000000007</v>
      </c>
      <c r="F252">
        <v>400</v>
      </c>
      <c r="G252" t="b">
        <v>1</v>
      </c>
      <c r="H252">
        <v>1</v>
      </c>
      <c r="I252">
        <v>1</v>
      </c>
      <c r="J252">
        <v>0.5</v>
      </c>
      <c r="K252" s="55">
        <f>VLOOKUP(D252,'⚪设计'!$C$85:$I$113,6,FALSE)</f>
        <v>1.5</v>
      </c>
      <c r="L252" t="s">
        <v>3474</v>
      </c>
      <c r="M252" t="s">
        <v>468</v>
      </c>
      <c r="N252" t="s">
        <v>469</v>
      </c>
      <c r="O252" t="s">
        <v>470</v>
      </c>
      <c r="P252" s="57" t="str">
        <f>IF(VLOOKUP(D252,'⚪设计'!$C$85:$I$113,7,FALSE)="","",VLOOKUP(D252,'⚪设计'!$C$85:$I$113,7,FALSE))</f>
        <v/>
      </c>
      <c r="Q252" s="110">
        <v>18</v>
      </c>
      <c r="R252" s="110">
        <v>2</v>
      </c>
      <c r="S252" s="110"/>
    </row>
    <row r="253" spans="2:19" x14ac:dyDescent="0.2">
      <c r="B253" t="s">
        <v>3475</v>
      </c>
      <c r="C253" t="s">
        <v>3314</v>
      </c>
      <c r="D253" s="55" t="str">
        <f>VLOOKUP(VLOOKUP(Q253,'⚪设计'!$A$253:$G$273,3+UnitCfg!R253,FALSE),'⚪设计'!$B$85:$C$113,2,FALSE)</f>
        <v>ResUnit_Dan2</v>
      </c>
      <c r="E253" s="55">
        <f>VLOOKUP(D253,'⚪设计'!$C$85:$I$113,5,FALSE)*VLOOKUP(UnitCfg!Q253,无限模式!$A$3:$C$22,3,FALSE)</f>
        <v>3.8</v>
      </c>
      <c r="F253">
        <v>400</v>
      </c>
      <c r="G253" t="b">
        <v>1</v>
      </c>
      <c r="H253">
        <v>1</v>
      </c>
      <c r="I253">
        <v>1</v>
      </c>
      <c r="J253">
        <v>0.5</v>
      </c>
      <c r="K253" s="55">
        <f>VLOOKUP(D253,'⚪设计'!$C$85:$I$113,6,FALSE)</f>
        <v>1.5</v>
      </c>
      <c r="L253" t="s">
        <v>3476</v>
      </c>
      <c r="M253" t="s">
        <v>468</v>
      </c>
      <c r="N253" t="s">
        <v>469</v>
      </c>
      <c r="O253" t="s">
        <v>470</v>
      </c>
      <c r="P253" s="57" t="str">
        <f>IF(VLOOKUP(D253,'⚪设计'!$C$85:$I$113,7,FALSE)="","",VLOOKUP(D253,'⚪设计'!$C$85:$I$113,7,FALSE))</f>
        <v>Skill_Monster_Weaken,NormalAttack</v>
      </c>
      <c r="Q253" s="110">
        <v>19</v>
      </c>
      <c r="R253" s="110">
        <v>1</v>
      </c>
      <c r="S253" s="110"/>
    </row>
    <row r="254" spans="2:19" x14ac:dyDescent="0.2">
      <c r="B254" t="s">
        <v>3477</v>
      </c>
      <c r="C254" t="s">
        <v>3315</v>
      </c>
      <c r="D254" s="55" t="str">
        <f>VLOOKUP(VLOOKUP(Q254,'⚪设计'!$A$253:$G$273,3+UnitCfg!R254,FALSE),'⚪设计'!$B$85:$C$113,2,FALSE)</f>
        <v>ResUnit_Rou3</v>
      </c>
      <c r="E254" s="55">
        <f>VLOOKUP(D254,'⚪设计'!$C$85:$I$113,5,FALSE)*VLOOKUP(UnitCfg!Q254,无限模式!$A$3:$C$22,3,FALSE)</f>
        <v>3.8</v>
      </c>
      <c r="F254">
        <v>400</v>
      </c>
      <c r="G254" t="b">
        <v>1</v>
      </c>
      <c r="H254">
        <v>1</v>
      </c>
      <c r="I254">
        <v>1</v>
      </c>
      <c r="J254">
        <v>0.5</v>
      </c>
      <c r="K254" s="55">
        <f>VLOOKUP(D254,'⚪设计'!$C$85:$I$113,6,FALSE)</f>
        <v>2.5</v>
      </c>
      <c r="L254" t="s">
        <v>3478</v>
      </c>
      <c r="M254" t="s">
        <v>468</v>
      </c>
      <c r="N254" t="s">
        <v>469</v>
      </c>
      <c r="O254" t="s">
        <v>470</v>
      </c>
      <c r="P254" s="57" t="str">
        <f>IF(VLOOKUP(D254,'⚪设计'!$C$85:$I$113,7,FALSE)="","",VLOOKUP(D254,'⚪设计'!$C$85:$I$113,7,FALSE))</f>
        <v/>
      </c>
      <c r="Q254" s="110">
        <v>19</v>
      </c>
      <c r="R254" s="110">
        <v>2</v>
      </c>
      <c r="S254" s="110"/>
    </row>
    <row r="255" spans="2:19" x14ac:dyDescent="0.2">
      <c r="B255" t="s">
        <v>3479</v>
      </c>
      <c r="C255" t="s">
        <v>3316</v>
      </c>
      <c r="D255" s="55" t="str">
        <f>VLOOKUP(VLOOKUP(Q255,'⚪设计'!$A$253:$G$273,3+UnitCfg!R255,FALSE),'⚪设计'!$B$85:$C$113,2,FALSE)</f>
        <v>ResUnit_ZhongZi2</v>
      </c>
      <c r="E255" s="55">
        <f>VLOOKUP(D255,'⚪设计'!$C$85:$I$113,5,FALSE)*VLOOKUP(UnitCfg!Q255,无限模式!$A$3:$C$22,3,FALSE)</f>
        <v>3.8</v>
      </c>
      <c r="F255">
        <v>400</v>
      </c>
      <c r="G255" t="b">
        <v>1</v>
      </c>
      <c r="H255">
        <v>1</v>
      </c>
      <c r="I255">
        <v>1</v>
      </c>
      <c r="J255">
        <v>0.5</v>
      </c>
      <c r="K255" s="55">
        <f>VLOOKUP(D255,'⚪设计'!$C$85:$I$113,6,FALSE)</f>
        <v>1.5</v>
      </c>
      <c r="L255" t="s">
        <v>3480</v>
      </c>
      <c r="M255" t="s">
        <v>468</v>
      </c>
      <c r="N255" t="s">
        <v>469</v>
      </c>
      <c r="O255" t="s">
        <v>470</v>
      </c>
      <c r="P255" s="57" t="str">
        <f>IF(VLOOKUP(D255,'⚪设计'!$C$85:$I$113,7,FALSE)="","",VLOOKUP(D255,'⚪设计'!$C$85:$I$113,7,FALSE))</f>
        <v>Skill_Monster_Heal,NormalAttack</v>
      </c>
      <c r="Q255" s="110">
        <v>19</v>
      </c>
      <c r="R255" s="110">
        <v>3</v>
      </c>
      <c r="S255" s="110"/>
    </row>
    <row r="256" spans="2:19" x14ac:dyDescent="0.2">
      <c r="B256" t="s">
        <v>3481</v>
      </c>
      <c r="C256" t="s">
        <v>3317</v>
      </c>
      <c r="D256" s="55" t="str">
        <f>VLOOKUP(VLOOKUP(Q256,'⚪设计'!$A$253:$G$273,3+UnitCfg!R256,FALSE),'⚪设计'!$B$85:$C$113,2,FALSE)</f>
        <v>ResUnit_Dan3</v>
      </c>
      <c r="E256" s="55">
        <f>VLOOKUP(D256,'⚪设计'!$C$85:$I$113,5,FALSE)*VLOOKUP(UnitCfg!Q256,无限模式!$A$3:$C$22,3,FALSE)</f>
        <v>2.4375</v>
      </c>
      <c r="F256">
        <v>400</v>
      </c>
      <c r="G256" t="b">
        <v>1</v>
      </c>
      <c r="H256">
        <v>1</v>
      </c>
      <c r="I256">
        <v>1</v>
      </c>
      <c r="J256">
        <v>0.5</v>
      </c>
      <c r="K256" s="55">
        <f>VLOOKUP(D256,'⚪设计'!$C$85:$I$113,6,FALSE)</f>
        <v>2.5</v>
      </c>
      <c r="L256" t="s">
        <v>3482</v>
      </c>
      <c r="M256" t="s">
        <v>468</v>
      </c>
      <c r="N256" t="s">
        <v>469</v>
      </c>
      <c r="O256" t="s">
        <v>470</v>
      </c>
      <c r="P256" s="57" t="str">
        <f>IF(VLOOKUP(D256,'⚪设计'!$C$85:$I$113,7,FALSE)="","",VLOOKUP(D256,'⚪设计'!$C$85:$I$113,7,FALSE))</f>
        <v>Skill_Monster_Weaken,NormalAttack</v>
      </c>
      <c r="Q256" s="110">
        <v>20</v>
      </c>
      <c r="R256" s="110">
        <v>1</v>
      </c>
      <c r="S256" s="110"/>
    </row>
    <row r="257" spans="2:19" x14ac:dyDescent="0.2">
      <c r="B257" t="s">
        <v>3483</v>
      </c>
      <c r="C257" t="s">
        <v>3318</v>
      </c>
      <c r="D257" s="55" t="str">
        <f>VLOOKUP(VLOOKUP(Q257,'⚪设计'!$A$253:$G$273,3+UnitCfg!R257,FALSE),'⚪设计'!$B$85:$C$113,2,FALSE)</f>
        <v>ResUnit_Gui2</v>
      </c>
      <c r="E257" s="55">
        <f>VLOOKUP(D257,'⚪设计'!$C$85:$I$113,5,FALSE)*VLOOKUP(UnitCfg!Q257,无限模式!$A$3:$C$22,3,FALSE)</f>
        <v>3.9</v>
      </c>
      <c r="F257">
        <v>400</v>
      </c>
      <c r="G257" t="b">
        <v>1</v>
      </c>
      <c r="H257">
        <v>1</v>
      </c>
      <c r="I257">
        <v>1</v>
      </c>
      <c r="J257">
        <v>0.5</v>
      </c>
      <c r="K257" s="55">
        <f>VLOOKUP(D257,'⚪设计'!$C$85:$I$113,6,FALSE)</f>
        <v>1.5</v>
      </c>
      <c r="L257" t="s">
        <v>3484</v>
      </c>
      <c r="M257" t="s">
        <v>468</v>
      </c>
      <c r="N257" t="s">
        <v>469</v>
      </c>
      <c r="O257" t="s">
        <v>470</v>
      </c>
      <c r="P257" s="57" t="str">
        <f>IF(VLOOKUP(D257,'⚪设计'!$C$85:$I$113,7,FALSE)="","",VLOOKUP(D257,'⚪设计'!$C$85:$I$113,7,FALSE))</f>
        <v>Skill_Monster_Invisible,NormalAttack</v>
      </c>
      <c r="Q257" s="110">
        <v>20</v>
      </c>
      <c r="R257" s="110">
        <v>2</v>
      </c>
      <c r="S257" s="110"/>
    </row>
    <row r="258" spans="2:19" x14ac:dyDescent="0.2">
      <c r="B258" t="s">
        <v>3485</v>
      </c>
      <c r="C258" t="s">
        <v>3319</v>
      </c>
      <c r="D258" s="55" t="str">
        <f>VLOOKUP(VLOOKUP(Q258,'⚪设计'!$A$253:$G$273,3+UnitCfg!R258,FALSE),'⚪设计'!$B$85:$C$113,2,FALSE)</f>
        <v>ResUnit_ZhongZi2</v>
      </c>
      <c r="E258" s="55">
        <f>VLOOKUP(D258,'⚪设计'!$C$85:$I$113,5,FALSE)*VLOOKUP(UnitCfg!Q258,无限模式!$A$3:$C$22,3,FALSE)</f>
        <v>3.9</v>
      </c>
      <c r="F258">
        <v>400</v>
      </c>
      <c r="G258" t="b">
        <v>1</v>
      </c>
      <c r="H258">
        <v>1</v>
      </c>
      <c r="I258">
        <v>1</v>
      </c>
      <c r="J258">
        <v>0.5</v>
      </c>
      <c r="K258" s="55">
        <f>VLOOKUP(D258,'⚪设计'!$C$85:$I$113,6,FALSE)</f>
        <v>1.5</v>
      </c>
      <c r="L258" t="s">
        <v>3486</v>
      </c>
      <c r="M258" t="s">
        <v>468</v>
      </c>
      <c r="N258" t="s">
        <v>469</v>
      </c>
      <c r="O258" t="s">
        <v>470</v>
      </c>
      <c r="P258" s="57" t="str">
        <f>IF(VLOOKUP(D258,'⚪设计'!$C$85:$I$113,7,FALSE)="","",VLOOKUP(D258,'⚪设计'!$C$85:$I$113,7,FALSE))</f>
        <v>Skill_Monster_Heal,NormalAttack</v>
      </c>
      <c r="Q258" s="110">
        <v>20</v>
      </c>
      <c r="R258" s="110">
        <v>3</v>
      </c>
      <c r="S258" s="110"/>
    </row>
    <row r="259" spans="2:19" x14ac:dyDescent="0.2">
      <c r="B259" t="s">
        <v>3487</v>
      </c>
      <c r="C259" t="s">
        <v>3320</v>
      </c>
      <c r="D259" s="55" t="str">
        <f>VLOOKUP(VLOOKUP(Q259,'⚪设计'!$A$253:$G$273,3+UnitCfg!R259,FALSE),'⚪设计'!$B$85:$C$113,2,FALSE)</f>
        <v>ResUnit_Rou3</v>
      </c>
      <c r="E259" s="55">
        <f>VLOOKUP(D259,'⚪设计'!$C$85:$I$113,5,FALSE)*VLOOKUP(UnitCfg!Q259,无限模式!$A$3:$C$22,3,FALSE)</f>
        <v>3.9</v>
      </c>
      <c r="F259">
        <v>400</v>
      </c>
      <c r="G259" t="b">
        <v>1</v>
      </c>
      <c r="H259">
        <v>1</v>
      </c>
      <c r="I259">
        <v>1</v>
      </c>
      <c r="J259">
        <v>0.5</v>
      </c>
      <c r="K259" s="55">
        <f>VLOOKUP(D259,'⚪设计'!$C$85:$I$113,6,FALSE)</f>
        <v>2.5</v>
      </c>
      <c r="L259" t="s">
        <v>3488</v>
      </c>
      <c r="M259" t="s">
        <v>468</v>
      </c>
      <c r="N259" t="s">
        <v>469</v>
      </c>
      <c r="O259" t="s">
        <v>470</v>
      </c>
      <c r="P259" s="57" t="str">
        <f>IF(VLOOKUP(D259,'⚪设计'!$C$85:$I$113,7,FALSE)="","",VLOOKUP(D259,'⚪设计'!$C$85:$I$113,7,FALSE))</f>
        <v/>
      </c>
      <c r="Q259" s="110">
        <v>20</v>
      </c>
      <c r="R259" s="110">
        <v>4</v>
      </c>
      <c r="S259" s="110"/>
    </row>
    <row r="260" spans="2:19" s="125" customFormat="1" x14ac:dyDescent="0.2"/>
    <row r="261" spans="2:19" x14ac:dyDescent="0.2">
      <c r="B261" t="s">
        <v>3489</v>
      </c>
      <c r="C261" t="s">
        <v>3321</v>
      </c>
      <c r="D261" s="55" t="str">
        <f>VLOOKUP(VLOOKUP(Q261,'⚪设计'!$A$277:$G$296,3+UnitCfg!R261,FALSE),'⚪设计'!$B$85:$C$113,2,FALSE)</f>
        <v>ResUnit_XueRen1</v>
      </c>
      <c r="E261" s="55">
        <f>VLOOKUP(D261,'⚪设计'!$C$85:$I$113,5,FALSE)*VLOOKUP(UnitCfg!Q261,无限模式!$A$3:$C$22,3,FALSE)</f>
        <v>2</v>
      </c>
      <c r="F261">
        <v>400</v>
      </c>
      <c r="G261" t="b">
        <v>1</v>
      </c>
      <c r="H261">
        <v>1</v>
      </c>
      <c r="I261">
        <v>1</v>
      </c>
      <c r="J261">
        <v>0.5</v>
      </c>
      <c r="K261" s="55">
        <f>VLOOKUP(D261,'⚪设计'!$C$85:$I$113,6,FALSE)</f>
        <v>1</v>
      </c>
      <c r="L261" t="s">
        <v>3490</v>
      </c>
      <c r="M261" t="s">
        <v>468</v>
      </c>
      <c r="N261" t="s">
        <v>469</v>
      </c>
      <c r="O261" t="s">
        <v>470</v>
      </c>
      <c r="P261" s="57" t="str">
        <f>IF(VLOOKUP(D261,'⚪设计'!$C$85:$I$113,7,FALSE)="","",VLOOKUP(D261,'⚪设计'!$C$85:$I$113,7,FALSE))</f>
        <v>Skill_Monster_XueRen1,NormalAttack</v>
      </c>
      <c r="Q261" s="110">
        <v>1</v>
      </c>
      <c r="R261" s="110">
        <v>1</v>
      </c>
      <c r="S261" s="110"/>
    </row>
    <row r="262" spans="2:19" x14ac:dyDescent="0.2">
      <c r="B262" t="s">
        <v>3491</v>
      </c>
      <c r="C262" t="s">
        <v>3322</v>
      </c>
      <c r="D262" s="55" t="str">
        <f>VLOOKUP(VLOOKUP(Q262,'⚪设计'!$A$277:$G$296,3+UnitCfg!R262,FALSE),'⚪设计'!$B$85:$C$113,2,FALSE)</f>
        <v>ResUnit_MiFeng1</v>
      </c>
      <c r="E262" s="55">
        <f>VLOOKUP(D262,'⚪设计'!$C$85:$I$113,5,FALSE)*VLOOKUP(UnitCfg!Q262,无限模式!$A$3:$C$22,3,FALSE)</f>
        <v>2.1</v>
      </c>
      <c r="F262">
        <v>400</v>
      </c>
      <c r="G262" t="b">
        <v>1</v>
      </c>
      <c r="H262">
        <v>1</v>
      </c>
      <c r="I262">
        <v>1</v>
      </c>
      <c r="J262">
        <v>0.5</v>
      </c>
      <c r="K262" s="55">
        <f>VLOOKUP(D262,'⚪设计'!$C$85:$I$113,6,FALSE)</f>
        <v>1</v>
      </c>
      <c r="L262" t="s">
        <v>3492</v>
      </c>
      <c r="M262" t="s">
        <v>468</v>
      </c>
      <c r="N262" t="s">
        <v>469</v>
      </c>
      <c r="O262" t="s">
        <v>470</v>
      </c>
      <c r="P262" s="57" t="str">
        <f>IF(VLOOKUP(D262,'⚪设计'!$C$85:$I$113,7,FALSE)="","",VLOOKUP(D262,'⚪设计'!$C$85:$I$113,7,FALSE))</f>
        <v/>
      </c>
      <c r="Q262" s="110">
        <v>2</v>
      </c>
      <c r="R262" s="110">
        <v>1</v>
      </c>
      <c r="S262" s="110"/>
    </row>
    <row r="263" spans="2:19" x14ac:dyDescent="0.2">
      <c r="B263" t="s">
        <v>3493</v>
      </c>
      <c r="C263" t="s">
        <v>3323</v>
      </c>
      <c r="D263" s="55" t="str">
        <f>VLOOKUP(VLOOKUP(Q263,'⚪设计'!$A$277:$G$296,3+UnitCfg!R263,FALSE),'⚪设计'!$B$85:$C$113,2,FALSE)</f>
        <v>ResUnit_XueRen1</v>
      </c>
      <c r="E263" s="55">
        <f>VLOOKUP(D263,'⚪设计'!$C$85:$I$113,5,FALSE)*VLOOKUP(UnitCfg!Q263,无限模式!$A$3:$C$22,3,FALSE)</f>
        <v>2.1</v>
      </c>
      <c r="F263">
        <v>400</v>
      </c>
      <c r="G263" t="b">
        <v>1</v>
      </c>
      <c r="H263">
        <v>1</v>
      </c>
      <c r="I263">
        <v>1</v>
      </c>
      <c r="J263">
        <v>0.5</v>
      </c>
      <c r="K263" s="55">
        <f>VLOOKUP(D263,'⚪设计'!$C$85:$I$113,6,FALSE)</f>
        <v>1</v>
      </c>
      <c r="L263" t="s">
        <v>3494</v>
      </c>
      <c r="M263" t="s">
        <v>468</v>
      </c>
      <c r="N263" t="s">
        <v>469</v>
      </c>
      <c r="O263" t="s">
        <v>470</v>
      </c>
      <c r="P263" s="57" t="str">
        <f>IF(VLOOKUP(D263,'⚪设计'!$C$85:$I$113,7,FALSE)="","",VLOOKUP(D263,'⚪设计'!$C$85:$I$113,7,FALSE))</f>
        <v>Skill_Monster_XueRen1,NormalAttack</v>
      </c>
      <c r="Q263" s="110">
        <v>2</v>
      </c>
      <c r="R263" s="110">
        <v>2</v>
      </c>
      <c r="S263" s="110"/>
    </row>
    <row r="264" spans="2:19" x14ac:dyDescent="0.2">
      <c r="B264" t="s">
        <v>3495</v>
      </c>
      <c r="C264" t="s">
        <v>3324</v>
      </c>
      <c r="D264" s="55" t="str">
        <f>VLOOKUP(VLOOKUP(Q264,'⚪设计'!$A$277:$G$296,3+UnitCfg!R264,FALSE),'⚪设计'!$B$85:$C$113,2,FALSE)</f>
        <v>ResUnit_XueRen1</v>
      </c>
      <c r="E264" s="55">
        <f>VLOOKUP(D264,'⚪设计'!$C$85:$I$113,5,FALSE)*VLOOKUP(UnitCfg!Q264,无限模式!$A$3:$C$22,3,FALSE)</f>
        <v>2.2000000000000002</v>
      </c>
      <c r="F264">
        <v>400</v>
      </c>
      <c r="G264" t="b">
        <v>1</v>
      </c>
      <c r="H264">
        <v>1</v>
      </c>
      <c r="I264">
        <v>1</v>
      </c>
      <c r="J264">
        <v>0.5</v>
      </c>
      <c r="K264" s="55">
        <f>VLOOKUP(D264,'⚪设计'!$C$85:$I$113,6,FALSE)</f>
        <v>1</v>
      </c>
      <c r="L264" t="s">
        <v>3496</v>
      </c>
      <c r="M264" t="s">
        <v>468</v>
      </c>
      <c r="N264" t="s">
        <v>469</v>
      </c>
      <c r="O264" t="s">
        <v>470</v>
      </c>
      <c r="P264" s="57" t="str">
        <f>IF(VLOOKUP(D264,'⚪设计'!$C$85:$I$113,7,FALSE)="","",VLOOKUP(D264,'⚪设计'!$C$85:$I$113,7,FALSE))</f>
        <v>Skill_Monster_XueRen1,NormalAttack</v>
      </c>
      <c r="Q264" s="110">
        <v>3</v>
      </c>
      <c r="R264" s="110">
        <v>1</v>
      </c>
      <c r="S264" s="110"/>
    </row>
    <row r="265" spans="2:19" x14ac:dyDescent="0.2">
      <c r="B265" t="s">
        <v>3497</v>
      </c>
      <c r="C265" t="s">
        <v>3325</v>
      </c>
      <c r="D265" s="55" t="str">
        <f>VLOOKUP(VLOOKUP(Q265,'⚪设计'!$A$277:$G$296,3+UnitCfg!R265,FALSE),'⚪设计'!$B$85:$C$113,2,FALSE)</f>
        <v>ResUnit_BianFu1</v>
      </c>
      <c r="E265" s="55">
        <f>VLOOKUP(D265,'⚪设计'!$C$85:$I$113,5,FALSE)*VLOOKUP(UnitCfg!Q265,无限模式!$A$3:$C$22,3,FALSE)</f>
        <v>2.2000000000000002</v>
      </c>
      <c r="F265">
        <v>400</v>
      </c>
      <c r="G265" t="b">
        <v>1</v>
      </c>
      <c r="H265">
        <v>1</v>
      </c>
      <c r="I265">
        <v>1</v>
      </c>
      <c r="J265">
        <v>0.5</v>
      </c>
      <c r="K265" s="55">
        <f>VLOOKUP(D265,'⚪设计'!$C$85:$I$113,6,FALSE)</f>
        <v>1</v>
      </c>
      <c r="L265" t="s">
        <v>3498</v>
      </c>
      <c r="M265" t="s">
        <v>468</v>
      </c>
      <c r="N265" t="s">
        <v>469</v>
      </c>
      <c r="O265" t="s">
        <v>470</v>
      </c>
      <c r="P265" s="57" t="str">
        <f>IF(VLOOKUP(D265,'⚪设计'!$C$85:$I$113,7,FALSE)="","",VLOOKUP(D265,'⚪设计'!$C$85:$I$113,7,FALSE))</f>
        <v/>
      </c>
      <c r="Q265" s="110">
        <v>3</v>
      </c>
      <c r="R265" s="110">
        <v>2</v>
      </c>
      <c r="S265" s="110"/>
    </row>
    <row r="266" spans="2:19" x14ac:dyDescent="0.2">
      <c r="B266" t="s">
        <v>3499</v>
      </c>
      <c r="C266" t="s">
        <v>3326</v>
      </c>
      <c r="D266" s="55" t="str">
        <f>VLOOKUP(VLOOKUP(Q266,'⚪设计'!$A$277:$G$296,3+UnitCfg!R266,FALSE),'⚪设计'!$B$85:$C$113,2,FALSE)</f>
        <v>ResUnit_MiFeng3</v>
      </c>
      <c r="E266" s="55">
        <f>VLOOKUP(D266,'⚪设计'!$C$85:$I$113,5,FALSE)*VLOOKUP(UnitCfg!Q266,无限模式!$A$3:$C$22,3,FALSE)</f>
        <v>1.4375</v>
      </c>
      <c r="F266">
        <v>400</v>
      </c>
      <c r="G266" t="b">
        <v>1</v>
      </c>
      <c r="H266">
        <v>1</v>
      </c>
      <c r="I266">
        <v>1</v>
      </c>
      <c r="J266">
        <v>0.5</v>
      </c>
      <c r="K266" s="55">
        <f>VLOOKUP(D266,'⚪设计'!$C$85:$I$113,6,FALSE)</f>
        <v>2.5</v>
      </c>
      <c r="L266" t="s">
        <v>3500</v>
      </c>
      <c r="M266" t="s">
        <v>468</v>
      </c>
      <c r="N266" t="s">
        <v>469</v>
      </c>
      <c r="O266" t="s">
        <v>470</v>
      </c>
      <c r="P266" s="57" t="str">
        <f>IF(VLOOKUP(D266,'⚪设计'!$C$85:$I$113,7,FALSE)="","",VLOOKUP(D266,'⚪设计'!$C$85:$I$113,7,FALSE))</f>
        <v/>
      </c>
      <c r="Q266" s="110">
        <v>4</v>
      </c>
      <c r="R266" s="110">
        <v>1</v>
      </c>
      <c r="S266" s="110"/>
    </row>
    <row r="267" spans="2:19" x14ac:dyDescent="0.2">
      <c r="B267" t="s">
        <v>3501</v>
      </c>
      <c r="C267" t="s">
        <v>3327</v>
      </c>
      <c r="D267" s="55" t="str">
        <f>VLOOKUP(VLOOKUP(Q267,'⚪设计'!$A$277:$G$296,3+UnitCfg!R267,FALSE),'⚪设计'!$B$85:$C$113,2,FALSE)</f>
        <v>ResUnit_XueRen1</v>
      </c>
      <c r="E267" s="55">
        <f>VLOOKUP(D267,'⚪设计'!$C$85:$I$113,5,FALSE)*VLOOKUP(UnitCfg!Q267,无限模式!$A$3:$C$22,3,FALSE)</f>
        <v>2.2999999999999998</v>
      </c>
      <c r="F267">
        <v>400</v>
      </c>
      <c r="G267" t="b">
        <v>1</v>
      </c>
      <c r="H267">
        <v>1</v>
      </c>
      <c r="I267">
        <v>1</v>
      </c>
      <c r="J267">
        <v>0.5</v>
      </c>
      <c r="K267" s="55">
        <f>VLOOKUP(D267,'⚪设计'!$C$85:$I$113,6,FALSE)</f>
        <v>1</v>
      </c>
      <c r="L267" t="s">
        <v>3502</v>
      </c>
      <c r="M267" t="s">
        <v>468</v>
      </c>
      <c r="N267" t="s">
        <v>469</v>
      </c>
      <c r="O267" t="s">
        <v>470</v>
      </c>
      <c r="P267" s="57" t="str">
        <f>IF(VLOOKUP(D267,'⚪设计'!$C$85:$I$113,7,FALSE)="","",VLOOKUP(D267,'⚪设计'!$C$85:$I$113,7,FALSE))</f>
        <v>Skill_Monster_XueRen1,NormalAttack</v>
      </c>
      <c r="Q267" s="110">
        <v>4</v>
      </c>
      <c r="R267" s="110">
        <v>2</v>
      </c>
      <c r="S267" s="110"/>
    </row>
    <row r="268" spans="2:19" x14ac:dyDescent="0.2">
      <c r="B268" t="s">
        <v>3503</v>
      </c>
      <c r="C268" t="s">
        <v>3328</v>
      </c>
      <c r="D268" s="55" t="str">
        <f>VLOOKUP(VLOOKUP(Q268,'⚪设计'!$A$277:$G$296,3+UnitCfg!R268,FALSE),'⚪设计'!$B$85:$C$113,2,FALSE)</f>
        <v>ResUnit_XueRen1</v>
      </c>
      <c r="E268" s="55">
        <f>VLOOKUP(D268,'⚪设计'!$C$85:$I$113,5,FALSE)*VLOOKUP(UnitCfg!Q268,无限模式!$A$3:$C$22,3,FALSE)</f>
        <v>2.4</v>
      </c>
      <c r="F268">
        <v>400</v>
      </c>
      <c r="G268" t="b">
        <v>1</v>
      </c>
      <c r="H268">
        <v>1</v>
      </c>
      <c r="I268">
        <v>1</v>
      </c>
      <c r="J268">
        <v>0.5</v>
      </c>
      <c r="K268" s="55">
        <f>VLOOKUP(D268,'⚪设计'!$C$85:$I$113,6,FALSE)</f>
        <v>1</v>
      </c>
      <c r="L268" t="s">
        <v>3504</v>
      </c>
      <c r="M268" t="s">
        <v>468</v>
      </c>
      <c r="N268" t="s">
        <v>469</v>
      </c>
      <c r="O268" t="s">
        <v>470</v>
      </c>
      <c r="P268" s="57" t="str">
        <f>IF(VLOOKUP(D268,'⚪设计'!$C$85:$I$113,7,FALSE)="","",VLOOKUP(D268,'⚪设计'!$C$85:$I$113,7,FALSE))</f>
        <v>Skill_Monster_XueRen1,NormalAttack</v>
      </c>
      <c r="Q268" s="110">
        <v>5</v>
      </c>
      <c r="R268" s="110">
        <v>1</v>
      </c>
      <c r="S268" s="110"/>
    </row>
    <row r="269" spans="2:19" x14ac:dyDescent="0.2">
      <c r="B269" t="s">
        <v>3505</v>
      </c>
      <c r="C269" t="s">
        <v>3329</v>
      </c>
      <c r="D269" s="55" t="str">
        <f>VLOOKUP(VLOOKUP(Q269,'⚪设计'!$A$277:$G$296,3+UnitCfg!R269,FALSE),'⚪设计'!$B$85:$C$113,2,FALSE)</f>
        <v>ResUnit_ZhiZhu1</v>
      </c>
      <c r="E269" s="55">
        <f>VLOOKUP(D269,'⚪设计'!$C$85:$I$113,5,FALSE)*VLOOKUP(UnitCfg!Q269,无限模式!$A$3:$C$22,3,FALSE)</f>
        <v>3.5999999999999996</v>
      </c>
      <c r="F269">
        <v>400</v>
      </c>
      <c r="G269" t="b">
        <v>1</v>
      </c>
      <c r="H269">
        <v>1</v>
      </c>
      <c r="I269">
        <v>1</v>
      </c>
      <c r="J269">
        <v>0.5</v>
      </c>
      <c r="K269" s="55">
        <f>VLOOKUP(D269,'⚪设计'!$C$85:$I$113,6,FALSE)</f>
        <v>1</v>
      </c>
      <c r="L269" t="s">
        <v>3506</v>
      </c>
      <c r="M269" t="s">
        <v>468</v>
      </c>
      <c r="N269" t="s">
        <v>469</v>
      </c>
      <c r="O269" t="s">
        <v>470</v>
      </c>
      <c r="P269" s="57" t="str">
        <f>IF(VLOOKUP(D269,'⚪设计'!$C$85:$I$113,7,FALSE)="","",VLOOKUP(D269,'⚪设计'!$C$85:$I$113,7,FALSE))</f>
        <v/>
      </c>
      <c r="Q269" s="110">
        <v>5</v>
      </c>
      <c r="R269" s="110">
        <v>2</v>
      </c>
      <c r="S269" s="110"/>
    </row>
    <row r="270" spans="2:19" x14ac:dyDescent="0.2">
      <c r="B270" t="s">
        <v>3507</v>
      </c>
      <c r="C270" t="s">
        <v>3330</v>
      </c>
      <c r="D270" s="55" t="str">
        <f>VLOOKUP(VLOOKUP(Q270,'⚪设计'!$A$277:$G$296,3+UnitCfg!R270,FALSE),'⚪设计'!$B$85:$C$113,2,FALSE)</f>
        <v>ResUnit_MiFeng2</v>
      </c>
      <c r="E270" s="55">
        <f>VLOOKUP(D270,'⚪设计'!$C$85:$I$113,5,FALSE)*VLOOKUP(UnitCfg!Q270,无限模式!$A$3:$C$22,3,FALSE)</f>
        <v>2.5</v>
      </c>
      <c r="F270">
        <v>400</v>
      </c>
      <c r="G270" t="b">
        <v>1</v>
      </c>
      <c r="H270">
        <v>1</v>
      </c>
      <c r="I270">
        <v>1</v>
      </c>
      <c r="J270">
        <v>0.5</v>
      </c>
      <c r="K270" s="55">
        <f>VLOOKUP(D270,'⚪设计'!$C$85:$I$113,6,FALSE)</f>
        <v>1.5</v>
      </c>
      <c r="L270" t="s">
        <v>3508</v>
      </c>
      <c r="M270" t="s">
        <v>468</v>
      </c>
      <c r="N270" t="s">
        <v>469</v>
      </c>
      <c r="O270" t="s">
        <v>470</v>
      </c>
      <c r="P270" s="57" t="str">
        <f>IF(VLOOKUP(D270,'⚪设计'!$C$85:$I$113,7,FALSE)="","",VLOOKUP(D270,'⚪设计'!$C$85:$I$113,7,FALSE))</f>
        <v/>
      </c>
      <c r="Q270" s="110">
        <v>6</v>
      </c>
      <c r="R270" s="110">
        <v>1</v>
      </c>
      <c r="S270" s="110"/>
    </row>
    <row r="271" spans="2:19" x14ac:dyDescent="0.2">
      <c r="B271" t="s">
        <v>3509</v>
      </c>
      <c r="C271" t="s">
        <v>3331</v>
      </c>
      <c r="D271" s="55" t="str">
        <f>VLOOKUP(VLOOKUP(Q271,'⚪设计'!$A$277:$G$296,3+UnitCfg!R271,FALSE),'⚪设计'!$B$85:$C$113,2,FALSE)</f>
        <v>ResUnit_XueRen1</v>
      </c>
      <c r="E271" s="55">
        <f>VLOOKUP(D271,'⚪设计'!$C$85:$I$113,5,FALSE)*VLOOKUP(UnitCfg!Q271,无限模式!$A$3:$C$22,3,FALSE)</f>
        <v>2.5</v>
      </c>
      <c r="F271">
        <v>400</v>
      </c>
      <c r="G271" t="b">
        <v>1</v>
      </c>
      <c r="H271">
        <v>1</v>
      </c>
      <c r="I271">
        <v>1</v>
      </c>
      <c r="J271">
        <v>0.5</v>
      </c>
      <c r="K271" s="55">
        <f>VLOOKUP(D271,'⚪设计'!$C$85:$I$113,6,FALSE)</f>
        <v>1</v>
      </c>
      <c r="L271" t="s">
        <v>3510</v>
      </c>
      <c r="M271" t="s">
        <v>468</v>
      </c>
      <c r="N271" t="s">
        <v>469</v>
      </c>
      <c r="O271" t="s">
        <v>470</v>
      </c>
      <c r="P271" s="57" t="str">
        <f>IF(VLOOKUP(D271,'⚪设计'!$C$85:$I$113,7,FALSE)="","",VLOOKUP(D271,'⚪设计'!$C$85:$I$113,7,FALSE))</f>
        <v>Skill_Monster_XueRen1,NormalAttack</v>
      </c>
      <c r="Q271" s="110">
        <v>6</v>
      </c>
      <c r="R271" s="110">
        <v>2</v>
      </c>
      <c r="S271" s="110"/>
    </row>
    <row r="272" spans="2:19" x14ac:dyDescent="0.2">
      <c r="B272" t="s">
        <v>3511</v>
      </c>
      <c r="C272" t="s">
        <v>3332</v>
      </c>
      <c r="D272" s="55" t="str">
        <f>VLOOKUP(VLOOKUP(Q272,'⚪设计'!$A$277:$G$296,3+UnitCfg!R272,FALSE),'⚪设计'!$B$85:$C$113,2,FALSE)</f>
        <v>ResUnit_XueRen1</v>
      </c>
      <c r="E272" s="55">
        <f>VLOOKUP(D272,'⚪设计'!$C$85:$I$113,5,FALSE)*VLOOKUP(UnitCfg!Q272,无限模式!$A$3:$C$22,3,FALSE)</f>
        <v>2.6</v>
      </c>
      <c r="F272">
        <v>400</v>
      </c>
      <c r="G272" t="b">
        <v>1</v>
      </c>
      <c r="H272">
        <v>1</v>
      </c>
      <c r="I272">
        <v>1</v>
      </c>
      <c r="J272">
        <v>0.5</v>
      </c>
      <c r="K272" s="55">
        <f>VLOOKUP(D272,'⚪设计'!$C$85:$I$113,6,FALSE)</f>
        <v>1</v>
      </c>
      <c r="L272" t="s">
        <v>3512</v>
      </c>
      <c r="M272" t="s">
        <v>468</v>
      </c>
      <c r="N272" t="s">
        <v>469</v>
      </c>
      <c r="O272" t="s">
        <v>470</v>
      </c>
      <c r="P272" s="57" t="str">
        <f>IF(VLOOKUP(D272,'⚪设计'!$C$85:$I$113,7,FALSE)="","",VLOOKUP(D272,'⚪设计'!$C$85:$I$113,7,FALSE))</f>
        <v>Skill_Monster_XueRen1,NormalAttack</v>
      </c>
      <c r="Q272" s="110">
        <v>7</v>
      </c>
      <c r="R272" s="110">
        <v>1</v>
      </c>
      <c r="S272" s="110"/>
    </row>
    <row r="273" spans="2:19" x14ac:dyDescent="0.2">
      <c r="B273" t="s">
        <v>3513</v>
      </c>
      <c r="C273" t="s">
        <v>3333</v>
      </c>
      <c r="D273" s="55" t="str">
        <f>VLOOKUP(VLOOKUP(Q273,'⚪设计'!$A$277:$G$296,3+UnitCfg!R273,FALSE),'⚪设计'!$B$85:$C$113,2,FALSE)</f>
        <v>ResUnit_ZhiZhu1</v>
      </c>
      <c r="E273" s="55">
        <f>VLOOKUP(D273,'⚪设计'!$C$85:$I$113,5,FALSE)*VLOOKUP(UnitCfg!Q273,无限模式!$A$3:$C$22,3,FALSE)</f>
        <v>3.9000000000000004</v>
      </c>
      <c r="F273">
        <v>400</v>
      </c>
      <c r="G273" t="b">
        <v>1</v>
      </c>
      <c r="H273">
        <v>1</v>
      </c>
      <c r="I273">
        <v>1</v>
      </c>
      <c r="J273">
        <v>0.5</v>
      </c>
      <c r="K273" s="55">
        <f>VLOOKUP(D273,'⚪设计'!$C$85:$I$113,6,FALSE)</f>
        <v>1</v>
      </c>
      <c r="L273" t="s">
        <v>3514</v>
      </c>
      <c r="M273" t="s">
        <v>468</v>
      </c>
      <c r="N273" t="s">
        <v>469</v>
      </c>
      <c r="O273" t="s">
        <v>470</v>
      </c>
      <c r="P273" s="57" t="str">
        <f>IF(VLOOKUP(D273,'⚪设计'!$C$85:$I$113,7,FALSE)="","",VLOOKUP(D273,'⚪设计'!$C$85:$I$113,7,FALSE))</f>
        <v/>
      </c>
      <c r="Q273" s="110">
        <v>7</v>
      </c>
      <c r="R273" s="110">
        <v>2</v>
      </c>
      <c r="S273" s="110"/>
    </row>
    <row r="274" spans="2:19" x14ac:dyDescent="0.2">
      <c r="B274" t="s">
        <v>3515</v>
      </c>
      <c r="C274" t="s">
        <v>3334</v>
      </c>
      <c r="D274" s="55" t="str">
        <f>VLOOKUP(VLOOKUP(Q274,'⚪设计'!$A$277:$G$296,3+UnitCfg!R274,FALSE),'⚪设计'!$B$85:$C$113,2,FALSE)</f>
        <v>ResUnit_XueRen1</v>
      </c>
      <c r="E274" s="55">
        <f>VLOOKUP(D274,'⚪设计'!$C$85:$I$113,5,FALSE)*VLOOKUP(UnitCfg!Q274,无限模式!$A$3:$C$22,3,FALSE)</f>
        <v>2.7</v>
      </c>
      <c r="F274">
        <v>400</v>
      </c>
      <c r="G274" t="b">
        <v>1</v>
      </c>
      <c r="H274">
        <v>1</v>
      </c>
      <c r="I274">
        <v>1</v>
      </c>
      <c r="J274">
        <v>0.5</v>
      </c>
      <c r="K274" s="55">
        <f>VLOOKUP(D274,'⚪设计'!$C$85:$I$113,6,FALSE)</f>
        <v>1</v>
      </c>
      <c r="L274" t="s">
        <v>3516</v>
      </c>
      <c r="M274" t="s">
        <v>468</v>
      </c>
      <c r="N274" t="s">
        <v>469</v>
      </c>
      <c r="O274" t="s">
        <v>470</v>
      </c>
      <c r="P274" s="57" t="str">
        <f>IF(VLOOKUP(D274,'⚪设计'!$C$85:$I$113,7,FALSE)="","",VLOOKUP(D274,'⚪设计'!$C$85:$I$113,7,FALSE))</f>
        <v>Skill_Monster_XueRen1,NormalAttack</v>
      </c>
      <c r="Q274" s="110">
        <v>8</v>
      </c>
      <c r="R274" s="110">
        <v>1</v>
      </c>
      <c r="S274" s="110"/>
    </row>
    <row r="275" spans="2:19" x14ac:dyDescent="0.2">
      <c r="B275" t="s">
        <v>3517</v>
      </c>
      <c r="C275" t="s">
        <v>3335</v>
      </c>
      <c r="D275" s="55" t="str">
        <f>VLOOKUP(VLOOKUP(Q275,'⚪设计'!$A$277:$G$296,3+UnitCfg!R275,FALSE),'⚪设计'!$B$85:$C$113,2,FALSE)</f>
        <v>ResUnit_ZhiZhu3</v>
      </c>
      <c r="E275" s="55">
        <f>VLOOKUP(D275,'⚪设计'!$C$85:$I$113,5,FALSE)*VLOOKUP(UnitCfg!Q275,无限模式!$A$3:$C$22,3,FALSE)</f>
        <v>1.6875</v>
      </c>
      <c r="F275">
        <v>400</v>
      </c>
      <c r="G275" t="b">
        <v>1</v>
      </c>
      <c r="H275">
        <v>1</v>
      </c>
      <c r="I275">
        <v>1</v>
      </c>
      <c r="J275">
        <v>0.5</v>
      </c>
      <c r="K275" s="55">
        <f>VLOOKUP(D275,'⚪设计'!$C$85:$I$113,6,FALSE)</f>
        <v>2.5</v>
      </c>
      <c r="L275" t="s">
        <v>3518</v>
      </c>
      <c r="M275" t="s">
        <v>468</v>
      </c>
      <c r="N275" t="s">
        <v>469</v>
      </c>
      <c r="O275" t="s">
        <v>470</v>
      </c>
      <c r="P275" s="57" t="str">
        <f>IF(VLOOKUP(D275,'⚪设计'!$C$85:$I$113,7,FALSE)="","",VLOOKUP(D275,'⚪设计'!$C$85:$I$113,7,FALSE))</f>
        <v/>
      </c>
      <c r="Q275" s="110">
        <v>8</v>
      </c>
      <c r="R275" s="110">
        <v>2</v>
      </c>
      <c r="S275" s="110"/>
    </row>
    <row r="276" spans="2:19" x14ac:dyDescent="0.2">
      <c r="B276" t="s">
        <v>3519</v>
      </c>
      <c r="C276" t="s">
        <v>3336</v>
      </c>
      <c r="D276" s="55" t="str">
        <f>VLOOKUP(VLOOKUP(Q276,'⚪设计'!$A$277:$G$296,3+UnitCfg!R276,FALSE),'⚪设计'!$B$85:$C$113,2,FALSE)</f>
        <v>ResUnit_XueRen2</v>
      </c>
      <c r="E276" s="55">
        <f>VLOOKUP(D276,'⚪设计'!$C$85:$I$113,5,FALSE)*VLOOKUP(UnitCfg!Q276,无限模式!$A$3:$C$22,3,FALSE)</f>
        <v>2.8</v>
      </c>
      <c r="F276">
        <v>400</v>
      </c>
      <c r="G276" t="b">
        <v>1</v>
      </c>
      <c r="H276">
        <v>1</v>
      </c>
      <c r="I276">
        <v>1</v>
      </c>
      <c r="J276">
        <v>0.5</v>
      </c>
      <c r="K276" s="55">
        <f>VLOOKUP(D276,'⚪设计'!$C$85:$I$113,6,FALSE)</f>
        <v>1.5</v>
      </c>
      <c r="L276" t="s">
        <v>3520</v>
      </c>
      <c r="M276" t="s">
        <v>468</v>
      </c>
      <c r="N276" t="s">
        <v>469</v>
      </c>
      <c r="O276" t="s">
        <v>470</v>
      </c>
      <c r="P276" s="57" t="str">
        <f>IF(VLOOKUP(D276,'⚪设计'!$C$85:$I$113,7,FALSE)="","",VLOOKUP(D276,'⚪设计'!$C$85:$I$113,7,FALSE))</f>
        <v>Skill_Monster_XueRen2,NormalAttack</v>
      </c>
      <c r="Q276" s="110">
        <v>9</v>
      </c>
      <c r="R276" s="110">
        <v>1</v>
      </c>
      <c r="S276" s="110"/>
    </row>
    <row r="277" spans="2:19" x14ac:dyDescent="0.2">
      <c r="B277" t="s">
        <v>3521</v>
      </c>
      <c r="C277" t="s">
        <v>3337</v>
      </c>
      <c r="D277" s="55" t="str">
        <f>VLOOKUP(VLOOKUP(Q277,'⚪设计'!$A$277:$G$296,3+UnitCfg!R277,FALSE),'⚪设计'!$B$85:$C$113,2,FALSE)</f>
        <v>ResUnit_ZhongZi1</v>
      </c>
      <c r="E277" s="55">
        <f>VLOOKUP(D277,'⚪设计'!$C$85:$I$113,5,FALSE)*VLOOKUP(UnitCfg!Q277,无限模式!$A$3:$C$22,3,FALSE)</f>
        <v>2.8</v>
      </c>
      <c r="F277">
        <v>400</v>
      </c>
      <c r="G277" t="b">
        <v>1</v>
      </c>
      <c r="H277">
        <v>1</v>
      </c>
      <c r="I277">
        <v>1</v>
      </c>
      <c r="J277">
        <v>0.5</v>
      </c>
      <c r="K277" s="55">
        <f>VLOOKUP(D277,'⚪设计'!$C$85:$I$113,6,FALSE)</f>
        <v>1</v>
      </c>
      <c r="L277" t="s">
        <v>3522</v>
      </c>
      <c r="M277" t="s">
        <v>468</v>
      </c>
      <c r="N277" t="s">
        <v>469</v>
      </c>
      <c r="O277" t="s">
        <v>470</v>
      </c>
      <c r="P277" s="57" t="str">
        <f>IF(VLOOKUP(D277,'⚪设计'!$C$85:$I$113,7,FALSE)="","",VLOOKUP(D277,'⚪设计'!$C$85:$I$113,7,FALSE))</f>
        <v>Skill_Monster_Heal,NormalAttack</v>
      </c>
      <c r="Q277" s="110">
        <v>9</v>
      </c>
      <c r="R277" s="110">
        <v>2</v>
      </c>
      <c r="S277" s="110"/>
    </row>
    <row r="278" spans="2:19" x14ac:dyDescent="0.2">
      <c r="B278" t="s">
        <v>3523</v>
      </c>
      <c r="C278" t="s">
        <v>3338</v>
      </c>
      <c r="D278" s="55" t="str">
        <f>VLOOKUP(VLOOKUP(Q278,'⚪设计'!$A$277:$G$296,3+UnitCfg!R278,FALSE),'⚪设计'!$B$85:$C$113,2,FALSE)</f>
        <v>ResUnit_XueRen2</v>
      </c>
      <c r="E278" s="55">
        <f>VLOOKUP(D278,'⚪设计'!$C$85:$I$113,5,FALSE)*VLOOKUP(UnitCfg!Q278,无限模式!$A$3:$C$22,3,FALSE)</f>
        <v>2.9</v>
      </c>
      <c r="F278">
        <v>400</v>
      </c>
      <c r="G278" t="b">
        <v>1</v>
      </c>
      <c r="H278">
        <v>1</v>
      </c>
      <c r="I278">
        <v>1</v>
      </c>
      <c r="J278">
        <v>0.5</v>
      </c>
      <c r="K278" s="55">
        <f>VLOOKUP(D278,'⚪设计'!$C$85:$I$113,6,FALSE)</f>
        <v>1.5</v>
      </c>
      <c r="L278" t="s">
        <v>3524</v>
      </c>
      <c r="M278" t="s">
        <v>468</v>
      </c>
      <c r="N278" t="s">
        <v>469</v>
      </c>
      <c r="O278" t="s">
        <v>470</v>
      </c>
      <c r="P278" s="57" t="str">
        <f>IF(VLOOKUP(D278,'⚪设计'!$C$85:$I$113,7,FALSE)="","",VLOOKUP(D278,'⚪设计'!$C$85:$I$113,7,FALSE))</f>
        <v>Skill_Monster_XueRen2,NormalAttack</v>
      </c>
      <c r="Q278" s="110">
        <v>10</v>
      </c>
      <c r="R278" s="110">
        <v>1</v>
      </c>
      <c r="S278" s="110"/>
    </row>
    <row r="279" spans="2:19" x14ac:dyDescent="0.2">
      <c r="B279" t="s">
        <v>3525</v>
      </c>
      <c r="C279" t="s">
        <v>3339</v>
      </c>
      <c r="D279" s="55" t="str">
        <f>VLOOKUP(VLOOKUP(Q279,'⚪设计'!$A$277:$G$296,3+UnitCfg!R279,FALSE),'⚪设计'!$B$85:$C$113,2,FALSE)</f>
        <v>ResUnit_ZhongZi1</v>
      </c>
      <c r="E279" s="55">
        <f>VLOOKUP(D279,'⚪设计'!$C$85:$I$113,5,FALSE)*VLOOKUP(UnitCfg!Q279,无限模式!$A$3:$C$22,3,FALSE)</f>
        <v>2.9</v>
      </c>
      <c r="F279">
        <v>400</v>
      </c>
      <c r="G279" t="b">
        <v>1</v>
      </c>
      <c r="H279">
        <v>1</v>
      </c>
      <c r="I279">
        <v>1</v>
      </c>
      <c r="J279">
        <v>0.5</v>
      </c>
      <c r="K279" s="55">
        <f>VLOOKUP(D279,'⚪设计'!$C$85:$I$113,6,FALSE)</f>
        <v>1</v>
      </c>
      <c r="L279" t="s">
        <v>3526</v>
      </c>
      <c r="M279" t="s">
        <v>468</v>
      </c>
      <c r="N279" t="s">
        <v>469</v>
      </c>
      <c r="O279" t="s">
        <v>470</v>
      </c>
      <c r="P279" s="57" t="str">
        <f>IF(VLOOKUP(D279,'⚪设计'!$C$85:$I$113,7,FALSE)="","",VLOOKUP(D279,'⚪设计'!$C$85:$I$113,7,FALSE))</f>
        <v>Skill_Monster_Heal,NormalAttack</v>
      </c>
      <c r="Q279" s="110">
        <v>10</v>
      </c>
      <c r="R279" s="110">
        <v>2</v>
      </c>
      <c r="S279" s="110"/>
    </row>
    <row r="280" spans="2:19" x14ac:dyDescent="0.2">
      <c r="B280" t="s">
        <v>3527</v>
      </c>
      <c r="C280" t="s">
        <v>3340</v>
      </c>
      <c r="D280" s="55" t="str">
        <f>VLOOKUP(VLOOKUP(Q280,'⚪设计'!$A$277:$G$296,3+UnitCfg!R280,FALSE),'⚪设计'!$B$85:$C$113,2,FALSE)</f>
        <v>ResUnit_XueRen2</v>
      </c>
      <c r="E280" s="55">
        <f>VLOOKUP(D280,'⚪设计'!$C$85:$I$113,5,FALSE)*VLOOKUP(UnitCfg!Q280,无限模式!$A$3:$C$22,3,FALSE)</f>
        <v>3</v>
      </c>
      <c r="F280">
        <v>400</v>
      </c>
      <c r="G280" t="b">
        <v>1</v>
      </c>
      <c r="H280">
        <v>1</v>
      </c>
      <c r="I280">
        <v>1</v>
      </c>
      <c r="J280">
        <v>0.5</v>
      </c>
      <c r="K280" s="55">
        <f>VLOOKUP(D280,'⚪设计'!$C$85:$I$113,6,FALSE)</f>
        <v>1.5</v>
      </c>
      <c r="L280" t="s">
        <v>3528</v>
      </c>
      <c r="M280" t="s">
        <v>468</v>
      </c>
      <c r="N280" t="s">
        <v>469</v>
      </c>
      <c r="O280" t="s">
        <v>470</v>
      </c>
      <c r="P280" s="57" t="str">
        <f>IF(VLOOKUP(D280,'⚪设计'!$C$85:$I$113,7,FALSE)="","",VLOOKUP(D280,'⚪设计'!$C$85:$I$113,7,FALSE))</f>
        <v>Skill_Monster_XueRen2,NormalAttack</v>
      </c>
      <c r="Q280" s="110">
        <v>11</v>
      </c>
      <c r="R280" s="110">
        <v>1</v>
      </c>
      <c r="S280" s="110"/>
    </row>
    <row r="281" spans="2:19" x14ac:dyDescent="0.2">
      <c r="B281" t="s">
        <v>3529</v>
      </c>
      <c r="C281" t="s">
        <v>3341</v>
      </c>
      <c r="D281" s="55" t="str">
        <f>VLOOKUP(VLOOKUP(Q281,'⚪设计'!$A$277:$G$296,3+UnitCfg!R281,FALSE),'⚪设计'!$B$85:$C$113,2,FALSE)</f>
        <v>ResUnit_ZhiZhu2</v>
      </c>
      <c r="E281" s="55">
        <f>VLOOKUP(D281,'⚪设计'!$C$85:$I$113,5,FALSE)*VLOOKUP(UnitCfg!Q281,无限模式!$A$3:$C$22,3,FALSE)</f>
        <v>4.5</v>
      </c>
      <c r="F281">
        <v>400</v>
      </c>
      <c r="G281" t="b">
        <v>1</v>
      </c>
      <c r="H281">
        <v>1</v>
      </c>
      <c r="I281">
        <v>1</v>
      </c>
      <c r="J281">
        <v>0.5</v>
      </c>
      <c r="K281" s="55">
        <f>VLOOKUP(D281,'⚪设计'!$C$85:$I$113,6,FALSE)</f>
        <v>1.5</v>
      </c>
      <c r="L281" t="s">
        <v>3530</v>
      </c>
      <c r="M281" t="s">
        <v>468</v>
      </c>
      <c r="N281" t="s">
        <v>469</v>
      </c>
      <c r="O281" t="s">
        <v>470</v>
      </c>
      <c r="P281" s="57" t="str">
        <f>IF(VLOOKUP(D281,'⚪设计'!$C$85:$I$113,7,FALSE)="","",VLOOKUP(D281,'⚪设计'!$C$85:$I$113,7,FALSE))</f>
        <v/>
      </c>
      <c r="Q281" s="110">
        <v>11</v>
      </c>
      <c r="R281" s="110">
        <v>2</v>
      </c>
      <c r="S281" s="110"/>
    </row>
    <row r="282" spans="2:19" x14ac:dyDescent="0.2">
      <c r="B282" t="s">
        <v>3531</v>
      </c>
      <c r="C282" t="s">
        <v>3342</v>
      </c>
      <c r="D282" s="55" t="str">
        <f>VLOOKUP(VLOOKUP(Q282,'⚪设计'!$A$277:$G$296,3+UnitCfg!R282,FALSE),'⚪设计'!$B$85:$C$113,2,FALSE)</f>
        <v>ResUnit_XueRen2</v>
      </c>
      <c r="E282" s="55">
        <f>VLOOKUP(D282,'⚪设计'!$C$85:$I$113,5,FALSE)*VLOOKUP(UnitCfg!Q282,无限模式!$A$3:$C$22,3,FALSE)</f>
        <v>3.1</v>
      </c>
      <c r="F282">
        <v>400</v>
      </c>
      <c r="G282" t="b">
        <v>1</v>
      </c>
      <c r="H282">
        <v>1</v>
      </c>
      <c r="I282">
        <v>1</v>
      </c>
      <c r="J282">
        <v>0.5</v>
      </c>
      <c r="K282" s="55">
        <f>VLOOKUP(D282,'⚪设计'!$C$85:$I$113,6,FALSE)</f>
        <v>1.5</v>
      </c>
      <c r="L282" t="s">
        <v>3532</v>
      </c>
      <c r="M282" t="s">
        <v>468</v>
      </c>
      <c r="N282" t="s">
        <v>469</v>
      </c>
      <c r="O282" t="s">
        <v>470</v>
      </c>
      <c r="P282" s="57" t="str">
        <f>IF(VLOOKUP(D282,'⚪设计'!$C$85:$I$113,7,FALSE)="","",VLOOKUP(D282,'⚪设计'!$C$85:$I$113,7,FALSE))</f>
        <v>Skill_Monster_XueRen2,NormalAttack</v>
      </c>
      <c r="Q282" s="110">
        <v>12</v>
      </c>
      <c r="R282" s="110">
        <v>1</v>
      </c>
      <c r="S282" s="110"/>
    </row>
    <row r="283" spans="2:19" x14ac:dyDescent="0.2">
      <c r="B283" t="s">
        <v>3533</v>
      </c>
      <c r="C283" t="s">
        <v>3343</v>
      </c>
      <c r="D283" s="55" t="str">
        <f>VLOOKUP(VLOOKUP(Q283,'⚪设计'!$A$277:$G$296,3+UnitCfg!R283,FALSE),'⚪设计'!$B$85:$C$113,2,FALSE)</f>
        <v>ResUnit_ZhongZi1</v>
      </c>
      <c r="E283" s="55">
        <f>VLOOKUP(D283,'⚪设计'!$C$85:$I$113,5,FALSE)*VLOOKUP(UnitCfg!Q283,无限模式!$A$3:$C$22,3,FALSE)</f>
        <v>3.1</v>
      </c>
      <c r="F283">
        <v>400</v>
      </c>
      <c r="G283" t="b">
        <v>1</v>
      </c>
      <c r="H283">
        <v>1</v>
      </c>
      <c r="I283">
        <v>1</v>
      </c>
      <c r="J283">
        <v>0.5</v>
      </c>
      <c r="K283" s="55">
        <f>VLOOKUP(D283,'⚪设计'!$C$85:$I$113,6,FALSE)</f>
        <v>1</v>
      </c>
      <c r="L283" t="s">
        <v>3534</v>
      </c>
      <c r="M283" t="s">
        <v>468</v>
      </c>
      <c r="N283" t="s">
        <v>469</v>
      </c>
      <c r="O283" t="s">
        <v>470</v>
      </c>
      <c r="P283" s="57" t="str">
        <f>IF(VLOOKUP(D283,'⚪设计'!$C$85:$I$113,7,FALSE)="","",VLOOKUP(D283,'⚪设计'!$C$85:$I$113,7,FALSE))</f>
        <v>Skill_Monster_Heal,NormalAttack</v>
      </c>
      <c r="Q283" s="110">
        <v>12</v>
      </c>
      <c r="R283" s="110">
        <v>2</v>
      </c>
      <c r="S283" s="110"/>
    </row>
    <row r="284" spans="2:19" x14ac:dyDescent="0.2">
      <c r="B284" t="s">
        <v>3535</v>
      </c>
      <c r="C284" t="s">
        <v>3344</v>
      </c>
      <c r="D284" s="55" t="str">
        <f>VLOOKUP(VLOOKUP(Q284,'⚪设计'!$A$277:$G$296,3+UnitCfg!R284,FALSE),'⚪设计'!$B$85:$C$113,2,FALSE)</f>
        <v>ResUnit_ZhongZi3</v>
      </c>
      <c r="E284" s="55">
        <f>VLOOKUP(D284,'⚪设计'!$C$85:$I$113,5,FALSE)*VLOOKUP(UnitCfg!Q284,无限模式!$A$3:$C$22,3,FALSE)</f>
        <v>1.9375</v>
      </c>
      <c r="F284">
        <v>400</v>
      </c>
      <c r="G284" t="b">
        <v>1</v>
      </c>
      <c r="H284">
        <v>1</v>
      </c>
      <c r="I284">
        <v>1</v>
      </c>
      <c r="J284">
        <v>0.5</v>
      </c>
      <c r="K284" s="55">
        <f>VLOOKUP(D284,'⚪设计'!$C$85:$I$113,6,FALSE)</f>
        <v>2.5</v>
      </c>
      <c r="L284" t="s">
        <v>3536</v>
      </c>
      <c r="M284" t="s">
        <v>468</v>
      </c>
      <c r="N284" t="s">
        <v>469</v>
      </c>
      <c r="O284" t="s">
        <v>470</v>
      </c>
      <c r="P284" s="57" t="str">
        <f>IF(VLOOKUP(D284,'⚪设计'!$C$85:$I$113,7,FALSE)="","",VLOOKUP(D284,'⚪设计'!$C$85:$I$113,7,FALSE))</f>
        <v>Skill_Monster_Heal,NormalAttack</v>
      </c>
      <c r="Q284" s="110">
        <v>12</v>
      </c>
      <c r="R284" s="110">
        <v>3</v>
      </c>
      <c r="S284" s="110"/>
    </row>
    <row r="285" spans="2:19" x14ac:dyDescent="0.2">
      <c r="B285" t="s">
        <v>3537</v>
      </c>
      <c r="C285" t="s">
        <v>3345</v>
      </c>
      <c r="D285" s="55" t="str">
        <f>VLOOKUP(VLOOKUP(Q285,'⚪设计'!$A$277:$G$296,3+UnitCfg!R285,FALSE),'⚪设计'!$B$85:$C$113,2,FALSE)</f>
        <v>ResUnit_Gui1</v>
      </c>
      <c r="E285" s="55">
        <f>VLOOKUP(D285,'⚪设计'!$C$85:$I$113,5,FALSE)*VLOOKUP(UnitCfg!Q285,无限模式!$A$3:$C$22,3,FALSE)</f>
        <v>3.2</v>
      </c>
      <c r="F285">
        <v>400</v>
      </c>
      <c r="G285" t="b">
        <v>1</v>
      </c>
      <c r="H285">
        <v>1</v>
      </c>
      <c r="I285">
        <v>1</v>
      </c>
      <c r="J285">
        <v>0.5</v>
      </c>
      <c r="K285" s="55">
        <f>VLOOKUP(D285,'⚪设计'!$C$85:$I$113,6,FALSE)</f>
        <v>1</v>
      </c>
      <c r="L285" t="s">
        <v>3538</v>
      </c>
      <c r="M285" t="s">
        <v>468</v>
      </c>
      <c r="N285" t="s">
        <v>469</v>
      </c>
      <c r="O285" t="s">
        <v>470</v>
      </c>
      <c r="P285" s="57" t="str">
        <f>IF(VLOOKUP(D285,'⚪设计'!$C$85:$I$113,7,FALSE)="","",VLOOKUP(D285,'⚪设计'!$C$85:$I$113,7,FALSE))</f>
        <v>Skill_Monster_Invisible,NormalAttack</v>
      </c>
      <c r="Q285" s="110">
        <v>13</v>
      </c>
      <c r="R285" s="110">
        <v>1</v>
      </c>
      <c r="S285" s="110"/>
    </row>
    <row r="286" spans="2:19" x14ac:dyDescent="0.2">
      <c r="B286" t="s">
        <v>3539</v>
      </c>
      <c r="C286" t="s">
        <v>3346</v>
      </c>
      <c r="D286" s="55" t="str">
        <f>VLOOKUP(VLOOKUP(Q286,'⚪设计'!$A$277:$G$296,3+UnitCfg!R286,FALSE),'⚪设计'!$B$85:$C$113,2,FALSE)</f>
        <v>ResUnit_Gui1</v>
      </c>
      <c r="E286" s="55">
        <f>VLOOKUP(D286,'⚪设计'!$C$85:$I$113,5,FALSE)*VLOOKUP(UnitCfg!Q286,无限模式!$A$3:$C$22,3,FALSE)</f>
        <v>3.3</v>
      </c>
      <c r="F286">
        <v>400</v>
      </c>
      <c r="G286" t="b">
        <v>1</v>
      </c>
      <c r="H286">
        <v>1</v>
      </c>
      <c r="I286">
        <v>1</v>
      </c>
      <c r="J286">
        <v>0.5</v>
      </c>
      <c r="K286" s="55">
        <f>VLOOKUP(D286,'⚪设计'!$C$85:$I$113,6,FALSE)</f>
        <v>1</v>
      </c>
      <c r="L286" t="s">
        <v>3540</v>
      </c>
      <c r="M286" t="s">
        <v>468</v>
      </c>
      <c r="N286" t="s">
        <v>469</v>
      </c>
      <c r="O286" t="s">
        <v>470</v>
      </c>
      <c r="P286" s="57" t="str">
        <f>IF(VLOOKUP(D286,'⚪设计'!$C$85:$I$113,7,FALSE)="","",VLOOKUP(D286,'⚪设计'!$C$85:$I$113,7,FALSE))</f>
        <v>Skill_Monster_Invisible,NormalAttack</v>
      </c>
      <c r="Q286" s="110">
        <v>14</v>
      </c>
      <c r="R286" s="110">
        <v>1</v>
      </c>
      <c r="S286" s="110"/>
    </row>
    <row r="287" spans="2:19" x14ac:dyDescent="0.2">
      <c r="B287" t="s">
        <v>3541</v>
      </c>
      <c r="C287" t="s">
        <v>3347</v>
      </c>
      <c r="D287" s="55" t="str">
        <f>VLOOKUP(VLOOKUP(Q287,'⚪设计'!$A$277:$G$296,3+UnitCfg!R287,FALSE),'⚪设计'!$B$85:$C$113,2,FALSE)</f>
        <v>ResUnit_XueRen2</v>
      </c>
      <c r="E287" s="55">
        <f>VLOOKUP(D287,'⚪设计'!$C$85:$I$113,5,FALSE)*VLOOKUP(UnitCfg!Q287,无限模式!$A$3:$C$22,3,FALSE)</f>
        <v>3.3</v>
      </c>
      <c r="F287">
        <v>400</v>
      </c>
      <c r="G287" t="b">
        <v>1</v>
      </c>
      <c r="H287">
        <v>1</v>
      </c>
      <c r="I287">
        <v>1</v>
      </c>
      <c r="J287">
        <v>0.5</v>
      </c>
      <c r="K287" s="55">
        <f>VLOOKUP(D287,'⚪设计'!$C$85:$I$113,6,FALSE)</f>
        <v>1.5</v>
      </c>
      <c r="L287" t="s">
        <v>3542</v>
      </c>
      <c r="M287" t="s">
        <v>468</v>
      </c>
      <c r="N287" t="s">
        <v>469</v>
      </c>
      <c r="O287" t="s">
        <v>470</v>
      </c>
      <c r="P287" s="57" t="str">
        <f>IF(VLOOKUP(D287,'⚪设计'!$C$85:$I$113,7,FALSE)="","",VLOOKUP(D287,'⚪设计'!$C$85:$I$113,7,FALSE))</f>
        <v>Skill_Monster_XueRen2,NormalAttack</v>
      </c>
      <c r="Q287" s="110">
        <v>14</v>
      </c>
      <c r="R287" s="110">
        <v>2</v>
      </c>
      <c r="S287" s="110"/>
    </row>
    <row r="288" spans="2:19" x14ac:dyDescent="0.2">
      <c r="B288" t="s">
        <v>3543</v>
      </c>
      <c r="C288" t="s">
        <v>3348</v>
      </c>
      <c r="D288" s="55" t="str">
        <f>VLOOKUP(VLOOKUP(Q288,'⚪设计'!$A$277:$G$296,3+UnitCfg!R288,FALSE),'⚪设计'!$B$85:$C$113,2,FALSE)</f>
        <v>ResUnit_Gui1</v>
      </c>
      <c r="E288" s="55">
        <f>VLOOKUP(D288,'⚪设计'!$C$85:$I$113,5,FALSE)*VLOOKUP(UnitCfg!Q288,无限模式!$A$3:$C$22,3,FALSE)</f>
        <v>3.4</v>
      </c>
      <c r="F288">
        <v>400</v>
      </c>
      <c r="G288" t="b">
        <v>1</v>
      </c>
      <c r="H288">
        <v>1</v>
      </c>
      <c r="I288">
        <v>1</v>
      </c>
      <c r="J288">
        <v>0.5</v>
      </c>
      <c r="K288" s="55">
        <f>VLOOKUP(D288,'⚪设计'!$C$85:$I$113,6,FALSE)</f>
        <v>1</v>
      </c>
      <c r="L288" t="s">
        <v>3544</v>
      </c>
      <c r="M288" t="s">
        <v>468</v>
      </c>
      <c r="N288" t="s">
        <v>469</v>
      </c>
      <c r="O288" t="s">
        <v>470</v>
      </c>
      <c r="P288" s="57" t="str">
        <f>IF(VLOOKUP(D288,'⚪设计'!$C$85:$I$113,7,FALSE)="","",VLOOKUP(D288,'⚪设计'!$C$85:$I$113,7,FALSE))</f>
        <v>Skill_Monster_Invisible,NormalAttack</v>
      </c>
      <c r="Q288" s="110">
        <v>15</v>
      </c>
      <c r="R288" s="110">
        <v>1</v>
      </c>
      <c r="S288" s="110"/>
    </row>
    <row r="289" spans="2:19" x14ac:dyDescent="0.2">
      <c r="B289" t="s">
        <v>3545</v>
      </c>
      <c r="C289" t="s">
        <v>3349</v>
      </c>
      <c r="D289" s="55" t="str">
        <f>VLOOKUP(VLOOKUP(Q289,'⚪设计'!$A$277:$G$296,3+UnitCfg!R289,FALSE),'⚪设计'!$B$85:$C$113,2,FALSE)</f>
        <v>ResUnit_ZhongZi2</v>
      </c>
      <c r="E289" s="55">
        <f>VLOOKUP(D289,'⚪设计'!$C$85:$I$113,5,FALSE)*VLOOKUP(UnitCfg!Q289,无限模式!$A$3:$C$22,3,FALSE)</f>
        <v>3.4</v>
      </c>
      <c r="F289">
        <v>400</v>
      </c>
      <c r="G289" t="b">
        <v>1</v>
      </c>
      <c r="H289">
        <v>1</v>
      </c>
      <c r="I289">
        <v>1</v>
      </c>
      <c r="J289">
        <v>0.5</v>
      </c>
      <c r="K289" s="55">
        <f>VLOOKUP(D289,'⚪设计'!$C$85:$I$113,6,FALSE)</f>
        <v>1.5</v>
      </c>
      <c r="L289" t="s">
        <v>3546</v>
      </c>
      <c r="M289" t="s">
        <v>468</v>
      </c>
      <c r="N289" t="s">
        <v>469</v>
      </c>
      <c r="O289" t="s">
        <v>470</v>
      </c>
      <c r="P289" s="57" t="str">
        <f>IF(VLOOKUP(D289,'⚪设计'!$C$85:$I$113,7,FALSE)="","",VLOOKUP(D289,'⚪设计'!$C$85:$I$113,7,FALSE))</f>
        <v>Skill_Monster_Heal,NormalAttack</v>
      </c>
      <c r="Q289" s="110">
        <v>15</v>
      </c>
      <c r="R289" s="110">
        <v>2</v>
      </c>
      <c r="S289" s="110"/>
    </row>
    <row r="290" spans="2:19" x14ac:dyDescent="0.2">
      <c r="B290" t="s">
        <v>3547</v>
      </c>
      <c r="C290" t="s">
        <v>3350</v>
      </c>
      <c r="D290" s="55" t="str">
        <f>VLOOKUP(VLOOKUP(Q290,'⚪设计'!$A$277:$G$296,3+UnitCfg!R290,FALSE),'⚪设计'!$B$85:$C$113,2,FALSE)</f>
        <v>ResUnit_XueRen2</v>
      </c>
      <c r="E290" s="55">
        <f>VLOOKUP(D290,'⚪设计'!$C$85:$I$113,5,FALSE)*VLOOKUP(UnitCfg!Q290,无限模式!$A$3:$C$22,3,FALSE)</f>
        <v>3.5</v>
      </c>
      <c r="F290">
        <v>400</v>
      </c>
      <c r="G290" t="b">
        <v>1</v>
      </c>
      <c r="H290">
        <v>1</v>
      </c>
      <c r="I290">
        <v>1</v>
      </c>
      <c r="J290">
        <v>0.5</v>
      </c>
      <c r="K290" s="55">
        <f>VLOOKUP(D290,'⚪设计'!$C$85:$I$113,6,FALSE)</f>
        <v>1.5</v>
      </c>
      <c r="L290" t="s">
        <v>3548</v>
      </c>
      <c r="M290" t="s">
        <v>468</v>
      </c>
      <c r="N290" t="s">
        <v>469</v>
      </c>
      <c r="O290" t="s">
        <v>470</v>
      </c>
      <c r="P290" s="57" t="str">
        <f>IF(VLOOKUP(D290,'⚪设计'!$C$85:$I$113,7,FALSE)="","",VLOOKUP(D290,'⚪设计'!$C$85:$I$113,7,FALSE))</f>
        <v>Skill_Monster_XueRen2,NormalAttack</v>
      </c>
      <c r="Q290" s="110">
        <v>16</v>
      </c>
      <c r="R290" s="110">
        <v>1</v>
      </c>
      <c r="S290" s="110"/>
    </row>
    <row r="291" spans="2:19" x14ac:dyDescent="0.2">
      <c r="B291" t="s">
        <v>3549</v>
      </c>
      <c r="C291" t="s">
        <v>3351</v>
      </c>
      <c r="D291" s="55" t="str">
        <f>VLOOKUP(VLOOKUP(Q291,'⚪设计'!$A$277:$G$296,3+UnitCfg!R291,FALSE),'⚪设计'!$B$85:$C$113,2,FALSE)</f>
        <v>ResUnit_Gui3</v>
      </c>
      <c r="E291" s="55">
        <f>VLOOKUP(D291,'⚪设计'!$C$85:$I$113,5,FALSE)*VLOOKUP(UnitCfg!Q291,无限模式!$A$3:$C$22,3,FALSE)</f>
        <v>2.1875</v>
      </c>
      <c r="F291">
        <v>400</v>
      </c>
      <c r="G291" t="b">
        <v>1</v>
      </c>
      <c r="H291">
        <v>1</v>
      </c>
      <c r="I291">
        <v>1</v>
      </c>
      <c r="J291">
        <v>0.5</v>
      </c>
      <c r="K291" s="55">
        <f>VLOOKUP(D291,'⚪设计'!$C$85:$I$113,6,FALSE)</f>
        <v>2.5</v>
      </c>
      <c r="L291" t="s">
        <v>3550</v>
      </c>
      <c r="M291" t="s">
        <v>468</v>
      </c>
      <c r="N291" t="s">
        <v>469</v>
      </c>
      <c r="O291" t="s">
        <v>470</v>
      </c>
      <c r="P291" s="57" t="str">
        <f>IF(VLOOKUP(D291,'⚪设计'!$C$85:$I$113,7,FALSE)="","",VLOOKUP(D291,'⚪设计'!$C$85:$I$113,7,FALSE))</f>
        <v>Skill_Monster_Invisible,NormalAttack</v>
      </c>
      <c r="Q291" s="110">
        <v>16</v>
      </c>
      <c r="R291" s="110">
        <v>2</v>
      </c>
      <c r="S291" s="110"/>
    </row>
    <row r="292" spans="2:19" x14ac:dyDescent="0.2">
      <c r="B292" t="s">
        <v>3551</v>
      </c>
      <c r="C292" t="s">
        <v>3352</v>
      </c>
      <c r="D292" s="55" t="str">
        <f>VLOOKUP(VLOOKUP(Q292,'⚪设计'!$A$277:$G$296,3+UnitCfg!R292,FALSE),'⚪设计'!$B$85:$C$113,2,FALSE)</f>
        <v>ResUnit_XueRen3</v>
      </c>
      <c r="E292" s="55">
        <f>VLOOKUP(D292,'⚪设计'!$C$85:$I$113,5,FALSE)*VLOOKUP(UnitCfg!Q292,无限模式!$A$3:$C$22,3,FALSE)</f>
        <v>3.6</v>
      </c>
      <c r="F292">
        <v>400</v>
      </c>
      <c r="G292" t="b">
        <v>1</v>
      </c>
      <c r="H292">
        <v>1</v>
      </c>
      <c r="I292">
        <v>1</v>
      </c>
      <c r="J292">
        <v>0.5</v>
      </c>
      <c r="K292" s="55">
        <f>VLOOKUP(D292,'⚪设计'!$C$85:$I$113,6,FALSE)</f>
        <v>2.5</v>
      </c>
      <c r="L292" t="s">
        <v>3552</v>
      </c>
      <c r="M292" t="s">
        <v>468</v>
      </c>
      <c r="N292" t="s">
        <v>469</v>
      </c>
      <c r="O292" t="s">
        <v>470</v>
      </c>
      <c r="P292" s="57" t="str">
        <f>IF(VLOOKUP(D292,'⚪设计'!$C$85:$I$113,7,FALSE)="","",VLOOKUP(D292,'⚪设计'!$C$85:$I$113,7,FALSE))</f>
        <v>Skill_Monster_XueRen3,NormalAttack</v>
      </c>
      <c r="Q292" s="110">
        <v>17</v>
      </c>
      <c r="R292" s="110">
        <v>1</v>
      </c>
      <c r="S292" s="110"/>
    </row>
    <row r="293" spans="2:19" x14ac:dyDescent="0.2">
      <c r="B293" t="s">
        <v>3553</v>
      </c>
      <c r="C293" t="s">
        <v>3353</v>
      </c>
      <c r="D293" s="55" t="str">
        <f>VLOOKUP(VLOOKUP(Q293,'⚪设计'!$A$277:$G$296,3+UnitCfg!R293,FALSE),'⚪设计'!$B$85:$C$113,2,FALSE)</f>
        <v>ResUnit_Dan2</v>
      </c>
      <c r="E293" s="55">
        <f>VLOOKUP(D293,'⚪设计'!$C$85:$I$113,5,FALSE)*VLOOKUP(UnitCfg!Q293,无限模式!$A$3:$C$22,3,FALSE)</f>
        <v>3.6</v>
      </c>
      <c r="F293">
        <v>400</v>
      </c>
      <c r="G293" t="b">
        <v>1</v>
      </c>
      <c r="H293">
        <v>1</v>
      </c>
      <c r="I293">
        <v>1</v>
      </c>
      <c r="J293">
        <v>0.5</v>
      </c>
      <c r="K293" s="55">
        <f>VLOOKUP(D293,'⚪设计'!$C$85:$I$113,6,FALSE)</f>
        <v>1.5</v>
      </c>
      <c r="L293" t="s">
        <v>3554</v>
      </c>
      <c r="M293" t="s">
        <v>468</v>
      </c>
      <c r="N293" t="s">
        <v>469</v>
      </c>
      <c r="O293" t="s">
        <v>470</v>
      </c>
      <c r="P293" s="57" t="str">
        <f>IF(VLOOKUP(D293,'⚪设计'!$C$85:$I$113,7,FALSE)="","",VLOOKUP(D293,'⚪设计'!$C$85:$I$113,7,FALSE))</f>
        <v>Skill_Monster_Weaken,NormalAttack</v>
      </c>
      <c r="Q293" s="110">
        <v>17</v>
      </c>
      <c r="R293" s="110">
        <v>2</v>
      </c>
      <c r="S293" s="110"/>
    </row>
    <row r="294" spans="2:19" x14ac:dyDescent="0.2">
      <c r="B294" t="s">
        <v>3555</v>
      </c>
      <c r="C294" t="s">
        <v>3354</v>
      </c>
      <c r="D294" s="55" t="str">
        <f>VLOOKUP(VLOOKUP(Q294,'⚪设计'!$A$277:$G$296,3+UnitCfg!R294,FALSE),'⚪设计'!$B$85:$C$113,2,FALSE)</f>
        <v>ResUnit_Dan2</v>
      </c>
      <c r="E294" s="55">
        <f>VLOOKUP(D294,'⚪设计'!$C$85:$I$113,5,FALSE)*VLOOKUP(UnitCfg!Q294,无限模式!$A$3:$C$22,3,FALSE)</f>
        <v>3.7</v>
      </c>
      <c r="F294">
        <v>400</v>
      </c>
      <c r="G294" t="b">
        <v>1</v>
      </c>
      <c r="H294">
        <v>1</v>
      </c>
      <c r="I294">
        <v>1</v>
      </c>
      <c r="J294">
        <v>0.5</v>
      </c>
      <c r="K294" s="55">
        <f>VLOOKUP(D294,'⚪设计'!$C$85:$I$113,6,FALSE)</f>
        <v>1.5</v>
      </c>
      <c r="L294" t="s">
        <v>3556</v>
      </c>
      <c r="M294" t="s">
        <v>468</v>
      </c>
      <c r="N294" t="s">
        <v>469</v>
      </c>
      <c r="O294" t="s">
        <v>470</v>
      </c>
      <c r="P294" s="57" t="str">
        <f>IF(VLOOKUP(D294,'⚪设计'!$C$85:$I$113,7,FALSE)="","",VLOOKUP(D294,'⚪设计'!$C$85:$I$113,7,FALSE))</f>
        <v>Skill_Monster_Weaken,NormalAttack</v>
      </c>
      <c r="Q294" s="110">
        <v>18</v>
      </c>
      <c r="R294" s="110">
        <v>1</v>
      </c>
      <c r="S294" s="110"/>
    </row>
    <row r="295" spans="2:19" x14ac:dyDescent="0.2">
      <c r="B295" t="s">
        <v>3557</v>
      </c>
      <c r="C295" t="s">
        <v>3355</v>
      </c>
      <c r="D295" s="55" t="str">
        <f>VLOOKUP(VLOOKUP(Q295,'⚪设计'!$A$277:$G$296,3+UnitCfg!R295,FALSE),'⚪设计'!$B$85:$C$113,2,FALSE)</f>
        <v>ResUnit_ZhiZhu2</v>
      </c>
      <c r="E295" s="55">
        <f>VLOOKUP(D295,'⚪设计'!$C$85:$I$113,5,FALSE)*VLOOKUP(UnitCfg!Q295,无限模式!$A$3:$C$22,3,FALSE)</f>
        <v>5.5500000000000007</v>
      </c>
      <c r="F295">
        <v>400</v>
      </c>
      <c r="G295" t="b">
        <v>1</v>
      </c>
      <c r="H295">
        <v>1</v>
      </c>
      <c r="I295">
        <v>1</v>
      </c>
      <c r="J295">
        <v>0.5</v>
      </c>
      <c r="K295" s="55">
        <f>VLOOKUP(D295,'⚪设计'!$C$85:$I$113,6,FALSE)</f>
        <v>1.5</v>
      </c>
      <c r="L295" t="s">
        <v>3558</v>
      </c>
      <c r="M295" t="s">
        <v>468</v>
      </c>
      <c r="N295" t="s">
        <v>469</v>
      </c>
      <c r="O295" t="s">
        <v>470</v>
      </c>
      <c r="P295" s="57" t="str">
        <f>IF(VLOOKUP(D295,'⚪设计'!$C$85:$I$113,7,FALSE)="","",VLOOKUP(D295,'⚪设计'!$C$85:$I$113,7,FALSE))</f>
        <v/>
      </c>
      <c r="Q295" s="110">
        <v>18</v>
      </c>
      <c r="R295" s="110">
        <v>2</v>
      </c>
      <c r="S295" s="110"/>
    </row>
    <row r="296" spans="2:19" x14ac:dyDescent="0.2">
      <c r="B296" t="s">
        <v>3559</v>
      </c>
      <c r="C296" t="s">
        <v>3356</v>
      </c>
      <c r="D296" s="55" t="str">
        <f>VLOOKUP(VLOOKUP(Q296,'⚪设计'!$A$277:$G$296,3+UnitCfg!R296,FALSE),'⚪设计'!$B$85:$C$113,2,FALSE)</f>
        <v>ResUnit_Dan2</v>
      </c>
      <c r="E296" s="55">
        <f>VLOOKUP(D296,'⚪设计'!$C$85:$I$113,5,FALSE)*VLOOKUP(UnitCfg!Q296,无限模式!$A$3:$C$22,3,FALSE)</f>
        <v>3.8</v>
      </c>
      <c r="F296">
        <v>400</v>
      </c>
      <c r="G296" t="b">
        <v>1</v>
      </c>
      <c r="H296">
        <v>1</v>
      </c>
      <c r="I296">
        <v>1</v>
      </c>
      <c r="J296">
        <v>0.5</v>
      </c>
      <c r="K296" s="55">
        <f>VLOOKUP(D296,'⚪设计'!$C$85:$I$113,6,FALSE)</f>
        <v>1.5</v>
      </c>
      <c r="L296" t="s">
        <v>3560</v>
      </c>
      <c r="M296" t="s">
        <v>468</v>
      </c>
      <c r="N296" t="s">
        <v>469</v>
      </c>
      <c r="O296" t="s">
        <v>470</v>
      </c>
      <c r="P296" s="57" t="str">
        <f>IF(VLOOKUP(D296,'⚪设计'!$C$85:$I$113,7,FALSE)="","",VLOOKUP(D296,'⚪设计'!$C$85:$I$113,7,FALSE))</f>
        <v>Skill_Monster_Weaken,NormalAttack</v>
      </c>
      <c r="Q296" s="110">
        <v>19</v>
      </c>
      <c r="R296" s="110">
        <v>1</v>
      </c>
      <c r="S296" s="110"/>
    </row>
    <row r="297" spans="2:19" x14ac:dyDescent="0.2">
      <c r="B297" t="s">
        <v>3561</v>
      </c>
      <c r="C297" t="s">
        <v>3357</v>
      </c>
      <c r="D297" s="55" t="str">
        <f>VLOOKUP(VLOOKUP(Q297,'⚪设计'!$A$277:$G$296,3+UnitCfg!R297,FALSE),'⚪设计'!$B$85:$C$113,2,FALSE)</f>
        <v>ResUnit_XueRen3</v>
      </c>
      <c r="E297" s="55">
        <f>VLOOKUP(D297,'⚪设计'!$C$85:$I$113,5,FALSE)*VLOOKUP(UnitCfg!Q297,无限模式!$A$3:$C$22,3,FALSE)</f>
        <v>3.8</v>
      </c>
      <c r="F297">
        <v>400</v>
      </c>
      <c r="G297" t="b">
        <v>1</v>
      </c>
      <c r="H297">
        <v>1</v>
      </c>
      <c r="I297">
        <v>1</v>
      </c>
      <c r="J297">
        <v>0.5</v>
      </c>
      <c r="K297" s="55">
        <f>VLOOKUP(D297,'⚪设计'!$C$85:$I$113,6,FALSE)</f>
        <v>2.5</v>
      </c>
      <c r="L297" t="s">
        <v>3562</v>
      </c>
      <c r="M297" t="s">
        <v>468</v>
      </c>
      <c r="N297" t="s">
        <v>469</v>
      </c>
      <c r="O297" t="s">
        <v>470</v>
      </c>
      <c r="P297" s="57" t="str">
        <f>IF(VLOOKUP(D297,'⚪设计'!$C$85:$I$113,7,FALSE)="","",VLOOKUP(D297,'⚪设计'!$C$85:$I$113,7,FALSE))</f>
        <v>Skill_Monster_XueRen3,NormalAttack</v>
      </c>
      <c r="Q297" s="110">
        <v>19</v>
      </c>
      <c r="R297" s="110">
        <v>2</v>
      </c>
      <c r="S297" s="110"/>
    </row>
    <row r="298" spans="2:19" x14ac:dyDescent="0.2">
      <c r="B298" t="s">
        <v>3563</v>
      </c>
      <c r="C298" t="s">
        <v>3358</v>
      </c>
      <c r="D298" s="55" t="str">
        <f>VLOOKUP(VLOOKUP(Q298,'⚪设计'!$A$277:$G$296,3+UnitCfg!R298,FALSE),'⚪设计'!$B$85:$C$113,2,FALSE)</f>
        <v>ResUnit_ZhongZi2</v>
      </c>
      <c r="E298" s="55">
        <f>VLOOKUP(D298,'⚪设计'!$C$85:$I$113,5,FALSE)*VLOOKUP(UnitCfg!Q298,无限模式!$A$3:$C$22,3,FALSE)</f>
        <v>3.8</v>
      </c>
      <c r="F298">
        <v>400</v>
      </c>
      <c r="G298" t="b">
        <v>1</v>
      </c>
      <c r="H298">
        <v>1</v>
      </c>
      <c r="I298">
        <v>1</v>
      </c>
      <c r="J298">
        <v>0.5</v>
      </c>
      <c r="K298" s="55">
        <f>VLOOKUP(D298,'⚪设计'!$C$85:$I$113,6,FALSE)</f>
        <v>1.5</v>
      </c>
      <c r="L298" t="s">
        <v>3564</v>
      </c>
      <c r="M298" t="s">
        <v>468</v>
      </c>
      <c r="N298" t="s">
        <v>469</v>
      </c>
      <c r="O298" t="s">
        <v>470</v>
      </c>
      <c r="P298" s="57" t="str">
        <f>IF(VLOOKUP(D298,'⚪设计'!$C$85:$I$113,7,FALSE)="","",VLOOKUP(D298,'⚪设计'!$C$85:$I$113,7,FALSE))</f>
        <v>Skill_Monster_Heal,NormalAttack</v>
      </c>
      <c r="Q298" s="110">
        <v>19</v>
      </c>
      <c r="R298" s="110">
        <v>3</v>
      </c>
      <c r="S298" s="110"/>
    </row>
    <row r="299" spans="2:19" x14ac:dyDescent="0.2">
      <c r="B299" t="s">
        <v>3565</v>
      </c>
      <c r="C299" t="s">
        <v>3359</v>
      </c>
      <c r="D299" s="55" t="str">
        <f>VLOOKUP(VLOOKUP(Q299,'⚪设计'!$A$277:$G$296,3+UnitCfg!R299,FALSE),'⚪设计'!$B$85:$C$113,2,FALSE)</f>
        <v>ResUnit_Dan3</v>
      </c>
      <c r="E299" s="55">
        <f>VLOOKUP(D299,'⚪设计'!$C$85:$I$113,5,FALSE)*VLOOKUP(UnitCfg!Q299,无限模式!$A$3:$C$22,3,FALSE)</f>
        <v>2.4375</v>
      </c>
      <c r="F299">
        <v>400</v>
      </c>
      <c r="G299" t="b">
        <v>1</v>
      </c>
      <c r="H299">
        <v>1</v>
      </c>
      <c r="I299">
        <v>1</v>
      </c>
      <c r="J299">
        <v>0.5</v>
      </c>
      <c r="K299" s="55">
        <f>VLOOKUP(D299,'⚪设计'!$C$85:$I$113,6,FALSE)</f>
        <v>2.5</v>
      </c>
      <c r="L299" t="s">
        <v>3566</v>
      </c>
      <c r="M299" t="s">
        <v>468</v>
      </c>
      <c r="N299" t="s">
        <v>469</v>
      </c>
      <c r="O299" t="s">
        <v>470</v>
      </c>
      <c r="P299" s="57" t="str">
        <f>IF(VLOOKUP(D299,'⚪设计'!$C$85:$I$113,7,FALSE)="","",VLOOKUP(D299,'⚪设计'!$C$85:$I$113,7,FALSE))</f>
        <v>Skill_Monster_Weaken,NormalAttack</v>
      </c>
      <c r="Q299" s="110">
        <v>20</v>
      </c>
      <c r="R299" s="110">
        <v>1</v>
      </c>
      <c r="S299" s="110"/>
    </row>
    <row r="300" spans="2:19" x14ac:dyDescent="0.2">
      <c r="B300" t="s">
        <v>3567</v>
      </c>
      <c r="C300" t="s">
        <v>3360</v>
      </c>
      <c r="D300" s="55" t="str">
        <f>VLOOKUP(VLOOKUP(Q300,'⚪设计'!$A$277:$G$296,3+UnitCfg!R300,FALSE),'⚪设计'!$B$85:$C$113,2,FALSE)</f>
        <v>ResUnit_Gui2</v>
      </c>
      <c r="E300" s="55">
        <f>VLOOKUP(D300,'⚪设计'!$C$85:$I$113,5,FALSE)*VLOOKUP(UnitCfg!Q300,无限模式!$A$3:$C$22,3,FALSE)</f>
        <v>3.9</v>
      </c>
      <c r="F300">
        <v>400</v>
      </c>
      <c r="G300" t="b">
        <v>1</v>
      </c>
      <c r="H300">
        <v>1</v>
      </c>
      <c r="I300">
        <v>1</v>
      </c>
      <c r="J300">
        <v>0.5</v>
      </c>
      <c r="K300" s="55">
        <f>VLOOKUP(D300,'⚪设计'!$C$85:$I$113,6,FALSE)</f>
        <v>1.5</v>
      </c>
      <c r="L300" t="s">
        <v>3568</v>
      </c>
      <c r="M300" t="s">
        <v>468</v>
      </c>
      <c r="N300" t="s">
        <v>469</v>
      </c>
      <c r="O300" t="s">
        <v>470</v>
      </c>
      <c r="P300" s="57" t="str">
        <f>IF(VLOOKUP(D300,'⚪设计'!$C$85:$I$113,7,FALSE)="","",VLOOKUP(D300,'⚪设计'!$C$85:$I$113,7,FALSE))</f>
        <v>Skill_Monster_Invisible,NormalAttack</v>
      </c>
      <c r="Q300" s="110">
        <v>20</v>
      </c>
      <c r="R300" s="110">
        <v>2</v>
      </c>
      <c r="S300" s="110"/>
    </row>
    <row r="301" spans="2:19" x14ac:dyDescent="0.2">
      <c r="B301" t="s">
        <v>3569</v>
      </c>
      <c r="C301" t="s">
        <v>3361</v>
      </c>
      <c r="D301" s="55" t="str">
        <f>VLOOKUP(VLOOKUP(Q301,'⚪设计'!$A$277:$G$296,3+UnitCfg!R301,FALSE),'⚪设计'!$B$85:$C$113,2,FALSE)</f>
        <v>ResUnit_ZhongZi2</v>
      </c>
      <c r="E301" s="55">
        <f>VLOOKUP(D301,'⚪设计'!$C$85:$I$113,5,FALSE)*VLOOKUP(UnitCfg!Q301,无限模式!$A$3:$C$22,3,FALSE)</f>
        <v>3.9</v>
      </c>
      <c r="F301">
        <v>400</v>
      </c>
      <c r="G301" t="b">
        <v>1</v>
      </c>
      <c r="H301">
        <v>1</v>
      </c>
      <c r="I301">
        <v>1</v>
      </c>
      <c r="J301">
        <v>0.5</v>
      </c>
      <c r="K301" s="55">
        <f>VLOOKUP(D301,'⚪设计'!$C$85:$I$113,6,FALSE)</f>
        <v>1.5</v>
      </c>
      <c r="L301" t="s">
        <v>3570</v>
      </c>
      <c r="M301" t="s">
        <v>468</v>
      </c>
      <c r="N301" t="s">
        <v>469</v>
      </c>
      <c r="O301" t="s">
        <v>470</v>
      </c>
      <c r="P301" s="57" t="str">
        <f>IF(VLOOKUP(D301,'⚪设计'!$C$85:$I$113,7,FALSE)="","",VLOOKUP(D301,'⚪设计'!$C$85:$I$113,7,FALSE))</f>
        <v>Skill_Monster_Heal,NormalAttack</v>
      </c>
      <c r="Q301" s="110">
        <v>20</v>
      </c>
      <c r="R301" s="110">
        <v>3</v>
      </c>
      <c r="S301" s="110"/>
    </row>
    <row r="302" spans="2:19" x14ac:dyDescent="0.2">
      <c r="B302" t="s">
        <v>3571</v>
      </c>
      <c r="C302" t="s">
        <v>3362</v>
      </c>
      <c r="D302" s="55" t="str">
        <f>VLOOKUP(VLOOKUP(Q302,'⚪设计'!$A$277:$G$296,3+UnitCfg!R302,FALSE),'⚪设计'!$B$85:$C$113,2,FALSE)</f>
        <v>ResUnit_XueRen3</v>
      </c>
      <c r="E302" s="55">
        <f>VLOOKUP(D302,'⚪设计'!$C$85:$I$113,5,FALSE)*VLOOKUP(UnitCfg!Q302,无限模式!$A$3:$C$22,3,FALSE)</f>
        <v>3.9</v>
      </c>
      <c r="F302">
        <v>400</v>
      </c>
      <c r="G302" t="b">
        <v>1</v>
      </c>
      <c r="H302">
        <v>1</v>
      </c>
      <c r="I302">
        <v>1</v>
      </c>
      <c r="J302">
        <v>0.5</v>
      </c>
      <c r="K302" s="55">
        <f>VLOOKUP(D302,'⚪设计'!$C$85:$I$113,6,FALSE)</f>
        <v>2.5</v>
      </c>
      <c r="L302" t="s">
        <v>3572</v>
      </c>
      <c r="M302" t="s">
        <v>468</v>
      </c>
      <c r="N302" t="s">
        <v>469</v>
      </c>
      <c r="O302" t="s">
        <v>470</v>
      </c>
      <c r="P302" s="57" t="str">
        <f>IF(VLOOKUP(D302,'⚪设计'!$C$85:$I$113,7,FALSE)="","",VLOOKUP(D302,'⚪设计'!$C$85:$I$113,7,FALSE))</f>
        <v>Skill_Monster_XueRen3,NormalAttack</v>
      </c>
      <c r="Q302" s="110">
        <v>20</v>
      </c>
      <c r="R302" s="110">
        <v>4</v>
      </c>
      <c r="S302" s="110"/>
    </row>
    <row r="303" spans="2:19" s="125" customFormat="1" x14ac:dyDescent="0.2"/>
    <row r="304" spans="2:19" x14ac:dyDescent="0.2">
      <c r="B304" t="s">
        <v>3573</v>
      </c>
      <c r="C304" t="s">
        <v>3363</v>
      </c>
      <c r="D304" s="55" t="str">
        <f>VLOOKUP(VLOOKUP(Q304,'⚪设计'!$A$301:$G$320,3+UnitCfg!R304,FALSE),'⚪设计'!$B$85:$C$113,2,FALSE)</f>
        <v>ResUnit_WuGui1</v>
      </c>
      <c r="E304" s="55">
        <f>VLOOKUP(D304,'⚪设计'!$C$85:$I$113,5,FALSE)*VLOOKUP(UnitCfg!Q304,无限模式!$A$3:$C$22,3,FALSE)</f>
        <v>2</v>
      </c>
      <c r="F304">
        <v>400</v>
      </c>
      <c r="G304" t="b">
        <v>1</v>
      </c>
      <c r="H304">
        <v>1</v>
      </c>
      <c r="I304">
        <v>1</v>
      </c>
      <c r="J304">
        <v>0.5</v>
      </c>
      <c r="K304" s="55">
        <f>VLOOKUP(D304,'⚪设计'!$C$85:$I$113,6,FALSE)</f>
        <v>1</v>
      </c>
      <c r="L304" t="s">
        <v>3574</v>
      </c>
      <c r="M304" t="s">
        <v>468</v>
      </c>
      <c r="N304" t="s">
        <v>469</v>
      </c>
      <c r="O304" t="s">
        <v>470</v>
      </c>
      <c r="P304" s="57" t="str">
        <f>IF(VLOOKUP(D304,'⚪设计'!$C$85:$I$113,7,FALSE)="","",VLOOKUP(D304,'⚪设计'!$C$85:$I$113,7,FALSE))</f>
        <v>Skill_Monster_WuGui1,NormalAttack</v>
      </c>
      <c r="Q304" s="110">
        <v>1</v>
      </c>
      <c r="R304" s="110">
        <v>1</v>
      </c>
      <c r="S304" s="110"/>
    </row>
    <row r="305" spans="2:19" x14ac:dyDescent="0.2">
      <c r="B305" t="s">
        <v>3575</v>
      </c>
      <c r="C305" t="s">
        <v>3364</v>
      </c>
      <c r="D305" s="55" t="str">
        <f>VLOOKUP(VLOOKUP(Q305,'⚪设计'!$A$301:$G$320,3+UnitCfg!R305,FALSE),'⚪设计'!$B$85:$C$113,2,FALSE)</f>
        <v>ResUnit_MiFeng1</v>
      </c>
      <c r="E305" s="55">
        <f>VLOOKUP(D305,'⚪设计'!$C$85:$I$113,5,FALSE)*VLOOKUP(UnitCfg!Q305,无限模式!$A$3:$C$22,3,FALSE)</f>
        <v>2.1</v>
      </c>
      <c r="F305">
        <v>400</v>
      </c>
      <c r="G305" t="b">
        <v>1</v>
      </c>
      <c r="H305">
        <v>1</v>
      </c>
      <c r="I305">
        <v>1</v>
      </c>
      <c r="J305">
        <v>0.5</v>
      </c>
      <c r="K305" s="55">
        <f>VLOOKUP(D305,'⚪设计'!$C$85:$I$113,6,FALSE)</f>
        <v>1</v>
      </c>
      <c r="L305" t="s">
        <v>3576</v>
      </c>
      <c r="M305" t="s">
        <v>468</v>
      </c>
      <c r="N305" t="s">
        <v>469</v>
      </c>
      <c r="O305" t="s">
        <v>470</v>
      </c>
      <c r="P305" s="57" t="str">
        <f>IF(VLOOKUP(D305,'⚪设计'!$C$85:$I$113,7,FALSE)="","",VLOOKUP(D305,'⚪设计'!$C$85:$I$113,7,FALSE))</f>
        <v/>
      </c>
      <c r="Q305" s="110">
        <v>2</v>
      </c>
      <c r="R305" s="110">
        <v>1</v>
      </c>
      <c r="S305" s="110"/>
    </row>
    <row r="306" spans="2:19" x14ac:dyDescent="0.2">
      <c r="B306" t="s">
        <v>3577</v>
      </c>
      <c r="C306" t="s">
        <v>3365</v>
      </c>
      <c r="D306" s="55" t="str">
        <f>VLOOKUP(VLOOKUP(Q306,'⚪设计'!$A$301:$G$320,3+UnitCfg!R306,FALSE),'⚪设计'!$B$85:$C$113,2,FALSE)</f>
        <v>ResUnit_WuGui1</v>
      </c>
      <c r="E306" s="55">
        <f>VLOOKUP(D306,'⚪设计'!$C$85:$I$113,5,FALSE)*VLOOKUP(UnitCfg!Q306,无限模式!$A$3:$C$22,3,FALSE)</f>
        <v>2.1</v>
      </c>
      <c r="F306">
        <v>400</v>
      </c>
      <c r="G306" t="b">
        <v>1</v>
      </c>
      <c r="H306">
        <v>1</v>
      </c>
      <c r="I306">
        <v>1</v>
      </c>
      <c r="J306">
        <v>0.5</v>
      </c>
      <c r="K306" s="55">
        <f>VLOOKUP(D306,'⚪设计'!$C$85:$I$113,6,FALSE)</f>
        <v>1</v>
      </c>
      <c r="L306" t="s">
        <v>3578</v>
      </c>
      <c r="M306" t="s">
        <v>468</v>
      </c>
      <c r="N306" t="s">
        <v>469</v>
      </c>
      <c r="O306" t="s">
        <v>470</v>
      </c>
      <c r="P306" s="57" t="str">
        <f>IF(VLOOKUP(D306,'⚪设计'!$C$85:$I$113,7,FALSE)="","",VLOOKUP(D306,'⚪设计'!$C$85:$I$113,7,FALSE))</f>
        <v>Skill_Monster_WuGui1,NormalAttack</v>
      </c>
      <c r="Q306" s="110">
        <v>2</v>
      </c>
      <c r="R306" s="110">
        <v>2</v>
      </c>
      <c r="S306" s="110"/>
    </row>
    <row r="307" spans="2:19" x14ac:dyDescent="0.2">
      <c r="B307" t="s">
        <v>3579</v>
      </c>
      <c r="C307" t="s">
        <v>3366</v>
      </c>
      <c r="D307" s="55" t="str">
        <f>VLOOKUP(VLOOKUP(Q307,'⚪设计'!$A$301:$G$320,3+UnitCfg!R307,FALSE),'⚪设计'!$B$85:$C$113,2,FALSE)</f>
        <v>ResUnit_WuGui1</v>
      </c>
      <c r="E307" s="55">
        <f>VLOOKUP(D307,'⚪设计'!$C$85:$I$113,5,FALSE)*VLOOKUP(UnitCfg!Q307,无限模式!$A$3:$C$22,3,FALSE)</f>
        <v>2.2000000000000002</v>
      </c>
      <c r="F307">
        <v>400</v>
      </c>
      <c r="G307" t="b">
        <v>1</v>
      </c>
      <c r="H307">
        <v>1</v>
      </c>
      <c r="I307">
        <v>1</v>
      </c>
      <c r="J307">
        <v>0.5</v>
      </c>
      <c r="K307" s="55">
        <f>VLOOKUP(D307,'⚪设计'!$C$85:$I$113,6,FALSE)</f>
        <v>1</v>
      </c>
      <c r="L307" t="s">
        <v>3580</v>
      </c>
      <c r="M307" t="s">
        <v>468</v>
      </c>
      <c r="N307" t="s">
        <v>469</v>
      </c>
      <c r="O307" t="s">
        <v>470</v>
      </c>
      <c r="P307" s="57" t="str">
        <f>IF(VLOOKUP(D307,'⚪设计'!$C$85:$I$113,7,FALSE)="","",VLOOKUP(D307,'⚪设计'!$C$85:$I$113,7,FALSE))</f>
        <v>Skill_Monster_WuGui1,NormalAttack</v>
      </c>
      <c r="Q307" s="110">
        <v>3</v>
      </c>
      <c r="R307" s="110">
        <v>1</v>
      </c>
      <c r="S307" s="110"/>
    </row>
    <row r="308" spans="2:19" x14ac:dyDescent="0.2">
      <c r="B308" t="s">
        <v>3581</v>
      </c>
      <c r="C308" t="s">
        <v>3367</v>
      </c>
      <c r="D308" s="55" t="str">
        <f>VLOOKUP(VLOOKUP(Q308,'⚪设计'!$A$301:$G$320,3+UnitCfg!R308,FALSE),'⚪设计'!$B$85:$C$113,2,FALSE)</f>
        <v>ResUnit_BianFu1</v>
      </c>
      <c r="E308" s="55">
        <f>VLOOKUP(D308,'⚪设计'!$C$85:$I$113,5,FALSE)*VLOOKUP(UnitCfg!Q308,无限模式!$A$3:$C$22,3,FALSE)</f>
        <v>2.2000000000000002</v>
      </c>
      <c r="F308">
        <v>400</v>
      </c>
      <c r="G308" t="b">
        <v>1</v>
      </c>
      <c r="H308">
        <v>1</v>
      </c>
      <c r="I308">
        <v>1</v>
      </c>
      <c r="J308">
        <v>0.5</v>
      </c>
      <c r="K308" s="55">
        <f>VLOOKUP(D308,'⚪设计'!$C$85:$I$113,6,FALSE)</f>
        <v>1</v>
      </c>
      <c r="L308" t="s">
        <v>3582</v>
      </c>
      <c r="M308" t="s">
        <v>468</v>
      </c>
      <c r="N308" t="s">
        <v>469</v>
      </c>
      <c r="O308" t="s">
        <v>470</v>
      </c>
      <c r="P308" s="57" t="str">
        <f>IF(VLOOKUP(D308,'⚪设计'!$C$85:$I$113,7,FALSE)="","",VLOOKUP(D308,'⚪设计'!$C$85:$I$113,7,FALSE))</f>
        <v/>
      </c>
      <c r="Q308" s="110">
        <v>3</v>
      </c>
      <c r="R308" s="110">
        <v>2</v>
      </c>
      <c r="S308" s="110"/>
    </row>
    <row r="309" spans="2:19" x14ac:dyDescent="0.2">
      <c r="B309" t="s">
        <v>3583</v>
      </c>
      <c r="C309" t="s">
        <v>3368</v>
      </c>
      <c r="D309" s="55" t="str">
        <f>VLOOKUP(VLOOKUP(Q309,'⚪设计'!$A$301:$G$320,3+UnitCfg!R309,FALSE),'⚪设计'!$B$85:$C$113,2,FALSE)</f>
        <v>ResUnit_MiFeng3</v>
      </c>
      <c r="E309" s="55">
        <f>VLOOKUP(D309,'⚪设计'!$C$85:$I$113,5,FALSE)*VLOOKUP(UnitCfg!Q309,无限模式!$A$3:$C$22,3,FALSE)</f>
        <v>1.4375</v>
      </c>
      <c r="F309">
        <v>400</v>
      </c>
      <c r="G309" t="b">
        <v>1</v>
      </c>
      <c r="H309">
        <v>1</v>
      </c>
      <c r="I309">
        <v>1</v>
      </c>
      <c r="J309">
        <v>0.5</v>
      </c>
      <c r="K309" s="55">
        <f>VLOOKUP(D309,'⚪设计'!$C$85:$I$113,6,FALSE)</f>
        <v>2.5</v>
      </c>
      <c r="L309" t="s">
        <v>3584</v>
      </c>
      <c r="M309" t="s">
        <v>468</v>
      </c>
      <c r="N309" t="s">
        <v>469</v>
      </c>
      <c r="O309" t="s">
        <v>470</v>
      </c>
      <c r="P309" s="57" t="str">
        <f>IF(VLOOKUP(D309,'⚪设计'!$C$85:$I$113,7,FALSE)="","",VLOOKUP(D309,'⚪设计'!$C$85:$I$113,7,FALSE))</f>
        <v/>
      </c>
      <c r="Q309" s="110">
        <v>4</v>
      </c>
      <c r="R309" s="110">
        <v>1</v>
      </c>
      <c r="S309" s="110"/>
    </row>
    <row r="310" spans="2:19" x14ac:dyDescent="0.2">
      <c r="B310" t="s">
        <v>3585</v>
      </c>
      <c r="C310" t="s">
        <v>3369</v>
      </c>
      <c r="D310" s="55" t="str">
        <f>VLOOKUP(VLOOKUP(Q310,'⚪设计'!$A$301:$G$320,3+UnitCfg!R310,FALSE),'⚪设计'!$B$85:$C$113,2,FALSE)</f>
        <v>ResUnit_WuGui1</v>
      </c>
      <c r="E310" s="55">
        <f>VLOOKUP(D310,'⚪设计'!$C$85:$I$113,5,FALSE)*VLOOKUP(UnitCfg!Q310,无限模式!$A$3:$C$22,3,FALSE)</f>
        <v>2.2999999999999998</v>
      </c>
      <c r="F310">
        <v>400</v>
      </c>
      <c r="G310" t="b">
        <v>1</v>
      </c>
      <c r="H310">
        <v>1</v>
      </c>
      <c r="I310">
        <v>1</v>
      </c>
      <c r="J310">
        <v>0.5</v>
      </c>
      <c r="K310" s="55">
        <f>VLOOKUP(D310,'⚪设计'!$C$85:$I$113,6,FALSE)</f>
        <v>1</v>
      </c>
      <c r="L310" t="s">
        <v>3586</v>
      </c>
      <c r="M310" t="s">
        <v>468</v>
      </c>
      <c r="N310" t="s">
        <v>469</v>
      </c>
      <c r="O310" t="s">
        <v>470</v>
      </c>
      <c r="P310" s="57" t="str">
        <f>IF(VLOOKUP(D310,'⚪设计'!$C$85:$I$113,7,FALSE)="","",VLOOKUP(D310,'⚪设计'!$C$85:$I$113,7,FALSE))</f>
        <v>Skill_Monster_WuGui1,NormalAttack</v>
      </c>
      <c r="Q310" s="110">
        <v>4</v>
      </c>
      <c r="R310" s="110">
        <v>2</v>
      </c>
      <c r="S310" s="110"/>
    </row>
    <row r="311" spans="2:19" x14ac:dyDescent="0.2">
      <c r="B311" t="s">
        <v>3587</v>
      </c>
      <c r="C311" t="s">
        <v>3370</v>
      </c>
      <c r="D311" s="55" t="str">
        <f>VLOOKUP(VLOOKUP(Q311,'⚪设计'!$A$301:$G$320,3+UnitCfg!R311,FALSE),'⚪设计'!$B$85:$C$113,2,FALSE)</f>
        <v>ResUnit_WuGui1</v>
      </c>
      <c r="E311" s="55">
        <f>VLOOKUP(D311,'⚪设计'!$C$85:$I$113,5,FALSE)*VLOOKUP(UnitCfg!Q311,无限模式!$A$3:$C$22,3,FALSE)</f>
        <v>2.4</v>
      </c>
      <c r="F311">
        <v>400</v>
      </c>
      <c r="G311" t="b">
        <v>1</v>
      </c>
      <c r="H311">
        <v>1</v>
      </c>
      <c r="I311">
        <v>1</v>
      </c>
      <c r="J311">
        <v>0.5</v>
      </c>
      <c r="K311" s="55">
        <f>VLOOKUP(D311,'⚪设计'!$C$85:$I$113,6,FALSE)</f>
        <v>1</v>
      </c>
      <c r="L311" t="s">
        <v>3588</v>
      </c>
      <c r="M311" t="s">
        <v>468</v>
      </c>
      <c r="N311" t="s">
        <v>469</v>
      </c>
      <c r="O311" t="s">
        <v>470</v>
      </c>
      <c r="P311" s="57" t="str">
        <f>IF(VLOOKUP(D311,'⚪设计'!$C$85:$I$113,7,FALSE)="","",VLOOKUP(D311,'⚪设计'!$C$85:$I$113,7,FALSE))</f>
        <v>Skill_Monster_WuGui1,NormalAttack</v>
      </c>
      <c r="Q311" s="110">
        <v>5</v>
      </c>
      <c r="R311" s="110">
        <v>1</v>
      </c>
      <c r="S311" s="110"/>
    </row>
    <row r="312" spans="2:19" x14ac:dyDescent="0.2">
      <c r="B312" t="s">
        <v>3589</v>
      </c>
      <c r="C312" t="s">
        <v>3371</v>
      </c>
      <c r="D312" s="55" t="str">
        <f>VLOOKUP(VLOOKUP(Q312,'⚪设计'!$A$301:$G$320,3+UnitCfg!R312,FALSE),'⚪设计'!$B$85:$C$113,2,FALSE)</f>
        <v>ResUnit_ZhiZhu1</v>
      </c>
      <c r="E312" s="55">
        <f>VLOOKUP(D312,'⚪设计'!$C$85:$I$113,5,FALSE)*VLOOKUP(UnitCfg!Q312,无限模式!$A$3:$C$22,3,FALSE)</f>
        <v>3.5999999999999996</v>
      </c>
      <c r="F312">
        <v>400</v>
      </c>
      <c r="G312" t="b">
        <v>1</v>
      </c>
      <c r="H312">
        <v>1</v>
      </c>
      <c r="I312">
        <v>1</v>
      </c>
      <c r="J312">
        <v>0.5</v>
      </c>
      <c r="K312" s="55">
        <f>VLOOKUP(D312,'⚪设计'!$C$85:$I$113,6,FALSE)</f>
        <v>1</v>
      </c>
      <c r="L312" t="s">
        <v>3590</v>
      </c>
      <c r="M312" t="s">
        <v>468</v>
      </c>
      <c r="N312" t="s">
        <v>469</v>
      </c>
      <c r="O312" t="s">
        <v>470</v>
      </c>
      <c r="P312" s="57" t="str">
        <f>IF(VLOOKUP(D312,'⚪设计'!$C$85:$I$113,7,FALSE)="","",VLOOKUP(D312,'⚪设计'!$C$85:$I$113,7,FALSE))</f>
        <v/>
      </c>
      <c r="Q312" s="110">
        <v>5</v>
      </c>
      <c r="R312" s="110">
        <v>2</v>
      </c>
      <c r="S312" s="110"/>
    </row>
    <row r="313" spans="2:19" x14ac:dyDescent="0.2">
      <c r="B313" t="s">
        <v>3591</v>
      </c>
      <c r="C313" t="s">
        <v>3372</v>
      </c>
      <c r="D313" s="55" t="str">
        <f>VLOOKUP(VLOOKUP(Q313,'⚪设计'!$A$301:$G$320,3+UnitCfg!R313,FALSE),'⚪设计'!$B$85:$C$113,2,FALSE)</f>
        <v>ResUnit_MiFeng2</v>
      </c>
      <c r="E313" s="55">
        <f>VLOOKUP(D313,'⚪设计'!$C$85:$I$113,5,FALSE)*VLOOKUP(UnitCfg!Q313,无限模式!$A$3:$C$22,3,FALSE)</f>
        <v>2.5</v>
      </c>
      <c r="F313">
        <v>400</v>
      </c>
      <c r="G313" t="b">
        <v>1</v>
      </c>
      <c r="H313">
        <v>1</v>
      </c>
      <c r="I313">
        <v>1</v>
      </c>
      <c r="J313">
        <v>0.5</v>
      </c>
      <c r="K313" s="55">
        <f>VLOOKUP(D313,'⚪设计'!$C$85:$I$113,6,FALSE)</f>
        <v>1.5</v>
      </c>
      <c r="L313" t="s">
        <v>3592</v>
      </c>
      <c r="M313" t="s">
        <v>468</v>
      </c>
      <c r="N313" t="s">
        <v>469</v>
      </c>
      <c r="O313" t="s">
        <v>470</v>
      </c>
      <c r="P313" s="57" t="str">
        <f>IF(VLOOKUP(D313,'⚪设计'!$C$85:$I$113,7,FALSE)="","",VLOOKUP(D313,'⚪设计'!$C$85:$I$113,7,FALSE))</f>
        <v/>
      </c>
      <c r="Q313" s="110">
        <v>6</v>
      </c>
      <c r="R313" s="110">
        <v>1</v>
      </c>
      <c r="S313" s="110"/>
    </row>
    <row r="314" spans="2:19" x14ac:dyDescent="0.2">
      <c r="B314" t="s">
        <v>3593</v>
      </c>
      <c r="C314" t="s">
        <v>3373</v>
      </c>
      <c r="D314" s="55" t="str">
        <f>VLOOKUP(VLOOKUP(Q314,'⚪设计'!$A$301:$G$320,3+UnitCfg!R314,FALSE),'⚪设计'!$B$85:$C$113,2,FALSE)</f>
        <v>ResUnit_WuGui1</v>
      </c>
      <c r="E314" s="55">
        <f>VLOOKUP(D314,'⚪设计'!$C$85:$I$113,5,FALSE)*VLOOKUP(UnitCfg!Q314,无限模式!$A$3:$C$22,3,FALSE)</f>
        <v>2.5</v>
      </c>
      <c r="F314">
        <v>400</v>
      </c>
      <c r="G314" t="b">
        <v>1</v>
      </c>
      <c r="H314">
        <v>1</v>
      </c>
      <c r="I314">
        <v>1</v>
      </c>
      <c r="J314">
        <v>0.5</v>
      </c>
      <c r="K314" s="55">
        <f>VLOOKUP(D314,'⚪设计'!$C$85:$I$113,6,FALSE)</f>
        <v>1</v>
      </c>
      <c r="L314" t="s">
        <v>3594</v>
      </c>
      <c r="M314" t="s">
        <v>468</v>
      </c>
      <c r="N314" t="s">
        <v>469</v>
      </c>
      <c r="O314" t="s">
        <v>470</v>
      </c>
      <c r="P314" s="57" t="str">
        <f>IF(VLOOKUP(D314,'⚪设计'!$C$85:$I$113,7,FALSE)="","",VLOOKUP(D314,'⚪设计'!$C$85:$I$113,7,FALSE))</f>
        <v>Skill_Monster_WuGui1,NormalAttack</v>
      </c>
      <c r="Q314" s="110">
        <v>6</v>
      </c>
      <c r="R314" s="110">
        <v>2</v>
      </c>
      <c r="S314" s="110"/>
    </row>
    <row r="315" spans="2:19" x14ac:dyDescent="0.2">
      <c r="B315" t="s">
        <v>3595</v>
      </c>
      <c r="C315" t="s">
        <v>3374</v>
      </c>
      <c r="D315" s="55" t="str">
        <f>VLOOKUP(VLOOKUP(Q315,'⚪设计'!$A$301:$G$320,3+UnitCfg!R315,FALSE),'⚪设计'!$B$85:$C$113,2,FALSE)</f>
        <v>ResUnit_WuGui1</v>
      </c>
      <c r="E315" s="55">
        <f>VLOOKUP(D315,'⚪设计'!$C$85:$I$113,5,FALSE)*VLOOKUP(UnitCfg!Q315,无限模式!$A$3:$C$22,3,FALSE)</f>
        <v>2.6</v>
      </c>
      <c r="F315">
        <v>400</v>
      </c>
      <c r="G315" t="b">
        <v>1</v>
      </c>
      <c r="H315">
        <v>1</v>
      </c>
      <c r="I315">
        <v>1</v>
      </c>
      <c r="J315">
        <v>0.5</v>
      </c>
      <c r="K315" s="55">
        <f>VLOOKUP(D315,'⚪设计'!$C$85:$I$113,6,FALSE)</f>
        <v>1</v>
      </c>
      <c r="L315" t="s">
        <v>3596</v>
      </c>
      <c r="M315" t="s">
        <v>468</v>
      </c>
      <c r="N315" t="s">
        <v>469</v>
      </c>
      <c r="O315" t="s">
        <v>470</v>
      </c>
      <c r="P315" s="57" t="str">
        <f>IF(VLOOKUP(D315,'⚪设计'!$C$85:$I$113,7,FALSE)="","",VLOOKUP(D315,'⚪设计'!$C$85:$I$113,7,FALSE))</f>
        <v>Skill_Monster_WuGui1,NormalAttack</v>
      </c>
      <c r="Q315" s="110">
        <v>7</v>
      </c>
      <c r="R315" s="110">
        <v>1</v>
      </c>
      <c r="S315" s="110"/>
    </row>
    <row r="316" spans="2:19" x14ac:dyDescent="0.2">
      <c r="B316" t="s">
        <v>3597</v>
      </c>
      <c r="C316" t="s">
        <v>3375</v>
      </c>
      <c r="D316" s="55" t="str">
        <f>VLOOKUP(VLOOKUP(Q316,'⚪设计'!$A$301:$G$320,3+UnitCfg!R316,FALSE),'⚪设计'!$B$85:$C$113,2,FALSE)</f>
        <v>ResUnit_ZhiZhu1</v>
      </c>
      <c r="E316" s="55">
        <f>VLOOKUP(D316,'⚪设计'!$C$85:$I$113,5,FALSE)*VLOOKUP(UnitCfg!Q316,无限模式!$A$3:$C$22,3,FALSE)</f>
        <v>3.9000000000000004</v>
      </c>
      <c r="F316">
        <v>400</v>
      </c>
      <c r="G316" t="b">
        <v>1</v>
      </c>
      <c r="H316">
        <v>1</v>
      </c>
      <c r="I316">
        <v>1</v>
      </c>
      <c r="J316">
        <v>0.5</v>
      </c>
      <c r="K316" s="55">
        <f>VLOOKUP(D316,'⚪设计'!$C$85:$I$113,6,FALSE)</f>
        <v>1</v>
      </c>
      <c r="L316" t="s">
        <v>3598</v>
      </c>
      <c r="M316" t="s">
        <v>468</v>
      </c>
      <c r="N316" t="s">
        <v>469</v>
      </c>
      <c r="O316" t="s">
        <v>470</v>
      </c>
      <c r="P316" s="57" t="str">
        <f>IF(VLOOKUP(D316,'⚪设计'!$C$85:$I$113,7,FALSE)="","",VLOOKUP(D316,'⚪设计'!$C$85:$I$113,7,FALSE))</f>
        <v/>
      </c>
      <c r="Q316" s="110">
        <v>7</v>
      </c>
      <c r="R316" s="110">
        <v>2</v>
      </c>
      <c r="S316" s="110"/>
    </row>
    <row r="317" spans="2:19" x14ac:dyDescent="0.2">
      <c r="B317" t="s">
        <v>3599</v>
      </c>
      <c r="C317" t="s">
        <v>3376</v>
      </c>
      <c r="D317" s="55" t="str">
        <f>VLOOKUP(VLOOKUP(Q317,'⚪设计'!$A$301:$G$320,3+UnitCfg!R317,FALSE),'⚪设计'!$B$85:$C$113,2,FALSE)</f>
        <v>ResUnit_WuGui1</v>
      </c>
      <c r="E317" s="55">
        <f>VLOOKUP(D317,'⚪设计'!$C$85:$I$113,5,FALSE)*VLOOKUP(UnitCfg!Q317,无限模式!$A$3:$C$22,3,FALSE)</f>
        <v>2.7</v>
      </c>
      <c r="F317">
        <v>400</v>
      </c>
      <c r="G317" t="b">
        <v>1</v>
      </c>
      <c r="H317">
        <v>1</v>
      </c>
      <c r="I317">
        <v>1</v>
      </c>
      <c r="J317">
        <v>0.5</v>
      </c>
      <c r="K317" s="55">
        <f>VLOOKUP(D317,'⚪设计'!$C$85:$I$113,6,FALSE)</f>
        <v>1</v>
      </c>
      <c r="L317" t="s">
        <v>3600</v>
      </c>
      <c r="M317" t="s">
        <v>468</v>
      </c>
      <c r="N317" t="s">
        <v>469</v>
      </c>
      <c r="O317" t="s">
        <v>470</v>
      </c>
      <c r="P317" s="57" t="str">
        <f>IF(VLOOKUP(D317,'⚪设计'!$C$85:$I$113,7,FALSE)="","",VLOOKUP(D317,'⚪设计'!$C$85:$I$113,7,FALSE))</f>
        <v>Skill_Monster_WuGui1,NormalAttack</v>
      </c>
      <c r="Q317" s="110">
        <v>8</v>
      </c>
      <c r="R317" s="110">
        <v>1</v>
      </c>
      <c r="S317" s="110"/>
    </row>
    <row r="318" spans="2:19" x14ac:dyDescent="0.2">
      <c r="B318" t="s">
        <v>3601</v>
      </c>
      <c r="C318" t="s">
        <v>3377</v>
      </c>
      <c r="D318" s="55" t="str">
        <f>VLOOKUP(VLOOKUP(Q318,'⚪设计'!$A$301:$G$320,3+UnitCfg!R318,FALSE),'⚪设计'!$B$85:$C$113,2,FALSE)</f>
        <v>ResUnit_ZhiZhu3</v>
      </c>
      <c r="E318" s="55">
        <f>VLOOKUP(D318,'⚪设计'!$C$85:$I$113,5,FALSE)*VLOOKUP(UnitCfg!Q318,无限模式!$A$3:$C$22,3,FALSE)</f>
        <v>1.6875</v>
      </c>
      <c r="F318">
        <v>400</v>
      </c>
      <c r="G318" t="b">
        <v>1</v>
      </c>
      <c r="H318">
        <v>1</v>
      </c>
      <c r="I318">
        <v>1</v>
      </c>
      <c r="J318">
        <v>0.5</v>
      </c>
      <c r="K318" s="55">
        <f>VLOOKUP(D318,'⚪设计'!$C$85:$I$113,6,FALSE)</f>
        <v>2.5</v>
      </c>
      <c r="L318" t="s">
        <v>3602</v>
      </c>
      <c r="M318" t="s">
        <v>468</v>
      </c>
      <c r="N318" t="s">
        <v>469</v>
      </c>
      <c r="O318" t="s">
        <v>470</v>
      </c>
      <c r="P318" s="57" t="str">
        <f>IF(VLOOKUP(D318,'⚪设计'!$C$85:$I$113,7,FALSE)="","",VLOOKUP(D318,'⚪设计'!$C$85:$I$113,7,FALSE))</f>
        <v/>
      </c>
      <c r="Q318" s="110">
        <v>8</v>
      </c>
      <c r="R318" s="110">
        <v>2</v>
      </c>
      <c r="S318" s="110"/>
    </row>
    <row r="319" spans="2:19" x14ac:dyDescent="0.2">
      <c r="B319" t="s">
        <v>3603</v>
      </c>
      <c r="C319" t="s">
        <v>3378</v>
      </c>
      <c r="D319" s="55" t="str">
        <f>VLOOKUP(VLOOKUP(Q319,'⚪设计'!$A$301:$G$320,3+UnitCfg!R319,FALSE),'⚪设计'!$B$85:$C$113,2,FALSE)</f>
        <v>ResUnit_WuGui2</v>
      </c>
      <c r="E319" s="55">
        <f>VLOOKUP(D319,'⚪设计'!$C$85:$I$113,5,FALSE)*VLOOKUP(UnitCfg!Q319,无限模式!$A$3:$C$22,3,FALSE)</f>
        <v>2.8</v>
      </c>
      <c r="F319">
        <v>400</v>
      </c>
      <c r="G319" t="b">
        <v>1</v>
      </c>
      <c r="H319">
        <v>1</v>
      </c>
      <c r="I319">
        <v>1</v>
      </c>
      <c r="J319">
        <v>0.5</v>
      </c>
      <c r="K319" s="55">
        <f>VLOOKUP(D319,'⚪设计'!$C$85:$I$113,6,FALSE)</f>
        <v>1.5</v>
      </c>
      <c r="L319" t="s">
        <v>3604</v>
      </c>
      <c r="M319" t="s">
        <v>468</v>
      </c>
      <c r="N319" t="s">
        <v>469</v>
      </c>
      <c r="O319" t="s">
        <v>470</v>
      </c>
      <c r="P319" s="57" t="str">
        <f>IF(VLOOKUP(D319,'⚪设计'!$C$85:$I$113,7,FALSE)="","",VLOOKUP(D319,'⚪设计'!$C$85:$I$113,7,FALSE))</f>
        <v>Skill_Monster_WuGui2,NormalAttack</v>
      </c>
      <c r="Q319" s="110">
        <v>9</v>
      </c>
      <c r="R319" s="110">
        <v>1</v>
      </c>
      <c r="S319" s="110"/>
    </row>
    <row r="320" spans="2:19" x14ac:dyDescent="0.2">
      <c r="B320" t="s">
        <v>3605</v>
      </c>
      <c r="C320" t="s">
        <v>3379</v>
      </c>
      <c r="D320" s="55" t="str">
        <f>VLOOKUP(VLOOKUP(Q320,'⚪设计'!$A$301:$G$320,3+UnitCfg!R320,FALSE),'⚪设计'!$B$85:$C$113,2,FALSE)</f>
        <v>ResUnit_ZhongZi1</v>
      </c>
      <c r="E320" s="55">
        <f>VLOOKUP(D320,'⚪设计'!$C$85:$I$113,5,FALSE)*VLOOKUP(UnitCfg!Q320,无限模式!$A$3:$C$22,3,FALSE)</f>
        <v>2.8</v>
      </c>
      <c r="F320">
        <v>400</v>
      </c>
      <c r="G320" t="b">
        <v>1</v>
      </c>
      <c r="H320">
        <v>1</v>
      </c>
      <c r="I320">
        <v>1</v>
      </c>
      <c r="J320">
        <v>0.5</v>
      </c>
      <c r="K320" s="55">
        <f>VLOOKUP(D320,'⚪设计'!$C$85:$I$113,6,FALSE)</f>
        <v>1</v>
      </c>
      <c r="L320" t="s">
        <v>3606</v>
      </c>
      <c r="M320" t="s">
        <v>468</v>
      </c>
      <c r="N320" t="s">
        <v>469</v>
      </c>
      <c r="O320" t="s">
        <v>470</v>
      </c>
      <c r="P320" s="57" t="str">
        <f>IF(VLOOKUP(D320,'⚪设计'!$C$85:$I$113,7,FALSE)="","",VLOOKUP(D320,'⚪设计'!$C$85:$I$113,7,FALSE))</f>
        <v>Skill_Monster_Heal,NormalAttack</v>
      </c>
      <c r="Q320" s="110">
        <v>9</v>
      </c>
      <c r="R320" s="110">
        <v>2</v>
      </c>
      <c r="S320" s="110"/>
    </row>
    <row r="321" spans="2:19" x14ac:dyDescent="0.2">
      <c r="B321" t="s">
        <v>3607</v>
      </c>
      <c r="C321" t="s">
        <v>3380</v>
      </c>
      <c r="D321" s="55" t="str">
        <f>VLOOKUP(VLOOKUP(Q321,'⚪设计'!$A$301:$G$320,3+UnitCfg!R321,FALSE),'⚪设计'!$B$85:$C$113,2,FALSE)</f>
        <v>ResUnit_WuGui2</v>
      </c>
      <c r="E321" s="55">
        <f>VLOOKUP(D321,'⚪设计'!$C$85:$I$113,5,FALSE)*VLOOKUP(UnitCfg!Q321,无限模式!$A$3:$C$22,3,FALSE)</f>
        <v>2.9</v>
      </c>
      <c r="F321">
        <v>400</v>
      </c>
      <c r="G321" t="b">
        <v>1</v>
      </c>
      <c r="H321">
        <v>1</v>
      </c>
      <c r="I321">
        <v>1</v>
      </c>
      <c r="J321">
        <v>0.5</v>
      </c>
      <c r="K321" s="55">
        <f>VLOOKUP(D321,'⚪设计'!$C$85:$I$113,6,FALSE)</f>
        <v>1.5</v>
      </c>
      <c r="L321" t="s">
        <v>3608</v>
      </c>
      <c r="M321" t="s">
        <v>468</v>
      </c>
      <c r="N321" t="s">
        <v>469</v>
      </c>
      <c r="O321" t="s">
        <v>470</v>
      </c>
      <c r="P321" s="57" t="str">
        <f>IF(VLOOKUP(D321,'⚪设计'!$C$85:$I$113,7,FALSE)="","",VLOOKUP(D321,'⚪设计'!$C$85:$I$113,7,FALSE))</f>
        <v>Skill_Monster_WuGui2,NormalAttack</v>
      </c>
      <c r="Q321" s="110">
        <v>10</v>
      </c>
      <c r="R321" s="110">
        <v>1</v>
      </c>
      <c r="S321" s="110"/>
    </row>
    <row r="322" spans="2:19" x14ac:dyDescent="0.2">
      <c r="B322" t="s">
        <v>3609</v>
      </c>
      <c r="C322" t="s">
        <v>3381</v>
      </c>
      <c r="D322" s="55" t="str">
        <f>VLOOKUP(VLOOKUP(Q322,'⚪设计'!$A$301:$G$320,3+UnitCfg!R322,FALSE),'⚪设计'!$B$85:$C$113,2,FALSE)</f>
        <v>ResUnit_ZhongZi1</v>
      </c>
      <c r="E322" s="55">
        <f>VLOOKUP(D322,'⚪设计'!$C$85:$I$113,5,FALSE)*VLOOKUP(UnitCfg!Q322,无限模式!$A$3:$C$22,3,FALSE)</f>
        <v>2.9</v>
      </c>
      <c r="F322">
        <v>400</v>
      </c>
      <c r="G322" t="b">
        <v>1</v>
      </c>
      <c r="H322">
        <v>1</v>
      </c>
      <c r="I322">
        <v>1</v>
      </c>
      <c r="J322">
        <v>0.5</v>
      </c>
      <c r="K322" s="55">
        <f>VLOOKUP(D322,'⚪设计'!$C$85:$I$113,6,FALSE)</f>
        <v>1</v>
      </c>
      <c r="L322" t="s">
        <v>3610</v>
      </c>
      <c r="M322" t="s">
        <v>468</v>
      </c>
      <c r="N322" t="s">
        <v>469</v>
      </c>
      <c r="O322" t="s">
        <v>470</v>
      </c>
      <c r="P322" s="57" t="str">
        <f>IF(VLOOKUP(D322,'⚪设计'!$C$85:$I$113,7,FALSE)="","",VLOOKUP(D322,'⚪设计'!$C$85:$I$113,7,FALSE))</f>
        <v>Skill_Monster_Heal,NormalAttack</v>
      </c>
      <c r="Q322" s="110">
        <v>10</v>
      </c>
      <c r="R322" s="110">
        <v>2</v>
      </c>
      <c r="S322" s="110"/>
    </row>
    <row r="323" spans="2:19" x14ac:dyDescent="0.2">
      <c r="B323" t="s">
        <v>3611</v>
      </c>
      <c r="C323" t="s">
        <v>3382</v>
      </c>
      <c r="D323" s="55" t="str">
        <f>VLOOKUP(VLOOKUP(Q323,'⚪设计'!$A$301:$G$320,3+UnitCfg!R323,FALSE),'⚪设计'!$B$85:$C$113,2,FALSE)</f>
        <v>ResUnit_WuGui2</v>
      </c>
      <c r="E323" s="55">
        <f>VLOOKUP(D323,'⚪设计'!$C$85:$I$113,5,FALSE)*VLOOKUP(UnitCfg!Q323,无限模式!$A$3:$C$22,3,FALSE)</f>
        <v>3</v>
      </c>
      <c r="F323">
        <v>400</v>
      </c>
      <c r="G323" t="b">
        <v>1</v>
      </c>
      <c r="H323">
        <v>1</v>
      </c>
      <c r="I323">
        <v>1</v>
      </c>
      <c r="J323">
        <v>0.5</v>
      </c>
      <c r="K323" s="55">
        <f>VLOOKUP(D323,'⚪设计'!$C$85:$I$113,6,FALSE)</f>
        <v>1.5</v>
      </c>
      <c r="L323" t="s">
        <v>3612</v>
      </c>
      <c r="M323" t="s">
        <v>468</v>
      </c>
      <c r="N323" t="s">
        <v>469</v>
      </c>
      <c r="O323" t="s">
        <v>470</v>
      </c>
      <c r="P323" s="57" t="str">
        <f>IF(VLOOKUP(D323,'⚪设计'!$C$85:$I$113,7,FALSE)="","",VLOOKUP(D323,'⚪设计'!$C$85:$I$113,7,FALSE))</f>
        <v>Skill_Monster_WuGui2,NormalAttack</v>
      </c>
      <c r="Q323" s="110">
        <v>11</v>
      </c>
      <c r="R323" s="110">
        <v>1</v>
      </c>
      <c r="S323" s="110"/>
    </row>
    <row r="324" spans="2:19" x14ac:dyDescent="0.2">
      <c r="B324" t="s">
        <v>3613</v>
      </c>
      <c r="C324" t="s">
        <v>3383</v>
      </c>
      <c r="D324" s="55" t="str">
        <f>VLOOKUP(VLOOKUP(Q324,'⚪设计'!$A$301:$G$320,3+UnitCfg!R324,FALSE),'⚪设计'!$B$85:$C$113,2,FALSE)</f>
        <v>ResUnit_ZhiZhu2</v>
      </c>
      <c r="E324" s="55">
        <f>VLOOKUP(D324,'⚪设计'!$C$85:$I$113,5,FALSE)*VLOOKUP(UnitCfg!Q324,无限模式!$A$3:$C$22,3,FALSE)</f>
        <v>4.5</v>
      </c>
      <c r="F324">
        <v>400</v>
      </c>
      <c r="G324" t="b">
        <v>1</v>
      </c>
      <c r="H324">
        <v>1</v>
      </c>
      <c r="I324">
        <v>1</v>
      </c>
      <c r="J324">
        <v>0.5</v>
      </c>
      <c r="K324" s="55">
        <f>VLOOKUP(D324,'⚪设计'!$C$85:$I$113,6,FALSE)</f>
        <v>1.5</v>
      </c>
      <c r="L324" t="s">
        <v>3614</v>
      </c>
      <c r="M324" t="s">
        <v>468</v>
      </c>
      <c r="N324" t="s">
        <v>469</v>
      </c>
      <c r="O324" t="s">
        <v>470</v>
      </c>
      <c r="P324" s="57" t="str">
        <f>IF(VLOOKUP(D324,'⚪设计'!$C$85:$I$113,7,FALSE)="","",VLOOKUP(D324,'⚪设计'!$C$85:$I$113,7,FALSE))</f>
        <v/>
      </c>
      <c r="Q324" s="110">
        <v>11</v>
      </c>
      <c r="R324" s="110">
        <v>2</v>
      </c>
      <c r="S324" s="110"/>
    </row>
    <row r="325" spans="2:19" x14ac:dyDescent="0.2">
      <c r="B325" t="s">
        <v>3615</v>
      </c>
      <c r="C325" t="s">
        <v>3384</v>
      </c>
      <c r="D325" s="55" t="str">
        <f>VLOOKUP(VLOOKUP(Q325,'⚪设计'!$A$301:$G$320,3+UnitCfg!R325,FALSE),'⚪设计'!$B$85:$C$113,2,FALSE)</f>
        <v>ResUnit_WuGui2</v>
      </c>
      <c r="E325" s="55">
        <f>VLOOKUP(D325,'⚪设计'!$C$85:$I$113,5,FALSE)*VLOOKUP(UnitCfg!Q325,无限模式!$A$3:$C$22,3,FALSE)</f>
        <v>3.1</v>
      </c>
      <c r="F325">
        <v>400</v>
      </c>
      <c r="G325" t="b">
        <v>1</v>
      </c>
      <c r="H325">
        <v>1</v>
      </c>
      <c r="I325">
        <v>1</v>
      </c>
      <c r="J325">
        <v>0.5</v>
      </c>
      <c r="K325" s="55">
        <f>VLOOKUP(D325,'⚪设计'!$C$85:$I$113,6,FALSE)</f>
        <v>1.5</v>
      </c>
      <c r="L325" t="s">
        <v>3616</v>
      </c>
      <c r="M325" t="s">
        <v>468</v>
      </c>
      <c r="N325" t="s">
        <v>469</v>
      </c>
      <c r="O325" t="s">
        <v>470</v>
      </c>
      <c r="P325" s="57" t="str">
        <f>IF(VLOOKUP(D325,'⚪设计'!$C$85:$I$113,7,FALSE)="","",VLOOKUP(D325,'⚪设计'!$C$85:$I$113,7,FALSE))</f>
        <v>Skill_Monster_WuGui2,NormalAttack</v>
      </c>
      <c r="Q325" s="110">
        <v>12</v>
      </c>
      <c r="R325" s="110">
        <v>1</v>
      </c>
      <c r="S325" s="110"/>
    </row>
    <row r="326" spans="2:19" x14ac:dyDescent="0.2">
      <c r="B326" t="s">
        <v>3617</v>
      </c>
      <c r="C326" t="s">
        <v>3385</v>
      </c>
      <c r="D326" s="55" t="str">
        <f>VLOOKUP(VLOOKUP(Q326,'⚪设计'!$A$301:$G$320,3+UnitCfg!R326,FALSE),'⚪设计'!$B$85:$C$113,2,FALSE)</f>
        <v>ResUnit_ZhongZi1</v>
      </c>
      <c r="E326" s="55">
        <f>VLOOKUP(D326,'⚪设计'!$C$85:$I$113,5,FALSE)*VLOOKUP(UnitCfg!Q326,无限模式!$A$3:$C$22,3,FALSE)</f>
        <v>3.1</v>
      </c>
      <c r="F326">
        <v>400</v>
      </c>
      <c r="G326" t="b">
        <v>1</v>
      </c>
      <c r="H326">
        <v>1</v>
      </c>
      <c r="I326">
        <v>1</v>
      </c>
      <c r="J326">
        <v>0.5</v>
      </c>
      <c r="K326" s="55">
        <f>VLOOKUP(D326,'⚪设计'!$C$85:$I$113,6,FALSE)</f>
        <v>1</v>
      </c>
      <c r="L326" t="s">
        <v>3618</v>
      </c>
      <c r="M326" t="s">
        <v>468</v>
      </c>
      <c r="N326" t="s">
        <v>469</v>
      </c>
      <c r="O326" t="s">
        <v>470</v>
      </c>
      <c r="P326" s="57" t="str">
        <f>IF(VLOOKUP(D326,'⚪设计'!$C$85:$I$113,7,FALSE)="","",VLOOKUP(D326,'⚪设计'!$C$85:$I$113,7,FALSE))</f>
        <v>Skill_Monster_Heal,NormalAttack</v>
      </c>
      <c r="Q326" s="110">
        <v>12</v>
      </c>
      <c r="R326" s="110">
        <v>2</v>
      </c>
      <c r="S326" s="110"/>
    </row>
    <row r="327" spans="2:19" x14ac:dyDescent="0.2">
      <c r="B327" t="s">
        <v>3619</v>
      </c>
      <c r="C327" t="s">
        <v>3386</v>
      </c>
      <c r="D327" s="55" t="str">
        <f>VLOOKUP(VLOOKUP(Q327,'⚪设计'!$A$301:$G$320,3+UnitCfg!R327,FALSE),'⚪设计'!$B$85:$C$113,2,FALSE)</f>
        <v>ResUnit_ZhongZi3</v>
      </c>
      <c r="E327" s="55">
        <f>VLOOKUP(D327,'⚪设计'!$C$85:$I$113,5,FALSE)*VLOOKUP(UnitCfg!Q327,无限模式!$A$3:$C$22,3,FALSE)</f>
        <v>1.9375</v>
      </c>
      <c r="F327">
        <v>400</v>
      </c>
      <c r="G327" t="b">
        <v>1</v>
      </c>
      <c r="H327">
        <v>1</v>
      </c>
      <c r="I327">
        <v>1</v>
      </c>
      <c r="J327">
        <v>0.5</v>
      </c>
      <c r="K327" s="55">
        <f>VLOOKUP(D327,'⚪设计'!$C$85:$I$113,6,FALSE)</f>
        <v>2.5</v>
      </c>
      <c r="L327" t="s">
        <v>3620</v>
      </c>
      <c r="M327" t="s">
        <v>468</v>
      </c>
      <c r="N327" t="s">
        <v>469</v>
      </c>
      <c r="O327" t="s">
        <v>470</v>
      </c>
      <c r="P327" s="57" t="str">
        <f>IF(VLOOKUP(D327,'⚪设计'!$C$85:$I$113,7,FALSE)="","",VLOOKUP(D327,'⚪设计'!$C$85:$I$113,7,FALSE))</f>
        <v>Skill_Monster_Heal,NormalAttack</v>
      </c>
      <c r="Q327" s="110">
        <v>12</v>
      </c>
      <c r="R327" s="110">
        <v>3</v>
      </c>
      <c r="S327" s="110"/>
    </row>
    <row r="328" spans="2:19" x14ac:dyDescent="0.2">
      <c r="B328" t="s">
        <v>3621</v>
      </c>
      <c r="C328" t="s">
        <v>3387</v>
      </c>
      <c r="D328" s="55" t="str">
        <f>VLOOKUP(VLOOKUP(Q328,'⚪设计'!$A$301:$G$320,3+UnitCfg!R328,FALSE),'⚪设计'!$B$85:$C$113,2,FALSE)</f>
        <v>ResUnit_Gui1</v>
      </c>
      <c r="E328" s="55">
        <f>VLOOKUP(D328,'⚪设计'!$C$85:$I$113,5,FALSE)*VLOOKUP(UnitCfg!Q328,无限模式!$A$3:$C$22,3,FALSE)</f>
        <v>3.2</v>
      </c>
      <c r="F328">
        <v>400</v>
      </c>
      <c r="G328" t="b">
        <v>1</v>
      </c>
      <c r="H328">
        <v>1</v>
      </c>
      <c r="I328">
        <v>1</v>
      </c>
      <c r="J328">
        <v>0.5</v>
      </c>
      <c r="K328" s="55">
        <f>VLOOKUP(D328,'⚪设计'!$C$85:$I$113,6,FALSE)</f>
        <v>1</v>
      </c>
      <c r="L328" t="s">
        <v>3622</v>
      </c>
      <c r="M328" t="s">
        <v>468</v>
      </c>
      <c r="N328" t="s">
        <v>469</v>
      </c>
      <c r="O328" t="s">
        <v>470</v>
      </c>
      <c r="P328" s="57" t="str">
        <f>IF(VLOOKUP(D328,'⚪设计'!$C$85:$I$113,7,FALSE)="","",VLOOKUP(D328,'⚪设计'!$C$85:$I$113,7,FALSE))</f>
        <v>Skill_Monster_Invisible,NormalAttack</v>
      </c>
      <c r="Q328" s="110">
        <v>13</v>
      </c>
      <c r="R328" s="110">
        <v>1</v>
      </c>
      <c r="S328" s="110"/>
    </row>
    <row r="329" spans="2:19" x14ac:dyDescent="0.2">
      <c r="B329" t="s">
        <v>3623</v>
      </c>
      <c r="C329" t="s">
        <v>3388</v>
      </c>
      <c r="D329" s="55" t="str">
        <f>VLOOKUP(VLOOKUP(Q329,'⚪设计'!$A$301:$G$320,3+UnitCfg!R329,FALSE),'⚪设计'!$B$85:$C$113,2,FALSE)</f>
        <v>ResUnit_Gui1</v>
      </c>
      <c r="E329" s="55">
        <f>VLOOKUP(D329,'⚪设计'!$C$85:$I$113,5,FALSE)*VLOOKUP(UnitCfg!Q329,无限模式!$A$3:$C$22,3,FALSE)</f>
        <v>3.3</v>
      </c>
      <c r="F329">
        <v>400</v>
      </c>
      <c r="G329" t="b">
        <v>1</v>
      </c>
      <c r="H329">
        <v>1</v>
      </c>
      <c r="I329">
        <v>1</v>
      </c>
      <c r="J329">
        <v>0.5</v>
      </c>
      <c r="K329" s="55">
        <f>VLOOKUP(D329,'⚪设计'!$C$85:$I$113,6,FALSE)</f>
        <v>1</v>
      </c>
      <c r="L329" t="s">
        <v>3624</v>
      </c>
      <c r="M329" t="s">
        <v>468</v>
      </c>
      <c r="N329" t="s">
        <v>469</v>
      </c>
      <c r="O329" t="s">
        <v>470</v>
      </c>
      <c r="P329" s="57" t="str">
        <f>IF(VLOOKUP(D329,'⚪设计'!$C$85:$I$113,7,FALSE)="","",VLOOKUP(D329,'⚪设计'!$C$85:$I$113,7,FALSE))</f>
        <v>Skill_Monster_Invisible,NormalAttack</v>
      </c>
      <c r="Q329" s="110">
        <v>14</v>
      </c>
      <c r="R329" s="110">
        <v>1</v>
      </c>
      <c r="S329" s="110"/>
    </row>
    <row r="330" spans="2:19" x14ac:dyDescent="0.2">
      <c r="B330" t="s">
        <v>3625</v>
      </c>
      <c r="C330" t="s">
        <v>3389</v>
      </c>
      <c r="D330" s="55" t="str">
        <f>VLOOKUP(VLOOKUP(Q330,'⚪设计'!$A$301:$G$320,3+UnitCfg!R330,FALSE),'⚪设计'!$B$85:$C$113,2,FALSE)</f>
        <v>ResUnit_WuGui2</v>
      </c>
      <c r="E330" s="55">
        <f>VLOOKUP(D330,'⚪设计'!$C$85:$I$113,5,FALSE)*VLOOKUP(UnitCfg!Q330,无限模式!$A$3:$C$22,3,FALSE)</f>
        <v>3.3</v>
      </c>
      <c r="F330">
        <v>400</v>
      </c>
      <c r="G330" t="b">
        <v>1</v>
      </c>
      <c r="H330">
        <v>1</v>
      </c>
      <c r="I330">
        <v>1</v>
      </c>
      <c r="J330">
        <v>0.5</v>
      </c>
      <c r="K330" s="55">
        <f>VLOOKUP(D330,'⚪设计'!$C$85:$I$113,6,FALSE)</f>
        <v>1.5</v>
      </c>
      <c r="L330" t="s">
        <v>3626</v>
      </c>
      <c r="M330" t="s">
        <v>468</v>
      </c>
      <c r="N330" t="s">
        <v>469</v>
      </c>
      <c r="O330" t="s">
        <v>470</v>
      </c>
      <c r="P330" s="57" t="str">
        <f>IF(VLOOKUP(D330,'⚪设计'!$C$85:$I$113,7,FALSE)="","",VLOOKUP(D330,'⚪设计'!$C$85:$I$113,7,FALSE))</f>
        <v>Skill_Monster_WuGui2,NormalAttack</v>
      </c>
      <c r="Q330" s="110">
        <v>14</v>
      </c>
      <c r="R330" s="110">
        <v>2</v>
      </c>
      <c r="S330" s="110"/>
    </row>
    <row r="331" spans="2:19" x14ac:dyDescent="0.2">
      <c r="B331" t="s">
        <v>3627</v>
      </c>
      <c r="C331" t="s">
        <v>3390</v>
      </c>
      <c r="D331" s="55" t="str">
        <f>VLOOKUP(VLOOKUP(Q331,'⚪设计'!$A$301:$G$320,3+UnitCfg!R331,FALSE),'⚪设计'!$B$85:$C$113,2,FALSE)</f>
        <v>ResUnit_Gui1</v>
      </c>
      <c r="E331" s="55">
        <f>VLOOKUP(D331,'⚪设计'!$C$85:$I$113,5,FALSE)*VLOOKUP(UnitCfg!Q331,无限模式!$A$3:$C$22,3,FALSE)</f>
        <v>3.4</v>
      </c>
      <c r="F331">
        <v>400</v>
      </c>
      <c r="G331" t="b">
        <v>1</v>
      </c>
      <c r="H331">
        <v>1</v>
      </c>
      <c r="I331">
        <v>1</v>
      </c>
      <c r="J331">
        <v>0.5</v>
      </c>
      <c r="K331" s="55">
        <f>VLOOKUP(D331,'⚪设计'!$C$85:$I$113,6,FALSE)</f>
        <v>1</v>
      </c>
      <c r="L331" t="s">
        <v>3628</v>
      </c>
      <c r="M331" t="s">
        <v>468</v>
      </c>
      <c r="N331" t="s">
        <v>469</v>
      </c>
      <c r="O331" t="s">
        <v>470</v>
      </c>
      <c r="P331" s="57" t="str">
        <f>IF(VLOOKUP(D331,'⚪设计'!$C$85:$I$113,7,FALSE)="","",VLOOKUP(D331,'⚪设计'!$C$85:$I$113,7,FALSE))</f>
        <v>Skill_Monster_Invisible,NormalAttack</v>
      </c>
      <c r="Q331" s="110">
        <v>15</v>
      </c>
      <c r="R331" s="110">
        <v>1</v>
      </c>
      <c r="S331" s="110"/>
    </row>
    <row r="332" spans="2:19" x14ac:dyDescent="0.2">
      <c r="B332" t="s">
        <v>3629</v>
      </c>
      <c r="C332" t="s">
        <v>3391</v>
      </c>
      <c r="D332" s="55" t="str">
        <f>VLOOKUP(VLOOKUP(Q332,'⚪设计'!$A$301:$G$320,3+UnitCfg!R332,FALSE),'⚪设计'!$B$85:$C$113,2,FALSE)</f>
        <v>ResUnit_ZhongZi2</v>
      </c>
      <c r="E332" s="55">
        <f>VLOOKUP(D332,'⚪设计'!$C$85:$I$113,5,FALSE)*VLOOKUP(UnitCfg!Q332,无限模式!$A$3:$C$22,3,FALSE)</f>
        <v>3.4</v>
      </c>
      <c r="F332">
        <v>400</v>
      </c>
      <c r="G332" t="b">
        <v>1</v>
      </c>
      <c r="H332">
        <v>1</v>
      </c>
      <c r="I332">
        <v>1</v>
      </c>
      <c r="J332">
        <v>0.5</v>
      </c>
      <c r="K332" s="55">
        <f>VLOOKUP(D332,'⚪设计'!$C$85:$I$113,6,FALSE)</f>
        <v>1.5</v>
      </c>
      <c r="L332" t="s">
        <v>3630</v>
      </c>
      <c r="M332" t="s">
        <v>468</v>
      </c>
      <c r="N332" t="s">
        <v>469</v>
      </c>
      <c r="O332" t="s">
        <v>470</v>
      </c>
      <c r="P332" s="57" t="str">
        <f>IF(VLOOKUP(D332,'⚪设计'!$C$85:$I$113,7,FALSE)="","",VLOOKUP(D332,'⚪设计'!$C$85:$I$113,7,FALSE))</f>
        <v>Skill_Monster_Heal,NormalAttack</v>
      </c>
      <c r="Q332" s="110">
        <v>15</v>
      </c>
      <c r="R332" s="110">
        <v>2</v>
      </c>
      <c r="S332" s="110"/>
    </row>
    <row r="333" spans="2:19" x14ac:dyDescent="0.2">
      <c r="B333" t="s">
        <v>3631</v>
      </c>
      <c r="C333" t="s">
        <v>3392</v>
      </c>
      <c r="D333" s="55" t="str">
        <f>VLOOKUP(VLOOKUP(Q333,'⚪设计'!$A$301:$G$320,3+UnitCfg!R333,FALSE),'⚪设计'!$B$85:$C$113,2,FALSE)</f>
        <v>ResUnit_WuGui2</v>
      </c>
      <c r="E333" s="55">
        <f>VLOOKUP(D333,'⚪设计'!$C$85:$I$113,5,FALSE)*VLOOKUP(UnitCfg!Q333,无限模式!$A$3:$C$22,3,FALSE)</f>
        <v>3.5</v>
      </c>
      <c r="F333">
        <v>400</v>
      </c>
      <c r="G333" t="b">
        <v>1</v>
      </c>
      <c r="H333">
        <v>1</v>
      </c>
      <c r="I333">
        <v>1</v>
      </c>
      <c r="J333">
        <v>0.5</v>
      </c>
      <c r="K333" s="55">
        <f>VLOOKUP(D333,'⚪设计'!$C$85:$I$113,6,FALSE)</f>
        <v>1.5</v>
      </c>
      <c r="L333" t="s">
        <v>3632</v>
      </c>
      <c r="M333" t="s">
        <v>468</v>
      </c>
      <c r="N333" t="s">
        <v>469</v>
      </c>
      <c r="O333" t="s">
        <v>470</v>
      </c>
      <c r="P333" s="57" t="str">
        <f>IF(VLOOKUP(D333,'⚪设计'!$C$85:$I$113,7,FALSE)="","",VLOOKUP(D333,'⚪设计'!$C$85:$I$113,7,FALSE))</f>
        <v>Skill_Monster_WuGui2,NormalAttack</v>
      </c>
      <c r="Q333" s="110">
        <v>16</v>
      </c>
      <c r="R333" s="110">
        <v>1</v>
      </c>
      <c r="S333" s="110"/>
    </row>
    <row r="334" spans="2:19" x14ac:dyDescent="0.2">
      <c r="B334" t="s">
        <v>3633</v>
      </c>
      <c r="C334" t="s">
        <v>3393</v>
      </c>
      <c r="D334" s="55" t="str">
        <f>VLOOKUP(VLOOKUP(Q334,'⚪设计'!$A$301:$G$320,3+UnitCfg!R334,FALSE),'⚪设计'!$B$85:$C$113,2,FALSE)</f>
        <v>ResUnit_Gui3</v>
      </c>
      <c r="E334" s="55">
        <f>VLOOKUP(D334,'⚪设计'!$C$85:$I$113,5,FALSE)*VLOOKUP(UnitCfg!Q334,无限模式!$A$3:$C$22,3,FALSE)</f>
        <v>2.1875</v>
      </c>
      <c r="F334">
        <v>400</v>
      </c>
      <c r="G334" t="b">
        <v>1</v>
      </c>
      <c r="H334">
        <v>1</v>
      </c>
      <c r="I334">
        <v>1</v>
      </c>
      <c r="J334">
        <v>0.5</v>
      </c>
      <c r="K334" s="55">
        <f>VLOOKUP(D334,'⚪设计'!$C$85:$I$113,6,FALSE)</f>
        <v>2.5</v>
      </c>
      <c r="L334" t="s">
        <v>3634</v>
      </c>
      <c r="M334" t="s">
        <v>468</v>
      </c>
      <c r="N334" t="s">
        <v>469</v>
      </c>
      <c r="O334" t="s">
        <v>470</v>
      </c>
      <c r="P334" s="57" t="str">
        <f>IF(VLOOKUP(D334,'⚪设计'!$C$85:$I$113,7,FALSE)="","",VLOOKUP(D334,'⚪设计'!$C$85:$I$113,7,FALSE))</f>
        <v>Skill_Monster_Invisible,NormalAttack</v>
      </c>
      <c r="Q334" s="110">
        <v>16</v>
      </c>
      <c r="R334" s="110">
        <v>2</v>
      </c>
      <c r="S334" s="110"/>
    </row>
    <row r="335" spans="2:19" x14ac:dyDescent="0.2">
      <c r="B335" t="s">
        <v>3635</v>
      </c>
      <c r="C335" t="s">
        <v>3394</v>
      </c>
      <c r="D335" s="55" t="str">
        <f>VLOOKUP(VLOOKUP(Q335,'⚪设计'!$A$301:$G$320,3+UnitCfg!R335,FALSE),'⚪设计'!$B$85:$C$113,2,FALSE)</f>
        <v>ResUnit_WuGui3</v>
      </c>
      <c r="E335" s="55">
        <f>VLOOKUP(D335,'⚪设计'!$C$85:$I$113,5,FALSE)*VLOOKUP(UnitCfg!Q335,无限模式!$A$3:$C$22,3,FALSE)</f>
        <v>3.6</v>
      </c>
      <c r="F335">
        <v>400</v>
      </c>
      <c r="G335" t="b">
        <v>1</v>
      </c>
      <c r="H335">
        <v>1</v>
      </c>
      <c r="I335">
        <v>1</v>
      </c>
      <c r="J335">
        <v>0.5</v>
      </c>
      <c r="K335" s="55">
        <f>VLOOKUP(D335,'⚪设计'!$C$85:$I$113,6,FALSE)</f>
        <v>2.5</v>
      </c>
      <c r="L335" t="s">
        <v>3636</v>
      </c>
      <c r="M335" t="s">
        <v>468</v>
      </c>
      <c r="N335" t="s">
        <v>469</v>
      </c>
      <c r="O335" t="s">
        <v>470</v>
      </c>
      <c r="P335" s="57" t="str">
        <f>IF(VLOOKUP(D335,'⚪设计'!$C$85:$I$113,7,FALSE)="","",VLOOKUP(D335,'⚪设计'!$C$85:$I$113,7,FALSE))</f>
        <v>Skill_Monster_WuGui3,NormalAttack</v>
      </c>
      <c r="Q335" s="110">
        <v>17</v>
      </c>
      <c r="R335" s="110">
        <v>1</v>
      </c>
      <c r="S335" s="110"/>
    </row>
    <row r="336" spans="2:19" x14ac:dyDescent="0.2">
      <c r="B336" t="s">
        <v>3637</v>
      </c>
      <c r="C336" t="s">
        <v>3395</v>
      </c>
      <c r="D336" s="55" t="str">
        <f>VLOOKUP(VLOOKUP(Q336,'⚪设计'!$A$301:$G$320,3+UnitCfg!R336,FALSE),'⚪设计'!$B$85:$C$113,2,FALSE)</f>
        <v>ResUnit_Dan2</v>
      </c>
      <c r="E336" s="55">
        <f>VLOOKUP(D336,'⚪设计'!$C$85:$I$113,5,FALSE)*VLOOKUP(UnitCfg!Q336,无限模式!$A$3:$C$22,3,FALSE)</f>
        <v>3.6</v>
      </c>
      <c r="F336">
        <v>400</v>
      </c>
      <c r="G336" t="b">
        <v>1</v>
      </c>
      <c r="H336">
        <v>1</v>
      </c>
      <c r="I336">
        <v>1</v>
      </c>
      <c r="J336">
        <v>0.5</v>
      </c>
      <c r="K336" s="55">
        <f>VLOOKUP(D336,'⚪设计'!$C$85:$I$113,6,FALSE)</f>
        <v>1.5</v>
      </c>
      <c r="L336" t="s">
        <v>3638</v>
      </c>
      <c r="M336" t="s">
        <v>468</v>
      </c>
      <c r="N336" t="s">
        <v>469</v>
      </c>
      <c r="O336" t="s">
        <v>470</v>
      </c>
      <c r="P336" s="57" t="str">
        <f>IF(VLOOKUP(D336,'⚪设计'!$C$85:$I$113,7,FALSE)="","",VLOOKUP(D336,'⚪设计'!$C$85:$I$113,7,FALSE))</f>
        <v>Skill_Monster_Weaken,NormalAttack</v>
      </c>
      <c r="Q336" s="110">
        <v>17</v>
      </c>
      <c r="R336" s="110">
        <v>2</v>
      </c>
      <c r="S336" s="110"/>
    </row>
    <row r="337" spans="2:19" x14ac:dyDescent="0.2">
      <c r="B337" t="s">
        <v>3639</v>
      </c>
      <c r="C337" t="s">
        <v>3396</v>
      </c>
      <c r="D337" s="55" t="str">
        <f>VLOOKUP(VLOOKUP(Q337,'⚪设计'!$A$301:$G$320,3+UnitCfg!R337,FALSE),'⚪设计'!$B$85:$C$113,2,FALSE)</f>
        <v>ResUnit_Dan2</v>
      </c>
      <c r="E337" s="55">
        <f>VLOOKUP(D337,'⚪设计'!$C$85:$I$113,5,FALSE)*VLOOKUP(UnitCfg!Q337,无限模式!$A$3:$C$22,3,FALSE)</f>
        <v>3.7</v>
      </c>
      <c r="F337">
        <v>400</v>
      </c>
      <c r="G337" t="b">
        <v>1</v>
      </c>
      <c r="H337">
        <v>1</v>
      </c>
      <c r="I337">
        <v>1</v>
      </c>
      <c r="J337">
        <v>0.5</v>
      </c>
      <c r="K337" s="55">
        <f>VLOOKUP(D337,'⚪设计'!$C$85:$I$113,6,FALSE)</f>
        <v>1.5</v>
      </c>
      <c r="L337" t="s">
        <v>3640</v>
      </c>
      <c r="M337" t="s">
        <v>468</v>
      </c>
      <c r="N337" t="s">
        <v>469</v>
      </c>
      <c r="O337" t="s">
        <v>470</v>
      </c>
      <c r="P337" s="57" t="str">
        <f>IF(VLOOKUP(D337,'⚪设计'!$C$85:$I$113,7,FALSE)="","",VLOOKUP(D337,'⚪设计'!$C$85:$I$113,7,FALSE))</f>
        <v>Skill_Monster_Weaken,NormalAttack</v>
      </c>
      <c r="Q337" s="110">
        <v>18</v>
      </c>
      <c r="R337" s="110">
        <v>1</v>
      </c>
      <c r="S337" s="110"/>
    </row>
    <row r="338" spans="2:19" x14ac:dyDescent="0.2">
      <c r="B338" t="s">
        <v>3641</v>
      </c>
      <c r="C338" t="s">
        <v>3397</v>
      </c>
      <c r="D338" s="55" t="str">
        <f>VLOOKUP(VLOOKUP(Q338,'⚪设计'!$A$301:$G$320,3+UnitCfg!R338,FALSE),'⚪设计'!$B$85:$C$113,2,FALSE)</f>
        <v>ResUnit_ZhiZhu2</v>
      </c>
      <c r="E338" s="55">
        <f>VLOOKUP(D338,'⚪设计'!$C$85:$I$113,5,FALSE)*VLOOKUP(UnitCfg!Q338,无限模式!$A$3:$C$22,3,FALSE)</f>
        <v>5.5500000000000007</v>
      </c>
      <c r="F338">
        <v>400</v>
      </c>
      <c r="G338" t="b">
        <v>1</v>
      </c>
      <c r="H338">
        <v>1</v>
      </c>
      <c r="I338">
        <v>1</v>
      </c>
      <c r="J338">
        <v>0.5</v>
      </c>
      <c r="K338" s="55">
        <f>VLOOKUP(D338,'⚪设计'!$C$85:$I$113,6,FALSE)</f>
        <v>1.5</v>
      </c>
      <c r="L338" t="s">
        <v>3642</v>
      </c>
      <c r="M338" t="s">
        <v>468</v>
      </c>
      <c r="N338" t="s">
        <v>469</v>
      </c>
      <c r="O338" t="s">
        <v>470</v>
      </c>
      <c r="P338" s="57" t="str">
        <f>IF(VLOOKUP(D338,'⚪设计'!$C$85:$I$113,7,FALSE)="","",VLOOKUP(D338,'⚪设计'!$C$85:$I$113,7,FALSE))</f>
        <v/>
      </c>
      <c r="Q338" s="110">
        <v>18</v>
      </c>
      <c r="R338" s="110">
        <v>2</v>
      </c>
      <c r="S338" s="110"/>
    </row>
    <row r="339" spans="2:19" x14ac:dyDescent="0.2">
      <c r="B339" t="s">
        <v>3643</v>
      </c>
      <c r="C339" t="s">
        <v>3398</v>
      </c>
      <c r="D339" s="55" t="str">
        <f>VLOOKUP(VLOOKUP(Q339,'⚪设计'!$A$301:$G$320,3+UnitCfg!R339,FALSE),'⚪设计'!$B$85:$C$113,2,FALSE)</f>
        <v>ResUnit_Dan2</v>
      </c>
      <c r="E339" s="55">
        <f>VLOOKUP(D339,'⚪设计'!$C$85:$I$113,5,FALSE)*VLOOKUP(UnitCfg!Q339,无限模式!$A$3:$C$22,3,FALSE)</f>
        <v>3.8</v>
      </c>
      <c r="F339">
        <v>400</v>
      </c>
      <c r="G339" t="b">
        <v>1</v>
      </c>
      <c r="H339">
        <v>1</v>
      </c>
      <c r="I339">
        <v>1</v>
      </c>
      <c r="J339">
        <v>0.5</v>
      </c>
      <c r="K339" s="55">
        <f>VLOOKUP(D339,'⚪设计'!$C$85:$I$113,6,FALSE)</f>
        <v>1.5</v>
      </c>
      <c r="L339" t="s">
        <v>3644</v>
      </c>
      <c r="M339" t="s">
        <v>468</v>
      </c>
      <c r="N339" t="s">
        <v>469</v>
      </c>
      <c r="O339" t="s">
        <v>470</v>
      </c>
      <c r="P339" s="57" t="str">
        <f>IF(VLOOKUP(D339,'⚪设计'!$C$85:$I$113,7,FALSE)="","",VLOOKUP(D339,'⚪设计'!$C$85:$I$113,7,FALSE))</f>
        <v>Skill_Monster_Weaken,NormalAttack</v>
      </c>
      <c r="Q339" s="110">
        <v>19</v>
      </c>
      <c r="R339" s="110">
        <v>1</v>
      </c>
      <c r="S339" s="110"/>
    </row>
    <row r="340" spans="2:19" x14ac:dyDescent="0.2">
      <c r="B340" t="s">
        <v>3645</v>
      </c>
      <c r="C340" t="s">
        <v>3399</v>
      </c>
      <c r="D340" s="55" t="str">
        <f>VLOOKUP(VLOOKUP(Q340,'⚪设计'!$A$301:$G$320,3+UnitCfg!R340,FALSE),'⚪设计'!$B$85:$C$113,2,FALSE)</f>
        <v>ResUnit_WuGui3</v>
      </c>
      <c r="E340" s="55">
        <f>VLOOKUP(D340,'⚪设计'!$C$85:$I$113,5,FALSE)*VLOOKUP(UnitCfg!Q340,无限模式!$A$3:$C$22,3,FALSE)</f>
        <v>3.8</v>
      </c>
      <c r="F340">
        <v>400</v>
      </c>
      <c r="G340" t="b">
        <v>1</v>
      </c>
      <c r="H340">
        <v>1</v>
      </c>
      <c r="I340">
        <v>1</v>
      </c>
      <c r="J340">
        <v>0.5</v>
      </c>
      <c r="K340" s="55">
        <f>VLOOKUP(D340,'⚪设计'!$C$85:$I$113,6,FALSE)</f>
        <v>2.5</v>
      </c>
      <c r="L340" t="s">
        <v>3646</v>
      </c>
      <c r="M340" t="s">
        <v>468</v>
      </c>
      <c r="N340" t="s">
        <v>469</v>
      </c>
      <c r="O340" t="s">
        <v>470</v>
      </c>
      <c r="P340" s="57" t="str">
        <f>IF(VLOOKUP(D340,'⚪设计'!$C$85:$I$113,7,FALSE)="","",VLOOKUP(D340,'⚪设计'!$C$85:$I$113,7,FALSE))</f>
        <v>Skill_Monster_WuGui3,NormalAttack</v>
      </c>
      <c r="Q340" s="110">
        <v>19</v>
      </c>
      <c r="R340" s="110">
        <v>2</v>
      </c>
      <c r="S340" s="110"/>
    </row>
    <row r="341" spans="2:19" x14ac:dyDescent="0.2">
      <c r="B341" t="s">
        <v>3647</v>
      </c>
      <c r="C341" t="s">
        <v>3400</v>
      </c>
      <c r="D341" s="55" t="str">
        <f>VLOOKUP(VLOOKUP(Q341,'⚪设计'!$A$301:$G$320,3+UnitCfg!R341,FALSE),'⚪设计'!$B$85:$C$113,2,FALSE)</f>
        <v>ResUnit_ZhongZi2</v>
      </c>
      <c r="E341" s="55">
        <f>VLOOKUP(D341,'⚪设计'!$C$85:$I$113,5,FALSE)*VLOOKUP(UnitCfg!Q341,无限模式!$A$3:$C$22,3,FALSE)</f>
        <v>3.8</v>
      </c>
      <c r="F341">
        <v>400</v>
      </c>
      <c r="G341" t="b">
        <v>1</v>
      </c>
      <c r="H341">
        <v>1</v>
      </c>
      <c r="I341">
        <v>1</v>
      </c>
      <c r="J341">
        <v>0.5</v>
      </c>
      <c r="K341" s="55">
        <f>VLOOKUP(D341,'⚪设计'!$C$85:$I$113,6,FALSE)</f>
        <v>1.5</v>
      </c>
      <c r="L341" t="s">
        <v>3648</v>
      </c>
      <c r="M341" t="s">
        <v>468</v>
      </c>
      <c r="N341" t="s">
        <v>469</v>
      </c>
      <c r="O341" t="s">
        <v>470</v>
      </c>
      <c r="P341" s="57" t="str">
        <f>IF(VLOOKUP(D341,'⚪设计'!$C$85:$I$113,7,FALSE)="","",VLOOKUP(D341,'⚪设计'!$C$85:$I$113,7,FALSE))</f>
        <v>Skill_Monster_Heal,NormalAttack</v>
      </c>
      <c r="Q341" s="110">
        <v>19</v>
      </c>
      <c r="R341" s="110">
        <v>3</v>
      </c>
      <c r="S341" s="110"/>
    </row>
    <row r="342" spans="2:19" x14ac:dyDescent="0.2">
      <c r="B342" t="s">
        <v>3649</v>
      </c>
      <c r="C342" t="s">
        <v>3401</v>
      </c>
      <c r="D342" s="55" t="str">
        <f>VLOOKUP(VLOOKUP(Q342,'⚪设计'!$A$301:$G$320,3+UnitCfg!R342,FALSE),'⚪设计'!$B$85:$C$113,2,FALSE)</f>
        <v>ResUnit_Dan3</v>
      </c>
      <c r="E342" s="55">
        <f>VLOOKUP(D342,'⚪设计'!$C$85:$I$113,5,FALSE)*VLOOKUP(UnitCfg!Q342,无限模式!$A$3:$C$22,3,FALSE)</f>
        <v>2.4375</v>
      </c>
      <c r="F342">
        <v>400</v>
      </c>
      <c r="G342" t="b">
        <v>1</v>
      </c>
      <c r="H342">
        <v>1</v>
      </c>
      <c r="I342">
        <v>1</v>
      </c>
      <c r="J342">
        <v>0.5</v>
      </c>
      <c r="K342" s="55">
        <f>VLOOKUP(D342,'⚪设计'!$C$85:$I$113,6,FALSE)</f>
        <v>2.5</v>
      </c>
      <c r="L342" t="s">
        <v>3650</v>
      </c>
      <c r="M342" t="s">
        <v>468</v>
      </c>
      <c r="N342" t="s">
        <v>469</v>
      </c>
      <c r="O342" t="s">
        <v>470</v>
      </c>
      <c r="P342" s="57" t="str">
        <f>IF(VLOOKUP(D342,'⚪设计'!$C$85:$I$113,7,FALSE)="","",VLOOKUP(D342,'⚪设计'!$C$85:$I$113,7,FALSE))</f>
        <v>Skill_Monster_Weaken,NormalAttack</v>
      </c>
      <c r="Q342" s="110">
        <v>20</v>
      </c>
      <c r="R342" s="110">
        <v>1</v>
      </c>
      <c r="S342" s="110"/>
    </row>
    <row r="343" spans="2:19" x14ac:dyDescent="0.2">
      <c r="B343" t="s">
        <v>3651</v>
      </c>
      <c r="C343" t="s">
        <v>3402</v>
      </c>
      <c r="D343" s="55" t="str">
        <f>VLOOKUP(VLOOKUP(Q343,'⚪设计'!$A$301:$G$320,3+UnitCfg!R343,FALSE),'⚪设计'!$B$85:$C$113,2,FALSE)</f>
        <v>ResUnit_Gui2</v>
      </c>
      <c r="E343" s="55">
        <f>VLOOKUP(D343,'⚪设计'!$C$85:$I$113,5,FALSE)*VLOOKUP(UnitCfg!Q343,无限模式!$A$3:$C$22,3,FALSE)</f>
        <v>3.9</v>
      </c>
      <c r="F343">
        <v>400</v>
      </c>
      <c r="G343" t="b">
        <v>1</v>
      </c>
      <c r="H343">
        <v>1</v>
      </c>
      <c r="I343">
        <v>1</v>
      </c>
      <c r="J343">
        <v>0.5</v>
      </c>
      <c r="K343" s="55">
        <f>VLOOKUP(D343,'⚪设计'!$C$85:$I$113,6,FALSE)</f>
        <v>1.5</v>
      </c>
      <c r="L343" t="s">
        <v>3652</v>
      </c>
      <c r="M343" t="s">
        <v>468</v>
      </c>
      <c r="N343" t="s">
        <v>469</v>
      </c>
      <c r="O343" t="s">
        <v>470</v>
      </c>
      <c r="P343" s="57" t="str">
        <f>IF(VLOOKUP(D343,'⚪设计'!$C$85:$I$113,7,FALSE)="","",VLOOKUP(D343,'⚪设计'!$C$85:$I$113,7,FALSE))</f>
        <v>Skill_Monster_Invisible,NormalAttack</v>
      </c>
      <c r="Q343" s="110">
        <v>20</v>
      </c>
      <c r="R343" s="110">
        <v>2</v>
      </c>
      <c r="S343" s="110"/>
    </row>
    <row r="344" spans="2:19" x14ac:dyDescent="0.2">
      <c r="B344" t="s">
        <v>3653</v>
      </c>
      <c r="C344" t="s">
        <v>3403</v>
      </c>
      <c r="D344" s="55" t="str">
        <f>VLOOKUP(VLOOKUP(Q344,'⚪设计'!$A$301:$G$320,3+UnitCfg!R344,FALSE),'⚪设计'!$B$85:$C$113,2,FALSE)</f>
        <v>ResUnit_ZhongZi2</v>
      </c>
      <c r="E344" s="55">
        <f>VLOOKUP(D344,'⚪设计'!$C$85:$I$113,5,FALSE)*VLOOKUP(UnitCfg!Q344,无限模式!$A$3:$C$22,3,FALSE)</f>
        <v>3.9</v>
      </c>
      <c r="F344">
        <v>400</v>
      </c>
      <c r="G344" t="b">
        <v>1</v>
      </c>
      <c r="H344">
        <v>1</v>
      </c>
      <c r="I344">
        <v>1</v>
      </c>
      <c r="J344">
        <v>0.5</v>
      </c>
      <c r="K344" s="55">
        <f>VLOOKUP(D344,'⚪设计'!$C$85:$I$113,6,FALSE)</f>
        <v>1.5</v>
      </c>
      <c r="L344" t="s">
        <v>3654</v>
      </c>
      <c r="M344" t="s">
        <v>468</v>
      </c>
      <c r="N344" t="s">
        <v>469</v>
      </c>
      <c r="O344" t="s">
        <v>470</v>
      </c>
      <c r="P344" s="57" t="str">
        <f>IF(VLOOKUP(D344,'⚪设计'!$C$85:$I$113,7,FALSE)="","",VLOOKUP(D344,'⚪设计'!$C$85:$I$113,7,FALSE))</f>
        <v>Skill_Monster_Heal,NormalAttack</v>
      </c>
      <c r="Q344" s="110">
        <v>20</v>
      </c>
      <c r="R344" s="110">
        <v>3</v>
      </c>
      <c r="S344" s="110"/>
    </row>
    <row r="345" spans="2:19" x14ac:dyDescent="0.2">
      <c r="B345" t="s">
        <v>3655</v>
      </c>
      <c r="C345" t="s">
        <v>3404</v>
      </c>
      <c r="D345" s="55" t="str">
        <f>VLOOKUP(VLOOKUP(Q345,'⚪设计'!$A$301:$G$320,3+UnitCfg!R345,FALSE),'⚪设计'!$B$85:$C$113,2,FALSE)</f>
        <v>ResUnit_WuGui3</v>
      </c>
      <c r="E345" s="55">
        <f>VLOOKUP(D345,'⚪设计'!$C$85:$I$113,5,FALSE)*VLOOKUP(UnitCfg!Q345,无限模式!$A$3:$C$22,3,FALSE)</f>
        <v>3.9</v>
      </c>
      <c r="F345">
        <v>400</v>
      </c>
      <c r="G345" t="b">
        <v>1</v>
      </c>
      <c r="H345">
        <v>1</v>
      </c>
      <c r="I345">
        <v>1</v>
      </c>
      <c r="J345">
        <v>0.5</v>
      </c>
      <c r="K345" s="55">
        <f>VLOOKUP(D345,'⚪设计'!$C$85:$I$113,6,FALSE)</f>
        <v>2.5</v>
      </c>
      <c r="L345" t="s">
        <v>3656</v>
      </c>
      <c r="M345" t="s">
        <v>468</v>
      </c>
      <c r="N345" t="s">
        <v>469</v>
      </c>
      <c r="O345" t="s">
        <v>470</v>
      </c>
      <c r="P345" s="57" t="str">
        <f>IF(VLOOKUP(D345,'⚪设计'!$C$85:$I$113,7,FALSE)="","",VLOOKUP(D345,'⚪设计'!$C$85:$I$113,7,FALSE))</f>
        <v>Skill_Monster_WuGui3,NormalAttack</v>
      </c>
      <c r="Q345" s="110">
        <v>20</v>
      </c>
      <c r="R345" s="110">
        <v>4</v>
      </c>
      <c r="S345" s="110"/>
    </row>
    <row r="346" spans="2:19" s="125" customFormat="1" x14ac:dyDescent="0.2"/>
    <row r="347" spans="2:19" x14ac:dyDescent="0.2">
      <c r="B347" t="s">
        <v>1615</v>
      </c>
      <c r="C347" t="s">
        <v>1657</v>
      </c>
      <c r="D347" s="55" t="str">
        <f>VLOOKUP(VLOOKUP(Q347,'⚪设计'!$A$326:$G$346,3+UnitCfg!R347,FALSE),'⚪设计'!$B$85:$C$113,2,FALSE)</f>
        <v>ResUnit_MiFeng1</v>
      </c>
      <c r="E347" s="55">
        <f>VLOOKUP(D347,'⚪设计'!$C$85:$I$113,5,FALSE)*VLOOKUP(UnitCfg!Q347,线下模式!$A$3:$C$22,3,FALSE)</f>
        <v>2</v>
      </c>
      <c r="F347">
        <v>400</v>
      </c>
      <c r="G347" t="b">
        <v>1</v>
      </c>
      <c r="H347">
        <v>1</v>
      </c>
      <c r="I347">
        <v>1</v>
      </c>
      <c r="J347">
        <v>0.5</v>
      </c>
      <c r="K347" s="55">
        <f>VLOOKUP(D347,'⚪设计'!$C$85:$I$113,6,FALSE)</f>
        <v>1</v>
      </c>
      <c r="L347" t="str">
        <f>RIGHT(B347,LEN(B347)-5)</f>
        <v>Monster_Offline_1_1</v>
      </c>
      <c r="M347" t="s">
        <v>468</v>
      </c>
      <c r="N347" t="s">
        <v>469</v>
      </c>
      <c r="O347" t="s">
        <v>470</v>
      </c>
      <c r="Q347" s="110">
        <v>1</v>
      </c>
      <c r="R347" s="110">
        <v>1</v>
      </c>
    </row>
    <row r="348" spans="2:19" x14ac:dyDescent="0.2">
      <c r="B348" t="s">
        <v>1616</v>
      </c>
      <c r="C348" t="s">
        <v>1658</v>
      </c>
      <c r="D348" s="55" t="str">
        <f>VLOOKUP(VLOOKUP(Q348,'⚪设计'!$A$326:$G$346,3+UnitCfg!R348,FALSE),'⚪设计'!$B$85:$C$113,2,FALSE)</f>
        <v>ResUnit_MiFeng1</v>
      </c>
      <c r="E348" s="55">
        <f>VLOOKUP(D348,'⚪设计'!$C$85:$I$113,5,FALSE)*VLOOKUP(UnitCfg!Q348,线下模式!$A$3:$C$22,3,FALSE)</f>
        <v>2.1</v>
      </c>
      <c r="F348">
        <v>400</v>
      </c>
      <c r="G348" t="b">
        <v>1</v>
      </c>
      <c r="H348">
        <v>1</v>
      </c>
      <c r="I348">
        <v>1</v>
      </c>
      <c r="J348">
        <v>0.5</v>
      </c>
      <c r="K348" s="55">
        <f>VLOOKUP(D348,'⚪设计'!$C$85:$I$113,6,FALSE)</f>
        <v>1</v>
      </c>
      <c r="L348" t="str">
        <f t="shared" ref="L348:L388" si="15">RIGHT(B348,LEN(B348)-5)</f>
        <v>Monster_Offline_2_1</v>
      </c>
      <c r="M348" t="s">
        <v>468</v>
      </c>
      <c r="N348" t="s">
        <v>469</v>
      </c>
      <c r="O348" t="s">
        <v>470</v>
      </c>
      <c r="Q348" s="110">
        <v>2</v>
      </c>
      <c r="R348" s="110">
        <v>1</v>
      </c>
    </row>
    <row r="349" spans="2:19" x14ac:dyDescent="0.2">
      <c r="B349" t="s">
        <v>1617</v>
      </c>
      <c r="C349" t="s">
        <v>1659</v>
      </c>
      <c r="D349" s="55" t="str">
        <f>VLOOKUP(VLOOKUP(Q349,'⚪设计'!$A$326:$G$346,3+UnitCfg!R349,FALSE),'⚪设计'!$B$85:$C$113,2,FALSE)</f>
        <v>ResUnit_MiFeng2</v>
      </c>
      <c r="E349" s="55">
        <f>VLOOKUP(D349,'⚪设计'!$C$85:$I$113,5,FALSE)*VLOOKUP(UnitCfg!Q349,线下模式!$A$3:$C$22,3,FALSE)</f>
        <v>2.1</v>
      </c>
      <c r="F349">
        <v>400</v>
      </c>
      <c r="G349" t="b">
        <v>1</v>
      </c>
      <c r="H349">
        <v>1</v>
      </c>
      <c r="I349">
        <v>1</v>
      </c>
      <c r="J349">
        <v>0.5</v>
      </c>
      <c r="K349" s="55">
        <f>VLOOKUP(D349,'⚪设计'!$C$85:$I$113,6,FALSE)</f>
        <v>1.5</v>
      </c>
      <c r="L349" t="str">
        <f t="shared" si="15"/>
        <v>Monster_Offline_2_2</v>
      </c>
      <c r="M349" t="s">
        <v>468</v>
      </c>
      <c r="N349" t="s">
        <v>469</v>
      </c>
      <c r="O349" t="s">
        <v>470</v>
      </c>
      <c r="Q349" s="110">
        <v>2</v>
      </c>
      <c r="R349" s="110">
        <v>2</v>
      </c>
    </row>
    <row r="350" spans="2:19" x14ac:dyDescent="0.2">
      <c r="B350" t="s">
        <v>1618</v>
      </c>
      <c r="C350" t="s">
        <v>1660</v>
      </c>
      <c r="D350" s="55" t="str">
        <f>VLOOKUP(VLOOKUP(Q350,'⚪设计'!$A$326:$G$346,3+UnitCfg!R350,FALSE),'⚪设计'!$B$85:$C$113,2,FALSE)</f>
        <v>ResUnit_MiFeng2</v>
      </c>
      <c r="E350" s="55">
        <f>VLOOKUP(D350,'⚪设计'!$C$85:$I$113,5,FALSE)*VLOOKUP(UnitCfg!Q350,线下模式!$A$3:$C$22,3,FALSE)</f>
        <v>2.2000000000000002</v>
      </c>
      <c r="F350">
        <v>400</v>
      </c>
      <c r="G350" t="b">
        <v>1</v>
      </c>
      <c r="H350">
        <v>1</v>
      </c>
      <c r="I350">
        <v>1</v>
      </c>
      <c r="J350">
        <v>0.5</v>
      </c>
      <c r="K350" s="55">
        <f>VLOOKUP(D350,'⚪设计'!$C$85:$I$113,6,FALSE)</f>
        <v>1.5</v>
      </c>
      <c r="L350" t="str">
        <f t="shared" si="15"/>
        <v>Monster_Offline_3_1</v>
      </c>
      <c r="M350" t="s">
        <v>468</v>
      </c>
      <c r="N350" t="s">
        <v>469</v>
      </c>
      <c r="O350" t="s">
        <v>470</v>
      </c>
      <c r="Q350" s="110">
        <v>3</v>
      </c>
      <c r="R350" s="110">
        <v>1</v>
      </c>
    </row>
    <row r="351" spans="2:19" x14ac:dyDescent="0.2">
      <c r="B351" t="s">
        <v>1619</v>
      </c>
      <c r="C351" t="s">
        <v>1661</v>
      </c>
      <c r="D351" s="55" t="str">
        <f>VLOOKUP(VLOOKUP(Q351,'⚪设计'!$A$326:$G$346,3+UnitCfg!R351,FALSE),'⚪设计'!$B$85:$C$113,2,FALSE)</f>
        <v>ResUnit_BianFu1</v>
      </c>
      <c r="E351" s="55">
        <f>VLOOKUP(D351,'⚪设计'!$C$85:$I$113,5,FALSE)*VLOOKUP(UnitCfg!Q351,线下模式!$A$3:$C$22,3,FALSE)</f>
        <v>2.2000000000000002</v>
      </c>
      <c r="F351">
        <v>400</v>
      </c>
      <c r="G351" t="b">
        <v>1</v>
      </c>
      <c r="H351">
        <v>1</v>
      </c>
      <c r="I351">
        <v>1</v>
      </c>
      <c r="J351">
        <v>0.5</v>
      </c>
      <c r="K351" s="55">
        <f>VLOOKUP(D351,'⚪设计'!$C$85:$I$113,6,FALSE)</f>
        <v>1</v>
      </c>
      <c r="L351" t="str">
        <f t="shared" si="15"/>
        <v>Monster_Offline_3_2</v>
      </c>
      <c r="M351" t="s">
        <v>468</v>
      </c>
      <c r="N351" t="s">
        <v>469</v>
      </c>
      <c r="O351" t="s">
        <v>470</v>
      </c>
      <c r="Q351" s="110">
        <v>3</v>
      </c>
      <c r="R351" s="110">
        <v>2</v>
      </c>
    </row>
    <row r="352" spans="2:19" x14ac:dyDescent="0.2">
      <c r="B352" t="s">
        <v>1620</v>
      </c>
      <c r="C352" t="s">
        <v>1662</v>
      </c>
      <c r="D352" s="55" t="str">
        <f>VLOOKUP(VLOOKUP(Q352,'⚪设计'!$A$326:$G$346,3+UnitCfg!R352,FALSE),'⚪设计'!$B$85:$C$113,2,FALSE)</f>
        <v>ResUnit_MiFeng1</v>
      </c>
      <c r="E352" s="55">
        <f>VLOOKUP(D352,'⚪设计'!$C$85:$I$113,5,FALSE)*VLOOKUP(UnitCfg!Q352,线下模式!$A$3:$C$22,3,FALSE)</f>
        <v>2.2999999999999998</v>
      </c>
      <c r="F352">
        <v>400</v>
      </c>
      <c r="G352" t="b">
        <v>1</v>
      </c>
      <c r="H352">
        <v>1</v>
      </c>
      <c r="I352">
        <v>1</v>
      </c>
      <c r="J352">
        <v>0.5</v>
      </c>
      <c r="K352" s="55">
        <f>VLOOKUP(D352,'⚪设计'!$C$85:$I$113,6,FALSE)</f>
        <v>1</v>
      </c>
      <c r="L352" t="str">
        <f t="shared" si="15"/>
        <v>Monster_Offline_4_1</v>
      </c>
      <c r="M352" t="s">
        <v>468</v>
      </c>
      <c r="N352" t="s">
        <v>469</v>
      </c>
      <c r="O352" t="s">
        <v>470</v>
      </c>
      <c r="Q352" s="110">
        <v>4</v>
      </c>
      <c r="R352" s="110">
        <v>1</v>
      </c>
    </row>
    <row r="353" spans="2:18" x14ac:dyDescent="0.2">
      <c r="B353" t="s">
        <v>1621</v>
      </c>
      <c r="C353" t="s">
        <v>1663</v>
      </c>
      <c r="D353" s="55" t="str">
        <f>VLOOKUP(VLOOKUP(Q353,'⚪设计'!$A$326:$G$346,3+UnitCfg!R353,FALSE),'⚪设计'!$B$85:$C$113,2,FALSE)</f>
        <v>ResUnit_ZhiZhu1</v>
      </c>
      <c r="E353" s="55">
        <f>VLOOKUP(D353,'⚪设计'!$C$85:$I$113,5,FALSE)*VLOOKUP(UnitCfg!Q353,线下模式!$A$3:$C$22,3,FALSE)</f>
        <v>3.4499999999999997</v>
      </c>
      <c r="F353">
        <v>400</v>
      </c>
      <c r="G353" t="b">
        <v>1</v>
      </c>
      <c r="H353">
        <v>1</v>
      </c>
      <c r="I353">
        <v>1</v>
      </c>
      <c r="J353">
        <v>0.5</v>
      </c>
      <c r="K353" s="55">
        <f>VLOOKUP(D353,'⚪设计'!$C$85:$I$113,6,FALSE)</f>
        <v>1</v>
      </c>
      <c r="L353" t="str">
        <f t="shared" si="15"/>
        <v>Monster_Offline_4_2</v>
      </c>
      <c r="M353" t="s">
        <v>468</v>
      </c>
      <c r="N353" t="s">
        <v>469</v>
      </c>
      <c r="O353" t="s">
        <v>470</v>
      </c>
      <c r="Q353" s="110">
        <v>4</v>
      </c>
      <c r="R353" s="110">
        <v>2</v>
      </c>
    </row>
    <row r="354" spans="2:18" x14ac:dyDescent="0.2">
      <c r="B354" t="s">
        <v>1622</v>
      </c>
      <c r="C354" t="s">
        <v>1664</v>
      </c>
      <c r="D354" s="55" t="str">
        <f>VLOOKUP(VLOOKUP(Q354,'⚪设计'!$A$326:$G$346,3+UnitCfg!R354,FALSE),'⚪设计'!$B$85:$C$113,2,FALSE)</f>
        <v>ResUnit_MiFeng3</v>
      </c>
      <c r="E354" s="55">
        <f>VLOOKUP(D354,'⚪设计'!$C$85:$I$113,5,FALSE)*VLOOKUP(UnitCfg!Q354,线下模式!$A$3:$C$22,3,FALSE)</f>
        <v>1.5</v>
      </c>
      <c r="F354">
        <v>400</v>
      </c>
      <c r="G354" t="b">
        <v>1</v>
      </c>
      <c r="H354">
        <v>1</v>
      </c>
      <c r="I354">
        <v>1</v>
      </c>
      <c r="J354">
        <v>0.5</v>
      </c>
      <c r="K354" s="55">
        <f>VLOOKUP(D354,'⚪设计'!$C$85:$I$113,6,FALSE)</f>
        <v>2.5</v>
      </c>
      <c r="L354" t="str">
        <f t="shared" si="15"/>
        <v>Monster_Offline_5_1</v>
      </c>
      <c r="M354" t="s">
        <v>468</v>
      </c>
      <c r="N354" t="s">
        <v>469</v>
      </c>
      <c r="O354" t="s">
        <v>470</v>
      </c>
      <c r="Q354" s="110">
        <v>5</v>
      </c>
      <c r="R354" s="110">
        <v>1</v>
      </c>
    </row>
    <row r="355" spans="2:18" x14ac:dyDescent="0.2">
      <c r="B355" t="s">
        <v>1623</v>
      </c>
      <c r="C355" t="s">
        <v>1665</v>
      </c>
      <c r="D355" s="55" t="str">
        <f>VLOOKUP(VLOOKUP(Q355,'⚪设计'!$A$326:$G$346,3+UnitCfg!R355,FALSE),'⚪设计'!$B$85:$C$113,2,FALSE)</f>
        <v>ResUnit_BianFu1</v>
      </c>
      <c r="E355" s="55">
        <f>VLOOKUP(D355,'⚪设计'!$C$85:$I$113,5,FALSE)*VLOOKUP(UnitCfg!Q355,线下模式!$A$3:$C$22,3,FALSE)</f>
        <v>2.4</v>
      </c>
      <c r="F355">
        <v>400</v>
      </c>
      <c r="G355" t="b">
        <v>1</v>
      </c>
      <c r="H355">
        <v>1</v>
      </c>
      <c r="I355">
        <v>1</v>
      </c>
      <c r="J355">
        <v>0.5</v>
      </c>
      <c r="K355" s="55">
        <f>VLOOKUP(D355,'⚪设计'!$C$85:$I$113,6,FALSE)</f>
        <v>1</v>
      </c>
      <c r="L355" t="str">
        <f t="shared" si="15"/>
        <v>Monster_Offline_5_2</v>
      </c>
      <c r="M355" t="s">
        <v>468</v>
      </c>
      <c r="N355" t="s">
        <v>469</v>
      </c>
      <c r="O355" t="s">
        <v>470</v>
      </c>
      <c r="Q355" s="110">
        <v>5</v>
      </c>
      <c r="R355" s="110">
        <v>2</v>
      </c>
    </row>
    <row r="356" spans="2:18" x14ac:dyDescent="0.2">
      <c r="B356" t="s">
        <v>1624</v>
      </c>
      <c r="C356" t="s">
        <v>1666</v>
      </c>
      <c r="D356" s="55" t="str">
        <f>VLOOKUP(VLOOKUP(Q356,'⚪设计'!$A$326:$G$346,3+UnitCfg!R356,FALSE),'⚪设计'!$B$85:$C$113,2,FALSE)</f>
        <v>ResUnit_MiFeng2</v>
      </c>
      <c r="E356" s="55">
        <f>VLOOKUP(D356,'⚪设计'!$C$85:$I$113,5,FALSE)*VLOOKUP(UnitCfg!Q356,线下模式!$A$3:$C$22,3,FALSE)</f>
        <v>2.5</v>
      </c>
      <c r="F356">
        <v>400</v>
      </c>
      <c r="G356" t="b">
        <v>1</v>
      </c>
      <c r="H356">
        <v>1</v>
      </c>
      <c r="I356">
        <v>1</v>
      </c>
      <c r="J356">
        <v>0.5</v>
      </c>
      <c r="K356" s="55">
        <f>VLOOKUP(D356,'⚪设计'!$C$85:$I$113,6,FALSE)</f>
        <v>1.5</v>
      </c>
      <c r="L356" t="str">
        <f t="shared" si="15"/>
        <v>Monster_Offline_6_1</v>
      </c>
      <c r="M356" t="s">
        <v>468</v>
      </c>
      <c r="N356" t="s">
        <v>469</v>
      </c>
      <c r="O356" t="s">
        <v>470</v>
      </c>
      <c r="Q356" s="110">
        <v>6</v>
      </c>
      <c r="R356" s="110">
        <v>1</v>
      </c>
    </row>
    <row r="357" spans="2:18" x14ac:dyDescent="0.2">
      <c r="B357" t="s">
        <v>1625</v>
      </c>
      <c r="C357" t="s">
        <v>1667</v>
      </c>
      <c r="D357" s="55" t="str">
        <f>VLOOKUP(VLOOKUP(Q357,'⚪设计'!$A$326:$G$346,3+UnitCfg!R357,FALSE),'⚪设计'!$B$85:$C$113,2,FALSE)</f>
        <v>ResUnit_ZhiZhu1</v>
      </c>
      <c r="E357" s="55">
        <f>VLOOKUP(D357,'⚪设计'!$C$85:$I$113,5,FALSE)*VLOOKUP(UnitCfg!Q357,线下模式!$A$3:$C$22,3,FALSE)</f>
        <v>3.75</v>
      </c>
      <c r="F357">
        <v>400</v>
      </c>
      <c r="G357" t="b">
        <v>1</v>
      </c>
      <c r="H357">
        <v>1</v>
      </c>
      <c r="I357">
        <v>1</v>
      </c>
      <c r="J357">
        <v>0.5</v>
      </c>
      <c r="K357" s="55">
        <f>VLOOKUP(D357,'⚪设计'!$C$85:$I$113,6,FALSE)</f>
        <v>1</v>
      </c>
      <c r="L357" t="str">
        <f t="shared" si="15"/>
        <v>Monster_Offline_6_2</v>
      </c>
      <c r="M357" t="s">
        <v>468</v>
      </c>
      <c r="N357" t="s">
        <v>469</v>
      </c>
      <c r="O357" t="s">
        <v>470</v>
      </c>
      <c r="Q357" s="110">
        <v>6</v>
      </c>
      <c r="R357" s="110">
        <v>2</v>
      </c>
    </row>
    <row r="358" spans="2:18" x14ac:dyDescent="0.2">
      <c r="B358" t="s">
        <v>1626</v>
      </c>
      <c r="C358" t="s">
        <v>1668</v>
      </c>
      <c r="D358" s="55" t="str">
        <f>VLOOKUP(VLOOKUP(Q358,'⚪设计'!$A$326:$G$346,3+UnitCfg!R358,FALSE),'⚪设计'!$B$85:$C$113,2,FALSE)</f>
        <v>ResUnit_MiFeng2</v>
      </c>
      <c r="E358" s="55">
        <f>VLOOKUP(D358,'⚪设计'!$C$85:$I$113,5,FALSE)*VLOOKUP(UnitCfg!Q358,线下模式!$A$3:$C$22,3,FALSE)</f>
        <v>2.6</v>
      </c>
      <c r="F358">
        <v>400</v>
      </c>
      <c r="G358" t="b">
        <v>1</v>
      </c>
      <c r="H358">
        <v>1</v>
      </c>
      <c r="I358">
        <v>1</v>
      </c>
      <c r="J358">
        <v>0.5</v>
      </c>
      <c r="K358" s="55">
        <f>VLOOKUP(D358,'⚪设计'!$C$85:$I$113,6,FALSE)</f>
        <v>1.5</v>
      </c>
      <c r="L358" t="str">
        <f t="shared" si="15"/>
        <v>Monster_Offline_7_1</v>
      </c>
      <c r="M358" t="s">
        <v>468</v>
      </c>
      <c r="N358" t="s">
        <v>469</v>
      </c>
      <c r="O358" t="s">
        <v>470</v>
      </c>
      <c r="Q358" s="110">
        <v>7</v>
      </c>
      <c r="R358" s="110">
        <v>1</v>
      </c>
    </row>
    <row r="359" spans="2:18" x14ac:dyDescent="0.2">
      <c r="B359" t="s">
        <v>1627</v>
      </c>
      <c r="C359" t="s">
        <v>1669</v>
      </c>
      <c r="D359" s="55" t="str">
        <f>VLOOKUP(VLOOKUP(Q359,'⚪设计'!$A$326:$G$346,3+UnitCfg!R359,FALSE),'⚪设计'!$B$85:$C$113,2,FALSE)</f>
        <v>ResUnit_ZhiZhu1</v>
      </c>
      <c r="E359" s="55">
        <f>VLOOKUP(D359,'⚪设计'!$C$85:$I$113,5,FALSE)*VLOOKUP(UnitCfg!Q359,线下模式!$A$3:$C$22,3,FALSE)</f>
        <v>3.9000000000000004</v>
      </c>
      <c r="F359">
        <v>400</v>
      </c>
      <c r="G359" t="b">
        <v>1</v>
      </c>
      <c r="H359">
        <v>1</v>
      </c>
      <c r="I359">
        <v>1</v>
      </c>
      <c r="J359">
        <v>0.5</v>
      </c>
      <c r="K359" s="55">
        <f>VLOOKUP(D359,'⚪设计'!$C$85:$I$113,6,FALSE)</f>
        <v>1</v>
      </c>
      <c r="L359" t="str">
        <f t="shared" si="15"/>
        <v>Monster_Offline_7_2</v>
      </c>
      <c r="M359" t="s">
        <v>468</v>
      </c>
      <c r="N359" t="s">
        <v>469</v>
      </c>
      <c r="O359" t="s">
        <v>470</v>
      </c>
      <c r="Q359" s="110">
        <v>7</v>
      </c>
      <c r="R359" s="110">
        <v>2</v>
      </c>
    </row>
    <row r="360" spans="2:18" x14ac:dyDescent="0.2">
      <c r="B360" t="s">
        <v>1628</v>
      </c>
      <c r="C360" t="s">
        <v>1670</v>
      </c>
      <c r="D360" s="55" t="str">
        <f>VLOOKUP(VLOOKUP(Q360,'⚪设计'!$A$326:$G$346,3+UnitCfg!R360,FALSE),'⚪设计'!$B$85:$C$113,2,FALSE)</f>
        <v>ResUnit_MiFeng2</v>
      </c>
      <c r="E360" s="55">
        <f>VLOOKUP(D360,'⚪设计'!$C$85:$I$113,5,FALSE)*VLOOKUP(UnitCfg!Q360,线下模式!$A$3:$C$22,3,FALSE)</f>
        <v>2.7</v>
      </c>
      <c r="F360">
        <v>400</v>
      </c>
      <c r="G360" t="b">
        <v>1</v>
      </c>
      <c r="H360">
        <v>1</v>
      </c>
      <c r="I360">
        <v>1</v>
      </c>
      <c r="J360">
        <v>0.5</v>
      </c>
      <c r="K360" s="55">
        <f>VLOOKUP(D360,'⚪设计'!$C$85:$I$113,6,FALSE)</f>
        <v>1.5</v>
      </c>
      <c r="L360" t="str">
        <f t="shared" si="15"/>
        <v>Monster_Offline_8_1</v>
      </c>
      <c r="M360" t="s">
        <v>468</v>
      </c>
      <c r="N360" t="s">
        <v>469</v>
      </c>
      <c r="O360" t="s">
        <v>470</v>
      </c>
      <c r="Q360" s="110">
        <v>8</v>
      </c>
      <c r="R360" s="110">
        <v>1</v>
      </c>
    </row>
    <row r="361" spans="2:18" x14ac:dyDescent="0.2">
      <c r="B361" t="s">
        <v>1629</v>
      </c>
      <c r="C361" t="s">
        <v>1671</v>
      </c>
      <c r="D361" s="55" t="str">
        <f>VLOOKUP(VLOOKUP(Q361,'⚪设计'!$A$326:$G$346,3+UnitCfg!R361,FALSE),'⚪设计'!$B$85:$C$113,2,FALSE)</f>
        <v>ResUnit_ZhongZi1</v>
      </c>
      <c r="E361" s="55">
        <f>VLOOKUP(D361,'⚪设计'!$C$85:$I$113,5,FALSE)*VLOOKUP(UnitCfg!Q361,线下模式!$A$3:$C$22,3,FALSE)</f>
        <v>2.7</v>
      </c>
      <c r="F361">
        <v>400</v>
      </c>
      <c r="G361" t="b">
        <v>1</v>
      </c>
      <c r="H361">
        <v>1</v>
      </c>
      <c r="I361">
        <v>1</v>
      </c>
      <c r="J361">
        <v>0.5</v>
      </c>
      <c r="K361" s="55">
        <f>VLOOKUP(D361,'⚪设计'!$C$85:$I$113,6,FALSE)</f>
        <v>1</v>
      </c>
      <c r="L361" t="str">
        <f t="shared" si="15"/>
        <v>Monster_Offline_8_2</v>
      </c>
      <c r="M361" t="s">
        <v>468</v>
      </c>
      <c r="N361" t="s">
        <v>469</v>
      </c>
      <c r="O361" t="s">
        <v>470</v>
      </c>
      <c r="P361" s="57" t="s">
        <v>1741</v>
      </c>
      <c r="Q361" s="110">
        <v>8</v>
      </c>
      <c r="R361" s="110">
        <v>2</v>
      </c>
    </row>
    <row r="362" spans="2:18" x14ac:dyDescent="0.2">
      <c r="B362" t="s">
        <v>1630</v>
      </c>
      <c r="C362" t="s">
        <v>1672</v>
      </c>
      <c r="D362" s="55" t="str">
        <f>VLOOKUP(VLOOKUP(Q362,'⚪设计'!$A$326:$G$346,3+UnitCfg!R362,FALSE),'⚪设计'!$B$85:$C$113,2,FALSE)</f>
        <v>ResUnit_MiFeng2</v>
      </c>
      <c r="E362" s="55">
        <f>VLOOKUP(D362,'⚪设计'!$C$85:$I$113,5,FALSE)*VLOOKUP(UnitCfg!Q362,线下模式!$A$3:$C$22,3,FALSE)</f>
        <v>2.8</v>
      </c>
      <c r="F362">
        <v>400</v>
      </c>
      <c r="G362" t="b">
        <v>1</v>
      </c>
      <c r="H362">
        <v>1</v>
      </c>
      <c r="I362">
        <v>1</v>
      </c>
      <c r="J362">
        <v>0.5</v>
      </c>
      <c r="K362" s="55">
        <f>VLOOKUP(D362,'⚪设计'!$C$85:$I$113,6,FALSE)</f>
        <v>1.5</v>
      </c>
      <c r="L362" t="str">
        <f t="shared" si="15"/>
        <v>Monster_Offline_9_1</v>
      </c>
      <c r="M362" t="s">
        <v>468</v>
      </c>
      <c r="N362" t="s">
        <v>469</v>
      </c>
      <c r="O362" t="s">
        <v>470</v>
      </c>
      <c r="Q362" s="110">
        <v>9</v>
      </c>
      <c r="R362" s="110">
        <v>1</v>
      </c>
    </row>
    <row r="363" spans="2:18" x14ac:dyDescent="0.2">
      <c r="B363" t="s">
        <v>1631</v>
      </c>
      <c r="C363" t="s">
        <v>1673</v>
      </c>
      <c r="D363" s="55" t="str">
        <f>VLOOKUP(VLOOKUP(Q363,'⚪设计'!$A$326:$G$346,3+UnitCfg!R363,FALSE),'⚪设计'!$B$85:$C$113,2,FALSE)</f>
        <v>ResUnit_ZhongZi1</v>
      </c>
      <c r="E363" s="55">
        <f>VLOOKUP(D363,'⚪设计'!$C$85:$I$113,5,FALSE)*VLOOKUP(UnitCfg!Q363,线下模式!$A$3:$C$22,3,FALSE)</f>
        <v>2.8</v>
      </c>
      <c r="F363">
        <v>400</v>
      </c>
      <c r="G363" t="b">
        <v>1</v>
      </c>
      <c r="H363">
        <v>1</v>
      </c>
      <c r="I363">
        <v>1</v>
      </c>
      <c r="J363">
        <v>0.5</v>
      </c>
      <c r="K363" s="55">
        <f>VLOOKUP(D363,'⚪设计'!$C$85:$I$113,6,FALSE)</f>
        <v>1</v>
      </c>
      <c r="L363" t="str">
        <f t="shared" si="15"/>
        <v>Monster_Offline_9_2</v>
      </c>
      <c r="M363" t="s">
        <v>468</v>
      </c>
      <c r="N363" t="s">
        <v>469</v>
      </c>
      <c r="O363" t="s">
        <v>470</v>
      </c>
      <c r="P363" s="57" t="s">
        <v>1741</v>
      </c>
      <c r="Q363" s="110">
        <v>9</v>
      </c>
      <c r="R363" s="110">
        <v>2</v>
      </c>
    </row>
    <row r="364" spans="2:18" x14ac:dyDescent="0.2">
      <c r="B364" t="s">
        <v>1632</v>
      </c>
      <c r="C364" t="s">
        <v>1674</v>
      </c>
      <c r="D364" s="55" t="str">
        <f>VLOOKUP(VLOOKUP(Q364,'⚪设计'!$A$326:$G$346,3+UnitCfg!R364,FALSE),'⚪设计'!$B$85:$C$113,2,FALSE)</f>
        <v>ResUnit_ZhongZi1</v>
      </c>
      <c r="E364" s="55">
        <f>VLOOKUP(D364,'⚪设计'!$C$85:$I$113,5,FALSE)*VLOOKUP(UnitCfg!Q364,线下模式!$A$3:$C$22,3,FALSE)</f>
        <v>2.9</v>
      </c>
      <c r="F364">
        <v>400</v>
      </c>
      <c r="G364" t="b">
        <v>1</v>
      </c>
      <c r="H364">
        <v>1</v>
      </c>
      <c r="I364">
        <v>1</v>
      </c>
      <c r="J364">
        <v>0.5</v>
      </c>
      <c r="K364" s="55">
        <f>VLOOKUP(D364,'⚪设计'!$C$85:$I$113,6,FALSE)</f>
        <v>1</v>
      </c>
      <c r="L364" t="str">
        <f t="shared" si="15"/>
        <v>Monster_Offline_10_1</v>
      </c>
      <c r="M364" t="s">
        <v>468</v>
      </c>
      <c r="N364" t="s">
        <v>469</v>
      </c>
      <c r="O364" t="s">
        <v>470</v>
      </c>
      <c r="P364" s="57" t="s">
        <v>1741</v>
      </c>
      <c r="Q364" s="110">
        <v>10</v>
      </c>
      <c r="R364" s="110">
        <v>1</v>
      </c>
    </row>
    <row r="365" spans="2:18" x14ac:dyDescent="0.2">
      <c r="B365" t="s">
        <v>1633</v>
      </c>
      <c r="C365" t="s">
        <v>1675</v>
      </c>
      <c r="D365" s="55" t="str">
        <f>VLOOKUP(VLOOKUP(Q365,'⚪设计'!$A$326:$G$346,3+UnitCfg!R365,FALSE),'⚪设计'!$B$85:$C$113,2,FALSE)</f>
        <v>ResUnit_ZhiZhu3</v>
      </c>
      <c r="E365" s="55">
        <f>VLOOKUP(D365,'⚪设计'!$C$85:$I$113,5,FALSE)*VLOOKUP(UnitCfg!Q365,线下模式!$A$3:$C$22,3,FALSE)</f>
        <v>1.8125</v>
      </c>
      <c r="F365">
        <v>400</v>
      </c>
      <c r="G365" t="b">
        <v>1</v>
      </c>
      <c r="H365">
        <v>1</v>
      </c>
      <c r="I365">
        <v>1</v>
      </c>
      <c r="J365">
        <v>0.5</v>
      </c>
      <c r="K365" s="55">
        <f>VLOOKUP(D365,'⚪设计'!$C$85:$I$113,6,FALSE)</f>
        <v>2.5</v>
      </c>
      <c r="L365" t="str">
        <f t="shared" si="15"/>
        <v>Monster_Offline_10_2</v>
      </c>
      <c r="M365" t="s">
        <v>468</v>
      </c>
      <c r="N365" t="s">
        <v>469</v>
      </c>
      <c r="O365" t="s">
        <v>470</v>
      </c>
      <c r="Q365" s="110">
        <v>10</v>
      </c>
      <c r="R365" s="110">
        <v>2</v>
      </c>
    </row>
    <row r="366" spans="2:18" x14ac:dyDescent="0.2">
      <c r="B366" t="s">
        <v>1634</v>
      </c>
      <c r="C366" t="s">
        <v>1676</v>
      </c>
      <c r="D366" s="55" t="str">
        <f>VLOOKUP(VLOOKUP(Q366,'⚪设计'!$A$326:$G$346,3+UnitCfg!R366,FALSE),'⚪设计'!$B$85:$C$113,2,FALSE)</f>
        <v>ResUnit_ZhongZi1</v>
      </c>
      <c r="E366" s="55">
        <f>VLOOKUP(D366,'⚪设计'!$C$85:$I$113,5,FALSE)*VLOOKUP(UnitCfg!Q366,线下模式!$A$3:$C$22,3,FALSE)</f>
        <v>3</v>
      </c>
      <c r="F366">
        <v>400</v>
      </c>
      <c r="G366" t="b">
        <v>1</v>
      </c>
      <c r="H366">
        <v>1</v>
      </c>
      <c r="I366">
        <v>1</v>
      </c>
      <c r="J366">
        <v>0.5</v>
      </c>
      <c r="K366" s="55">
        <f>VLOOKUP(D366,'⚪设计'!$C$85:$I$113,6,FALSE)</f>
        <v>1</v>
      </c>
      <c r="L366" t="str">
        <f t="shared" si="15"/>
        <v>Monster_Offline_11_1</v>
      </c>
      <c r="M366" t="s">
        <v>468</v>
      </c>
      <c r="N366" t="s">
        <v>469</v>
      </c>
      <c r="O366" t="s">
        <v>470</v>
      </c>
      <c r="P366" s="57" t="s">
        <v>1741</v>
      </c>
      <c r="Q366" s="110">
        <v>11</v>
      </c>
      <c r="R366" s="110">
        <v>1</v>
      </c>
    </row>
    <row r="367" spans="2:18" x14ac:dyDescent="0.2">
      <c r="B367" t="s">
        <v>1635</v>
      </c>
      <c r="C367" t="s">
        <v>1677</v>
      </c>
      <c r="D367" s="55" t="str">
        <f>VLOOKUP(VLOOKUP(Q367,'⚪设计'!$A$326:$G$346,3+UnitCfg!R367,FALSE),'⚪设计'!$B$85:$C$113,2,FALSE)</f>
        <v>ResUnit_ZhiZhu2</v>
      </c>
      <c r="E367" s="55">
        <f>VLOOKUP(D367,'⚪设计'!$C$85:$I$113,5,FALSE)*VLOOKUP(UnitCfg!Q367,线下模式!$A$3:$C$22,3,FALSE)</f>
        <v>4.5</v>
      </c>
      <c r="F367">
        <v>400</v>
      </c>
      <c r="G367" t="b">
        <v>1</v>
      </c>
      <c r="H367">
        <v>1</v>
      </c>
      <c r="I367">
        <v>1</v>
      </c>
      <c r="J367">
        <v>0.5</v>
      </c>
      <c r="K367" s="55">
        <f>VLOOKUP(D367,'⚪设计'!$C$85:$I$113,6,FALSE)</f>
        <v>1.5</v>
      </c>
      <c r="L367" t="str">
        <f t="shared" si="15"/>
        <v>Monster_Offline_11_2</v>
      </c>
      <c r="M367" t="s">
        <v>468</v>
      </c>
      <c r="N367" t="s">
        <v>469</v>
      </c>
      <c r="O367" t="s">
        <v>470</v>
      </c>
      <c r="Q367" s="110">
        <v>11</v>
      </c>
      <c r="R367" s="110">
        <v>2</v>
      </c>
    </row>
    <row r="368" spans="2:18" x14ac:dyDescent="0.2">
      <c r="B368" t="s">
        <v>1636</v>
      </c>
      <c r="C368" t="s">
        <v>1678</v>
      </c>
      <c r="D368" s="55" t="str">
        <f>VLOOKUP(VLOOKUP(Q368,'⚪设计'!$A$326:$G$346,3+UnitCfg!R368,FALSE),'⚪设计'!$B$85:$C$113,2,FALSE)</f>
        <v>ResUnit_Gui1</v>
      </c>
      <c r="E368" s="55">
        <f>VLOOKUP(D368,'⚪设计'!$C$85:$I$113,5,FALSE)*VLOOKUP(UnitCfg!Q368,线下模式!$A$3:$C$22,3,FALSE)</f>
        <v>3.1</v>
      </c>
      <c r="F368">
        <v>400</v>
      </c>
      <c r="G368" t="b">
        <v>1</v>
      </c>
      <c r="H368">
        <v>1</v>
      </c>
      <c r="I368">
        <v>1</v>
      </c>
      <c r="J368">
        <v>0.5</v>
      </c>
      <c r="K368" s="55">
        <f>VLOOKUP(D368,'⚪设计'!$C$85:$I$113,6,FALSE)</f>
        <v>1</v>
      </c>
      <c r="L368" t="str">
        <f t="shared" si="15"/>
        <v>Monster_Offline_12_1</v>
      </c>
      <c r="M368" t="s">
        <v>468</v>
      </c>
      <c r="N368" t="s">
        <v>469</v>
      </c>
      <c r="O368" t="s">
        <v>470</v>
      </c>
      <c r="P368" s="57" t="s">
        <v>1742</v>
      </c>
      <c r="Q368" s="110">
        <v>12</v>
      </c>
      <c r="R368" s="110">
        <v>1</v>
      </c>
    </row>
    <row r="369" spans="2:18" x14ac:dyDescent="0.2">
      <c r="B369" t="s">
        <v>1637</v>
      </c>
      <c r="C369" t="s">
        <v>1679</v>
      </c>
      <c r="D369" s="55" t="str">
        <f>VLOOKUP(VLOOKUP(Q369,'⚪设计'!$A$326:$G$346,3+UnitCfg!R369,FALSE),'⚪设计'!$B$85:$C$113,2,FALSE)</f>
        <v>ResUnit_Gui1</v>
      </c>
      <c r="E369" s="55">
        <f>VLOOKUP(D369,'⚪设计'!$C$85:$I$113,5,FALSE)*VLOOKUP(UnitCfg!Q369,线下模式!$A$3:$C$22,3,FALSE)</f>
        <v>3.2</v>
      </c>
      <c r="F369">
        <v>400</v>
      </c>
      <c r="G369" t="b">
        <v>1</v>
      </c>
      <c r="H369">
        <v>1</v>
      </c>
      <c r="I369">
        <v>1</v>
      </c>
      <c r="J369">
        <v>0.5</v>
      </c>
      <c r="K369" s="55">
        <f>VLOOKUP(D369,'⚪设计'!$C$85:$I$113,6,FALSE)</f>
        <v>1</v>
      </c>
      <c r="L369" t="str">
        <f t="shared" si="15"/>
        <v>Monster_Offline_13_1</v>
      </c>
      <c r="M369" t="s">
        <v>468</v>
      </c>
      <c r="N369" t="s">
        <v>469</v>
      </c>
      <c r="O369" t="s">
        <v>470</v>
      </c>
      <c r="P369" s="57" t="s">
        <v>1742</v>
      </c>
      <c r="Q369" s="110">
        <v>13</v>
      </c>
      <c r="R369" s="110">
        <v>1</v>
      </c>
    </row>
    <row r="370" spans="2:18" x14ac:dyDescent="0.2">
      <c r="B370" t="s">
        <v>1638</v>
      </c>
      <c r="C370" t="s">
        <v>1680</v>
      </c>
      <c r="D370" s="55" t="str">
        <f>VLOOKUP(VLOOKUP(Q370,'⚪设计'!$A$326:$G$346,3+UnitCfg!R370,FALSE),'⚪设计'!$B$85:$C$113,2,FALSE)</f>
        <v>ResUnit_ZhiZhu2</v>
      </c>
      <c r="E370" s="55">
        <f>VLOOKUP(D370,'⚪设计'!$C$85:$I$113,5,FALSE)*VLOOKUP(UnitCfg!Q370,线下模式!$A$3:$C$22,3,FALSE)</f>
        <v>4.8000000000000007</v>
      </c>
      <c r="F370">
        <v>400</v>
      </c>
      <c r="G370" t="b">
        <v>1</v>
      </c>
      <c r="H370">
        <v>1</v>
      </c>
      <c r="I370">
        <v>1</v>
      </c>
      <c r="J370">
        <v>0.5</v>
      </c>
      <c r="K370" s="55">
        <f>VLOOKUP(D370,'⚪设计'!$C$85:$I$113,6,FALSE)</f>
        <v>1.5</v>
      </c>
      <c r="L370" t="str">
        <f t="shared" si="15"/>
        <v>Monster_Offline_13_2</v>
      </c>
      <c r="M370" t="s">
        <v>468</v>
      </c>
      <c r="N370" t="s">
        <v>469</v>
      </c>
      <c r="O370" t="s">
        <v>470</v>
      </c>
      <c r="Q370" s="110">
        <v>13</v>
      </c>
      <c r="R370" s="110">
        <v>2</v>
      </c>
    </row>
    <row r="371" spans="2:18" x14ac:dyDescent="0.2">
      <c r="B371" t="s">
        <v>1639</v>
      </c>
      <c r="C371" t="s">
        <v>1681</v>
      </c>
      <c r="D371" s="55" t="str">
        <f>VLOOKUP(VLOOKUP(Q371,'⚪设计'!$A$326:$G$346,3+UnitCfg!R371,FALSE),'⚪设计'!$B$85:$C$113,2,FALSE)</f>
        <v>ResUnit_Gui1</v>
      </c>
      <c r="E371" s="55">
        <f>VLOOKUP(D371,'⚪设计'!$C$85:$I$113,5,FALSE)*VLOOKUP(UnitCfg!Q371,线下模式!$A$3:$C$22,3,FALSE)</f>
        <v>3.3</v>
      </c>
      <c r="F371">
        <v>400</v>
      </c>
      <c r="G371" t="b">
        <v>1</v>
      </c>
      <c r="H371">
        <v>1</v>
      </c>
      <c r="I371">
        <v>1</v>
      </c>
      <c r="J371">
        <v>0.5</v>
      </c>
      <c r="K371" s="55">
        <f>VLOOKUP(D371,'⚪设计'!$C$85:$I$113,6,FALSE)</f>
        <v>1</v>
      </c>
      <c r="L371" t="str">
        <f t="shared" si="15"/>
        <v>Monster_Offline_14_1</v>
      </c>
      <c r="M371" t="s">
        <v>468</v>
      </c>
      <c r="N371" t="s">
        <v>469</v>
      </c>
      <c r="O371" t="s">
        <v>470</v>
      </c>
      <c r="P371" s="57" t="s">
        <v>1742</v>
      </c>
      <c r="Q371" s="110">
        <v>14</v>
      </c>
      <c r="R371" s="110">
        <v>1</v>
      </c>
    </row>
    <row r="372" spans="2:18" x14ac:dyDescent="0.2">
      <c r="B372" t="s">
        <v>1640</v>
      </c>
      <c r="C372" t="s">
        <v>1682</v>
      </c>
      <c r="D372" s="55" t="str">
        <f>VLOOKUP(VLOOKUP(Q372,'⚪设计'!$A$326:$G$346,3+UnitCfg!R372,FALSE),'⚪设计'!$B$85:$C$113,2,FALSE)</f>
        <v>ResUnit_ZhongZi2</v>
      </c>
      <c r="E372" s="55">
        <f>VLOOKUP(D372,'⚪设计'!$C$85:$I$113,5,FALSE)*VLOOKUP(UnitCfg!Q372,线下模式!$A$3:$C$22,3,FALSE)</f>
        <v>3.3</v>
      </c>
      <c r="F372">
        <v>400</v>
      </c>
      <c r="G372" t="b">
        <v>1</v>
      </c>
      <c r="H372">
        <v>1</v>
      </c>
      <c r="I372">
        <v>1</v>
      </c>
      <c r="J372">
        <v>0.5</v>
      </c>
      <c r="K372" s="55">
        <f>VLOOKUP(D372,'⚪设计'!$C$85:$I$113,6,FALSE)</f>
        <v>1.5</v>
      </c>
      <c r="L372" t="str">
        <f t="shared" si="15"/>
        <v>Monster_Offline_14_2</v>
      </c>
      <c r="M372" t="s">
        <v>468</v>
      </c>
      <c r="N372" t="s">
        <v>469</v>
      </c>
      <c r="O372" t="s">
        <v>470</v>
      </c>
      <c r="P372" s="57" t="s">
        <v>1741</v>
      </c>
      <c r="Q372" s="110">
        <v>14</v>
      </c>
      <c r="R372" s="110">
        <v>2</v>
      </c>
    </row>
    <row r="373" spans="2:18" x14ac:dyDescent="0.2">
      <c r="B373" t="s">
        <v>1641</v>
      </c>
      <c r="C373" t="s">
        <v>1683</v>
      </c>
      <c r="D373" s="55" t="str">
        <f>VLOOKUP(VLOOKUP(Q373,'⚪设计'!$A$326:$G$346,3+UnitCfg!R373,FALSE),'⚪设计'!$B$85:$C$113,2,FALSE)</f>
        <v>ResUnit_MiFeng2</v>
      </c>
      <c r="E373" s="55">
        <f>VLOOKUP(D373,'⚪设计'!$C$85:$I$113,5,FALSE)*VLOOKUP(UnitCfg!Q373,线下模式!$A$3:$C$22,3,FALSE)</f>
        <v>3.4</v>
      </c>
      <c r="F373">
        <v>400</v>
      </c>
      <c r="G373" t="b">
        <v>1</v>
      </c>
      <c r="H373">
        <v>1</v>
      </c>
      <c r="I373">
        <v>1</v>
      </c>
      <c r="J373">
        <v>0.5</v>
      </c>
      <c r="K373" s="55">
        <f>VLOOKUP(D373,'⚪设计'!$C$85:$I$113,6,FALSE)</f>
        <v>1.5</v>
      </c>
      <c r="L373" t="str">
        <f t="shared" si="15"/>
        <v>Monster_Offline_15_1</v>
      </c>
      <c r="M373" t="s">
        <v>468</v>
      </c>
      <c r="N373" t="s">
        <v>469</v>
      </c>
      <c r="O373" t="s">
        <v>470</v>
      </c>
      <c r="Q373" s="110">
        <v>15</v>
      </c>
      <c r="R373" s="110">
        <v>1</v>
      </c>
    </row>
    <row r="374" spans="2:18" x14ac:dyDescent="0.2">
      <c r="B374" t="s">
        <v>1642</v>
      </c>
      <c r="C374" t="s">
        <v>1684</v>
      </c>
      <c r="D374" s="55" t="str">
        <f>VLOOKUP(VLOOKUP(Q374,'⚪设计'!$A$326:$G$346,3+UnitCfg!R374,FALSE),'⚪设计'!$B$85:$C$113,2,FALSE)</f>
        <v>ResUnit_ZhongZi1</v>
      </c>
      <c r="E374" s="55">
        <f>VLOOKUP(D374,'⚪设计'!$C$85:$I$113,5,FALSE)*VLOOKUP(UnitCfg!Q374,线下模式!$A$3:$C$22,3,FALSE)</f>
        <v>3.4</v>
      </c>
      <c r="F374">
        <v>400</v>
      </c>
      <c r="G374" t="b">
        <v>1</v>
      </c>
      <c r="H374">
        <v>1</v>
      </c>
      <c r="I374">
        <v>1</v>
      </c>
      <c r="J374">
        <v>0.5</v>
      </c>
      <c r="K374" s="55">
        <f>VLOOKUP(D374,'⚪设计'!$C$85:$I$113,6,FALSE)</f>
        <v>1</v>
      </c>
      <c r="L374" t="str">
        <f t="shared" si="15"/>
        <v>Monster_Offline_15_2</v>
      </c>
      <c r="M374" t="s">
        <v>468</v>
      </c>
      <c r="N374" t="s">
        <v>469</v>
      </c>
      <c r="O374" t="s">
        <v>470</v>
      </c>
      <c r="P374" s="57" t="s">
        <v>1741</v>
      </c>
      <c r="Q374" s="110">
        <v>15</v>
      </c>
      <c r="R374" s="110">
        <v>2</v>
      </c>
    </row>
    <row r="375" spans="2:18" x14ac:dyDescent="0.2">
      <c r="B375" t="s">
        <v>1643</v>
      </c>
      <c r="C375" t="s">
        <v>1685</v>
      </c>
      <c r="D375" s="55" t="str">
        <f>VLOOKUP(VLOOKUP(Q375,'⚪设计'!$A$326:$G$346,3+UnitCfg!R375,FALSE),'⚪设计'!$B$85:$C$113,2,FALSE)</f>
        <v>ResUnit_ZhongZi3</v>
      </c>
      <c r="E375" s="55">
        <f>VLOOKUP(D375,'⚪设计'!$C$85:$I$113,5,FALSE)*VLOOKUP(UnitCfg!Q375,线下模式!$A$3:$C$22,3,FALSE)</f>
        <v>2.125</v>
      </c>
      <c r="F375">
        <v>400</v>
      </c>
      <c r="G375" t="b">
        <v>1</v>
      </c>
      <c r="H375">
        <v>1</v>
      </c>
      <c r="I375">
        <v>1</v>
      </c>
      <c r="J375">
        <v>0.5</v>
      </c>
      <c r="K375" s="55">
        <f>VLOOKUP(D375,'⚪设计'!$C$85:$I$113,6,FALSE)</f>
        <v>2.5</v>
      </c>
      <c r="L375" t="str">
        <f t="shared" si="15"/>
        <v>Monster_Offline_15_3</v>
      </c>
      <c r="M375" t="s">
        <v>468</v>
      </c>
      <c r="N375" t="s">
        <v>469</v>
      </c>
      <c r="O375" t="s">
        <v>470</v>
      </c>
      <c r="P375" s="57" t="s">
        <v>1741</v>
      </c>
      <c r="Q375" s="110">
        <v>15</v>
      </c>
      <c r="R375" s="110">
        <v>3</v>
      </c>
    </row>
    <row r="376" spans="2:18" x14ac:dyDescent="0.2">
      <c r="B376" t="s">
        <v>1644</v>
      </c>
      <c r="C376" t="s">
        <v>1686</v>
      </c>
      <c r="D376" s="55" t="str">
        <f>VLOOKUP(VLOOKUP(Q376,'⚪设计'!$A$326:$G$346,3+UnitCfg!R376,FALSE),'⚪设计'!$B$85:$C$113,2,FALSE)</f>
        <v>ResUnit_Dan1</v>
      </c>
      <c r="E376" s="55">
        <f>VLOOKUP(D376,'⚪设计'!$C$85:$I$113,5,FALSE)*VLOOKUP(UnitCfg!Q376,线下模式!$A$3:$C$22,3,FALSE)</f>
        <v>3.5</v>
      </c>
      <c r="F376">
        <v>400</v>
      </c>
      <c r="G376" t="b">
        <v>1</v>
      </c>
      <c r="H376">
        <v>1</v>
      </c>
      <c r="I376">
        <v>1</v>
      </c>
      <c r="J376">
        <v>0.5</v>
      </c>
      <c r="K376" s="55">
        <f>VLOOKUP(D376,'⚪设计'!$C$85:$I$113,6,FALSE)</f>
        <v>1</v>
      </c>
      <c r="L376" t="str">
        <f t="shared" si="15"/>
        <v>Monster_Offline_16_1</v>
      </c>
      <c r="M376" t="s">
        <v>468</v>
      </c>
      <c r="N376" t="s">
        <v>469</v>
      </c>
      <c r="O376" t="s">
        <v>470</v>
      </c>
      <c r="Q376" s="110">
        <v>16</v>
      </c>
      <c r="R376" s="110">
        <v>1</v>
      </c>
    </row>
    <row r="377" spans="2:18" x14ac:dyDescent="0.2">
      <c r="B377" t="s">
        <v>1645</v>
      </c>
      <c r="C377" t="s">
        <v>1687</v>
      </c>
      <c r="D377" s="55" t="str">
        <f>VLOOKUP(VLOOKUP(Q377,'⚪设计'!$A$326:$G$346,3+UnitCfg!R377,FALSE),'⚪设计'!$B$85:$C$113,2,FALSE)</f>
        <v>ResUnit_Dan2</v>
      </c>
      <c r="E377" s="55">
        <f>VLOOKUP(D377,'⚪设计'!$C$85:$I$113,5,FALSE)*VLOOKUP(UnitCfg!Q377,线下模式!$A$3:$C$22,3,FALSE)</f>
        <v>3.5</v>
      </c>
      <c r="F377">
        <v>400</v>
      </c>
      <c r="G377" t="b">
        <v>1</v>
      </c>
      <c r="H377">
        <v>1</v>
      </c>
      <c r="I377">
        <v>1</v>
      </c>
      <c r="J377">
        <v>0.5</v>
      </c>
      <c r="K377" s="55">
        <f>VLOOKUP(D377,'⚪设计'!$C$85:$I$113,6,FALSE)</f>
        <v>1.5</v>
      </c>
      <c r="L377" t="str">
        <f t="shared" si="15"/>
        <v>Monster_Offline_16_2</v>
      </c>
      <c r="M377" t="s">
        <v>468</v>
      </c>
      <c r="N377" t="s">
        <v>469</v>
      </c>
      <c r="O377" t="s">
        <v>470</v>
      </c>
      <c r="P377" s="57" t="s">
        <v>1743</v>
      </c>
      <c r="Q377" s="110">
        <v>16</v>
      </c>
      <c r="R377" s="110">
        <v>2</v>
      </c>
    </row>
    <row r="378" spans="2:18" x14ac:dyDescent="0.2">
      <c r="B378" t="s">
        <v>1646</v>
      </c>
      <c r="C378" t="s">
        <v>1688</v>
      </c>
      <c r="D378" s="55" t="str">
        <f>VLOOKUP(VLOOKUP(Q378,'⚪设计'!$A$326:$G$346,3+UnitCfg!R378,FALSE),'⚪设计'!$B$85:$C$113,2,FALSE)</f>
        <v>ResUnit_Dan2</v>
      </c>
      <c r="E378" s="55">
        <f>VLOOKUP(D378,'⚪设计'!$C$85:$I$113,5,FALSE)*VLOOKUP(UnitCfg!Q378,线下模式!$A$3:$C$22,3,FALSE)</f>
        <v>3.6</v>
      </c>
      <c r="F378">
        <v>400</v>
      </c>
      <c r="G378" t="b">
        <v>1</v>
      </c>
      <c r="H378">
        <v>1</v>
      </c>
      <c r="I378">
        <v>1</v>
      </c>
      <c r="J378">
        <v>0.5</v>
      </c>
      <c r="K378" s="55">
        <f>VLOOKUP(D378,'⚪设计'!$C$85:$I$113,6,FALSE)</f>
        <v>1.5</v>
      </c>
      <c r="L378" t="str">
        <f t="shared" si="15"/>
        <v>Monster_Offline_17_1</v>
      </c>
      <c r="M378" t="s">
        <v>468</v>
      </c>
      <c r="N378" t="s">
        <v>469</v>
      </c>
      <c r="O378" t="s">
        <v>470</v>
      </c>
      <c r="P378" s="57" t="s">
        <v>1743</v>
      </c>
      <c r="Q378" s="110">
        <v>17</v>
      </c>
      <c r="R378" s="110">
        <v>1</v>
      </c>
    </row>
    <row r="379" spans="2:18" x14ac:dyDescent="0.2">
      <c r="B379" t="s">
        <v>1647</v>
      </c>
      <c r="C379" t="s">
        <v>1689</v>
      </c>
      <c r="D379" s="55" t="str">
        <f>VLOOKUP(VLOOKUP(Q379,'⚪设计'!$A$326:$G$346,3+UnitCfg!R379,FALSE),'⚪设计'!$B$85:$C$113,2,FALSE)</f>
        <v>ResUnit_ZhiZhu2</v>
      </c>
      <c r="E379" s="55">
        <f>VLOOKUP(D379,'⚪设计'!$C$85:$I$113,5,FALSE)*VLOOKUP(UnitCfg!Q379,线下模式!$A$3:$C$22,3,FALSE)</f>
        <v>5.4</v>
      </c>
      <c r="F379">
        <v>400</v>
      </c>
      <c r="G379" t="b">
        <v>1</v>
      </c>
      <c r="H379">
        <v>1</v>
      </c>
      <c r="I379">
        <v>1</v>
      </c>
      <c r="J379">
        <v>0.5</v>
      </c>
      <c r="K379" s="55">
        <f>VLOOKUP(D379,'⚪设计'!$C$85:$I$113,6,FALSE)</f>
        <v>1.5</v>
      </c>
      <c r="L379" t="str">
        <f t="shared" si="15"/>
        <v>Monster_Offline_17_2</v>
      </c>
      <c r="M379" t="s">
        <v>468</v>
      </c>
      <c r="N379" t="s">
        <v>469</v>
      </c>
      <c r="O379" t="s">
        <v>470</v>
      </c>
      <c r="Q379" s="110">
        <v>17</v>
      </c>
      <c r="R379" s="110">
        <v>2</v>
      </c>
    </row>
    <row r="380" spans="2:18" x14ac:dyDescent="0.2">
      <c r="B380" t="s">
        <v>1648</v>
      </c>
      <c r="C380" t="s">
        <v>1690</v>
      </c>
      <c r="D380" s="55" t="str">
        <f>VLOOKUP(VLOOKUP(Q380,'⚪设计'!$A$326:$G$346,3+UnitCfg!R380,FALSE),'⚪设计'!$B$85:$C$113,2,FALSE)</f>
        <v>ResUnit_Dan2</v>
      </c>
      <c r="E380" s="55">
        <f>VLOOKUP(D380,'⚪设计'!$C$85:$I$113,5,FALSE)*VLOOKUP(UnitCfg!Q380,线下模式!$A$3:$C$22,3,FALSE)</f>
        <v>3.7</v>
      </c>
      <c r="F380">
        <v>400</v>
      </c>
      <c r="G380" t="b">
        <v>1</v>
      </c>
      <c r="H380">
        <v>1</v>
      </c>
      <c r="I380">
        <v>1</v>
      </c>
      <c r="J380">
        <v>0.5</v>
      </c>
      <c r="K380" s="55">
        <f>VLOOKUP(D380,'⚪设计'!$C$85:$I$113,6,FALSE)</f>
        <v>1.5</v>
      </c>
      <c r="L380" t="str">
        <f t="shared" si="15"/>
        <v>Monster_Offline_18_1</v>
      </c>
      <c r="M380" t="s">
        <v>468</v>
      </c>
      <c r="N380" t="s">
        <v>469</v>
      </c>
      <c r="O380" t="s">
        <v>470</v>
      </c>
      <c r="P380" s="57" t="s">
        <v>1743</v>
      </c>
      <c r="Q380" s="110">
        <v>18</v>
      </c>
      <c r="R380" s="110">
        <v>1</v>
      </c>
    </row>
    <row r="381" spans="2:18" x14ac:dyDescent="0.2">
      <c r="B381" t="s">
        <v>1649</v>
      </c>
      <c r="C381" t="s">
        <v>1691</v>
      </c>
      <c r="D381" s="55" t="str">
        <f>VLOOKUP(VLOOKUP(Q381,'⚪设计'!$A$326:$G$346,3+UnitCfg!R381,FALSE),'⚪设计'!$B$85:$C$113,2,FALSE)</f>
        <v>ResUnit_ZhiZhu2</v>
      </c>
      <c r="E381" s="55">
        <f>VLOOKUP(D381,'⚪设计'!$C$85:$I$113,5,FALSE)*VLOOKUP(UnitCfg!Q381,线下模式!$A$3:$C$22,3,FALSE)</f>
        <v>5.5500000000000007</v>
      </c>
      <c r="F381">
        <v>400</v>
      </c>
      <c r="G381" t="b">
        <v>1</v>
      </c>
      <c r="H381">
        <v>1</v>
      </c>
      <c r="I381">
        <v>1</v>
      </c>
      <c r="J381">
        <v>0.5</v>
      </c>
      <c r="K381" s="55">
        <f>VLOOKUP(D381,'⚪设计'!$C$85:$I$113,6,FALSE)</f>
        <v>1.5</v>
      </c>
      <c r="L381" t="str">
        <f t="shared" si="15"/>
        <v>Monster_Offline_18_2</v>
      </c>
      <c r="M381" t="s">
        <v>468</v>
      </c>
      <c r="N381" t="s">
        <v>469</v>
      </c>
      <c r="O381" t="s">
        <v>470</v>
      </c>
      <c r="Q381" s="110">
        <v>18</v>
      </c>
      <c r="R381" s="110">
        <v>2</v>
      </c>
    </row>
    <row r="382" spans="2:18" x14ac:dyDescent="0.2">
      <c r="B382" t="s">
        <v>1650</v>
      </c>
      <c r="C382" t="s">
        <v>1692</v>
      </c>
      <c r="D382" s="55" t="str">
        <f>VLOOKUP(VLOOKUP(Q382,'⚪设计'!$A$326:$G$346,3+UnitCfg!R382,FALSE),'⚪设计'!$B$85:$C$113,2,FALSE)</f>
        <v>ResUnit_ZhongZi2</v>
      </c>
      <c r="E382" s="55">
        <f>VLOOKUP(D382,'⚪设计'!$C$85:$I$113,5,FALSE)*VLOOKUP(UnitCfg!Q382,线下模式!$A$3:$C$22,3,FALSE)</f>
        <v>3.7</v>
      </c>
      <c r="F382">
        <v>400</v>
      </c>
      <c r="G382" t="b">
        <v>1</v>
      </c>
      <c r="H382">
        <v>1</v>
      </c>
      <c r="I382">
        <v>1</v>
      </c>
      <c r="J382">
        <v>0.5</v>
      </c>
      <c r="K382" s="55">
        <f>VLOOKUP(D382,'⚪设计'!$C$85:$I$113,6,FALSE)</f>
        <v>1.5</v>
      </c>
      <c r="L382" t="str">
        <f t="shared" si="15"/>
        <v>Monster_Offline_18_3</v>
      </c>
      <c r="M382" t="s">
        <v>468</v>
      </c>
      <c r="N382" t="s">
        <v>469</v>
      </c>
      <c r="O382" t="s">
        <v>470</v>
      </c>
      <c r="P382" s="57" t="s">
        <v>1741</v>
      </c>
      <c r="Q382" s="110">
        <v>18</v>
      </c>
      <c r="R382" s="110">
        <v>3</v>
      </c>
    </row>
    <row r="383" spans="2:18" x14ac:dyDescent="0.2">
      <c r="B383" t="s">
        <v>1651</v>
      </c>
      <c r="C383" t="s">
        <v>1693</v>
      </c>
      <c r="D383" s="55" t="str">
        <f>VLOOKUP(VLOOKUP(Q383,'⚪设计'!$A$326:$G$346,3+UnitCfg!R383,FALSE),'⚪设计'!$B$85:$C$113,2,FALSE)</f>
        <v>ResUnit_Dan2</v>
      </c>
      <c r="E383" s="55">
        <f>VLOOKUP(D383,'⚪设计'!$C$85:$I$113,5,FALSE)*VLOOKUP(UnitCfg!Q383,线下模式!$A$3:$C$22,3,FALSE)</f>
        <v>3.8</v>
      </c>
      <c r="F383">
        <v>400</v>
      </c>
      <c r="G383" t="b">
        <v>1</v>
      </c>
      <c r="H383">
        <v>1</v>
      </c>
      <c r="I383">
        <v>1</v>
      </c>
      <c r="J383">
        <v>0.5</v>
      </c>
      <c r="K383" s="55">
        <f>VLOOKUP(D383,'⚪设计'!$C$85:$I$113,6,FALSE)</f>
        <v>1.5</v>
      </c>
      <c r="L383" t="str">
        <f t="shared" si="15"/>
        <v>Monster_Offline_19_1</v>
      </c>
      <c r="M383" t="s">
        <v>468</v>
      </c>
      <c r="N383" t="s">
        <v>469</v>
      </c>
      <c r="O383" t="s">
        <v>470</v>
      </c>
      <c r="P383" s="57" t="s">
        <v>1743</v>
      </c>
      <c r="Q383" s="110">
        <v>19</v>
      </c>
      <c r="R383" s="110">
        <v>1</v>
      </c>
    </row>
    <row r="384" spans="2:18" x14ac:dyDescent="0.2">
      <c r="B384" t="s">
        <v>1652</v>
      </c>
      <c r="C384" t="s">
        <v>1694</v>
      </c>
      <c r="D384" s="55" t="str">
        <f>VLOOKUP(VLOOKUP(Q384,'⚪设计'!$A$326:$G$346,3+UnitCfg!R384,FALSE),'⚪设计'!$B$85:$C$113,2,FALSE)</f>
        <v>ResUnit_Gui2</v>
      </c>
      <c r="E384" s="55">
        <f>VLOOKUP(D384,'⚪设计'!$C$85:$I$113,5,FALSE)*VLOOKUP(UnitCfg!Q384,线下模式!$A$3:$C$22,3,FALSE)</f>
        <v>3.8</v>
      </c>
      <c r="F384">
        <v>400</v>
      </c>
      <c r="G384" t="b">
        <v>1</v>
      </c>
      <c r="H384">
        <v>1</v>
      </c>
      <c r="I384">
        <v>1</v>
      </c>
      <c r="J384">
        <v>0.5</v>
      </c>
      <c r="K384" s="55">
        <f>VLOOKUP(D384,'⚪设计'!$C$85:$I$113,6,FALSE)</f>
        <v>1.5</v>
      </c>
      <c r="L384" t="str">
        <f t="shared" si="15"/>
        <v>Monster_Offline_19_2</v>
      </c>
      <c r="M384" t="s">
        <v>468</v>
      </c>
      <c r="N384" t="s">
        <v>469</v>
      </c>
      <c r="O384" t="s">
        <v>470</v>
      </c>
      <c r="P384" s="57" t="s">
        <v>1742</v>
      </c>
      <c r="Q384" s="110">
        <v>19</v>
      </c>
      <c r="R384" s="110">
        <v>2</v>
      </c>
    </row>
    <row r="385" spans="2:19" x14ac:dyDescent="0.2">
      <c r="B385" t="s">
        <v>1653</v>
      </c>
      <c r="C385" t="s">
        <v>1695</v>
      </c>
      <c r="D385" s="55" t="str">
        <f>VLOOKUP(VLOOKUP(Q385,'⚪设计'!$A$326:$G$346,3+UnitCfg!R385,FALSE),'⚪设计'!$B$85:$C$113,2,FALSE)</f>
        <v>ResUnit_ZhongZi2</v>
      </c>
      <c r="E385" s="55">
        <f>VLOOKUP(D385,'⚪设计'!$C$85:$I$113,5,FALSE)*VLOOKUP(UnitCfg!Q385,线下模式!$A$3:$C$22,3,FALSE)</f>
        <v>3.8</v>
      </c>
      <c r="F385">
        <v>400</v>
      </c>
      <c r="G385" t="b">
        <v>1</v>
      </c>
      <c r="H385">
        <v>1</v>
      </c>
      <c r="I385">
        <v>1</v>
      </c>
      <c r="J385">
        <v>0.5</v>
      </c>
      <c r="K385" s="55">
        <f>VLOOKUP(D385,'⚪设计'!$C$85:$I$113,6,FALSE)</f>
        <v>1.5</v>
      </c>
      <c r="L385" t="str">
        <f t="shared" si="15"/>
        <v>Monster_Offline_19_3</v>
      </c>
      <c r="M385" t="s">
        <v>468</v>
      </c>
      <c r="N385" t="s">
        <v>469</v>
      </c>
      <c r="O385" t="s">
        <v>470</v>
      </c>
      <c r="P385" s="57" t="s">
        <v>1741</v>
      </c>
      <c r="Q385" s="110">
        <v>19</v>
      </c>
      <c r="R385" s="110">
        <v>3</v>
      </c>
    </row>
    <row r="386" spans="2:19" x14ac:dyDescent="0.2">
      <c r="B386" t="s">
        <v>1654</v>
      </c>
      <c r="C386" t="s">
        <v>1696</v>
      </c>
      <c r="D386" s="55" t="str">
        <f>VLOOKUP(VLOOKUP(Q386,'⚪设计'!$A$326:$G$346,3+UnitCfg!R386,FALSE),'⚪设计'!$B$85:$C$113,2,FALSE)</f>
        <v>ResUnit_MiFeng2</v>
      </c>
      <c r="E386" s="55">
        <f>VLOOKUP(D386,'⚪设计'!$C$85:$I$113,5,FALSE)*VLOOKUP(UnitCfg!Q386,线下模式!$A$3:$C$22,3,FALSE)</f>
        <v>3.9</v>
      </c>
      <c r="F386">
        <v>400</v>
      </c>
      <c r="G386" t="b">
        <v>1</v>
      </c>
      <c r="H386">
        <v>1</v>
      </c>
      <c r="I386">
        <v>1</v>
      </c>
      <c r="J386">
        <v>0.5</v>
      </c>
      <c r="K386" s="55">
        <f>VLOOKUP(D386,'⚪设计'!$C$85:$I$113,6,FALSE)</f>
        <v>1.5</v>
      </c>
      <c r="L386" t="str">
        <f t="shared" si="15"/>
        <v>Monster_Offline_20_1</v>
      </c>
      <c r="M386" t="s">
        <v>468</v>
      </c>
      <c r="N386" t="s">
        <v>469</v>
      </c>
      <c r="O386" t="s">
        <v>470</v>
      </c>
      <c r="Q386" s="110">
        <v>20</v>
      </c>
      <c r="R386" s="110">
        <v>1</v>
      </c>
    </row>
    <row r="387" spans="2:19" x14ac:dyDescent="0.2">
      <c r="B387" t="s">
        <v>1655</v>
      </c>
      <c r="C387" t="s">
        <v>1697</v>
      </c>
      <c r="D387" s="55" t="str">
        <f>VLOOKUP(VLOOKUP(Q387,'⚪设计'!$A$326:$G$346,3+UnitCfg!R387,FALSE),'⚪设计'!$B$85:$C$113,2,FALSE)</f>
        <v>ResUnit_Gui3</v>
      </c>
      <c r="E387" s="55">
        <f>VLOOKUP(D387,'⚪设计'!$C$85:$I$113,5,FALSE)*VLOOKUP(UnitCfg!Q387,线下模式!$A$3:$C$22,3,FALSE)</f>
        <v>2.4375</v>
      </c>
      <c r="F387">
        <v>400</v>
      </c>
      <c r="G387" t="b">
        <v>1</v>
      </c>
      <c r="H387">
        <v>1</v>
      </c>
      <c r="I387">
        <v>1</v>
      </c>
      <c r="J387">
        <v>0.5</v>
      </c>
      <c r="K387" s="55">
        <f>VLOOKUP(D387,'⚪设计'!$C$85:$I$113,6,FALSE)</f>
        <v>2.5</v>
      </c>
      <c r="L387" t="str">
        <f t="shared" si="15"/>
        <v>Monster_Offline_20_2</v>
      </c>
      <c r="M387" t="s">
        <v>468</v>
      </c>
      <c r="N387" t="s">
        <v>469</v>
      </c>
      <c r="O387" t="s">
        <v>470</v>
      </c>
      <c r="P387" s="57" t="s">
        <v>1742</v>
      </c>
      <c r="Q387" s="110">
        <v>20</v>
      </c>
      <c r="R387" s="110">
        <v>2</v>
      </c>
    </row>
    <row r="388" spans="2:19" x14ac:dyDescent="0.2">
      <c r="B388" t="s">
        <v>1656</v>
      </c>
      <c r="C388" t="s">
        <v>1698</v>
      </c>
      <c r="D388" s="55" t="str">
        <f>VLOOKUP(VLOOKUP(Q388,'⚪设计'!$A$326:$G$346,3+UnitCfg!R388,FALSE),'⚪设计'!$B$85:$C$113,2,FALSE)</f>
        <v>ResUnit_ZhongZi2</v>
      </c>
      <c r="E388" s="55">
        <f>VLOOKUP(D388,'⚪设计'!$C$85:$I$113,5,FALSE)*VLOOKUP(UnitCfg!Q388,线下模式!$A$3:$C$22,3,FALSE)</f>
        <v>3.9</v>
      </c>
      <c r="F388">
        <v>400</v>
      </c>
      <c r="G388" t="b">
        <v>1</v>
      </c>
      <c r="H388">
        <v>1</v>
      </c>
      <c r="I388">
        <v>1</v>
      </c>
      <c r="J388">
        <v>0.5</v>
      </c>
      <c r="K388" s="55">
        <f>VLOOKUP(D388,'⚪设计'!$C$85:$I$113,6,FALSE)</f>
        <v>1.5</v>
      </c>
      <c r="L388" t="str">
        <f t="shared" si="15"/>
        <v>Monster_Offline_20_3</v>
      </c>
      <c r="M388" t="s">
        <v>468</v>
      </c>
      <c r="N388" t="s">
        <v>469</v>
      </c>
      <c r="O388" t="s">
        <v>470</v>
      </c>
      <c r="P388" s="57" t="s">
        <v>1741</v>
      </c>
      <c r="Q388" s="110">
        <v>20</v>
      </c>
      <c r="R388" s="110">
        <v>3</v>
      </c>
    </row>
    <row r="389" spans="2:19" s="125" customFormat="1" x14ac:dyDescent="0.2"/>
    <row r="390" spans="2:19" s="57" customFormat="1" x14ac:dyDescent="0.2">
      <c r="B390" s="57" t="s">
        <v>2376</v>
      </c>
      <c r="C390" s="57" t="s">
        <v>2668</v>
      </c>
      <c r="D390" s="55" t="str">
        <f>VLOOKUP(VLOOKUP(Q390&amp;"_"&amp;R390,活动关卡!$A$4:$Z$27,2+5*S390,FALSE),'⚪设计'!$B$85:$H$114,2,FALSE)</f>
        <v>ResUnit_MiFeng1</v>
      </c>
      <c r="E390" s="55">
        <f>VLOOKUP(VLOOKUP(Q390&amp;"_"&amp;R390,活动关卡!$A$4:$Z$27,2+5*S390,FALSE),'⚪设计'!$B$85:$H$114,6,FALSE)*VLOOKUP(Q390&amp;"_"&amp;R390,活动关卡!$A$4:$Z$27,5,FALSE)</f>
        <v>2</v>
      </c>
      <c r="F390">
        <v>400</v>
      </c>
      <c r="G390" t="b">
        <v>1</v>
      </c>
      <c r="H390">
        <v>1</v>
      </c>
      <c r="I390">
        <v>1</v>
      </c>
      <c r="J390">
        <v>0.5</v>
      </c>
      <c r="K390" s="55">
        <f>VLOOKUP(VLOOKUP(Q390&amp;"_"&amp;R390,活动关卡!$A$4:$Z$27,2+5*S390,FALSE),'⚪设计'!$B$85:$H$114,7,FALSE)</f>
        <v>1</v>
      </c>
      <c r="L390" s="57" t="s">
        <v>2084</v>
      </c>
      <c r="M390" t="s">
        <v>468</v>
      </c>
      <c r="N390" t="s">
        <v>469</v>
      </c>
      <c r="O390" t="s">
        <v>470</v>
      </c>
      <c r="P390" s="57" t="str">
        <f>IF(VLOOKUP(D390,'⚪设计'!$C$85:$I$113,7,FALSE)="","",VLOOKUP(D390,'⚪设计'!$C$85:$I$113,7,FALSE))</f>
        <v/>
      </c>
      <c r="Q390" s="110" t="str">
        <f>LEFT(RIGHT(C390,5),1)</f>
        <v>1</v>
      </c>
      <c r="R390" s="110" t="str">
        <f>LEFT(RIGHT(C390,3),1)</f>
        <v>1</v>
      </c>
      <c r="S390" s="110" t="str">
        <f>RIGHT(C390,1)</f>
        <v>1</v>
      </c>
    </row>
    <row r="391" spans="2:19" s="57" customFormat="1" x14ac:dyDescent="0.2">
      <c r="B391" s="57" t="s">
        <v>2377</v>
      </c>
      <c r="C391" s="57" t="s">
        <v>2669</v>
      </c>
      <c r="D391" s="55" t="str">
        <f>VLOOKUP(VLOOKUP(Q391&amp;"_"&amp;R391,活动关卡!$A$4:$Z$27,2+5*S391,FALSE),'⚪设计'!$B$85:$H$114,2,FALSE)</f>
        <v>ResUnit_Niao1</v>
      </c>
      <c r="E391" s="55">
        <f>VLOOKUP(VLOOKUP(Q391&amp;"_"&amp;R391,活动关卡!$A$4:$Z$27,2+5*S391,FALSE),'⚪设计'!$B$85:$H$114,6,FALSE)*VLOOKUP(Q391&amp;"_"&amp;R391,活动关卡!$A$4:$Z$27,5,FALSE)</f>
        <v>2</v>
      </c>
      <c r="F391">
        <v>400</v>
      </c>
      <c r="G391" t="b">
        <v>1</v>
      </c>
      <c r="H391">
        <v>1</v>
      </c>
      <c r="I391">
        <v>1</v>
      </c>
      <c r="J391">
        <v>0.5</v>
      </c>
      <c r="K391" s="55">
        <f>VLOOKUP(VLOOKUP(Q391&amp;"_"&amp;R391,活动关卡!$A$4:$Z$27,2+5*S391,FALSE),'⚪设计'!$B$85:$H$114,7,FALSE)</f>
        <v>1</v>
      </c>
      <c r="L391" s="57" t="s">
        <v>2085</v>
      </c>
      <c r="M391" t="s">
        <v>468</v>
      </c>
      <c r="N391" t="s">
        <v>469</v>
      </c>
      <c r="O391" t="s">
        <v>470</v>
      </c>
      <c r="P391" s="57" t="str">
        <f>IF(VLOOKUP(D391,'⚪设计'!$C$85:$I$113,7,FALSE)="","",VLOOKUP(D391,'⚪设计'!$C$85:$I$113,7,FALSE))</f>
        <v>Skill_Monster_Niao1,NormalAttack</v>
      </c>
      <c r="Q391" s="110" t="str">
        <f t="shared" ref="Q391:Q454" si="16">LEFT(RIGHT(C391,5),1)</f>
        <v>1</v>
      </c>
      <c r="R391" s="110" t="str">
        <f t="shared" ref="R391:R454" si="17">LEFT(RIGHT(C391,3),1)</f>
        <v>1</v>
      </c>
      <c r="S391" s="110" t="str">
        <f t="shared" ref="S391:S454" si="18">RIGHT(C391,1)</f>
        <v>2</v>
      </c>
    </row>
    <row r="392" spans="2:19" s="57" customFormat="1" x14ac:dyDescent="0.2">
      <c r="B392" s="57" t="s">
        <v>2378</v>
      </c>
      <c r="C392" s="57" t="s">
        <v>2670</v>
      </c>
      <c r="D392" s="55" t="str">
        <f>VLOOKUP(VLOOKUP(Q392&amp;"_"&amp;R392,活动关卡!$A$4:$Z$27,2+5*S392,FALSE),'⚪设计'!$B$85:$H$114,2,FALSE)</f>
        <v>ResUnit_MiFeng1</v>
      </c>
      <c r="E392" s="55">
        <f>VLOOKUP(VLOOKUP(Q392&amp;"_"&amp;R392,活动关卡!$A$4:$Z$27,2+5*S392,FALSE),'⚪设计'!$B$85:$H$114,6,FALSE)*VLOOKUP(Q392&amp;"_"&amp;R392,活动关卡!$A$4:$Z$27,5,FALSE)</f>
        <v>2</v>
      </c>
      <c r="F392">
        <v>400</v>
      </c>
      <c r="G392" t="b">
        <v>1</v>
      </c>
      <c r="H392">
        <v>1</v>
      </c>
      <c r="I392">
        <v>1</v>
      </c>
      <c r="J392">
        <v>0.5</v>
      </c>
      <c r="K392" s="55">
        <f>VLOOKUP(VLOOKUP(Q392&amp;"_"&amp;R392,活动关卡!$A$4:$Z$27,2+5*S392,FALSE),'⚪设计'!$B$85:$H$114,7,FALSE)</f>
        <v>1</v>
      </c>
      <c r="L392" s="57" t="s">
        <v>2086</v>
      </c>
      <c r="M392" t="s">
        <v>468</v>
      </c>
      <c r="N392" t="s">
        <v>469</v>
      </c>
      <c r="O392" t="s">
        <v>470</v>
      </c>
      <c r="P392" s="57" t="str">
        <f>IF(VLOOKUP(D392,'⚪设计'!$C$85:$I$113,7,FALSE)="","",VLOOKUP(D392,'⚪设计'!$C$85:$I$113,7,FALSE))</f>
        <v/>
      </c>
      <c r="Q392" s="110" t="str">
        <f t="shared" si="16"/>
        <v>1</v>
      </c>
      <c r="R392" s="110" t="str">
        <f t="shared" si="17"/>
        <v>2</v>
      </c>
      <c r="S392" s="110" t="str">
        <f t="shared" si="18"/>
        <v>1</v>
      </c>
    </row>
    <row r="393" spans="2:19" s="57" customFormat="1" x14ac:dyDescent="0.2">
      <c r="B393" s="57" t="s">
        <v>2379</v>
      </c>
      <c r="C393" s="57" t="s">
        <v>2671</v>
      </c>
      <c r="D393" s="55" t="str">
        <f>VLOOKUP(VLOOKUP(Q393&amp;"_"&amp;R393,活动关卡!$A$4:$Z$27,2+5*S393,FALSE),'⚪设计'!$B$85:$H$114,2,FALSE)</f>
        <v>ResUnit_Niao1</v>
      </c>
      <c r="E393" s="55">
        <f>VLOOKUP(VLOOKUP(Q393&amp;"_"&amp;R393,活动关卡!$A$4:$Z$27,2+5*S393,FALSE),'⚪设计'!$B$85:$H$114,6,FALSE)*VLOOKUP(Q393&amp;"_"&amp;R393,活动关卡!$A$4:$Z$27,5,FALSE)</f>
        <v>2</v>
      </c>
      <c r="F393">
        <v>400</v>
      </c>
      <c r="G393" t="b">
        <v>1</v>
      </c>
      <c r="H393">
        <v>1</v>
      </c>
      <c r="I393">
        <v>1</v>
      </c>
      <c r="J393">
        <v>0.5</v>
      </c>
      <c r="K393" s="55">
        <f>VLOOKUP(VLOOKUP(Q393&amp;"_"&amp;R393,活动关卡!$A$4:$Z$27,2+5*S393,FALSE),'⚪设计'!$B$85:$H$114,7,FALSE)</f>
        <v>1</v>
      </c>
      <c r="L393" s="57" t="s">
        <v>2087</v>
      </c>
      <c r="M393" t="s">
        <v>468</v>
      </c>
      <c r="N393" t="s">
        <v>469</v>
      </c>
      <c r="O393" t="s">
        <v>470</v>
      </c>
      <c r="P393" s="57" t="str">
        <f>IF(VLOOKUP(D393,'⚪设计'!$C$85:$I$113,7,FALSE)="","",VLOOKUP(D393,'⚪设计'!$C$85:$I$113,7,FALSE))</f>
        <v>Skill_Monster_Niao1,NormalAttack</v>
      </c>
      <c r="Q393" s="110" t="str">
        <f t="shared" si="16"/>
        <v>1</v>
      </c>
      <c r="R393" s="110" t="str">
        <f t="shared" si="17"/>
        <v>2</v>
      </c>
      <c r="S393" s="110" t="str">
        <f t="shared" si="18"/>
        <v>2</v>
      </c>
    </row>
    <row r="394" spans="2:19" s="57" customFormat="1" x14ac:dyDescent="0.2">
      <c r="B394" s="57" t="s">
        <v>2380</v>
      </c>
      <c r="C394" s="57" t="s">
        <v>2672</v>
      </c>
      <c r="D394" s="55" t="str">
        <f>VLOOKUP(VLOOKUP(Q394&amp;"_"&amp;R394,活动关卡!$A$4:$Z$27,2+5*S394,FALSE),'⚪设计'!$B$85:$H$114,2,FALSE)</f>
        <v>ResUnit_MiFeng1</v>
      </c>
      <c r="E394" s="55">
        <f>VLOOKUP(VLOOKUP(Q394&amp;"_"&amp;R394,活动关卡!$A$4:$Z$27,2+5*S394,FALSE),'⚪设计'!$B$85:$H$114,6,FALSE)*VLOOKUP(Q394&amp;"_"&amp;R394,活动关卡!$A$4:$Z$27,5,FALSE)</f>
        <v>2</v>
      </c>
      <c r="F394">
        <v>400</v>
      </c>
      <c r="G394" t="b">
        <v>1</v>
      </c>
      <c r="H394">
        <v>1</v>
      </c>
      <c r="I394">
        <v>1</v>
      </c>
      <c r="J394">
        <v>0.5</v>
      </c>
      <c r="K394" s="55">
        <f>VLOOKUP(VLOOKUP(Q394&amp;"_"&amp;R394,活动关卡!$A$4:$Z$27,2+5*S394,FALSE),'⚪设计'!$B$85:$H$114,7,FALSE)</f>
        <v>1</v>
      </c>
      <c r="L394" s="57" t="s">
        <v>2088</v>
      </c>
      <c r="M394" t="s">
        <v>468</v>
      </c>
      <c r="N394" t="s">
        <v>469</v>
      </c>
      <c r="O394" t="s">
        <v>470</v>
      </c>
      <c r="P394" s="57" t="str">
        <f>IF(VLOOKUP(D394,'⚪设计'!$C$85:$I$113,7,FALSE)="","",VLOOKUP(D394,'⚪设计'!$C$85:$I$113,7,FALSE))</f>
        <v/>
      </c>
      <c r="Q394" s="110" t="str">
        <f t="shared" si="16"/>
        <v>1</v>
      </c>
      <c r="R394" s="110" t="str">
        <f t="shared" si="17"/>
        <v>3</v>
      </c>
      <c r="S394" s="110" t="str">
        <f t="shared" si="18"/>
        <v>1</v>
      </c>
    </row>
    <row r="395" spans="2:19" s="57" customFormat="1" x14ac:dyDescent="0.2">
      <c r="B395" s="57" t="s">
        <v>2381</v>
      </c>
      <c r="C395" s="57" t="s">
        <v>2673</v>
      </c>
      <c r="D395" s="55" t="str">
        <f>VLOOKUP(VLOOKUP(Q395&amp;"_"&amp;R395,活动关卡!$A$4:$Z$27,2+5*S395,FALSE),'⚪设计'!$B$85:$H$114,2,FALSE)</f>
        <v>ResUnit_MiFeng2</v>
      </c>
      <c r="E395" s="55">
        <f>VLOOKUP(VLOOKUP(Q395&amp;"_"&amp;R395,活动关卡!$A$4:$Z$27,2+5*S395,FALSE),'⚪设计'!$B$85:$H$114,6,FALSE)*VLOOKUP(Q395&amp;"_"&amp;R395,活动关卡!$A$4:$Z$27,5,FALSE)</f>
        <v>2</v>
      </c>
      <c r="F395">
        <v>400</v>
      </c>
      <c r="G395" t="b">
        <v>1</v>
      </c>
      <c r="H395">
        <v>1</v>
      </c>
      <c r="I395">
        <v>1</v>
      </c>
      <c r="J395">
        <v>0.5</v>
      </c>
      <c r="K395" s="55">
        <f>VLOOKUP(VLOOKUP(Q395&amp;"_"&amp;R395,活动关卡!$A$4:$Z$27,2+5*S395,FALSE),'⚪设计'!$B$85:$H$114,7,FALSE)</f>
        <v>1.5</v>
      </c>
      <c r="L395" s="57" t="s">
        <v>2089</v>
      </c>
      <c r="M395" t="s">
        <v>468</v>
      </c>
      <c r="N395" t="s">
        <v>469</v>
      </c>
      <c r="O395" t="s">
        <v>470</v>
      </c>
      <c r="P395" s="57" t="str">
        <f>IF(VLOOKUP(D395,'⚪设计'!$C$85:$I$113,7,FALSE)="","",VLOOKUP(D395,'⚪设计'!$C$85:$I$113,7,FALSE))</f>
        <v/>
      </c>
      <c r="Q395" s="110" t="str">
        <f t="shared" si="16"/>
        <v>1</v>
      </c>
      <c r="R395" s="110" t="str">
        <f t="shared" si="17"/>
        <v>3</v>
      </c>
      <c r="S395" s="110" t="str">
        <f t="shared" si="18"/>
        <v>2</v>
      </c>
    </row>
    <row r="396" spans="2:19" s="57" customFormat="1" x14ac:dyDescent="0.2">
      <c r="B396" s="57" t="s">
        <v>2382</v>
      </c>
      <c r="C396" s="57" t="s">
        <v>2674</v>
      </c>
      <c r="D396" s="55" t="str">
        <f>VLOOKUP(VLOOKUP(Q396&amp;"_"&amp;R396,活动关卡!$A$4:$Z$27,2+5*S396,FALSE),'⚪设计'!$B$85:$H$114,2,FALSE)</f>
        <v>ResUnit_Niao1</v>
      </c>
      <c r="E396" s="55">
        <f>VLOOKUP(VLOOKUP(Q396&amp;"_"&amp;R396,活动关卡!$A$4:$Z$27,2+5*S396,FALSE),'⚪设计'!$B$85:$H$114,6,FALSE)*VLOOKUP(Q396&amp;"_"&amp;R396,活动关卡!$A$4:$Z$27,5,FALSE)</f>
        <v>2</v>
      </c>
      <c r="F396">
        <v>400</v>
      </c>
      <c r="G396" t="b">
        <v>1</v>
      </c>
      <c r="H396">
        <v>1</v>
      </c>
      <c r="I396">
        <v>1</v>
      </c>
      <c r="J396">
        <v>0.5</v>
      </c>
      <c r="K396" s="55">
        <f>VLOOKUP(VLOOKUP(Q396&amp;"_"&amp;R396,活动关卡!$A$4:$Z$27,2+5*S396,FALSE),'⚪设计'!$B$85:$H$114,7,FALSE)</f>
        <v>1</v>
      </c>
      <c r="L396" s="57" t="s">
        <v>2090</v>
      </c>
      <c r="M396" t="s">
        <v>468</v>
      </c>
      <c r="N396" t="s">
        <v>469</v>
      </c>
      <c r="O396" t="s">
        <v>470</v>
      </c>
      <c r="P396" s="57" t="str">
        <f>IF(VLOOKUP(D396,'⚪设计'!$C$85:$I$113,7,FALSE)="","",VLOOKUP(D396,'⚪设计'!$C$85:$I$113,7,FALSE))</f>
        <v>Skill_Monster_Niao1,NormalAttack</v>
      </c>
      <c r="Q396" s="110" t="str">
        <f t="shared" si="16"/>
        <v>1</v>
      </c>
      <c r="R396" s="110" t="str">
        <f t="shared" si="17"/>
        <v>3</v>
      </c>
      <c r="S396" s="110" t="str">
        <f t="shared" si="18"/>
        <v>3</v>
      </c>
    </row>
    <row r="397" spans="2:19" s="57" customFormat="1" x14ac:dyDescent="0.2">
      <c r="B397" s="57" t="s">
        <v>2383</v>
      </c>
      <c r="C397" s="57" t="s">
        <v>2675</v>
      </c>
      <c r="D397" s="55" t="str">
        <f>VLOOKUP(VLOOKUP(Q397&amp;"_"&amp;R397,活动关卡!$A$4:$Z$27,2+5*S397,FALSE),'⚪设计'!$B$85:$H$114,2,FALSE)</f>
        <v>ResUnit_ZhiZhu1</v>
      </c>
      <c r="E397" s="55">
        <f>VLOOKUP(VLOOKUP(Q397&amp;"_"&amp;R397,活动关卡!$A$4:$Z$27,2+5*S397,FALSE),'⚪设计'!$B$85:$H$114,6,FALSE)*VLOOKUP(Q397&amp;"_"&amp;R397,活动关卡!$A$4:$Z$27,5,FALSE)</f>
        <v>3</v>
      </c>
      <c r="F397">
        <v>400</v>
      </c>
      <c r="G397" t="b">
        <v>1</v>
      </c>
      <c r="H397">
        <v>1</v>
      </c>
      <c r="I397">
        <v>1</v>
      </c>
      <c r="J397">
        <v>0.5</v>
      </c>
      <c r="K397" s="55">
        <f>VLOOKUP(VLOOKUP(Q397&amp;"_"&amp;R397,活动关卡!$A$4:$Z$27,2+5*S397,FALSE),'⚪设计'!$B$85:$H$114,7,FALSE)</f>
        <v>1</v>
      </c>
      <c r="L397" s="57" t="s">
        <v>2091</v>
      </c>
      <c r="M397" t="s">
        <v>468</v>
      </c>
      <c r="N397" t="s">
        <v>469</v>
      </c>
      <c r="O397" t="s">
        <v>470</v>
      </c>
      <c r="P397" s="57" t="str">
        <f>IF(VLOOKUP(D397,'⚪设计'!$C$85:$I$113,7,FALSE)="","",VLOOKUP(D397,'⚪设计'!$C$85:$I$113,7,FALSE))</f>
        <v/>
      </c>
      <c r="Q397" s="110" t="str">
        <f t="shared" si="16"/>
        <v>2</v>
      </c>
      <c r="R397" s="110" t="str">
        <f t="shared" si="17"/>
        <v>1</v>
      </c>
      <c r="S397" s="110" t="str">
        <f t="shared" si="18"/>
        <v>1</v>
      </c>
    </row>
    <row r="398" spans="2:19" s="57" customFormat="1" x14ac:dyDescent="0.2">
      <c r="B398" s="57" t="s">
        <v>2384</v>
      </c>
      <c r="C398" s="57" t="s">
        <v>2676</v>
      </c>
      <c r="D398" s="55" t="str">
        <f>VLOOKUP(VLOOKUP(Q398&amp;"_"&amp;R398,活动关卡!$A$4:$Z$27,2+5*S398,FALSE),'⚪设计'!$B$85:$H$114,2,FALSE)</f>
        <v>ResUnit_Niao1</v>
      </c>
      <c r="E398" s="55">
        <f>VLOOKUP(VLOOKUP(Q398&amp;"_"&amp;R398,活动关卡!$A$4:$Z$27,2+5*S398,FALSE),'⚪设计'!$B$85:$H$114,6,FALSE)*VLOOKUP(Q398&amp;"_"&amp;R398,活动关卡!$A$4:$Z$27,5,FALSE)</f>
        <v>2</v>
      </c>
      <c r="F398">
        <v>400</v>
      </c>
      <c r="G398" t="b">
        <v>1</v>
      </c>
      <c r="H398">
        <v>1</v>
      </c>
      <c r="I398">
        <v>1</v>
      </c>
      <c r="J398">
        <v>0.5</v>
      </c>
      <c r="K398" s="55">
        <f>VLOOKUP(VLOOKUP(Q398&amp;"_"&amp;R398,活动关卡!$A$4:$Z$27,2+5*S398,FALSE),'⚪设计'!$B$85:$H$114,7,FALSE)</f>
        <v>1</v>
      </c>
      <c r="L398" s="57" t="s">
        <v>2092</v>
      </c>
      <c r="M398" t="s">
        <v>468</v>
      </c>
      <c r="N398" t="s">
        <v>469</v>
      </c>
      <c r="O398" t="s">
        <v>470</v>
      </c>
      <c r="P398" s="57" t="str">
        <f>IF(VLOOKUP(D398,'⚪设计'!$C$85:$I$113,7,FALSE)="","",VLOOKUP(D398,'⚪设计'!$C$85:$I$113,7,FALSE))</f>
        <v>Skill_Monster_Niao1,NormalAttack</v>
      </c>
      <c r="Q398" s="110" t="str">
        <f t="shared" si="16"/>
        <v>2</v>
      </c>
      <c r="R398" s="110" t="str">
        <f t="shared" si="17"/>
        <v>1</v>
      </c>
      <c r="S398" s="110" t="str">
        <f t="shared" si="18"/>
        <v>2</v>
      </c>
    </row>
    <row r="399" spans="2:19" s="57" customFormat="1" x14ac:dyDescent="0.2">
      <c r="B399" s="57" t="s">
        <v>2385</v>
      </c>
      <c r="C399" s="57" t="s">
        <v>2677</v>
      </c>
      <c r="D399" s="55" t="str">
        <f>VLOOKUP(VLOOKUP(Q399&amp;"_"&amp;R399,活动关卡!$A$4:$Z$27,2+5*S399,FALSE),'⚪设计'!$B$85:$H$114,2,FALSE)</f>
        <v>ResUnit_ZhiZhu1</v>
      </c>
      <c r="E399" s="55">
        <f>VLOOKUP(VLOOKUP(Q399&amp;"_"&amp;R399,活动关卡!$A$4:$Z$27,2+5*S399,FALSE),'⚪设计'!$B$85:$H$114,6,FALSE)*VLOOKUP(Q399&amp;"_"&amp;R399,活动关卡!$A$4:$Z$27,5,FALSE)</f>
        <v>3</v>
      </c>
      <c r="F399">
        <v>400</v>
      </c>
      <c r="G399" t="b">
        <v>1</v>
      </c>
      <c r="H399">
        <v>1</v>
      </c>
      <c r="I399">
        <v>1</v>
      </c>
      <c r="J399">
        <v>0.5</v>
      </c>
      <c r="K399" s="55">
        <f>VLOOKUP(VLOOKUP(Q399&amp;"_"&amp;R399,活动关卡!$A$4:$Z$27,2+5*S399,FALSE),'⚪设计'!$B$85:$H$114,7,FALSE)</f>
        <v>1</v>
      </c>
      <c r="L399" s="57" t="s">
        <v>2093</v>
      </c>
      <c r="M399" t="s">
        <v>468</v>
      </c>
      <c r="N399" t="s">
        <v>469</v>
      </c>
      <c r="O399" t="s">
        <v>470</v>
      </c>
      <c r="P399" s="57" t="str">
        <f>IF(VLOOKUP(D399,'⚪设计'!$C$85:$I$113,7,FALSE)="","",VLOOKUP(D399,'⚪设计'!$C$85:$I$113,7,FALSE))</f>
        <v/>
      </c>
      <c r="Q399" s="110" t="str">
        <f t="shared" si="16"/>
        <v>2</v>
      </c>
      <c r="R399" s="110" t="str">
        <f t="shared" si="17"/>
        <v>2</v>
      </c>
      <c r="S399" s="110" t="str">
        <f t="shared" si="18"/>
        <v>1</v>
      </c>
    </row>
    <row r="400" spans="2:19" s="57" customFormat="1" x14ac:dyDescent="0.2">
      <c r="B400" s="57" t="s">
        <v>2386</v>
      </c>
      <c r="C400" s="57" t="s">
        <v>2678</v>
      </c>
      <c r="D400" s="55" t="str">
        <f>VLOOKUP(VLOOKUP(Q400&amp;"_"&amp;R400,活动关卡!$A$4:$Z$27,2+5*S400,FALSE),'⚪设计'!$B$85:$H$114,2,FALSE)</f>
        <v>ResUnit_MiFeng2</v>
      </c>
      <c r="E400" s="55">
        <f>VLOOKUP(VLOOKUP(Q400&amp;"_"&amp;R400,活动关卡!$A$4:$Z$27,2+5*S400,FALSE),'⚪设计'!$B$85:$H$114,6,FALSE)*VLOOKUP(Q400&amp;"_"&amp;R400,活动关卡!$A$4:$Z$27,5,FALSE)</f>
        <v>2</v>
      </c>
      <c r="F400">
        <v>400</v>
      </c>
      <c r="G400" t="b">
        <v>1</v>
      </c>
      <c r="H400">
        <v>1</v>
      </c>
      <c r="I400">
        <v>1</v>
      </c>
      <c r="J400">
        <v>0.5</v>
      </c>
      <c r="K400" s="55">
        <f>VLOOKUP(VLOOKUP(Q400&amp;"_"&amp;R400,活动关卡!$A$4:$Z$27,2+5*S400,FALSE),'⚪设计'!$B$85:$H$114,7,FALSE)</f>
        <v>1.5</v>
      </c>
      <c r="L400" s="57" t="s">
        <v>2094</v>
      </c>
      <c r="M400" t="s">
        <v>468</v>
      </c>
      <c r="N400" t="s">
        <v>469</v>
      </c>
      <c r="O400" t="s">
        <v>470</v>
      </c>
      <c r="P400" s="57" t="str">
        <f>IF(VLOOKUP(D400,'⚪设计'!$C$85:$I$113,7,FALSE)="","",VLOOKUP(D400,'⚪设计'!$C$85:$I$113,7,FALSE))</f>
        <v/>
      </c>
      <c r="Q400" s="110" t="str">
        <f t="shared" si="16"/>
        <v>2</v>
      </c>
      <c r="R400" s="110" t="str">
        <f t="shared" si="17"/>
        <v>2</v>
      </c>
      <c r="S400" s="110" t="str">
        <f t="shared" si="18"/>
        <v>2</v>
      </c>
    </row>
    <row r="401" spans="2:19" s="57" customFormat="1" x14ac:dyDescent="0.2">
      <c r="B401" s="57" t="s">
        <v>2387</v>
      </c>
      <c r="C401" s="57" t="s">
        <v>2679</v>
      </c>
      <c r="D401" s="55" t="str">
        <f>VLOOKUP(VLOOKUP(Q401&amp;"_"&amp;R401,活动关卡!$A$4:$Z$27,2+5*S401,FALSE),'⚪设计'!$B$85:$H$114,2,FALSE)</f>
        <v>ResUnit_Niao1</v>
      </c>
      <c r="E401" s="55">
        <f>VLOOKUP(VLOOKUP(Q401&amp;"_"&amp;R401,活动关卡!$A$4:$Z$27,2+5*S401,FALSE),'⚪设计'!$B$85:$H$114,6,FALSE)*VLOOKUP(Q401&amp;"_"&amp;R401,活动关卡!$A$4:$Z$27,5,FALSE)</f>
        <v>2</v>
      </c>
      <c r="F401">
        <v>400</v>
      </c>
      <c r="G401" t="b">
        <v>1</v>
      </c>
      <c r="H401">
        <v>1</v>
      </c>
      <c r="I401">
        <v>1</v>
      </c>
      <c r="J401">
        <v>0.5</v>
      </c>
      <c r="K401" s="55">
        <f>VLOOKUP(VLOOKUP(Q401&amp;"_"&amp;R401,活动关卡!$A$4:$Z$27,2+5*S401,FALSE),'⚪设计'!$B$85:$H$114,7,FALSE)</f>
        <v>1</v>
      </c>
      <c r="L401" s="57" t="s">
        <v>2095</v>
      </c>
      <c r="M401" t="s">
        <v>468</v>
      </c>
      <c r="N401" t="s">
        <v>469</v>
      </c>
      <c r="O401" t="s">
        <v>470</v>
      </c>
      <c r="P401" s="57" t="str">
        <f>IF(VLOOKUP(D401,'⚪设计'!$C$85:$I$113,7,FALSE)="","",VLOOKUP(D401,'⚪设计'!$C$85:$I$113,7,FALSE))</f>
        <v>Skill_Monster_Niao1,NormalAttack</v>
      </c>
      <c r="Q401" s="110" t="str">
        <f t="shared" si="16"/>
        <v>2</v>
      </c>
      <c r="R401" s="110" t="str">
        <f t="shared" si="17"/>
        <v>2</v>
      </c>
      <c r="S401" s="110" t="str">
        <f t="shared" si="18"/>
        <v>3</v>
      </c>
    </row>
    <row r="402" spans="2:19" s="57" customFormat="1" x14ac:dyDescent="0.2">
      <c r="B402" s="57" t="s">
        <v>2388</v>
      </c>
      <c r="C402" s="57" t="s">
        <v>2680</v>
      </c>
      <c r="D402" s="55" t="str">
        <f>VLOOKUP(VLOOKUP(Q402&amp;"_"&amp;R402,活动关卡!$A$4:$Z$27,2+5*S402,FALSE),'⚪设计'!$B$85:$H$114,2,FALSE)</f>
        <v>ResUnit_ZhiZhu1</v>
      </c>
      <c r="E402" s="55">
        <f>VLOOKUP(VLOOKUP(Q402&amp;"_"&amp;R402,活动关卡!$A$4:$Z$27,2+5*S402,FALSE),'⚪设计'!$B$85:$H$114,6,FALSE)*VLOOKUP(Q402&amp;"_"&amp;R402,活动关卡!$A$4:$Z$27,5,FALSE)</f>
        <v>3</v>
      </c>
      <c r="F402">
        <v>400</v>
      </c>
      <c r="G402" t="b">
        <v>1</v>
      </c>
      <c r="H402">
        <v>1</v>
      </c>
      <c r="I402">
        <v>1</v>
      </c>
      <c r="J402">
        <v>0.5</v>
      </c>
      <c r="K402" s="55">
        <f>VLOOKUP(VLOOKUP(Q402&amp;"_"&amp;R402,活动关卡!$A$4:$Z$27,2+5*S402,FALSE),'⚪设计'!$B$85:$H$114,7,FALSE)</f>
        <v>1</v>
      </c>
      <c r="L402" s="57" t="s">
        <v>2096</v>
      </c>
      <c r="M402" t="s">
        <v>468</v>
      </c>
      <c r="N402" t="s">
        <v>469</v>
      </c>
      <c r="O402" t="s">
        <v>470</v>
      </c>
      <c r="P402" s="57" t="str">
        <f>IF(VLOOKUP(D402,'⚪设计'!$C$85:$I$113,7,FALSE)="","",VLOOKUP(D402,'⚪设计'!$C$85:$I$113,7,FALSE))</f>
        <v/>
      </c>
      <c r="Q402" s="110" t="str">
        <f t="shared" si="16"/>
        <v>2</v>
      </c>
      <c r="R402" s="110" t="str">
        <f t="shared" si="17"/>
        <v>3</v>
      </c>
      <c r="S402" s="110" t="str">
        <f t="shared" si="18"/>
        <v>1</v>
      </c>
    </row>
    <row r="403" spans="2:19" s="57" customFormat="1" x14ac:dyDescent="0.2">
      <c r="B403" s="57" t="s">
        <v>2389</v>
      </c>
      <c r="C403" s="57" t="s">
        <v>2681</v>
      </c>
      <c r="D403" s="55" t="str">
        <f>VLOOKUP(VLOOKUP(Q403&amp;"_"&amp;R403,活动关卡!$A$4:$Z$27,2+5*S403,FALSE),'⚪设计'!$B$85:$H$114,2,FALSE)</f>
        <v>ResUnit_BianFu1</v>
      </c>
      <c r="E403" s="55">
        <f>VLOOKUP(VLOOKUP(Q403&amp;"_"&amp;R403,活动关卡!$A$4:$Z$27,2+5*S403,FALSE),'⚪设计'!$B$85:$H$114,6,FALSE)*VLOOKUP(Q403&amp;"_"&amp;R403,活动关卡!$A$4:$Z$27,5,FALSE)</f>
        <v>2</v>
      </c>
      <c r="F403">
        <v>400</v>
      </c>
      <c r="G403" t="b">
        <v>1</v>
      </c>
      <c r="H403">
        <v>1</v>
      </c>
      <c r="I403">
        <v>1</v>
      </c>
      <c r="J403">
        <v>0.5</v>
      </c>
      <c r="K403" s="55">
        <f>VLOOKUP(VLOOKUP(Q403&amp;"_"&amp;R403,活动关卡!$A$4:$Z$27,2+5*S403,FALSE),'⚪设计'!$B$85:$H$114,7,FALSE)</f>
        <v>1</v>
      </c>
      <c r="L403" s="57" t="s">
        <v>2097</v>
      </c>
      <c r="M403" t="s">
        <v>468</v>
      </c>
      <c r="N403" t="s">
        <v>469</v>
      </c>
      <c r="O403" t="s">
        <v>470</v>
      </c>
      <c r="P403" s="57" t="str">
        <f>IF(VLOOKUP(D403,'⚪设计'!$C$85:$I$113,7,FALSE)="","",VLOOKUP(D403,'⚪设计'!$C$85:$I$113,7,FALSE))</f>
        <v/>
      </c>
      <c r="Q403" s="110" t="str">
        <f t="shared" si="16"/>
        <v>2</v>
      </c>
      <c r="R403" s="110" t="str">
        <f t="shared" si="17"/>
        <v>3</v>
      </c>
      <c r="S403" s="110" t="str">
        <f t="shared" si="18"/>
        <v>2</v>
      </c>
    </row>
    <row r="404" spans="2:19" s="57" customFormat="1" x14ac:dyDescent="0.2">
      <c r="B404" s="57" t="s">
        <v>2390</v>
      </c>
      <c r="C404" s="57" t="s">
        <v>2682</v>
      </c>
      <c r="D404" s="55" t="str">
        <f>VLOOKUP(VLOOKUP(Q404&amp;"_"&amp;R404,活动关卡!$A$4:$Z$27,2+5*S404,FALSE),'⚪设计'!$B$85:$H$114,2,FALSE)</f>
        <v>ResUnit_Niao1</v>
      </c>
      <c r="E404" s="55">
        <f>VLOOKUP(VLOOKUP(Q404&amp;"_"&amp;R404,活动关卡!$A$4:$Z$27,2+5*S404,FALSE),'⚪设计'!$B$85:$H$114,6,FALSE)*VLOOKUP(Q404&amp;"_"&amp;R404,活动关卡!$A$4:$Z$27,5,FALSE)</f>
        <v>2</v>
      </c>
      <c r="F404">
        <v>400</v>
      </c>
      <c r="G404" t="b">
        <v>1</v>
      </c>
      <c r="H404">
        <v>1</v>
      </c>
      <c r="I404">
        <v>1</v>
      </c>
      <c r="J404">
        <v>0.5</v>
      </c>
      <c r="K404" s="55">
        <f>VLOOKUP(VLOOKUP(Q404&amp;"_"&amp;R404,活动关卡!$A$4:$Z$27,2+5*S404,FALSE),'⚪设计'!$B$85:$H$114,7,FALSE)</f>
        <v>1</v>
      </c>
      <c r="L404" s="57" t="s">
        <v>2098</v>
      </c>
      <c r="M404" t="s">
        <v>468</v>
      </c>
      <c r="N404" t="s">
        <v>469</v>
      </c>
      <c r="O404" t="s">
        <v>470</v>
      </c>
      <c r="P404" s="57" t="str">
        <f>IF(VLOOKUP(D404,'⚪设计'!$C$85:$I$113,7,FALSE)="","",VLOOKUP(D404,'⚪设计'!$C$85:$I$113,7,FALSE))</f>
        <v>Skill_Monster_Niao1,NormalAttack</v>
      </c>
      <c r="Q404" s="110" t="str">
        <f t="shared" si="16"/>
        <v>2</v>
      </c>
      <c r="R404" s="110" t="str">
        <f t="shared" si="17"/>
        <v>3</v>
      </c>
      <c r="S404" s="110" t="str">
        <f t="shared" si="18"/>
        <v>3</v>
      </c>
    </row>
    <row r="405" spans="2:19" s="57" customFormat="1" x14ac:dyDescent="0.2">
      <c r="B405" s="57" t="s">
        <v>2391</v>
      </c>
      <c r="C405" s="57" t="s">
        <v>2683</v>
      </c>
      <c r="D405" s="55" t="str">
        <f>VLOOKUP(VLOOKUP(Q405&amp;"_"&amp;R405,活动关卡!$A$4:$Z$27,2+5*S405,FALSE),'⚪设计'!$B$85:$H$114,2,FALSE)</f>
        <v>ResUnit_ZhiZhu1</v>
      </c>
      <c r="E405" s="55">
        <f>VLOOKUP(VLOOKUP(Q405&amp;"_"&amp;R405,活动关卡!$A$4:$Z$27,2+5*S405,FALSE),'⚪设计'!$B$85:$H$114,6,FALSE)*VLOOKUP(Q405&amp;"_"&amp;R405,活动关卡!$A$4:$Z$27,5,FALSE)</f>
        <v>3</v>
      </c>
      <c r="F405">
        <v>400</v>
      </c>
      <c r="G405" t="b">
        <v>1</v>
      </c>
      <c r="H405">
        <v>1</v>
      </c>
      <c r="I405">
        <v>1</v>
      </c>
      <c r="J405">
        <v>0.5</v>
      </c>
      <c r="K405" s="55">
        <f>VLOOKUP(VLOOKUP(Q405&amp;"_"&amp;R405,活动关卡!$A$4:$Z$27,2+5*S405,FALSE),'⚪设计'!$B$85:$H$114,7,FALSE)</f>
        <v>1</v>
      </c>
      <c r="L405" s="57" t="s">
        <v>2099</v>
      </c>
      <c r="M405" t="s">
        <v>468</v>
      </c>
      <c r="N405" t="s">
        <v>469</v>
      </c>
      <c r="O405" t="s">
        <v>470</v>
      </c>
      <c r="P405" s="57" t="str">
        <f>IF(VLOOKUP(D405,'⚪设计'!$C$85:$I$113,7,FALSE)="","",VLOOKUP(D405,'⚪设计'!$C$85:$I$113,7,FALSE))</f>
        <v/>
      </c>
      <c r="Q405" s="110" t="str">
        <f t="shared" si="16"/>
        <v>2</v>
      </c>
      <c r="R405" s="110" t="str">
        <f t="shared" si="17"/>
        <v>4</v>
      </c>
      <c r="S405" s="110" t="str">
        <f t="shared" si="18"/>
        <v>1</v>
      </c>
    </row>
    <row r="406" spans="2:19" s="57" customFormat="1" x14ac:dyDescent="0.2">
      <c r="B406" s="57" t="s">
        <v>2392</v>
      </c>
      <c r="C406" s="57" t="s">
        <v>2684</v>
      </c>
      <c r="D406" s="55" t="str">
        <f>VLOOKUP(VLOOKUP(Q406&amp;"_"&amp;R406,活动关卡!$A$4:$Z$27,2+5*S406,FALSE),'⚪设计'!$B$85:$H$114,2,FALSE)</f>
        <v>ResUnit_BianFu1</v>
      </c>
      <c r="E406" s="55">
        <f>VLOOKUP(VLOOKUP(Q406&amp;"_"&amp;R406,活动关卡!$A$4:$Z$27,2+5*S406,FALSE),'⚪设计'!$B$85:$H$114,6,FALSE)*VLOOKUP(Q406&amp;"_"&amp;R406,活动关卡!$A$4:$Z$27,5,FALSE)</f>
        <v>2</v>
      </c>
      <c r="F406">
        <v>400</v>
      </c>
      <c r="G406" t="b">
        <v>1</v>
      </c>
      <c r="H406">
        <v>1</v>
      </c>
      <c r="I406">
        <v>1</v>
      </c>
      <c r="J406">
        <v>0.5</v>
      </c>
      <c r="K406" s="55">
        <f>VLOOKUP(VLOOKUP(Q406&amp;"_"&amp;R406,活动关卡!$A$4:$Z$27,2+5*S406,FALSE),'⚪设计'!$B$85:$H$114,7,FALSE)</f>
        <v>1</v>
      </c>
      <c r="L406" s="57" t="s">
        <v>2100</v>
      </c>
      <c r="M406" t="s">
        <v>468</v>
      </c>
      <c r="N406" t="s">
        <v>469</v>
      </c>
      <c r="O406" t="s">
        <v>470</v>
      </c>
      <c r="P406" s="57" t="str">
        <f>IF(VLOOKUP(D406,'⚪设计'!$C$85:$I$113,7,FALSE)="","",VLOOKUP(D406,'⚪设计'!$C$85:$I$113,7,FALSE))</f>
        <v/>
      </c>
      <c r="Q406" s="110" t="str">
        <f t="shared" si="16"/>
        <v>2</v>
      </c>
      <c r="R406" s="110" t="str">
        <f t="shared" si="17"/>
        <v>4</v>
      </c>
      <c r="S406" s="110" t="str">
        <f t="shared" si="18"/>
        <v>2</v>
      </c>
    </row>
    <row r="407" spans="2:19" s="57" customFormat="1" x14ac:dyDescent="0.2">
      <c r="B407" s="57" t="s">
        <v>2393</v>
      </c>
      <c r="C407" s="57" t="s">
        <v>2685</v>
      </c>
      <c r="D407" s="55" t="str">
        <f>VLOOKUP(VLOOKUP(Q407&amp;"_"&amp;R407,活动关卡!$A$4:$Z$27,2+5*S407,FALSE),'⚪设计'!$B$85:$H$114,2,FALSE)</f>
        <v>ResUnit_MiFeng2</v>
      </c>
      <c r="E407" s="55">
        <f>VLOOKUP(VLOOKUP(Q407&amp;"_"&amp;R407,活动关卡!$A$4:$Z$27,2+5*S407,FALSE),'⚪设计'!$B$85:$H$114,6,FALSE)*VLOOKUP(Q407&amp;"_"&amp;R407,活动关卡!$A$4:$Z$27,5,FALSE)</f>
        <v>2</v>
      </c>
      <c r="F407">
        <v>400</v>
      </c>
      <c r="G407" t="b">
        <v>1</v>
      </c>
      <c r="H407">
        <v>1</v>
      </c>
      <c r="I407">
        <v>1</v>
      </c>
      <c r="J407">
        <v>0.5</v>
      </c>
      <c r="K407" s="55">
        <f>VLOOKUP(VLOOKUP(Q407&amp;"_"&amp;R407,活动关卡!$A$4:$Z$27,2+5*S407,FALSE),'⚪设计'!$B$85:$H$114,7,FALSE)</f>
        <v>1.5</v>
      </c>
      <c r="L407" s="57" t="s">
        <v>2101</v>
      </c>
      <c r="M407" t="s">
        <v>468</v>
      </c>
      <c r="N407" t="s">
        <v>469</v>
      </c>
      <c r="O407" t="s">
        <v>470</v>
      </c>
      <c r="P407" s="57" t="str">
        <f>IF(VLOOKUP(D407,'⚪设计'!$C$85:$I$113,7,FALSE)="","",VLOOKUP(D407,'⚪设计'!$C$85:$I$113,7,FALSE))</f>
        <v/>
      </c>
      <c r="Q407" s="110" t="str">
        <f t="shared" si="16"/>
        <v>2</v>
      </c>
      <c r="R407" s="110" t="str">
        <f t="shared" si="17"/>
        <v>4</v>
      </c>
      <c r="S407" s="110" t="str">
        <f t="shared" si="18"/>
        <v>3</v>
      </c>
    </row>
    <row r="408" spans="2:19" x14ac:dyDescent="0.2">
      <c r="B408" s="57" t="s">
        <v>2394</v>
      </c>
      <c r="C408" s="57" t="s">
        <v>2686</v>
      </c>
      <c r="D408" s="55" t="str">
        <f>VLOOKUP(VLOOKUP(Q408&amp;"_"&amp;R408,活动关卡!$A$4:$Z$27,2+5*S408,FALSE),'⚪设计'!$B$85:$H$114,2,FALSE)</f>
        <v>ResUnit_Niao1</v>
      </c>
      <c r="E408" s="55">
        <f>VLOOKUP(VLOOKUP(Q408&amp;"_"&amp;R408,活动关卡!$A$4:$Z$27,2+5*S408,FALSE),'⚪设计'!$B$85:$H$114,6,FALSE)*VLOOKUP(Q408&amp;"_"&amp;R408,活动关卡!$A$4:$Z$27,5,FALSE)</f>
        <v>2</v>
      </c>
      <c r="F408">
        <v>400</v>
      </c>
      <c r="G408" t="b">
        <v>1</v>
      </c>
      <c r="H408">
        <v>1</v>
      </c>
      <c r="I408">
        <v>1</v>
      </c>
      <c r="J408">
        <v>0.5</v>
      </c>
      <c r="K408" s="55">
        <f>VLOOKUP(VLOOKUP(Q408&amp;"_"&amp;R408,活动关卡!$A$4:$Z$27,2+5*S408,FALSE),'⚪设计'!$B$85:$H$114,7,FALSE)</f>
        <v>1</v>
      </c>
      <c r="L408" s="57" t="s">
        <v>2102</v>
      </c>
      <c r="M408" t="s">
        <v>468</v>
      </c>
      <c r="N408" t="s">
        <v>469</v>
      </c>
      <c r="O408" t="s">
        <v>470</v>
      </c>
      <c r="P408" s="57" t="str">
        <f>IF(VLOOKUP(D408,'⚪设计'!$C$85:$I$113,7,FALSE)="","",VLOOKUP(D408,'⚪设计'!$C$85:$I$113,7,FALSE))</f>
        <v>Skill_Monster_Niao1,NormalAttack</v>
      </c>
      <c r="Q408" s="110" t="str">
        <f t="shared" si="16"/>
        <v>2</v>
      </c>
      <c r="R408" s="110" t="str">
        <f t="shared" si="17"/>
        <v>4</v>
      </c>
      <c r="S408" s="110" t="str">
        <f t="shared" si="18"/>
        <v>4</v>
      </c>
    </row>
    <row r="409" spans="2:19" x14ac:dyDescent="0.2">
      <c r="B409" s="57" t="s">
        <v>2395</v>
      </c>
      <c r="C409" s="57" t="s">
        <v>2687</v>
      </c>
      <c r="D409" s="55" t="str">
        <f>VLOOKUP(VLOOKUP(Q409&amp;"_"&amp;R409,活动关卡!$A$4:$Z$27,2+5*S409,FALSE),'⚪设计'!$B$85:$H$114,2,FALSE)</f>
        <v>ResUnit_ZhiZhu1</v>
      </c>
      <c r="E409" s="55">
        <f>VLOOKUP(VLOOKUP(Q409&amp;"_"&amp;R409,活动关卡!$A$4:$Z$27,2+5*S409,FALSE),'⚪设计'!$B$85:$H$114,6,FALSE)*VLOOKUP(Q409&amp;"_"&amp;R409,活动关卡!$A$4:$Z$27,5,FALSE)</f>
        <v>3</v>
      </c>
      <c r="F409">
        <v>400</v>
      </c>
      <c r="G409" t="b">
        <v>1</v>
      </c>
      <c r="H409">
        <v>1</v>
      </c>
      <c r="I409">
        <v>1</v>
      </c>
      <c r="J409">
        <v>0.5</v>
      </c>
      <c r="K409" s="55">
        <f>VLOOKUP(VLOOKUP(Q409&amp;"_"&amp;R409,活动关卡!$A$4:$Z$27,2+5*S409,FALSE),'⚪设计'!$B$85:$H$114,7,FALSE)</f>
        <v>1</v>
      </c>
      <c r="L409" s="57" t="s">
        <v>2103</v>
      </c>
      <c r="M409" t="s">
        <v>468</v>
      </c>
      <c r="N409" t="s">
        <v>469</v>
      </c>
      <c r="O409" t="s">
        <v>470</v>
      </c>
      <c r="P409" s="57" t="str">
        <f>IF(VLOOKUP(D409,'⚪设计'!$C$85:$I$113,7,FALSE)="","",VLOOKUP(D409,'⚪设计'!$C$85:$I$113,7,FALSE))</f>
        <v/>
      </c>
      <c r="Q409" s="110" t="str">
        <f t="shared" si="16"/>
        <v>2</v>
      </c>
      <c r="R409" s="110" t="str">
        <f t="shared" si="17"/>
        <v>5</v>
      </c>
      <c r="S409" s="110" t="str">
        <f t="shared" si="18"/>
        <v>1</v>
      </c>
    </row>
    <row r="410" spans="2:19" x14ac:dyDescent="0.2">
      <c r="B410" s="57" t="s">
        <v>2396</v>
      </c>
      <c r="C410" s="57" t="s">
        <v>2688</v>
      </c>
      <c r="D410" s="55" t="str">
        <f>VLOOKUP(VLOOKUP(Q410&amp;"_"&amp;R410,活动关卡!$A$4:$Z$27,2+5*S410,FALSE),'⚪设计'!$B$85:$H$114,2,FALSE)</f>
        <v>ResUnit_BianFu1</v>
      </c>
      <c r="E410" s="55">
        <f>VLOOKUP(VLOOKUP(Q410&amp;"_"&amp;R410,活动关卡!$A$4:$Z$27,2+5*S410,FALSE),'⚪设计'!$B$85:$H$114,6,FALSE)*VLOOKUP(Q410&amp;"_"&amp;R410,活动关卡!$A$4:$Z$27,5,FALSE)</f>
        <v>2</v>
      </c>
      <c r="F410">
        <v>400</v>
      </c>
      <c r="G410" t="b">
        <v>1</v>
      </c>
      <c r="H410">
        <v>1</v>
      </c>
      <c r="I410">
        <v>1</v>
      </c>
      <c r="J410">
        <v>0.5</v>
      </c>
      <c r="K410" s="55">
        <f>VLOOKUP(VLOOKUP(Q410&amp;"_"&amp;R410,活动关卡!$A$4:$Z$27,2+5*S410,FALSE),'⚪设计'!$B$85:$H$114,7,FALSE)</f>
        <v>1</v>
      </c>
      <c r="L410" s="57" t="s">
        <v>2104</v>
      </c>
      <c r="M410" t="s">
        <v>468</v>
      </c>
      <c r="N410" t="s">
        <v>469</v>
      </c>
      <c r="O410" t="s">
        <v>470</v>
      </c>
      <c r="P410" s="57" t="str">
        <f>IF(VLOOKUP(D410,'⚪设计'!$C$85:$I$113,7,FALSE)="","",VLOOKUP(D410,'⚪设计'!$C$85:$I$113,7,FALSE))</f>
        <v/>
      </c>
      <c r="Q410" s="110" t="str">
        <f t="shared" si="16"/>
        <v>2</v>
      </c>
      <c r="R410" s="110" t="str">
        <f t="shared" si="17"/>
        <v>5</v>
      </c>
      <c r="S410" s="110" t="str">
        <f t="shared" si="18"/>
        <v>2</v>
      </c>
    </row>
    <row r="411" spans="2:19" x14ac:dyDescent="0.2">
      <c r="B411" s="57" t="s">
        <v>2397</v>
      </c>
      <c r="C411" s="57" t="s">
        <v>2689</v>
      </c>
      <c r="D411" s="55" t="str">
        <f>VLOOKUP(VLOOKUP(Q411&amp;"_"&amp;R411,活动关卡!$A$4:$Z$27,2+5*S411,FALSE),'⚪设计'!$B$85:$H$114,2,FALSE)</f>
        <v>ResUnit_MiFeng2</v>
      </c>
      <c r="E411" s="55">
        <f>VLOOKUP(VLOOKUP(Q411&amp;"_"&amp;R411,活动关卡!$A$4:$Z$27,2+5*S411,FALSE),'⚪设计'!$B$85:$H$114,6,FALSE)*VLOOKUP(Q411&amp;"_"&amp;R411,活动关卡!$A$4:$Z$27,5,FALSE)</f>
        <v>2</v>
      </c>
      <c r="F411">
        <v>400</v>
      </c>
      <c r="G411" t="b">
        <v>1</v>
      </c>
      <c r="H411">
        <v>1</v>
      </c>
      <c r="I411">
        <v>1</v>
      </c>
      <c r="J411">
        <v>0.5</v>
      </c>
      <c r="K411" s="55">
        <f>VLOOKUP(VLOOKUP(Q411&amp;"_"&amp;R411,活动关卡!$A$4:$Z$27,2+5*S411,FALSE),'⚪设计'!$B$85:$H$114,7,FALSE)</f>
        <v>1.5</v>
      </c>
      <c r="L411" s="57" t="s">
        <v>2105</v>
      </c>
      <c r="M411" t="s">
        <v>468</v>
      </c>
      <c r="N411" t="s">
        <v>469</v>
      </c>
      <c r="O411" t="s">
        <v>470</v>
      </c>
      <c r="P411" s="57" t="str">
        <f>IF(VLOOKUP(D411,'⚪设计'!$C$85:$I$113,7,FALSE)="","",VLOOKUP(D411,'⚪设计'!$C$85:$I$113,7,FALSE))</f>
        <v/>
      </c>
      <c r="Q411" s="110" t="str">
        <f t="shared" si="16"/>
        <v>2</v>
      </c>
      <c r="R411" s="110" t="str">
        <f t="shared" si="17"/>
        <v>5</v>
      </c>
      <c r="S411" s="110" t="str">
        <f t="shared" si="18"/>
        <v>3</v>
      </c>
    </row>
    <row r="412" spans="2:19" x14ac:dyDescent="0.2">
      <c r="B412" s="57" t="s">
        <v>2398</v>
      </c>
      <c r="C412" s="57" t="s">
        <v>2690</v>
      </c>
      <c r="D412" s="55" t="str">
        <f>VLOOKUP(VLOOKUP(Q412&amp;"_"&amp;R412,活动关卡!$A$4:$Z$27,2+5*S412,FALSE),'⚪设计'!$B$85:$H$114,2,FALSE)</f>
        <v>ResUnit_Niao1</v>
      </c>
      <c r="E412" s="55">
        <f>VLOOKUP(VLOOKUP(Q412&amp;"_"&amp;R412,活动关卡!$A$4:$Z$27,2+5*S412,FALSE),'⚪设计'!$B$85:$H$114,6,FALSE)*VLOOKUP(Q412&amp;"_"&amp;R412,活动关卡!$A$4:$Z$27,5,FALSE)</f>
        <v>2</v>
      </c>
      <c r="F412">
        <v>400</v>
      </c>
      <c r="G412" t="b">
        <v>1</v>
      </c>
      <c r="H412">
        <v>1</v>
      </c>
      <c r="I412">
        <v>1</v>
      </c>
      <c r="J412">
        <v>0.5</v>
      </c>
      <c r="K412" s="55">
        <f>VLOOKUP(VLOOKUP(Q412&amp;"_"&amp;R412,活动关卡!$A$4:$Z$27,2+5*S412,FALSE),'⚪设计'!$B$85:$H$114,7,FALSE)</f>
        <v>1</v>
      </c>
      <c r="L412" s="57" t="s">
        <v>2106</v>
      </c>
      <c r="M412" t="s">
        <v>468</v>
      </c>
      <c r="N412" t="s">
        <v>469</v>
      </c>
      <c r="O412" t="s">
        <v>470</v>
      </c>
      <c r="P412" s="57" t="str">
        <f>IF(VLOOKUP(D412,'⚪设计'!$C$85:$I$113,7,FALSE)="","",VLOOKUP(D412,'⚪设计'!$C$85:$I$113,7,FALSE))</f>
        <v>Skill_Monster_Niao1,NormalAttack</v>
      </c>
      <c r="Q412" s="110" t="str">
        <f t="shared" si="16"/>
        <v>2</v>
      </c>
      <c r="R412" s="110" t="str">
        <f t="shared" si="17"/>
        <v>5</v>
      </c>
      <c r="S412" s="110" t="str">
        <f t="shared" si="18"/>
        <v>4</v>
      </c>
    </row>
    <row r="413" spans="2:19" x14ac:dyDescent="0.2">
      <c r="B413" s="57" t="s">
        <v>2399</v>
      </c>
      <c r="C413" s="57" t="s">
        <v>2691</v>
      </c>
      <c r="D413" s="55" t="str">
        <f>VLOOKUP(VLOOKUP(Q413&amp;"_"&amp;R413,活动关卡!$A$4:$Z$27,2+5*S413,FALSE),'⚪设计'!$B$85:$H$114,2,FALSE)</f>
        <v>ResUnit_ZhongZi1</v>
      </c>
      <c r="E413" s="55">
        <f>VLOOKUP(VLOOKUP(Q413&amp;"_"&amp;R413,活动关卡!$A$4:$Z$27,2+5*S413,FALSE),'⚪设计'!$B$85:$H$114,6,FALSE)*VLOOKUP(Q413&amp;"_"&amp;R413,活动关卡!$A$4:$Z$27,5,FALSE)</f>
        <v>2</v>
      </c>
      <c r="F413">
        <v>400</v>
      </c>
      <c r="G413" t="b">
        <v>1</v>
      </c>
      <c r="H413">
        <v>1</v>
      </c>
      <c r="I413">
        <v>1</v>
      </c>
      <c r="J413">
        <v>0.5</v>
      </c>
      <c r="K413" s="55">
        <f>VLOOKUP(VLOOKUP(Q413&amp;"_"&amp;R413,活动关卡!$A$4:$Z$27,2+5*S413,FALSE),'⚪设计'!$B$85:$H$114,7,FALSE)</f>
        <v>1</v>
      </c>
      <c r="L413" s="57" t="s">
        <v>2107</v>
      </c>
      <c r="M413" t="s">
        <v>468</v>
      </c>
      <c r="N413" t="s">
        <v>469</v>
      </c>
      <c r="O413" t="s">
        <v>470</v>
      </c>
      <c r="P413" s="57" t="str">
        <f>IF(VLOOKUP(D413,'⚪设计'!$C$85:$I$113,7,FALSE)="","",VLOOKUP(D413,'⚪设计'!$C$85:$I$113,7,FALSE))</f>
        <v>Skill_Monster_Heal,NormalAttack</v>
      </c>
      <c r="Q413" s="110" t="str">
        <f t="shared" si="16"/>
        <v>3</v>
      </c>
      <c r="R413" s="110" t="str">
        <f t="shared" si="17"/>
        <v>1</v>
      </c>
      <c r="S413" s="110" t="str">
        <f t="shared" si="18"/>
        <v>1</v>
      </c>
    </row>
    <row r="414" spans="2:19" x14ac:dyDescent="0.2">
      <c r="B414" s="57" t="s">
        <v>2400</v>
      </c>
      <c r="C414" s="57" t="s">
        <v>2692</v>
      </c>
      <c r="D414" s="55" t="str">
        <f>VLOOKUP(VLOOKUP(Q414&amp;"_"&amp;R414,活动关卡!$A$4:$Z$27,2+5*S414,FALSE),'⚪设计'!$B$85:$H$114,2,FALSE)</f>
        <v>ResUnit_Niao2</v>
      </c>
      <c r="E414" s="55">
        <f>VLOOKUP(VLOOKUP(Q414&amp;"_"&amp;R414,活动关卡!$A$4:$Z$27,2+5*S414,FALSE),'⚪设计'!$B$85:$H$114,6,FALSE)*VLOOKUP(Q414&amp;"_"&amp;R414,活动关卡!$A$4:$Z$27,5,FALSE)</f>
        <v>2</v>
      </c>
      <c r="F414">
        <v>400</v>
      </c>
      <c r="G414" t="b">
        <v>1</v>
      </c>
      <c r="H414">
        <v>1</v>
      </c>
      <c r="I414">
        <v>1</v>
      </c>
      <c r="J414">
        <v>0.5</v>
      </c>
      <c r="K414" s="55">
        <f>VLOOKUP(VLOOKUP(Q414&amp;"_"&amp;R414,活动关卡!$A$4:$Z$27,2+5*S414,FALSE),'⚪设计'!$B$85:$H$114,7,FALSE)</f>
        <v>1.5</v>
      </c>
      <c r="L414" s="57" t="s">
        <v>2108</v>
      </c>
      <c r="M414" t="s">
        <v>468</v>
      </c>
      <c r="N414" t="s">
        <v>469</v>
      </c>
      <c r="O414" t="s">
        <v>470</v>
      </c>
      <c r="P414" s="57" t="str">
        <f>IF(VLOOKUP(D414,'⚪设计'!$C$85:$I$113,7,FALSE)="","",VLOOKUP(D414,'⚪设计'!$C$85:$I$113,7,FALSE))</f>
        <v>Skill_Monster_Niao2,NormalAttack</v>
      </c>
      <c r="Q414" s="110" t="str">
        <f t="shared" si="16"/>
        <v>3</v>
      </c>
      <c r="R414" s="110" t="str">
        <f t="shared" si="17"/>
        <v>1</v>
      </c>
      <c r="S414" s="110" t="str">
        <f t="shared" si="18"/>
        <v>2</v>
      </c>
    </row>
    <row r="415" spans="2:19" x14ac:dyDescent="0.2">
      <c r="B415" s="57" t="s">
        <v>2401</v>
      </c>
      <c r="C415" s="57" t="s">
        <v>2693</v>
      </c>
      <c r="D415" s="55" t="str">
        <f>VLOOKUP(VLOOKUP(Q415&amp;"_"&amp;R415,活动关卡!$A$4:$Z$27,2+5*S415,FALSE),'⚪设计'!$B$85:$H$114,2,FALSE)</f>
        <v>ResUnit_ZhongZi1</v>
      </c>
      <c r="E415" s="55">
        <f>VLOOKUP(VLOOKUP(Q415&amp;"_"&amp;R415,活动关卡!$A$4:$Z$27,2+5*S415,FALSE),'⚪设计'!$B$85:$H$114,6,FALSE)*VLOOKUP(Q415&amp;"_"&amp;R415,活动关卡!$A$4:$Z$27,5,FALSE)</f>
        <v>2</v>
      </c>
      <c r="F415">
        <v>400</v>
      </c>
      <c r="G415" t="b">
        <v>1</v>
      </c>
      <c r="H415">
        <v>1</v>
      </c>
      <c r="I415">
        <v>1</v>
      </c>
      <c r="J415">
        <v>0.5</v>
      </c>
      <c r="K415" s="55">
        <f>VLOOKUP(VLOOKUP(Q415&amp;"_"&amp;R415,活动关卡!$A$4:$Z$27,2+5*S415,FALSE),'⚪设计'!$B$85:$H$114,7,FALSE)</f>
        <v>1</v>
      </c>
      <c r="L415" s="57" t="s">
        <v>2109</v>
      </c>
      <c r="M415" t="s">
        <v>468</v>
      </c>
      <c r="N415" t="s">
        <v>469</v>
      </c>
      <c r="O415" t="s">
        <v>470</v>
      </c>
      <c r="P415" s="57" t="str">
        <f>IF(VLOOKUP(D415,'⚪设计'!$C$85:$I$113,7,FALSE)="","",VLOOKUP(D415,'⚪设计'!$C$85:$I$113,7,FALSE))</f>
        <v>Skill_Monster_Heal,NormalAttack</v>
      </c>
      <c r="Q415" s="110" t="str">
        <f t="shared" si="16"/>
        <v>3</v>
      </c>
      <c r="R415" s="110" t="str">
        <f t="shared" si="17"/>
        <v>2</v>
      </c>
      <c r="S415" s="110" t="str">
        <f t="shared" si="18"/>
        <v>1</v>
      </c>
    </row>
    <row r="416" spans="2:19" x14ac:dyDescent="0.2">
      <c r="B416" s="57" t="s">
        <v>2402</v>
      </c>
      <c r="C416" s="57" t="s">
        <v>2694</v>
      </c>
      <c r="D416" s="55" t="str">
        <f>VLOOKUP(VLOOKUP(Q416&amp;"_"&amp;R416,活动关卡!$A$4:$Z$27,2+5*S416,FALSE),'⚪设计'!$B$85:$H$114,2,FALSE)</f>
        <v>ResUnit_MiFeng2</v>
      </c>
      <c r="E416" s="55">
        <f>VLOOKUP(VLOOKUP(Q416&amp;"_"&amp;R416,活动关卡!$A$4:$Z$27,2+5*S416,FALSE),'⚪设计'!$B$85:$H$114,6,FALSE)*VLOOKUP(Q416&amp;"_"&amp;R416,活动关卡!$A$4:$Z$27,5,FALSE)</f>
        <v>2</v>
      </c>
      <c r="F416">
        <v>400</v>
      </c>
      <c r="G416" t="b">
        <v>1</v>
      </c>
      <c r="H416">
        <v>1</v>
      </c>
      <c r="I416">
        <v>1</v>
      </c>
      <c r="J416">
        <v>0.5</v>
      </c>
      <c r="K416" s="55">
        <f>VLOOKUP(VLOOKUP(Q416&amp;"_"&amp;R416,活动关卡!$A$4:$Z$27,2+5*S416,FALSE),'⚪设计'!$B$85:$H$114,7,FALSE)</f>
        <v>1.5</v>
      </c>
      <c r="L416" s="57" t="s">
        <v>2110</v>
      </c>
      <c r="M416" t="s">
        <v>468</v>
      </c>
      <c r="N416" t="s">
        <v>469</v>
      </c>
      <c r="O416" t="s">
        <v>470</v>
      </c>
      <c r="P416" s="57" t="str">
        <f>IF(VLOOKUP(D416,'⚪设计'!$C$85:$I$113,7,FALSE)="","",VLOOKUP(D416,'⚪设计'!$C$85:$I$113,7,FALSE))</f>
        <v/>
      </c>
      <c r="Q416" s="110" t="str">
        <f t="shared" si="16"/>
        <v>3</v>
      </c>
      <c r="R416" s="110" t="str">
        <f t="shared" si="17"/>
        <v>2</v>
      </c>
      <c r="S416" s="110" t="str">
        <f t="shared" si="18"/>
        <v>2</v>
      </c>
    </row>
    <row r="417" spans="2:19" x14ac:dyDescent="0.2">
      <c r="B417" s="57" t="s">
        <v>2403</v>
      </c>
      <c r="C417" s="57" t="s">
        <v>2695</v>
      </c>
      <c r="D417" s="55" t="str">
        <f>VLOOKUP(VLOOKUP(Q417&amp;"_"&amp;R417,活动关卡!$A$4:$Z$27,2+5*S417,FALSE),'⚪设计'!$B$85:$H$114,2,FALSE)</f>
        <v>ResUnit_Niao2</v>
      </c>
      <c r="E417" s="55">
        <f>VLOOKUP(VLOOKUP(Q417&amp;"_"&amp;R417,活动关卡!$A$4:$Z$27,2+5*S417,FALSE),'⚪设计'!$B$85:$H$114,6,FALSE)*VLOOKUP(Q417&amp;"_"&amp;R417,活动关卡!$A$4:$Z$27,5,FALSE)</f>
        <v>2</v>
      </c>
      <c r="F417">
        <v>400</v>
      </c>
      <c r="G417" t="b">
        <v>1</v>
      </c>
      <c r="H417">
        <v>1</v>
      </c>
      <c r="I417">
        <v>1</v>
      </c>
      <c r="J417">
        <v>0.5</v>
      </c>
      <c r="K417" s="55">
        <f>VLOOKUP(VLOOKUP(Q417&amp;"_"&amp;R417,活动关卡!$A$4:$Z$27,2+5*S417,FALSE),'⚪设计'!$B$85:$H$114,7,FALSE)</f>
        <v>1.5</v>
      </c>
      <c r="L417" s="57" t="s">
        <v>2111</v>
      </c>
      <c r="M417" t="s">
        <v>468</v>
      </c>
      <c r="N417" t="s">
        <v>469</v>
      </c>
      <c r="O417" t="s">
        <v>470</v>
      </c>
      <c r="P417" s="57" t="str">
        <f>IF(VLOOKUP(D417,'⚪设计'!$C$85:$I$113,7,FALSE)="","",VLOOKUP(D417,'⚪设计'!$C$85:$I$113,7,FALSE))</f>
        <v>Skill_Monster_Niao2,NormalAttack</v>
      </c>
      <c r="Q417" s="110" t="str">
        <f t="shared" si="16"/>
        <v>3</v>
      </c>
      <c r="R417" s="110" t="str">
        <f t="shared" si="17"/>
        <v>2</v>
      </c>
      <c r="S417" s="110" t="str">
        <f t="shared" si="18"/>
        <v>3</v>
      </c>
    </row>
    <row r="418" spans="2:19" x14ac:dyDescent="0.2">
      <c r="B418" s="57" t="s">
        <v>2404</v>
      </c>
      <c r="C418" s="57" t="s">
        <v>2696</v>
      </c>
      <c r="D418" s="55" t="str">
        <f>VLOOKUP(VLOOKUP(Q418&amp;"_"&amp;R418,活动关卡!$A$4:$Z$27,2+5*S418,FALSE),'⚪设计'!$B$85:$H$114,2,FALSE)</f>
        <v>ResUnit_ZhongZi1</v>
      </c>
      <c r="E418" s="55">
        <f>VLOOKUP(VLOOKUP(Q418&amp;"_"&amp;R418,活动关卡!$A$4:$Z$27,2+5*S418,FALSE),'⚪设计'!$B$85:$H$114,6,FALSE)*VLOOKUP(Q418&amp;"_"&amp;R418,活动关卡!$A$4:$Z$27,5,FALSE)</f>
        <v>2</v>
      </c>
      <c r="F418">
        <v>400</v>
      </c>
      <c r="G418" t="b">
        <v>1</v>
      </c>
      <c r="H418">
        <v>1</v>
      </c>
      <c r="I418">
        <v>1</v>
      </c>
      <c r="J418">
        <v>0.5</v>
      </c>
      <c r="K418" s="55">
        <f>VLOOKUP(VLOOKUP(Q418&amp;"_"&amp;R418,活动关卡!$A$4:$Z$27,2+5*S418,FALSE),'⚪设计'!$B$85:$H$114,7,FALSE)</f>
        <v>1</v>
      </c>
      <c r="L418" s="57" t="s">
        <v>2112</v>
      </c>
      <c r="M418" t="s">
        <v>468</v>
      </c>
      <c r="N418" t="s">
        <v>469</v>
      </c>
      <c r="O418" t="s">
        <v>470</v>
      </c>
      <c r="P418" s="57" t="str">
        <f>IF(VLOOKUP(D418,'⚪设计'!$C$85:$I$113,7,FALSE)="","",VLOOKUP(D418,'⚪设计'!$C$85:$I$113,7,FALSE))</f>
        <v>Skill_Monster_Heal,NormalAttack</v>
      </c>
      <c r="Q418" s="110" t="str">
        <f t="shared" si="16"/>
        <v>3</v>
      </c>
      <c r="R418" s="110" t="str">
        <f t="shared" si="17"/>
        <v>3</v>
      </c>
      <c r="S418" s="110" t="str">
        <f t="shared" si="18"/>
        <v>1</v>
      </c>
    </row>
    <row r="419" spans="2:19" x14ac:dyDescent="0.2">
      <c r="B419" s="57" t="s">
        <v>2405</v>
      </c>
      <c r="C419" s="57" t="s">
        <v>2697</v>
      </c>
      <c r="D419" s="55" t="str">
        <f>VLOOKUP(VLOOKUP(Q419&amp;"_"&amp;R419,活动关卡!$A$4:$Z$27,2+5*S419,FALSE),'⚪设计'!$B$85:$H$114,2,FALSE)</f>
        <v>ResUnit_BianFu1</v>
      </c>
      <c r="E419" s="55">
        <f>VLOOKUP(VLOOKUP(Q419&amp;"_"&amp;R419,活动关卡!$A$4:$Z$27,2+5*S419,FALSE),'⚪设计'!$B$85:$H$114,6,FALSE)*VLOOKUP(Q419&amp;"_"&amp;R419,活动关卡!$A$4:$Z$27,5,FALSE)</f>
        <v>2</v>
      </c>
      <c r="F419">
        <v>400</v>
      </c>
      <c r="G419" t="b">
        <v>1</v>
      </c>
      <c r="H419">
        <v>1</v>
      </c>
      <c r="I419">
        <v>1</v>
      </c>
      <c r="J419">
        <v>0.5</v>
      </c>
      <c r="K419" s="55">
        <f>VLOOKUP(VLOOKUP(Q419&amp;"_"&amp;R419,活动关卡!$A$4:$Z$27,2+5*S419,FALSE),'⚪设计'!$B$85:$H$114,7,FALSE)</f>
        <v>1</v>
      </c>
      <c r="L419" s="57" t="s">
        <v>2113</v>
      </c>
      <c r="M419" t="s">
        <v>468</v>
      </c>
      <c r="N419" t="s">
        <v>469</v>
      </c>
      <c r="O419" t="s">
        <v>470</v>
      </c>
      <c r="P419" s="57" t="str">
        <f>IF(VLOOKUP(D419,'⚪设计'!$C$85:$I$113,7,FALSE)="","",VLOOKUP(D419,'⚪设计'!$C$85:$I$113,7,FALSE))</f>
        <v/>
      </c>
      <c r="Q419" s="110" t="str">
        <f t="shared" si="16"/>
        <v>3</v>
      </c>
      <c r="R419" s="110" t="str">
        <f t="shared" si="17"/>
        <v>3</v>
      </c>
      <c r="S419" s="110" t="str">
        <f t="shared" si="18"/>
        <v>2</v>
      </c>
    </row>
    <row r="420" spans="2:19" x14ac:dyDescent="0.2">
      <c r="B420" s="57" t="s">
        <v>2406</v>
      </c>
      <c r="C420" s="57" t="s">
        <v>2698</v>
      </c>
      <c r="D420" s="55" t="str">
        <f>VLOOKUP(VLOOKUP(Q420&amp;"_"&amp;R420,活动关卡!$A$4:$Z$27,2+5*S420,FALSE),'⚪设计'!$B$85:$H$114,2,FALSE)</f>
        <v>ResUnit_Niao2</v>
      </c>
      <c r="E420" s="55">
        <f>VLOOKUP(VLOOKUP(Q420&amp;"_"&amp;R420,活动关卡!$A$4:$Z$27,2+5*S420,FALSE),'⚪设计'!$B$85:$H$114,6,FALSE)*VLOOKUP(Q420&amp;"_"&amp;R420,活动关卡!$A$4:$Z$27,5,FALSE)</f>
        <v>2</v>
      </c>
      <c r="F420">
        <v>400</v>
      </c>
      <c r="G420" t="b">
        <v>1</v>
      </c>
      <c r="H420">
        <v>1</v>
      </c>
      <c r="I420">
        <v>1</v>
      </c>
      <c r="J420">
        <v>0.5</v>
      </c>
      <c r="K420" s="55">
        <f>VLOOKUP(VLOOKUP(Q420&amp;"_"&amp;R420,活动关卡!$A$4:$Z$27,2+5*S420,FALSE),'⚪设计'!$B$85:$H$114,7,FALSE)</f>
        <v>1.5</v>
      </c>
      <c r="L420" s="57" t="s">
        <v>2114</v>
      </c>
      <c r="M420" t="s">
        <v>468</v>
      </c>
      <c r="N420" t="s">
        <v>469</v>
      </c>
      <c r="O420" t="s">
        <v>470</v>
      </c>
      <c r="P420" s="57" t="str">
        <f>IF(VLOOKUP(D420,'⚪设计'!$C$85:$I$113,7,FALSE)="","",VLOOKUP(D420,'⚪设计'!$C$85:$I$113,7,FALSE))</f>
        <v>Skill_Monster_Niao2,NormalAttack</v>
      </c>
      <c r="Q420" s="110" t="str">
        <f t="shared" si="16"/>
        <v>3</v>
      </c>
      <c r="R420" s="110" t="str">
        <f t="shared" si="17"/>
        <v>3</v>
      </c>
      <c r="S420" s="110" t="str">
        <f t="shared" si="18"/>
        <v>3</v>
      </c>
    </row>
    <row r="421" spans="2:19" x14ac:dyDescent="0.2">
      <c r="B421" s="57" t="s">
        <v>2407</v>
      </c>
      <c r="C421" s="57" t="s">
        <v>2699</v>
      </c>
      <c r="D421" s="55" t="str">
        <f>VLOOKUP(VLOOKUP(Q421&amp;"_"&amp;R421,活动关卡!$A$4:$Z$27,2+5*S421,FALSE),'⚪设计'!$B$85:$H$114,2,FALSE)</f>
        <v>ResUnit_Gui1</v>
      </c>
      <c r="E421" s="55">
        <f>VLOOKUP(VLOOKUP(Q421&amp;"_"&amp;R421,活动关卡!$A$4:$Z$27,2+5*S421,FALSE),'⚪设计'!$B$85:$H$114,6,FALSE)*VLOOKUP(Q421&amp;"_"&amp;R421,活动关卡!$A$4:$Z$27,5,FALSE)</f>
        <v>2</v>
      </c>
      <c r="F421">
        <v>400</v>
      </c>
      <c r="G421" t="b">
        <v>1</v>
      </c>
      <c r="H421">
        <v>1</v>
      </c>
      <c r="I421">
        <v>1</v>
      </c>
      <c r="J421">
        <v>0.5</v>
      </c>
      <c r="K421" s="55">
        <f>VLOOKUP(VLOOKUP(Q421&amp;"_"&amp;R421,活动关卡!$A$4:$Z$27,2+5*S421,FALSE),'⚪设计'!$B$85:$H$114,7,FALSE)</f>
        <v>1</v>
      </c>
      <c r="L421" s="57" t="s">
        <v>2115</v>
      </c>
      <c r="M421" t="s">
        <v>468</v>
      </c>
      <c r="N421" t="s">
        <v>469</v>
      </c>
      <c r="O421" t="s">
        <v>470</v>
      </c>
      <c r="P421" s="57" t="str">
        <f>IF(VLOOKUP(D421,'⚪设计'!$C$85:$I$113,7,FALSE)="","",VLOOKUP(D421,'⚪设计'!$C$85:$I$113,7,FALSE))</f>
        <v>Skill_Monster_Invisible,NormalAttack</v>
      </c>
      <c r="Q421" s="110" t="str">
        <f t="shared" si="16"/>
        <v>4</v>
      </c>
      <c r="R421" s="110" t="str">
        <f t="shared" si="17"/>
        <v>1</v>
      </c>
      <c r="S421" s="110" t="str">
        <f t="shared" si="18"/>
        <v>1</v>
      </c>
    </row>
    <row r="422" spans="2:19" x14ac:dyDescent="0.2">
      <c r="B422" s="57" t="s">
        <v>2408</v>
      </c>
      <c r="C422" s="57" t="s">
        <v>2700</v>
      </c>
      <c r="D422" s="55" t="str">
        <f>VLOOKUP(VLOOKUP(Q422&amp;"_"&amp;R422,活动关卡!$A$4:$Z$27,2+5*S422,FALSE),'⚪设计'!$B$85:$H$114,2,FALSE)</f>
        <v>ResUnit_Niao2</v>
      </c>
      <c r="E422" s="55">
        <f>VLOOKUP(VLOOKUP(Q422&amp;"_"&amp;R422,活动关卡!$A$4:$Z$27,2+5*S422,FALSE),'⚪设计'!$B$85:$H$114,6,FALSE)*VLOOKUP(Q422&amp;"_"&amp;R422,活动关卡!$A$4:$Z$27,5,FALSE)</f>
        <v>2</v>
      </c>
      <c r="F422">
        <v>400</v>
      </c>
      <c r="G422" t="b">
        <v>1</v>
      </c>
      <c r="H422">
        <v>1</v>
      </c>
      <c r="I422">
        <v>1</v>
      </c>
      <c r="J422">
        <v>0.5</v>
      </c>
      <c r="K422" s="55">
        <f>VLOOKUP(VLOOKUP(Q422&amp;"_"&amp;R422,活动关卡!$A$4:$Z$27,2+5*S422,FALSE),'⚪设计'!$B$85:$H$114,7,FALSE)</f>
        <v>1.5</v>
      </c>
      <c r="L422" s="57" t="s">
        <v>2116</v>
      </c>
      <c r="M422" t="s">
        <v>468</v>
      </c>
      <c r="N422" t="s">
        <v>469</v>
      </c>
      <c r="O422" t="s">
        <v>470</v>
      </c>
      <c r="P422" s="57" t="str">
        <f>IF(VLOOKUP(D422,'⚪设计'!$C$85:$I$113,7,FALSE)="","",VLOOKUP(D422,'⚪设计'!$C$85:$I$113,7,FALSE))</f>
        <v>Skill_Monster_Niao2,NormalAttack</v>
      </c>
      <c r="Q422" s="110" t="str">
        <f t="shared" si="16"/>
        <v>4</v>
      </c>
      <c r="R422" s="110" t="str">
        <f t="shared" si="17"/>
        <v>1</v>
      </c>
      <c r="S422" s="110" t="str">
        <f t="shared" si="18"/>
        <v>2</v>
      </c>
    </row>
    <row r="423" spans="2:19" x14ac:dyDescent="0.2">
      <c r="B423" s="57" t="s">
        <v>2409</v>
      </c>
      <c r="C423" s="57" t="s">
        <v>2701</v>
      </c>
      <c r="D423" s="55" t="str">
        <f>VLOOKUP(VLOOKUP(Q423&amp;"_"&amp;R423,活动关卡!$A$4:$Z$27,2+5*S423,FALSE),'⚪设计'!$B$85:$H$114,2,FALSE)</f>
        <v>ResUnit_Gui1</v>
      </c>
      <c r="E423" s="55">
        <f>VLOOKUP(VLOOKUP(Q423&amp;"_"&amp;R423,活动关卡!$A$4:$Z$27,2+5*S423,FALSE),'⚪设计'!$B$85:$H$114,6,FALSE)*VLOOKUP(Q423&amp;"_"&amp;R423,活动关卡!$A$4:$Z$27,5,FALSE)</f>
        <v>2</v>
      </c>
      <c r="F423">
        <v>400</v>
      </c>
      <c r="G423" t="b">
        <v>1</v>
      </c>
      <c r="H423">
        <v>1</v>
      </c>
      <c r="I423">
        <v>1</v>
      </c>
      <c r="J423">
        <v>0.5</v>
      </c>
      <c r="K423" s="55">
        <f>VLOOKUP(VLOOKUP(Q423&amp;"_"&amp;R423,活动关卡!$A$4:$Z$27,2+5*S423,FALSE),'⚪设计'!$B$85:$H$114,7,FALSE)</f>
        <v>1</v>
      </c>
      <c r="L423" s="57" t="s">
        <v>2117</v>
      </c>
      <c r="M423" t="s">
        <v>468</v>
      </c>
      <c r="N423" t="s">
        <v>469</v>
      </c>
      <c r="O423" t="s">
        <v>470</v>
      </c>
      <c r="P423" s="57" t="str">
        <f>IF(VLOOKUP(D423,'⚪设计'!$C$85:$I$113,7,FALSE)="","",VLOOKUP(D423,'⚪设计'!$C$85:$I$113,7,FALSE))</f>
        <v>Skill_Monster_Invisible,NormalAttack</v>
      </c>
      <c r="Q423" s="110" t="str">
        <f t="shared" si="16"/>
        <v>4</v>
      </c>
      <c r="R423" s="110" t="str">
        <f t="shared" si="17"/>
        <v>2</v>
      </c>
      <c r="S423" s="110" t="str">
        <f t="shared" si="18"/>
        <v>1</v>
      </c>
    </row>
    <row r="424" spans="2:19" x14ac:dyDescent="0.2">
      <c r="B424" s="57" t="s">
        <v>2410</v>
      </c>
      <c r="C424" s="57" t="s">
        <v>2702</v>
      </c>
      <c r="D424" s="55" t="str">
        <f>VLOOKUP(VLOOKUP(Q424&amp;"_"&amp;R424,活动关卡!$A$4:$Z$27,2+5*S424,FALSE),'⚪设计'!$B$85:$H$114,2,FALSE)</f>
        <v>ResUnit_MiFeng2</v>
      </c>
      <c r="E424" s="55">
        <f>VLOOKUP(VLOOKUP(Q424&amp;"_"&amp;R424,活动关卡!$A$4:$Z$27,2+5*S424,FALSE),'⚪设计'!$B$85:$H$114,6,FALSE)*VLOOKUP(Q424&amp;"_"&amp;R424,活动关卡!$A$4:$Z$27,5,FALSE)</f>
        <v>2</v>
      </c>
      <c r="F424">
        <v>400</v>
      </c>
      <c r="G424" t="b">
        <v>1</v>
      </c>
      <c r="H424">
        <v>1</v>
      </c>
      <c r="I424">
        <v>1</v>
      </c>
      <c r="J424">
        <v>0.5</v>
      </c>
      <c r="K424" s="55">
        <f>VLOOKUP(VLOOKUP(Q424&amp;"_"&amp;R424,活动关卡!$A$4:$Z$27,2+5*S424,FALSE),'⚪设计'!$B$85:$H$114,7,FALSE)</f>
        <v>1.5</v>
      </c>
      <c r="L424" s="57" t="s">
        <v>2118</v>
      </c>
      <c r="M424" t="s">
        <v>468</v>
      </c>
      <c r="N424" t="s">
        <v>469</v>
      </c>
      <c r="O424" t="s">
        <v>470</v>
      </c>
      <c r="P424" s="57" t="str">
        <f>IF(VLOOKUP(D424,'⚪设计'!$C$85:$I$113,7,FALSE)="","",VLOOKUP(D424,'⚪设计'!$C$85:$I$113,7,FALSE))</f>
        <v/>
      </c>
      <c r="Q424" s="110" t="str">
        <f t="shared" si="16"/>
        <v>4</v>
      </c>
      <c r="R424" s="110" t="str">
        <f t="shared" si="17"/>
        <v>2</v>
      </c>
      <c r="S424" s="110" t="str">
        <f t="shared" si="18"/>
        <v>2</v>
      </c>
    </row>
    <row r="425" spans="2:19" x14ac:dyDescent="0.2">
      <c r="B425" s="57" t="s">
        <v>2411</v>
      </c>
      <c r="C425" s="57" t="s">
        <v>2703</v>
      </c>
      <c r="D425" s="55" t="str">
        <f>VLOOKUP(VLOOKUP(Q425&amp;"_"&amp;R425,活动关卡!$A$4:$Z$27,2+5*S425,FALSE),'⚪设计'!$B$85:$H$114,2,FALSE)</f>
        <v>ResUnit_Niao2</v>
      </c>
      <c r="E425" s="55">
        <f>VLOOKUP(VLOOKUP(Q425&amp;"_"&amp;R425,活动关卡!$A$4:$Z$27,2+5*S425,FALSE),'⚪设计'!$B$85:$H$114,6,FALSE)*VLOOKUP(Q425&amp;"_"&amp;R425,活动关卡!$A$4:$Z$27,5,FALSE)</f>
        <v>2</v>
      </c>
      <c r="F425">
        <v>400</v>
      </c>
      <c r="G425" t="b">
        <v>1</v>
      </c>
      <c r="H425">
        <v>1</v>
      </c>
      <c r="I425">
        <v>1</v>
      </c>
      <c r="J425">
        <v>0.5</v>
      </c>
      <c r="K425" s="55">
        <f>VLOOKUP(VLOOKUP(Q425&amp;"_"&amp;R425,活动关卡!$A$4:$Z$27,2+5*S425,FALSE),'⚪设计'!$B$85:$H$114,7,FALSE)</f>
        <v>1.5</v>
      </c>
      <c r="L425" s="57" t="s">
        <v>2119</v>
      </c>
      <c r="M425" t="s">
        <v>468</v>
      </c>
      <c r="N425" t="s">
        <v>469</v>
      </c>
      <c r="O425" t="s">
        <v>470</v>
      </c>
      <c r="P425" s="57" t="str">
        <f>IF(VLOOKUP(D425,'⚪设计'!$C$85:$I$113,7,FALSE)="","",VLOOKUP(D425,'⚪设计'!$C$85:$I$113,7,FALSE))</f>
        <v>Skill_Monster_Niao2,NormalAttack</v>
      </c>
      <c r="Q425" s="110" t="str">
        <f t="shared" si="16"/>
        <v>4</v>
      </c>
      <c r="R425" s="110" t="str">
        <f t="shared" si="17"/>
        <v>2</v>
      </c>
      <c r="S425" s="110" t="str">
        <f t="shared" si="18"/>
        <v>3</v>
      </c>
    </row>
    <row r="426" spans="2:19" x14ac:dyDescent="0.2">
      <c r="B426" s="57" t="s">
        <v>2412</v>
      </c>
      <c r="C426" s="57" t="s">
        <v>2704</v>
      </c>
      <c r="D426" s="55" t="str">
        <f>VLOOKUP(VLOOKUP(Q426&amp;"_"&amp;R426,活动关卡!$A$4:$Z$27,2+5*S426,FALSE),'⚪设计'!$B$85:$H$114,2,FALSE)</f>
        <v>ResUnit_Gui1</v>
      </c>
      <c r="E426" s="55">
        <f>VLOOKUP(VLOOKUP(Q426&amp;"_"&amp;R426,活动关卡!$A$4:$Z$27,2+5*S426,FALSE),'⚪设计'!$B$85:$H$114,6,FALSE)*VLOOKUP(Q426&amp;"_"&amp;R426,活动关卡!$A$4:$Z$27,5,FALSE)</f>
        <v>2</v>
      </c>
      <c r="F426">
        <v>400</v>
      </c>
      <c r="G426" t="b">
        <v>1</v>
      </c>
      <c r="H426">
        <v>1</v>
      </c>
      <c r="I426">
        <v>1</v>
      </c>
      <c r="J426">
        <v>0.5</v>
      </c>
      <c r="K426" s="55">
        <f>VLOOKUP(VLOOKUP(Q426&amp;"_"&amp;R426,活动关卡!$A$4:$Z$27,2+5*S426,FALSE),'⚪设计'!$B$85:$H$114,7,FALSE)</f>
        <v>1</v>
      </c>
      <c r="L426" s="57" t="s">
        <v>2120</v>
      </c>
      <c r="M426" t="s">
        <v>468</v>
      </c>
      <c r="N426" t="s">
        <v>469</v>
      </c>
      <c r="O426" t="s">
        <v>470</v>
      </c>
      <c r="P426" s="57" t="str">
        <f>IF(VLOOKUP(D426,'⚪设计'!$C$85:$I$113,7,FALSE)="","",VLOOKUP(D426,'⚪设计'!$C$85:$I$113,7,FALSE))</f>
        <v>Skill_Monster_Invisible,NormalAttack</v>
      </c>
      <c r="Q426" s="110" t="str">
        <f t="shared" si="16"/>
        <v>4</v>
      </c>
      <c r="R426" s="110" t="str">
        <f t="shared" si="17"/>
        <v>3</v>
      </c>
      <c r="S426" s="110" t="str">
        <f t="shared" si="18"/>
        <v>1</v>
      </c>
    </row>
    <row r="427" spans="2:19" x14ac:dyDescent="0.2">
      <c r="B427" s="57" t="s">
        <v>2413</v>
      </c>
      <c r="C427" s="57" t="s">
        <v>2705</v>
      </c>
      <c r="D427" s="55" t="str">
        <f>VLOOKUP(VLOOKUP(Q427&amp;"_"&amp;R427,活动关卡!$A$4:$Z$27,2+5*S427,FALSE),'⚪设计'!$B$85:$H$114,2,FALSE)</f>
        <v>ResUnit_BianFu1</v>
      </c>
      <c r="E427" s="55">
        <f>VLOOKUP(VLOOKUP(Q427&amp;"_"&amp;R427,活动关卡!$A$4:$Z$27,2+5*S427,FALSE),'⚪设计'!$B$85:$H$114,6,FALSE)*VLOOKUP(Q427&amp;"_"&amp;R427,活动关卡!$A$4:$Z$27,5,FALSE)</f>
        <v>2</v>
      </c>
      <c r="F427">
        <v>400</v>
      </c>
      <c r="G427" t="b">
        <v>1</v>
      </c>
      <c r="H427">
        <v>1</v>
      </c>
      <c r="I427">
        <v>1</v>
      </c>
      <c r="J427">
        <v>0.5</v>
      </c>
      <c r="K427" s="55">
        <f>VLOOKUP(VLOOKUP(Q427&amp;"_"&amp;R427,活动关卡!$A$4:$Z$27,2+5*S427,FALSE),'⚪设计'!$B$85:$H$114,7,FALSE)</f>
        <v>1</v>
      </c>
      <c r="L427" s="57" t="s">
        <v>2121</v>
      </c>
      <c r="M427" t="s">
        <v>468</v>
      </c>
      <c r="N427" t="s">
        <v>469</v>
      </c>
      <c r="O427" t="s">
        <v>470</v>
      </c>
      <c r="P427" s="57" t="str">
        <f>IF(VLOOKUP(D427,'⚪设计'!$C$85:$I$113,7,FALSE)="","",VLOOKUP(D427,'⚪设计'!$C$85:$I$113,7,FALSE))</f>
        <v/>
      </c>
      <c r="Q427" s="110" t="str">
        <f t="shared" si="16"/>
        <v>4</v>
      </c>
      <c r="R427" s="110" t="str">
        <f t="shared" si="17"/>
        <v>3</v>
      </c>
      <c r="S427" s="110" t="str">
        <f t="shared" si="18"/>
        <v>2</v>
      </c>
    </row>
    <row r="428" spans="2:19" x14ac:dyDescent="0.2">
      <c r="B428" s="57" t="s">
        <v>2414</v>
      </c>
      <c r="C428" s="57" t="s">
        <v>2706</v>
      </c>
      <c r="D428" s="55" t="str">
        <f>VLOOKUP(VLOOKUP(Q428&amp;"_"&amp;R428,活动关卡!$A$4:$Z$27,2+5*S428,FALSE),'⚪设计'!$B$85:$H$114,2,FALSE)</f>
        <v>ResUnit_Niao2</v>
      </c>
      <c r="E428" s="55">
        <f>VLOOKUP(VLOOKUP(Q428&amp;"_"&amp;R428,活动关卡!$A$4:$Z$27,2+5*S428,FALSE),'⚪设计'!$B$85:$H$114,6,FALSE)*VLOOKUP(Q428&amp;"_"&amp;R428,活动关卡!$A$4:$Z$27,5,FALSE)</f>
        <v>2</v>
      </c>
      <c r="F428">
        <v>400</v>
      </c>
      <c r="G428" t="b">
        <v>1</v>
      </c>
      <c r="H428">
        <v>1</v>
      </c>
      <c r="I428">
        <v>1</v>
      </c>
      <c r="J428">
        <v>0.5</v>
      </c>
      <c r="K428" s="55">
        <f>VLOOKUP(VLOOKUP(Q428&amp;"_"&amp;R428,活动关卡!$A$4:$Z$27,2+5*S428,FALSE),'⚪设计'!$B$85:$H$114,7,FALSE)</f>
        <v>1.5</v>
      </c>
      <c r="L428" s="57" t="s">
        <v>2122</v>
      </c>
      <c r="M428" t="s">
        <v>468</v>
      </c>
      <c r="N428" t="s">
        <v>469</v>
      </c>
      <c r="O428" t="s">
        <v>470</v>
      </c>
      <c r="P428" s="57" t="str">
        <f>IF(VLOOKUP(D428,'⚪设计'!$C$85:$I$113,7,FALSE)="","",VLOOKUP(D428,'⚪设计'!$C$85:$I$113,7,FALSE))</f>
        <v>Skill_Monster_Niao2,NormalAttack</v>
      </c>
      <c r="Q428" s="110" t="str">
        <f t="shared" si="16"/>
        <v>4</v>
      </c>
      <c r="R428" s="110" t="str">
        <f t="shared" si="17"/>
        <v>3</v>
      </c>
      <c r="S428" s="110" t="str">
        <f t="shared" si="18"/>
        <v>3</v>
      </c>
    </row>
    <row r="429" spans="2:19" x14ac:dyDescent="0.2">
      <c r="B429" s="57" t="s">
        <v>2415</v>
      </c>
      <c r="C429" s="57" t="s">
        <v>2707</v>
      </c>
      <c r="D429" s="55" t="str">
        <f>VLOOKUP(VLOOKUP(Q429&amp;"_"&amp;R429,活动关卡!$A$4:$Z$27,2+5*S429,FALSE),'⚪设计'!$B$85:$H$114,2,FALSE)</f>
        <v>ResUnit_Gui1</v>
      </c>
      <c r="E429" s="55">
        <f>VLOOKUP(VLOOKUP(Q429&amp;"_"&amp;R429,活动关卡!$A$4:$Z$27,2+5*S429,FALSE),'⚪设计'!$B$85:$H$114,6,FALSE)*VLOOKUP(Q429&amp;"_"&amp;R429,活动关卡!$A$4:$Z$27,5,FALSE)</f>
        <v>2</v>
      </c>
      <c r="F429">
        <v>400</v>
      </c>
      <c r="G429" t="b">
        <v>1</v>
      </c>
      <c r="H429">
        <v>1</v>
      </c>
      <c r="I429">
        <v>1</v>
      </c>
      <c r="J429">
        <v>0.5</v>
      </c>
      <c r="K429" s="55">
        <f>VLOOKUP(VLOOKUP(Q429&amp;"_"&amp;R429,活动关卡!$A$4:$Z$27,2+5*S429,FALSE),'⚪设计'!$B$85:$H$114,7,FALSE)</f>
        <v>1</v>
      </c>
      <c r="L429" s="57" t="s">
        <v>2123</v>
      </c>
      <c r="M429" t="s">
        <v>468</v>
      </c>
      <c r="N429" t="s">
        <v>469</v>
      </c>
      <c r="O429" t="s">
        <v>470</v>
      </c>
      <c r="P429" s="57" t="str">
        <f>IF(VLOOKUP(D429,'⚪设计'!$C$85:$I$113,7,FALSE)="","",VLOOKUP(D429,'⚪设计'!$C$85:$I$113,7,FALSE))</f>
        <v>Skill_Monster_Invisible,NormalAttack</v>
      </c>
      <c r="Q429" s="110" t="str">
        <f t="shared" si="16"/>
        <v>4</v>
      </c>
      <c r="R429" s="110" t="str">
        <f t="shared" si="17"/>
        <v>4</v>
      </c>
      <c r="S429" s="110" t="str">
        <f t="shared" si="18"/>
        <v>1</v>
      </c>
    </row>
    <row r="430" spans="2:19" x14ac:dyDescent="0.2">
      <c r="B430" s="57" t="s">
        <v>2416</v>
      </c>
      <c r="C430" s="57" t="s">
        <v>2708</v>
      </c>
      <c r="D430" s="55" t="str">
        <f>VLOOKUP(VLOOKUP(Q430&amp;"_"&amp;R430,活动关卡!$A$4:$Z$27,2+5*S430,FALSE),'⚪设计'!$B$85:$H$114,2,FALSE)</f>
        <v>ResUnit_ZhiZhu1</v>
      </c>
      <c r="E430" s="55">
        <f>VLOOKUP(VLOOKUP(Q430&amp;"_"&amp;R430,活动关卡!$A$4:$Z$27,2+5*S430,FALSE),'⚪设计'!$B$85:$H$114,6,FALSE)*VLOOKUP(Q430&amp;"_"&amp;R430,活动关卡!$A$4:$Z$27,5,FALSE)</f>
        <v>3</v>
      </c>
      <c r="F430">
        <v>400</v>
      </c>
      <c r="G430" t="b">
        <v>1</v>
      </c>
      <c r="H430">
        <v>1</v>
      </c>
      <c r="I430">
        <v>1</v>
      </c>
      <c r="J430">
        <v>0.5</v>
      </c>
      <c r="K430" s="55">
        <f>VLOOKUP(VLOOKUP(Q430&amp;"_"&amp;R430,活动关卡!$A$4:$Z$27,2+5*S430,FALSE),'⚪设计'!$B$85:$H$114,7,FALSE)</f>
        <v>1</v>
      </c>
      <c r="L430" s="57" t="s">
        <v>2124</v>
      </c>
      <c r="M430" t="s">
        <v>468</v>
      </c>
      <c r="N430" t="s">
        <v>469</v>
      </c>
      <c r="O430" t="s">
        <v>470</v>
      </c>
      <c r="P430" s="57" t="str">
        <f>IF(VLOOKUP(D430,'⚪设计'!$C$85:$I$113,7,FALSE)="","",VLOOKUP(D430,'⚪设计'!$C$85:$I$113,7,FALSE))</f>
        <v/>
      </c>
      <c r="Q430" s="110" t="str">
        <f t="shared" si="16"/>
        <v>4</v>
      </c>
      <c r="R430" s="110" t="str">
        <f t="shared" si="17"/>
        <v>4</v>
      </c>
      <c r="S430" s="110" t="str">
        <f t="shared" si="18"/>
        <v>2</v>
      </c>
    </row>
    <row r="431" spans="2:19" x14ac:dyDescent="0.2">
      <c r="B431" s="57" t="s">
        <v>2417</v>
      </c>
      <c r="C431" s="57" t="s">
        <v>2709</v>
      </c>
      <c r="D431" s="55" t="str">
        <f>VLOOKUP(VLOOKUP(Q431&amp;"_"&amp;R431,活动关卡!$A$4:$Z$27,2+5*S431,FALSE),'⚪设计'!$B$85:$H$114,2,FALSE)</f>
        <v>ResUnit_Niao2</v>
      </c>
      <c r="E431" s="55">
        <f>VLOOKUP(VLOOKUP(Q431&amp;"_"&amp;R431,活动关卡!$A$4:$Z$27,2+5*S431,FALSE),'⚪设计'!$B$85:$H$114,6,FALSE)*VLOOKUP(Q431&amp;"_"&amp;R431,活动关卡!$A$4:$Z$27,5,FALSE)</f>
        <v>2</v>
      </c>
      <c r="F431">
        <v>400</v>
      </c>
      <c r="G431" t="b">
        <v>1</v>
      </c>
      <c r="H431">
        <v>1</v>
      </c>
      <c r="I431">
        <v>1</v>
      </c>
      <c r="J431">
        <v>0.5</v>
      </c>
      <c r="K431" s="55">
        <f>VLOOKUP(VLOOKUP(Q431&amp;"_"&amp;R431,活动关卡!$A$4:$Z$27,2+5*S431,FALSE),'⚪设计'!$B$85:$H$114,7,FALSE)</f>
        <v>1.5</v>
      </c>
      <c r="L431" s="57" t="s">
        <v>2125</v>
      </c>
      <c r="M431" t="s">
        <v>468</v>
      </c>
      <c r="N431" t="s">
        <v>469</v>
      </c>
      <c r="O431" t="s">
        <v>470</v>
      </c>
      <c r="P431" s="57" t="str">
        <f>IF(VLOOKUP(D431,'⚪设计'!$C$85:$I$113,7,FALSE)="","",VLOOKUP(D431,'⚪设计'!$C$85:$I$113,7,FALSE))</f>
        <v>Skill_Monster_Niao2,NormalAttack</v>
      </c>
      <c r="Q431" s="110" t="str">
        <f t="shared" si="16"/>
        <v>4</v>
      </c>
      <c r="R431" s="110" t="str">
        <f t="shared" si="17"/>
        <v>4</v>
      </c>
      <c r="S431" s="110" t="str">
        <f t="shared" si="18"/>
        <v>3</v>
      </c>
    </row>
    <row r="432" spans="2:19" x14ac:dyDescent="0.2">
      <c r="B432" s="57" t="s">
        <v>2418</v>
      </c>
      <c r="C432" s="57" t="s">
        <v>2710</v>
      </c>
      <c r="D432" s="55" t="str">
        <f>VLOOKUP(VLOOKUP(Q432&amp;"_"&amp;R432,活动关卡!$A$4:$Z$27,2+5*S432,FALSE),'⚪设计'!$B$85:$H$114,2,FALSE)</f>
        <v>ResUnit_Gui1</v>
      </c>
      <c r="E432" s="55">
        <f>VLOOKUP(VLOOKUP(Q432&amp;"_"&amp;R432,活动关卡!$A$4:$Z$27,2+5*S432,FALSE),'⚪设计'!$B$85:$H$114,6,FALSE)*VLOOKUP(Q432&amp;"_"&amp;R432,活动关卡!$A$4:$Z$27,5,FALSE)</f>
        <v>2</v>
      </c>
      <c r="F432">
        <v>400</v>
      </c>
      <c r="G432" t="b">
        <v>1</v>
      </c>
      <c r="H432">
        <v>1</v>
      </c>
      <c r="I432">
        <v>1</v>
      </c>
      <c r="J432">
        <v>0.5</v>
      </c>
      <c r="K432" s="55">
        <f>VLOOKUP(VLOOKUP(Q432&amp;"_"&amp;R432,活动关卡!$A$4:$Z$27,2+5*S432,FALSE),'⚪设计'!$B$85:$H$114,7,FALSE)</f>
        <v>1</v>
      </c>
      <c r="L432" s="57" t="s">
        <v>2126</v>
      </c>
      <c r="M432" t="s">
        <v>468</v>
      </c>
      <c r="N432" t="s">
        <v>469</v>
      </c>
      <c r="O432" t="s">
        <v>470</v>
      </c>
      <c r="P432" s="57" t="str">
        <f>IF(VLOOKUP(D432,'⚪设计'!$C$85:$I$113,7,FALSE)="","",VLOOKUP(D432,'⚪设计'!$C$85:$I$113,7,FALSE))</f>
        <v>Skill_Monster_Invisible,NormalAttack</v>
      </c>
      <c r="Q432" s="110" t="str">
        <f t="shared" si="16"/>
        <v>4</v>
      </c>
      <c r="R432" s="110" t="str">
        <f t="shared" si="17"/>
        <v>5</v>
      </c>
      <c r="S432" s="110" t="str">
        <f t="shared" si="18"/>
        <v>1</v>
      </c>
    </row>
    <row r="433" spans="2:19" x14ac:dyDescent="0.2">
      <c r="B433" s="57" t="s">
        <v>2419</v>
      </c>
      <c r="C433" s="57" t="s">
        <v>2711</v>
      </c>
      <c r="D433" s="55" t="str">
        <f>VLOOKUP(VLOOKUP(Q433&amp;"_"&amp;R433,活动关卡!$A$4:$Z$27,2+5*S433,FALSE),'⚪设计'!$B$85:$H$114,2,FALSE)</f>
        <v>ResUnit_ZhongZi1</v>
      </c>
      <c r="E433" s="55">
        <f>VLOOKUP(VLOOKUP(Q433&amp;"_"&amp;R433,活动关卡!$A$4:$Z$27,2+5*S433,FALSE),'⚪设计'!$B$85:$H$114,6,FALSE)*VLOOKUP(Q433&amp;"_"&amp;R433,活动关卡!$A$4:$Z$27,5,FALSE)</f>
        <v>2</v>
      </c>
      <c r="F433">
        <v>400</v>
      </c>
      <c r="G433" t="b">
        <v>1</v>
      </c>
      <c r="H433">
        <v>1</v>
      </c>
      <c r="I433">
        <v>1</v>
      </c>
      <c r="J433">
        <v>0.5</v>
      </c>
      <c r="K433" s="55">
        <f>VLOOKUP(VLOOKUP(Q433&amp;"_"&amp;R433,活动关卡!$A$4:$Z$27,2+5*S433,FALSE),'⚪设计'!$B$85:$H$114,7,FALSE)</f>
        <v>1</v>
      </c>
      <c r="L433" s="57" t="s">
        <v>2127</v>
      </c>
      <c r="M433" t="s">
        <v>468</v>
      </c>
      <c r="N433" t="s">
        <v>469</v>
      </c>
      <c r="O433" t="s">
        <v>470</v>
      </c>
      <c r="P433" s="57" t="str">
        <f>IF(VLOOKUP(D433,'⚪设计'!$C$85:$I$113,7,FALSE)="","",VLOOKUP(D433,'⚪设计'!$C$85:$I$113,7,FALSE))</f>
        <v>Skill_Monster_Heal,NormalAttack</v>
      </c>
      <c r="Q433" s="110" t="str">
        <f t="shared" si="16"/>
        <v>4</v>
      </c>
      <c r="R433" s="110" t="str">
        <f t="shared" si="17"/>
        <v>5</v>
      </c>
      <c r="S433" s="110" t="str">
        <f t="shared" si="18"/>
        <v>2</v>
      </c>
    </row>
    <row r="434" spans="2:19" x14ac:dyDescent="0.2">
      <c r="B434" s="57" t="s">
        <v>2420</v>
      </c>
      <c r="C434" s="57" t="s">
        <v>2712</v>
      </c>
      <c r="D434" s="55" t="str">
        <f>VLOOKUP(VLOOKUP(Q434&amp;"_"&amp;R434,活动关卡!$A$4:$Z$27,2+5*S434,FALSE),'⚪设计'!$B$85:$H$114,2,FALSE)</f>
        <v>ResUnit_Niao2</v>
      </c>
      <c r="E434" s="55">
        <f>VLOOKUP(VLOOKUP(Q434&amp;"_"&amp;R434,活动关卡!$A$4:$Z$27,2+5*S434,FALSE),'⚪设计'!$B$85:$H$114,6,FALSE)*VLOOKUP(Q434&amp;"_"&amp;R434,活动关卡!$A$4:$Z$27,5,FALSE)</f>
        <v>2</v>
      </c>
      <c r="F434">
        <v>400</v>
      </c>
      <c r="G434" t="b">
        <v>1</v>
      </c>
      <c r="H434">
        <v>1</v>
      </c>
      <c r="I434">
        <v>1</v>
      </c>
      <c r="J434">
        <v>0.5</v>
      </c>
      <c r="K434" s="55">
        <f>VLOOKUP(VLOOKUP(Q434&amp;"_"&amp;R434,活动关卡!$A$4:$Z$27,2+5*S434,FALSE),'⚪设计'!$B$85:$H$114,7,FALSE)</f>
        <v>1.5</v>
      </c>
      <c r="L434" s="57" t="s">
        <v>2128</v>
      </c>
      <c r="M434" t="s">
        <v>468</v>
      </c>
      <c r="N434" t="s">
        <v>469</v>
      </c>
      <c r="O434" t="s">
        <v>470</v>
      </c>
      <c r="P434" s="57" t="str">
        <f>IF(VLOOKUP(D434,'⚪设计'!$C$85:$I$113,7,FALSE)="","",VLOOKUP(D434,'⚪设计'!$C$85:$I$113,7,FALSE))</f>
        <v>Skill_Monster_Niao2,NormalAttack</v>
      </c>
      <c r="Q434" s="110" t="str">
        <f t="shared" si="16"/>
        <v>4</v>
      </c>
      <c r="R434" s="110" t="str">
        <f t="shared" si="17"/>
        <v>5</v>
      </c>
      <c r="S434" s="110" t="str">
        <f t="shared" si="18"/>
        <v>3</v>
      </c>
    </row>
    <row r="435" spans="2:19" x14ac:dyDescent="0.2">
      <c r="B435" s="57" t="s">
        <v>2421</v>
      </c>
      <c r="C435" s="57" t="s">
        <v>2713</v>
      </c>
      <c r="D435" s="55" t="str">
        <f>VLOOKUP(VLOOKUP(Q435&amp;"_"&amp;R435,活动关卡!$A$4:$Z$27,2+5*S435,FALSE),'⚪设计'!$B$85:$H$114,2,FALSE)</f>
        <v>ResUnit_Dan2</v>
      </c>
      <c r="E435" s="55">
        <f>VLOOKUP(VLOOKUP(Q435&amp;"_"&amp;R435,活动关卡!$A$4:$Z$27,2+5*S435,FALSE),'⚪设计'!$B$85:$H$114,6,FALSE)*VLOOKUP(Q435&amp;"_"&amp;R435,活动关卡!$A$4:$Z$27,5,FALSE)</f>
        <v>2</v>
      </c>
      <c r="F435">
        <v>400</v>
      </c>
      <c r="G435" t="b">
        <v>1</v>
      </c>
      <c r="H435">
        <v>1</v>
      </c>
      <c r="I435">
        <v>1</v>
      </c>
      <c r="J435">
        <v>0.5</v>
      </c>
      <c r="K435" s="55">
        <f>VLOOKUP(VLOOKUP(Q435&amp;"_"&amp;R435,活动关卡!$A$4:$Z$27,2+5*S435,FALSE),'⚪设计'!$B$85:$H$114,7,FALSE)</f>
        <v>1.5</v>
      </c>
      <c r="L435" s="57" t="s">
        <v>2129</v>
      </c>
      <c r="M435" t="s">
        <v>468</v>
      </c>
      <c r="N435" t="s">
        <v>469</v>
      </c>
      <c r="O435" t="s">
        <v>470</v>
      </c>
      <c r="P435" s="57" t="str">
        <f>IF(VLOOKUP(D435,'⚪设计'!$C$85:$I$113,7,FALSE)="","",VLOOKUP(D435,'⚪设计'!$C$85:$I$113,7,FALSE))</f>
        <v>Skill_Monster_Weaken,NormalAttack</v>
      </c>
      <c r="Q435" s="110" t="str">
        <f t="shared" si="16"/>
        <v>5</v>
      </c>
      <c r="R435" s="110" t="str">
        <f t="shared" si="17"/>
        <v>1</v>
      </c>
      <c r="S435" s="110" t="str">
        <f t="shared" si="18"/>
        <v>1</v>
      </c>
    </row>
    <row r="436" spans="2:19" x14ac:dyDescent="0.2">
      <c r="B436" s="57" t="s">
        <v>2422</v>
      </c>
      <c r="C436" s="57" t="s">
        <v>2714</v>
      </c>
      <c r="D436" s="55" t="str">
        <f>VLOOKUP(VLOOKUP(Q436&amp;"_"&amp;R436,活动关卡!$A$4:$Z$27,2+5*S436,FALSE),'⚪设计'!$B$85:$H$114,2,FALSE)</f>
        <v>ResUnit_Niao2</v>
      </c>
      <c r="E436" s="55">
        <f>VLOOKUP(VLOOKUP(Q436&amp;"_"&amp;R436,活动关卡!$A$4:$Z$27,2+5*S436,FALSE),'⚪设计'!$B$85:$H$114,6,FALSE)*VLOOKUP(Q436&amp;"_"&amp;R436,活动关卡!$A$4:$Z$27,5,FALSE)</f>
        <v>2</v>
      </c>
      <c r="F436">
        <v>400</v>
      </c>
      <c r="G436" t="b">
        <v>1</v>
      </c>
      <c r="H436">
        <v>1</v>
      </c>
      <c r="I436">
        <v>1</v>
      </c>
      <c r="J436">
        <v>0.5</v>
      </c>
      <c r="K436" s="55">
        <f>VLOOKUP(VLOOKUP(Q436&amp;"_"&amp;R436,活动关卡!$A$4:$Z$27,2+5*S436,FALSE),'⚪设计'!$B$85:$H$114,7,FALSE)</f>
        <v>1.5</v>
      </c>
      <c r="L436" s="57" t="s">
        <v>2130</v>
      </c>
      <c r="M436" t="s">
        <v>468</v>
      </c>
      <c r="N436" t="s">
        <v>469</v>
      </c>
      <c r="O436" t="s">
        <v>470</v>
      </c>
      <c r="P436" s="57" t="str">
        <f>IF(VLOOKUP(D436,'⚪设计'!$C$85:$I$113,7,FALSE)="","",VLOOKUP(D436,'⚪设计'!$C$85:$I$113,7,FALSE))</f>
        <v>Skill_Monster_Niao2,NormalAttack</v>
      </c>
      <c r="Q436" s="110" t="str">
        <f t="shared" si="16"/>
        <v>5</v>
      </c>
      <c r="R436" s="110" t="str">
        <f t="shared" si="17"/>
        <v>1</v>
      </c>
      <c r="S436" s="110" t="str">
        <f t="shared" si="18"/>
        <v>2</v>
      </c>
    </row>
    <row r="437" spans="2:19" x14ac:dyDescent="0.2">
      <c r="B437" s="57" t="s">
        <v>2423</v>
      </c>
      <c r="C437" s="57" t="s">
        <v>2715</v>
      </c>
      <c r="D437" s="55" t="str">
        <f>VLOOKUP(VLOOKUP(Q437&amp;"_"&amp;R437,活动关卡!$A$4:$Z$27,2+5*S437,FALSE),'⚪设计'!$B$85:$H$114,2,FALSE)</f>
        <v>ResUnit_Dan2</v>
      </c>
      <c r="E437" s="55">
        <f>VLOOKUP(VLOOKUP(Q437&amp;"_"&amp;R437,活动关卡!$A$4:$Z$27,2+5*S437,FALSE),'⚪设计'!$B$85:$H$114,6,FALSE)*VLOOKUP(Q437&amp;"_"&amp;R437,活动关卡!$A$4:$Z$27,5,FALSE)</f>
        <v>2</v>
      </c>
      <c r="F437">
        <v>400</v>
      </c>
      <c r="G437" t="b">
        <v>1</v>
      </c>
      <c r="H437">
        <v>1</v>
      </c>
      <c r="I437">
        <v>1</v>
      </c>
      <c r="J437">
        <v>0.5</v>
      </c>
      <c r="K437" s="55">
        <f>VLOOKUP(VLOOKUP(Q437&amp;"_"&amp;R437,活动关卡!$A$4:$Z$27,2+5*S437,FALSE),'⚪设计'!$B$85:$H$114,7,FALSE)</f>
        <v>1.5</v>
      </c>
      <c r="L437" s="57" t="s">
        <v>2131</v>
      </c>
      <c r="M437" t="s">
        <v>468</v>
      </c>
      <c r="N437" t="s">
        <v>469</v>
      </c>
      <c r="O437" t="s">
        <v>470</v>
      </c>
      <c r="P437" s="57" t="str">
        <f>IF(VLOOKUP(D437,'⚪设计'!$C$85:$I$113,7,FALSE)="","",VLOOKUP(D437,'⚪设计'!$C$85:$I$113,7,FALSE))</f>
        <v>Skill_Monster_Weaken,NormalAttack</v>
      </c>
      <c r="Q437" s="110" t="str">
        <f t="shared" si="16"/>
        <v>5</v>
      </c>
      <c r="R437" s="110" t="str">
        <f t="shared" si="17"/>
        <v>2</v>
      </c>
      <c r="S437" s="110" t="str">
        <f t="shared" si="18"/>
        <v>1</v>
      </c>
    </row>
    <row r="438" spans="2:19" x14ac:dyDescent="0.2">
      <c r="B438" s="57" t="s">
        <v>2424</v>
      </c>
      <c r="C438" s="57" t="s">
        <v>2716</v>
      </c>
      <c r="D438" s="55" t="str">
        <f>VLOOKUP(VLOOKUP(Q438&amp;"_"&amp;R438,活动关卡!$A$4:$Z$27,2+5*S438,FALSE),'⚪设计'!$B$85:$H$114,2,FALSE)</f>
        <v>ResUnit_BianFu1</v>
      </c>
      <c r="E438" s="55">
        <f>VLOOKUP(VLOOKUP(Q438&amp;"_"&amp;R438,活动关卡!$A$4:$Z$27,2+5*S438,FALSE),'⚪设计'!$B$85:$H$114,6,FALSE)*VLOOKUP(Q438&amp;"_"&amp;R438,活动关卡!$A$4:$Z$27,5,FALSE)</f>
        <v>2</v>
      </c>
      <c r="F438">
        <v>400</v>
      </c>
      <c r="G438" t="b">
        <v>1</v>
      </c>
      <c r="H438">
        <v>1</v>
      </c>
      <c r="I438">
        <v>1</v>
      </c>
      <c r="J438">
        <v>0.5</v>
      </c>
      <c r="K438" s="55">
        <f>VLOOKUP(VLOOKUP(Q438&amp;"_"&amp;R438,活动关卡!$A$4:$Z$27,2+5*S438,FALSE),'⚪设计'!$B$85:$H$114,7,FALSE)</f>
        <v>1</v>
      </c>
      <c r="L438" s="57" t="s">
        <v>2132</v>
      </c>
      <c r="M438" t="s">
        <v>468</v>
      </c>
      <c r="N438" t="s">
        <v>469</v>
      </c>
      <c r="O438" t="s">
        <v>470</v>
      </c>
      <c r="P438" s="57" t="str">
        <f>IF(VLOOKUP(D438,'⚪设计'!$C$85:$I$113,7,FALSE)="","",VLOOKUP(D438,'⚪设计'!$C$85:$I$113,7,FALSE))</f>
        <v/>
      </c>
      <c r="Q438" s="110" t="str">
        <f t="shared" si="16"/>
        <v>5</v>
      </c>
      <c r="R438" s="110" t="str">
        <f t="shared" si="17"/>
        <v>2</v>
      </c>
      <c r="S438" s="110" t="str">
        <f t="shared" si="18"/>
        <v>2</v>
      </c>
    </row>
    <row r="439" spans="2:19" x14ac:dyDescent="0.2">
      <c r="B439" s="57" t="s">
        <v>2425</v>
      </c>
      <c r="C439" s="57" t="s">
        <v>2717</v>
      </c>
      <c r="D439" s="55" t="str">
        <f>VLOOKUP(VLOOKUP(Q439&amp;"_"&amp;R439,活动关卡!$A$4:$Z$27,2+5*S439,FALSE),'⚪设计'!$B$85:$H$114,2,FALSE)</f>
        <v>ResUnit_Niao2</v>
      </c>
      <c r="E439" s="55">
        <f>VLOOKUP(VLOOKUP(Q439&amp;"_"&amp;R439,活动关卡!$A$4:$Z$27,2+5*S439,FALSE),'⚪设计'!$B$85:$H$114,6,FALSE)*VLOOKUP(Q439&amp;"_"&amp;R439,活动关卡!$A$4:$Z$27,5,FALSE)</f>
        <v>2</v>
      </c>
      <c r="F439">
        <v>400</v>
      </c>
      <c r="G439" t="b">
        <v>1</v>
      </c>
      <c r="H439">
        <v>1</v>
      </c>
      <c r="I439">
        <v>1</v>
      </c>
      <c r="J439">
        <v>0.5</v>
      </c>
      <c r="K439" s="55">
        <f>VLOOKUP(VLOOKUP(Q439&amp;"_"&amp;R439,活动关卡!$A$4:$Z$27,2+5*S439,FALSE),'⚪设计'!$B$85:$H$114,7,FALSE)</f>
        <v>1.5</v>
      </c>
      <c r="L439" s="57" t="s">
        <v>2133</v>
      </c>
      <c r="M439" t="s">
        <v>468</v>
      </c>
      <c r="N439" t="s">
        <v>469</v>
      </c>
      <c r="O439" t="s">
        <v>470</v>
      </c>
      <c r="P439" s="57" t="str">
        <f>IF(VLOOKUP(D439,'⚪设计'!$C$85:$I$113,7,FALSE)="","",VLOOKUP(D439,'⚪设计'!$C$85:$I$113,7,FALSE))</f>
        <v>Skill_Monster_Niao2,NormalAttack</v>
      </c>
      <c r="Q439" s="110" t="str">
        <f t="shared" si="16"/>
        <v>5</v>
      </c>
      <c r="R439" s="110" t="str">
        <f t="shared" si="17"/>
        <v>2</v>
      </c>
      <c r="S439" s="110" t="str">
        <f t="shared" si="18"/>
        <v>3</v>
      </c>
    </row>
    <row r="440" spans="2:19" x14ac:dyDescent="0.2">
      <c r="B440" s="57" t="s">
        <v>2426</v>
      </c>
      <c r="C440" s="57" t="s">
        <v>2718</v>
      </c>
      <c r="D440" s="55" t="str">
        <f>VLOOKUP(VLOOKUP(Q440&amp;"_"&amp;R440,活动关卡!$A$4:$Z$27,2+5*S440,FALSE),'⚪设计'!$B$85:$H$114,2,FALSE)</f>
        <v>ResUnit_Dan2</v>
      </c>
      <c r="E440" s="55">
        <f>VLOOKUP(VLOOKUP(Q440&amp;"_"&amp;R440,活动关卡!$A$4:$Z$27,2+5*S440,FALSE),'⚪设计'!$B$85:$H$114,6,FALSE)*VLOOKUP(Q440&amp;"_"&amp;R440,活动关卡!$A$4:$Z$27,5,FALSE)</f>
        <v>2</v>
      </c>
      <c r="F440">
        <v>400</v>
      </c>
      <c r="G440" t="b">
        <v>1</v>
      </c>
      <c r="H440">
        <v>1</v>
      </c>
      <c r="I440">
        <v>1</v>
      </c>
      <c r="J440">
        <v>0.5</v>
      </c>
      <c r="K440" s="55">
        <f>VLOOKUP(VLOOKUP(Q440&amp;"_"&amp;R440,活动关卡!$A$4:$Z$27,2+5*S440,FALSE),'⚪设计'!$B$85:$H$114,7,FALSE)</f>
        <v>1.5</v>
      </c>
      <c r="L440" s="57" t="s">
        <v>2134</v>
      </c>
      <c r="M440" t="s">
        <v>468</v>
      </c>
      <c r="N440" t="s">
        <v>469</v>
      </c>
      <c r="O440" t="s">
        <v>470</v>
      </c>
      <c r="P440" s="57" t="str">
        <f>IF(VLOOKUP(D440,'⚪设计'!$C$85:$I$113,7,FALSE)="","",VLOOKUP(D440,'⚪设计'!$C$85:$I$113,7,FALSE))</f>
        <v>Skill_Monster_Weaken,NormalAttack</v>
      </c>
      <c r="Q440" s="110" t="str">
        <f t="shared" si="16"/>
        <v>5</v>
      </c>
      <c r="R440" s="110" t="str">
        <f t="shared" si="17"/>
        <v>3</v>
      </c>
      <c r="S440" s="110" t="str">
        <f t="shared" si="18"/>
        <v>1</v>
      </c>
    </row>
    <row r="441" spans="2:19" x14ac:dyDescent="0.2">
      <c r="B441" s="57" t="s">
        <v>2427</v>
      </c>
      <c r="C441" s="57" t="s">
        <v>2719</v>
      </c>
      <c r="D441" s="55" t="str">
        <f>VLOOKUP(VLOOKUP(Q441&amp;"_"&amp;R441,活动关卡!$A$4:$Z$27,2+5*S441,FALSE),'⚪设计'!$B$85:$H$114,2,FALSE)</f>
        <v>ResUnit_ZhiZhu1</v>
      </c>
      <c r="E441" s="55">
        <f>VLOOKUP(VLOOKUP(Q441&amp;"_"&amp;R441,活动关卡!$A$4:$Z$27,2+5*S441,FALSE),'⚪设计'!$B$85:$H$114,6,FALSE)*VLOOKUP(Q441&amp;"_"&amp;R441,活动关卡!$A$4:$Z$27,5,FALSE)</f>
        <v>3</v>
      </c>
      <c r="F441">
        <v>400</v>
      </c>
      <c r="G441" t="b">
        <v>1</v>
      </c>
      <c r="H441">
        <v>1</v>
      </c>
      <c r="I441">
        <v>1</v>
      </c>
      <c r="J441">
        <v>0.5</v>
      </c>
      <c r="K441" s="55">
        <f>VLOOKUP(VLOOKUP(Q441&amp;"_"&amp;R441,活动关卡!$A$4:$Z$27,2+5*S441,FALSE),'⚪设计'!$B$85:$H$114,7,FALSE)</f>
        <v>1</v>
      </c>
      <c r="L441" s="57" t="s">
        <v>2135</v>
      </c>
      <c r="M441" t="s">
        <v>468</v>
      </c>
      <c r="N441" t="s">
        <v>469</v>
      </c>
      <c r="O441" t="s">
        <v>470</v>
      </c>
      <c r="P441" s="57" t="str">
        <f>IF(VLOOKUP(D441,'⚪设计'!$C$85:$I$113,7,FALSE)="","",VLOOKUP(D441,'⚪设计'!$C$85:$I$113,7,FALSE))</f>
        <v/>
      </c>
      <c r="Q441" s="110" t="str">
        <f t="shared" si="16"/>
        <v>5</v>
      </c>
      <c r="R441" s="110" t="str">
        <f t="shared" si="17"/>
        <v>3</v>
      </c>
      <c r="S441" s="110" t="str">
        <f t="shared" si="18"/>
        <v>2</v>
      </c>
    </row>
    <row r="442" spans="2:19" x14ac:dyDescent="0.2">
      <c r="B442" s="57" t="s">
        <v>2428</v>
      </c>
      <c r="C442" s="57" t="s">
        <v>2720</v>
      </c>
      <c r="D442" s="55" t="str">
        <f>VLOOKUP(VLOOKUP(Q442&amp;"_"&amp;R442,活动关卡!$A$4:$Z$27,2+5*S442,FALSE),'⚪设计'!$B$85:$H$114,2,FALSE)</f>
        <v>ResUnit_Gui1</v>
      </c>
      <c r="E442" s="55">
        <f>VLOOKUP(VLOOKUP(Q442&amp;"_"&amp;R442,活动关卡!$A$4:$Z$27,2+5*S442,FALSE),'⚪设计'!$B$85:$H$114,6,FALSE)*VLOOKUP(Q442&amp;"_"&amp;R442,活动关卡!$A$4:$Z$27,5,FALSE)</f>
        <v>2</v>
      </c>
      <c r="F442">
        <v>400</v>
      </c>
      <c r="G442" t="b">
        <v>1</v>
      </c>
      <c r="H442">
        <v>1</v>
      </c>
      <c r="I442">
        <v>1</v>
      </c>
      <c r="J442">
        <v>0.5</v>
      </c>
      <c r="K442" s="55">
        <f>VLOOKUP(VLOOKUP(Q442&amp;"_"&amp;R442,活动关卡!$A$4:$Z$27,2+5*S442,FALSE),'⚪设计'!$B$85:$H$114,7,FALSE)</f>
        <v>1</v>
      </c>
      <c r="L442" s="57" t="s">
        <v>2136</v>
      </c>
      <c r="M442" t="s">
        <v>468</v>
      </c>
      <c r="N442" t="s">
        <v>469</v>
      </c>
      <c r="O442" t="s">
        <v>470</v>
      </c>
      <c r="P442" s="57" t="str">
        <f>IF(VLOOKUP(D442,'⚪设计'!$C$85:$I$113,7,FALSE)="","",VLOOKUP(D442,'⚪设计'!$C$85:$I$113,7,FALSE))</f>
        <v>Skill_Monster_Invisible,NormalAttack</v>
      </c>
      <c r="Q442" s="110" t="str">
        <f t="shared" si="16"/>
        <v>5</v>
      </c>
      <c r="R442" s="110" t="str">
        <f t="shared" si="17"/>
        <v>3</v>
      </c>
      <c r="S442" s="110" t="str">
        <f t="shared" si="18"/>
        <v>3</v>
      </c>
    </row>
    <row r="443" spans="2:19" x14ac:dyDescent="0.2">
      <c r="B443" s="57" t="s">
        <v>2429</v>
      </c>
      <c r="C443" s="57" t="s">
        <v>2721</v>
      </c>
      <c r="D443" s="55" t="str">
        <f>VLOOKUP(VLOOKUP(Q443&amp;"_"&amp;R443,活动关卡!$A$4:$Z$27,2+5*S443,FALSE),'⚪设计'!$B$85:$H$114,2,FALSE)</f>
        <v>ResUnit_Niao2</v>
      </c>
      <c r="E443" s="55">
        <f>VLOOKUP(VLOOKUP(Q443&amp;"_"&amp;R443,活动关卡!$A$4:$Z$27,2+5*S443,FALSE),'⚪设计'!$B$85:$H$114,6,FALSE)*VLOOKUP(Q443&amp;"_"&amp;R443,活动关卡!$A$4:$Z$27,5,FALSE)</f>
        <v>2</v>
      </c>
      <c r="F443">
        <v>400</v>
      </c>
      <c r="G443" t="b">
        <v>1</v>
      </c>
      <c r="H443">
        <v>1</v>
      </c>
      <c r="I443">
        <v>1</v>
      </c>
      <c r="J443">
        <v>0.5</v>
      </c>
      <c r="K443" s="55">
        <f>VLOOKUP(VLOOKUP(Q443&amp;"_"&amp;R443,活动关卡!$A$4:$Z$27,2+5*S443,FALSE),'⚪设计'!$B$85:$H$114,7,FALSE)</f>
        <v>1.5</v>
      </c>
      <c r="L443" s="57" t="s">
        <v>2137</v>
      </c>
      <c r="M443" t="s">
        <v>468</v>
      </c>
      <c r="N443" t="s">
        <v>469</v>
      </c>
      <c r="O443" t="s">
        <v>470</v>
      </c>
      <c r="P443" s="57" t="str">
        <f>IF(VLOOKUP(D443,'⚪设计'!$C$85:$I$113,7,FALSE)="","",VLOOKUP(D443,'⚪设计'!$C$85:$I$113,7,FALSE))</f>
        <v>Skill_Monster_Niao2,NormalAttack</v>
      </c>
      <c r="Q443" s="110" t="str">
        <f t="shared" si="16"/>
        <v>5</v>
      </c>
      <c r="R443" s="110" t="str">
        <f t="shared" si="17"/>
        <v>3</v>
      </c>
      <c r="S443" s="110" t="str">
        <f t="shared" si="18"/>
        <v>4</v>
      </c>
    </row>
    <row r="444" spans="2:19" x14ac:dyDescent="0.2">
      <c r="B444" s="57" t="s">
        <v>2430</v>
      </c>
      <c r="C444" s="57" t="s">
        <v>2722</v>
      </c>
      <c r="D444" s="55" t="str">
        <f>VLOOKUP(VLOOKUP(Q444&amp;"_"&amp;R444,活动关卡!$A$4:$Z$27,2+5*S444,FALSE),'⚪设计'!$B$85:$H$114,2,FALSE)</f>
        <v>ResUnit_Dan2</v>
      </c>
      <c r="E444" s="55">
        <f>VLOOKUP(VLOOKUP(Q444&amp;"_"&amp;R444,活动关卡!$A$4:$Z$27,2+5*S444,FALSE),'⚪设计'!$B$85:$H$114,6,FALSE)*VLOOKUP(Q444&amp;"_"&amp;R444,活动关卡!$A$4:$Z$27,5,FALSE)</f>
        <v>2</v>
      </c>
      <c r="F444">
        <v>400</v>
      </c>
      <c r="G444" t="b">
        <v>1</v>
      </c>
      <c r="H444">
        <v>1</v>
      </c>
      <c r="I444">
        <v>1</v>
      </c>
      <c r="J444">
        <v>0.5</v>
      </c>
      <c r="K444" s="55">
        <f>VLOOKUP(VLOOKUP(Q444&amp;"_"&amp;R444,活动关卡!$A$4:$Z$27,2+5*S444,FALSE),'⚪设计'!$B$85:$H$114,7,FALSE)</f>
        <v>1.5</v>
      </c>
      <c r="L444" s="57" t="s">
        <v>2138</v>
      </c>
      <c r="M444" t="s">
        <v>468</v>
      </c>
      <c r="N444" t="s">
        <v>469</v>
      </c>
      <c r="O444" t="s">
        <v>470</v>
      </c>
      <c r="P444" s="57" t="str">
        <f>IF(VLOOKUP(D444,'⚪设计'!$C$85:$I$113,7,FALSE)="","",VLOOKUP(D444,'⚪设计'!$C$85:$I$113,7,FALSE))</f>
        <v>Skill_Monster_Weaken,NormalAttack</v>
      </c>
      <c r="Q444" s="110" t="str">
        <f t="shared" si="16"/>
        <v>5</v>
      </c>
      <c r="R444" s="110" t="str">
        <f t="shared" si="17"/>
        <v>4</v>
      </c>
      <c r="S444" s="110" t="str">
        <f t="shared" si="18"/>
        <v>1</v>
      </c>
    </row>
    <row r="445" spans="2:19" x14ac:dyDescent="0.2">
      <c r="B445" s="57" t="s">
        <v>2431</v>
      </c>
      <c r="C445" s="57" t="s">
        <v>2723</v>
      </c>
      <c r="D445" s="55" t="str">
        <f>VLOOKUP(VLOOKUP(Q445&amp;"_"&amp;R445,活动关卡!$A$4:$Z$27,2+5*S445,FALSE),'⚪设计'!$B$85:$H$114,2,FALSE)</f>
        <v>ResUnit_Gui1</v>
      </c>
      <c r="E445" s="55">
        <f>VLOOKUP(VLOOKUP(Q445&amp;"_"&amp;R445,活动关卡!$A$4:$Z$27,2+5*S445,FALSE),'⚪设计'!$B$85:$H$114,6,FALSE)*VLOOKUP(Q445&amp;"_"&amp;R445,活动关卡!$A$4:$Z$27,5,FALSE)</f>
        <v>2</v>
      </c>
      <c r="F445">
        <v>400</v>
      </c>
      <c r="G445" t="b">
        <v>1</v>
      </c>
      <c r="H445">
        <v>1</v>
      </c>
      <c r="I445">
        <v>1</v>
      </c>
      <c r="J445">
        <v>0.5</v>
      </c>
      <c r="K445" s="55">
        <f>VLOOKUP(VLOOKUP(Q445&amp;"_"&amp;R445,活动关卡!$A$4:$Z$27,2+5*S445,FALSE),'⚪设计'!$B$85:$H$114,7,FALSE)</f>
        <v>1</v>
      </c>
      <c r="L445" s="57" t="s">
        <v>2139</v>
      </c>
      <c r="M445" t="s">
        <v>468</v>
      </c>
      <c r="N445" t="s">
        <v>469</v>
      </c>
      <c r="O445" t="s">
        <v>470</v>
      </c>
      <c r="P445" s="57" t="str">
        <f>IF(VLOOKUP(D445,'⚪设计'!$C$85:$I$113,7,FALSE)="","",VLOOKUP(D445,'⚪设计'!$C$85:$I$113,7,FALSE))</f>
        <v>Skill_Monster_Invisible,NormalAttack</v>
      </c>
      <c r="Q445" s="110" t="str">
        <f t="shared" si="16"/>
        <v>5</v>
      </c>
      <c r="R445" s="110" t="str">
        <f t="shared" si="17"/>
        <v>4</v>
      </c>
      <c r="S445" s="110" t="str">
        <f t="shared" si="18"/>
        <v>2</v>
      </c>
    </row>
    <row r="446" spans="2:19" x14ac:dyDescent="0.2">
      <c r="B446" s="57" t="s">
        <v>2432</v>
      </c>
      <c r="C446" s="57" t="s">
        <v>2724</v>
      </c>
      <c r="D446" s="55" t="str">
        <f>VLOOKUP(VLOOKUP(Q446&amp;"_"&amp;R446,活动关卡!$A$4:$Z$27,2+5*S446,FALSE),'⚪设计'!$B$85:$H$114,2,FALSE)</f>
        <v>ResUnit_Niao2</v>
      </c>
      <c r="E446" s="55">
        <f>VLOOKUP(VLOOKUP(Q446&amp;"_"&amp;R446,活动关卡!$A$4:$Z$27,2+5*S446,FALSE),'⚪设计'!$B$85:$H$114,6,FALSE)*VLOOKUP(Q446&amp;"_"&amp;R446,活动关卡!$A$4:$Z$27,5,FALSE)</f>
        <v>2</v>
      </c>
      <c r="F446">
        <v>400</v>
      </c>
      <c r="G446" t="b">
        <v>1</v>
      </c>
      <c r="H446">
        <v>1</v>
      </c>
      <c r="I446">
        <v>1</v>
      </c>
      <c r="J446">
        <v>0.5</v>
      </c>
      <c r="K446" s="55">
        <f>VLOOKUP(VLOOKUP(Q446&amp;"_"&amp;R446,活动关卡!$A$4:$Z$27,2+5*S446,FALSE),'⚪设计'!$B$85:$H$114,7,FALSE)</f>
        <v>1.5</v>
      </c>
      <c r="L446" s="57" t="s">
        <v>2140</v>
      </c>
      <c r="M446" t="s">
        <v>468</v>
      </c>
      <c r="N446" t="s">
        <v>469</v>
      </c>
      <c r="O446" t="s">
        <v>470</v>
      </c>
      <c r="P446" s="57" t="str">
        <f>IF(VLOOKUP(D446,'⚪设计'!$C$85:$I$113,7,FALSE)="","",VLOOKUP(D446,'⚪设计'!$C$85:$I$113,7,FALSE))</f>
        <v>Skill_Monster_Niao2,NormalAttack</v>
      </c>
      <c r="Q446" s="110" t="str">
        <f t="shared" si="16"/>
        <v>5</v>
      </c>
      <c r="R446" s="110" t="str">
        <f t="shared" si="17"/>
        <v>4</v>
      </c>
      <c r="S446" s="110" t="str">
        <f t="shared" si="18"/>
        <v>3</v>
      </c>
    </row>
    <row r="447" spans="2:19" x14ac:dyDescent="0.2">
      <c r="B447" s="57" t="s">
        <v>2433</v>
      </c>
      <c r="C447" s="57" t="s">
        <v>2725</v>
      </c>
      <c r="D447" s="55" t="str">
        <f>VLOOKUP(VLOOKUP(Q447&amp;"_"&amp;R447,活动关卡!$A$4:$Z$27,2+5*S447,FALSE),'⚪设计'!$B$85:$H$114,2,FALSE)</f>
        <v>ResUnit_Dan2</v>
      </c>
      <c r="E447" s="55">
        <f>VLOOKUP(VLOOKUP(Q447&amp;"_"&amp;R447,活动关卡!$A$4:$Z$27,2+5*S447,FALSE),'⚪设计'!$B$85:$H$114,6,FALSE)*VLOOKUP(Q447&amp;"_"&amp;R447,活动关卡!$A$4:$Z$27,5,FALSE)</f>
        <v>2</v>
      </c>
      <c r="F447">
        <v>400</v>
      </c>
      <c r="G447" t="b">
        <v>1</v>
      </c>
      <c r="H447">
        <v>1</v>
      </c>
      <c r="I447">
        <v>1</v>
      </c>
      <c r="J447">
        <v>0.5</v>
      </c>
      <c r="K447" s="55">
        <f>VLOOKUP(VLOOKUP(Q447&amp;"_"&amp;R447,活动关卡!$A$4:$Z$27,2+5*S447,FALSE),'⚪设计'!$B$85:$H$114,7,FALSE)</f>
        <v>1.5</v>
      </c>
      <c r="L447" s="57" t="s">
        <v>2141</v>
      </c>
      <c r="M447" t="s">
        <v>468</v>
      </c>
      <c r="N447" t="s">
        <v>469</v>
      </c>
      <c r="O447" t="s">
        <v>470</v>
      </c>
      <c r="P447" s="57" t="str">
        <f>IF(VLOOKUP(D447,'⚪设计'!$C$85:$I$113,7,FALSE)="","",VLOOKUP(D447,'⚪设计'!$C$85:$I$113,7,FALSE))</f>
        <v>Skill_Monster_Weaken,NormalAttack</v>
      </c>
      <c r="Q447" s="110" t="str">
        <f t="shared" si="16"/>
        <v>5</v>
      </c>
      <c r="R447" s="110" t="str">
        <f t="shared" si="17"/>
        <v>5</v>
      </c>
      <c r="S447" s="110" t="str">
        <f t="shared" si="18"/>
        <v>1</v>
      </c>
    </row>
    <row r="448" spans="2:19" x14ac:dyDescent="0.2">
      <c r="B448" s="57" t="s">
        <v>2434</v>
      </c>
      <c r="C448" s="57" t="s">
        <v>2726</v>
      </c>
      <c r="D448" s="55" t="str">
        <f>VLOOKUP(VLOOKUP(Q448&amp;"_"&amp;R448,活动关卡!$A$4:$Z$27,2+5*S448,FALSE),'⚪设计'!$B$85:$H$114,2,FALSE)</f>
        <v>ResUnit_Gui1</v>
      </c>
      <c r="E448" s="55">
        <f>VLOOKUP(VLOOKUP(Q448&amp;"_"&amp;R448,活动关卡!$A$4:$Z$27,2+5*S448,FALSE),'⚪设计'!$B$85:$H$114,6,FALSE)*VLOOKUP(Q448&amp;"_"&amp;R448,活动关卡!$A$4:$Z$27,5,FALSE)</f>
        <v>2</v>
      </c>
      <c r="F448">
        <v>400</v>
      </c>
      <c r="G448" t="b">
        <v>1</v>
      </c>
      <c r="H448">
        <v>1</v>
      </c>
      <c r="I448">
        <v>1</v>
      </c>
      <c r="J448">
        <v>0.5</v>
      </c>
      <c r="K448" s="55">
        <f>VLOOKUP(VLOOKUP(Q448&amp;"_"&amp;R448,活动关卡!$A$4:$Z$27,2+5*S448,FALSE),'⚪设计'!$B$85:$H$114,7,FALSE)</f>
        <v>1</v>
      </c>
      <c r="L448" s="57" t="s">
        <v>2142</v>
      </c>
      <c r="M448" t="s">
        <v>468</v>
      </c>
      <c r="N448" t="s">
        <v>469</v>
      </c>
      <c r="O448" t="s">
        <v>470</v>
      </c>
      <c r="P448" s="57" t="str">
        <f>IF(VLOOKUP(D448,'⚪设计'!$C$85:$I$113,7,FALSE)="","",VLOOKUP(D448,'⚪设计'!$C$85:$I$113,7,FALSE))</f>
        <v>Skill_Monster_Invisible,NormalAttack</v>
      </c>
      <c r="Q448" s="110" t="str">
        <f t="shared" si="16"/>
        <v>5</v>
      </c>
      <c r="R448" s="110" t="str">
        <f t="shared" si="17"/>
        <v>5</v>
      </c>
      <c r="S448" s="110" t="str">
        <f t="shared" si="18"/>
        <v>2</v>
      </c>
    </row>
    <row r="449" spans="2:19" x14ac:dyDescent="0.2">
      <c r="B449" s="57" t="s">
        <v>2435</v>
      </c>
      <c r="C449" s="57" t="s">
        <v>2727</v>
      </c>
      <c r="D449" s="55" t="str">
        <f>VLOOKUP(VLOOKUP(Q449&amp;"_"&amp;R449,活动关卡!$A$4:$Z$27,2+5*S449,FALSE),'⚪设计'!$B$85:$H$114,2,FALSE)</f>
        <v>ResUnit_ZhongZi1</v>
      </c>
      <c r="E449" s="55">
        <f>VLOOKUP(VLOOKUP(Q449&amp;"_"&amp;R449,活动关卡!$A$4:$Z$27,2+5*S449,FALSE),'⚪设计'!$B$85:$H$114,6,FALSE)*VLOOKUP(Q449&amp;"_"&amp;R449,活动关卡!$A$4:$Z$27,5,FALSE)</f>
        <v>2</v>
      </c>
      <c r="F449">
        <v>400</v>
      </c>
      <c r="G449" t="b">
        <v>1</v>
      </c>
      <c r="H449">
        <v>1</v>
      </c>
      <c r="I449">
        <v>1</v>
      </c>
      <c r="J449">
        <v>0.5</v>
      </c>
      <c r="K449" s="55">
        <f>VLOOKUP(VLOOKUP(Q449&amp;"_"&amp;R449,活动关卡!$A$4:$Z$27,2+5*S449,FALSE),'⚪设计'!$B$85:$H$114,7,FALSE)</f>
        <v>1</v>
      </c>
      <c r="L449" s="57" t="s">
        <v>2143</v>
      </c>
      <c r="M449" t="s">
        <v>468</v>
      </c>
      <c r="N449" t="s">
        <v>469</v>
      </c>
      <c r="O449" t="s">
        <v>470</v>
      </c>
      <c r="P449" s="57" t="str">
        <f>IF(VLOOKUP(D449,'⚪设计'!$C$85:$I$113,7,FALSE)="","",VLOOKUP(D449,'⚪设计'!$C$85:$I$113,7,FALSE))</f>
        <v>Skill_Monster_Heal,NormalAttack</v>
      </c>
      <c r="Q449" s="110" t="str">
        <f t="shared" si="16"/>
        <v>5</v>
      </c>
      <c r="R449" s="110" t="str">
        <f t="shared" si="17"/>
        <v>5</v>
      </c>
      <c r="S449" s="110" t="str">
        <f t="shared" si="18"/>
        <v>3</v>
      </c>
    </row>
    <row r="450" spans="2:19" x14ac:dyDescent="0.2">
      <c r="B450" s="57" t="s">
        <v>2436</v>
      </c>
      <c r="C450" s="57" t="s">
        <v>2728</v>
      </c>
      <c r="D450" s="55" t="str">
        <f>VLOOKUP(VLOOKUP(Q450&amp;"_"&amp;R450,活动关卡!$A$4:$Z$27,2+5*S450,FALSE),'⚪设计'!$B$85:$H$114,2,FALSE)</f>
        <v>ResUnit_Niao2</v>
      </c>
      <c r="E450" s="55">
        <f>VLOOKUP(VLOOKUP(Q450&amp;"_"&amp;R450,活动关卡!$A$4:$Z$27,2+5*S450,FALSE),'⚪设计'!$B$85:$H$114,6,FALSE)*VLOOKUP(Q450&amp;"_"&amp;R450,活动关卡!$A$4:$Z$27,5,FALSE)</f>
        <v>2</v>
      </c>
      <c r="F450">
        <v>400</v>
      </c>
      <c r="G450" t="b">
        <v>1</v>
      </c>
      <c r="H450">
        <v>1</v>
      </c>
      <c r="I450">
        <v>1</v>
      </c>
      <c r="J450">
        <v>0.5</v>
      </c>
      <c r="K450" s="55">
        <f>VLOOKUP(VLOOKUP(Q450&amp;"_"&amp;R450,活动关卡!$A$4:$Z$27,2+5*S450,FALSE),'⚪设计'!$B$85:$H$114,7,FALSE)</f>
        <v>1.5</v>
      </c>
      <c r="L450" s="57" t="s">
        <v>2144</v>
      </c>
      <c r="M450" t="s">
        <v>468</v>
      </c>
      <c r="N450" t="s">
        <v>469</v>
      </c>
      <c r="O450" t="s">
        <v>470</v>
      </c>
      <c r="P450" s="57" t="str">
        <f>IF(VLOOKUP(D450,'⚪设计'!$C$85:$I$113,7,FALSE)="","",VLOOKUP(D450,'⚪设计'!$C$85:$I$113,7,FALSE))</f>
        <v>Skill_Monster_Niao2,NormalAttack</v>
      </c>
      <c r="Q450" s="110" t="str">
        <f t="shared" si="16"/>
        <v>5</v>
      </c>
      <c r="R450" s="110" t="str">
        <f t="shared" si="17"/>
        <v>5</v>
      </c>
      <c r="S450" s="110" t="str">
        <f t="shared" si="18"/>
        <v>4</v>
      </c>
    </row>
    <row r="451" spans="2:19" x14ac:dyDescent="0.2">
      <c r="B451" s="57" t="s">
        <v>2437</v>
      </c>
      <c r="C451" s="57" t="s">
        <v>2729</v>
      </c>
      <c r="D451" s="55" t="str">
        <f>VLOOKUP(VLOOKUP(Q451&amp;"_"&amp;R451,活动关卡!$A$4:$Z$27,2+5*S451,FALSE),'⚪设计'!$B$85:$H$114,2,FALSE)</f>
        <v>ResUnit_Dan2</v>
      </c>
      <c r="E451" s="55">
        <f>VLOOKUP(VLOOKUP(Q451&amp;"_"&amp;R451,活动关卡!$A$4:$Z$27,2+5*S451,FALSE),'⚪设计'!$B$85:$H$114,6,FALSE)*VLOOKUP(Q451&amp;"_"&amp;R451,活动关卡!$A$4:$Z$27,5,FALSE)</f>
        <v>2</v>
      </c>
      <c r="F451">
        <v>400</v>
      </c>
      <c r="G451" t="b">
        <v>1</v>
      </c>
      <c r="H451">
        <v>1</v>
      </c>
      <c r="I451">
        <v>1</v>
      </c>
      <c r="J451">
        <v>0.5</v>
      </c>
      <c r="K451" s="55">
        <f>VLOOKUP(VLOOKUP(Q451&amp;"_"&amp;R451,活动关卡!$A$4:$Z$27,2+5*S451,FALSE),'⚪设计'!$B$85:$H$114,7,FALSE)</f>
        <v>1.5</v>
      </c>
      <c r="L451" s="57" t="s">
        <v>2145</v>
      </c>
      <c r="M451" t="s">
        <v>468</v>
      </c>
      <c r="N451" t="s">
        <v>469</v>
      </c>
      <c r="O451" t="s">
        <v>470</v>
      </c>
      <c r="P451" s="57" t="str">
        <f>IF(VLOOKUP(D451,'⚪设计'!$C$85:$I$113,7,FALSE)="","",VLOOKUP(D451,'⚪设计'!$C$85:$I$113,7,FALSE))</f>
        <v>Skill_Monster_Weaken,NormalAttack</v>
      </c>
      <c r="Q451" s="110" t="str">
        <f t="shared" si="16"/>
        <v>5</v>
      </c>
      <c r="R451" s="110" t="str">
        <f t="shared" si="17"/>
        <v>6</v>
      </c>
      <c r="S451" s="110" t="str">
        <f t="shared" si="18"/>
        <v>1</v>
      </c>
    </row>
    <row r="452" spans="2:19" x14ac:dyDescent="0.2">
      <c r="B452" s="57" t="s">
        <v>2438</v>
      </c>
      <c r="C452" s="57" t="s">
        <v>2730</v>
      </c>
      <c r="D452" s="55" t="str">
        <f>VLOOKUP(VLOOKUP(Q452&amp;"_"&amp;R452,活动关卡!$A$4:$Z$27,2+5*S452,FALSE),'⚪设计'!$B$85:$H$114,2,FALSE)</f>
        <v>ResUnit_ZhongZi2</v>
      </c>
      <c r="E452" s="55">
        <f>VLOOKUP(VLOOKUP(Q452&amp;"_"&amp;R452,活动关卡!$A$4:$Z$27,2+5*S452,FALSE),'⚪设计'!$B$85:$H$114,6,FALSE)*VLOOKUP(Q452&amp;"_"&amp;R452,活动关卡!$A$4:$Z$27,5,FALSE)</f>
        <v>2</v>
      </c>
      <c r="F452">
        <v>400</v>
      </c>
      <c r="G452" t="b">
        <v>1</v>
      </c>
      <c r="H452">
        <v>1</v>
      </c>
      <c r="I452">
        <v>1</v>
      </c>
      <c r="J452">
        <v>0.5</v>
      </c>
      <c r="K452" s="55">
        <f>VLOOKUP(VLOOKUP(Q452&amp;"_"&amp;R452,活动关卡!$A$4:$Z$27,2+5*S452,FALSE),'⚪设计'!$B$85:$H$114,7,FALSE)</f>
        <v>1.5</v>
      </c>
      <c r="L452" s="57" t="s">
        <v>2146</v>
      </c>
      <c r="M452" t="s">
        <v>468</v>
      </c>
      <c r="N452" t="s">
        <v>469</v>
      </c>
      <c r="O452" t="s">
        <v>470</v>
      </c>
      <c r="P452" s="57" t="str">
        <f>IF(VLOOKUP(D452,'⚪设计'!$C$85:$I$113,7,FALSE)="","",VLOOKUP(D452,'⚪设计'!$C$85:$I$113,7,FALSE))</f>
        <v>Skill_Monster_Heal,NormalAttack</v>
      </c>
      <c r="Q452" s="110" t="str">
        <f t="shared" si="16"/>
        <v>5</v>
      </c>
      <c r="R452" s="110" t="str">
        <f t="shared" si="17"/>
        <v>6</v>
      </c>
      <c r="S452" s="110" t="str">
        <f t="shared" si="18"/>
        <v>2</v>
      </c>
    </row>
    <row r="453" spans="2:19" x14ac:dyDescent="0.2">
      <c r="B453" s="57" t="s">
        <v>2439</v>
      </c>
      <c r="C453" s="57" t="s">
        <v>2731</v>
      </c>
      <c r="D453" s="55" t="str">
        <f>VLOOKUP(VLOOKUP(Q453&amp;"_"&amp;R453,活动关卡!$A$4:$Z$27,2+5*S453,FALSE),'⚪设计'!$B$85:$H$114,2,FALSE)</f>
        <v>ResUnit_ZhiZhu2</v>
      </c>
      <c r="E453" s="55">
        <f>VLOOKUP(VLOOKUP(Q453&amp;"_"&amp;R453,活动关卡!$A$4:$Z$27,2+5*S453,FALSE),'⚪设计'!$B$85:$H$114,6,FALSE)*VLOOKUP(Q453&amp;"_"&amp;R453,活动关卡!$A$4:$Z$27,5,FALSE)</f>
        <v>3</v>
      </c>
      <c r="F453">
        <v>400</v>
      </c>
      <c r="G453" t="b">
        <v>1</v>
      </c>
      <c r="H453">
        <v>1</v>
      </c>
      <c r="I453">
        <v>1</v>
      </c>
      <c r="J453">
        <v>0.5</v>
      </c>
      <c r="K453" s="55">
        <f>VLOOKUP(VLOOKUP(Q453&amp;"_"&amp;R453,活动关卡!$A$4:$Z$27,2+5*S453,FALSE),'⚪设计'!$B$85:$H$114,7,FALSE)</f>
        <v>1.5</v>
      </c>
      <c r="L453" s="57" t="s">
        <v>2147</v>
      </c>
      <c r="M453" t="s">
        <v>468</v>
      </c>
      <c r="N453" t="s">
        <v>469</v>
      </c>
      <c r="O453" t="s">
        <v>470</v>
      </c>
      <c r="P453" s="57" t="str">
        <f>IF(VLOOKUP(D453,'⚪设计'!$C$85:$I$113,7,FALSE)="","",VLOOKUP(D453,'⚪设计'!$C$85:$I$113,7,FALSE))</f>
        <v/>
      </c>
      <c r="Q453" s="110" t="str">
        <f t="shared" si="16"/>
        <v>5</v>
      </c>
      <c r="R453" s="110" t="str">
        <f t="shared" si="17"/>
        <v>6</v>
      </c>
      <c r="S453" s="110" t="str">
        <f t="shared" si="18"/>
        <v>3</v>
      </c>
    </row>
    <row r="454" spans="2:19" x14ac:dyDescent="0.2">
      <c r="B454" s="57" t="s">
        <v>2440</v>
      </c>
      <c r="C454" s="57" t="s">
        <v>2732</v>
      </c>
      <c r="D454" s="55" t="str">
        <f>VLOOKUP(VLOOKUP(Q454&amp;"_"&amp;R454,活动关卡!$A$4:$Z$27,2+5*S454,FALSE),'⚪设计'!$B$85:$H$114,2,FALSE)</f>
        <v>ResUnit_Niao2</v>
      </c>
      <c r="E454" s="55">
        <f>VLOOKUP(VLOOKUP(Q454&amp;"_"&amp;R454,活动关卡!$A$4:$Z$27,2+5*S454,FALSE),'⚪设计'!$B$85:$H$114,6,FALSE)*VLOOKUP(Q454&amp;"_"&amp;R454,活动关卡!$A$4:$Z$27,5,FALSE)</f>
        <v>2</v>
      </c>
      <c r="F454">
        <v>400</v>
      </c>
      <c r="G454" t="b">
        <v>1</v>
      </c>
      <c r="H454">
        <v>1</v>
      </c>
      <c r="I454">
        <v>1</v>
      </c>
      <c r="J454">
        <v>0.5</v>
      </c>
      <c r="K454" s="55">
        <f>VLOOKUP(VLOOKUP(Q454&amp;"_"&amp;R454,活动关卡!$A$4:$Z$27,2+5*S454,FALSE),'⚪设计'!$B$85:$H$114,7,FALSE)</f>
        <v>1.5</v>
      </c>
      <c r="L454" s="57" t="s">
        <v>2148</v>
      </c>
      <c r="M454" t="s">
        <v>468</v>
      </c>
      <c r="N454" t="s">
        <v>469</v>
      </c>
      <c r="O454" t="s">
        <v>470</v>
      </c>
      <c r="P454" s="57" t="str">
        <f>IF(VLOOKUP(D454,'⚪设计'!$C$85:$I$113,7,FALSE)="","",VLOOKUP(D454,'⚪设计'!$C$85:$I$113,7,FALSE))</f>
        <v>Skill_Monster_Niao2,NormalAttack</v>
      </c>
      <c r="Q454" s="110" t="str">
        <f t="shared" si="16"/>
        <v>5</v>
      </c>
      <c r="R454" s="110" t="str">
        <f t="shared" si="17"/>
        <v>6</v>
      </c>
      <c r="S454" s="110" t="str">
        <f t="shared" si="18"/>
        <v>4</v>
      </c>
    </row>
    <row r="455" spans="2:19" x14ac:dyDescent="0.2">
      <c r="B455" s="57" t="s">
        <v>2441</v>
      </c>
      <c r="C455" s="57" t="s">
        <v>2733</v>
      </c>
      <c r="D455" s="55" t="str">
        <f>VLOOKUP(VLOOKUP(Q455&amp;"_"&amp;R455,活动关卡!$A$4:$Z$27,2+5*S455,FALSE),'⚪设计'!$B$85:$H$114,2,FALSE)</f>
        <v>ResUnit_Dan2</v>
      </c>
      <c r="E455" s="55">
        <f>VLOOKUP(VLOOKUP(Q455&amp;"_"&amp;R455,活动关卡!$A$4:$Z$27,2+5*S455,FALSE),'⚪设计'!$B$85:$H$114,6,FALSE)*VLOOKUP(Q455&amp;"_"&amp;R455,活动关卡!$A$4:$Z$27,5,FALSE)</f>
        <v>2</v>
      </c>
      <c r="F455">
        <v>400</v>
      </c>
      <c r="G455" t="b">
        <v>1</v>
      </c>
      <c r="H455">
        <v>1</v>
      </c>
      <c r="I455">
        <v>1</v>
      </c>
      <c r="J455">
        <v>0.5</v>
      </c>
      <c r="K455" s="55">
        <f>VLOOKUP(VLOOKUP(Q455&amp;"_"&amp;R455,活动关卡!$A$4:$Z$27,2+5*S455,FALSE),'⚪设计'!$B$85:$H$114,7,FALSE)</f>
        <v>1.5</v>
      </c>
      <c r="L455" s="57" t="s">
        <v>2149</v>
      </c>
      <c r="M455" t="s">
        <v>468</v>
      </c>
      <c r="N455" t="s">
        <v>469</v>
      </c>
      <c r="O455" t="s">
        <v>470</v>
      </c>
      <c r="P455" s="57" t="str">
        <f>IF(VLOOKUP(D455,'⚪设计'!$C$85:$I$113,7,FALSE)="","",VLOOKUP(D455,'⚪设计'!$C$85:$I$113,7,FALSE))</f>
        <v>Skill_Monster_Weaken,NormalAttack</v>
      </c>
      <c r="Q455" s="110" t="str">
        <f t="shared" ref="Q455:Q518" si="19">LEFT(RIGHT(C455,5),1)</f>
        <v>5</v>
      </c>
      <c r="R455" s="110" t="str">
        <f t="shared" ref="R455:R518" si="20">LEFT(RIGHT(C455,3),1)</f>
        <v>7</v>
      </c>
      <c r="S455" s="110" t="str">
        <f t="shared" ref="S455:S518" si="21">RIGHT(C455,1)</f>
        <v>1</v>
      </c>
    </row>
    <row r="456" spans="2:19" x14ac:dyDescent="0.2">
      <c r="B456" s="57" t="s">
        <v>2442</v>
      </c>
      <c r="C456" s="57" t="s">
        <v>2734</v>
      </c>
      <c r="D456" s="55" t="str">
        <f>VLOOKUP(VLOOKUP(Q456&amp;"_"&amp;R456,活动关卡!$A$4:$Z$27,2+5*S456,FALSE),'⚪设计'!$B$85:$H$114,2,FALSE)</f>
        <v>ResUnit_Gui2</v>
      </c>
      <c r="E456" s="55">
        <f>VLOOKUP(VLOOKUP(Q456&amp;"_"&amp;R456,活动关卡!$A$4:$Z$27,2+5*S456,FALSE),'⚪设计'!$B$85:$H$114,6,FALSE)*VLOOKUP(Q456&amp;"_"&amp;R456,活动关卡!$A$4:$Z$27,5,FALSE)</f>
        <v>2</v>
      </c>
      <c r="F456">
        <v>400</v>
      </c>
      <c r="G456" t="b">
        <v>1</v>
      </c>
      <c r="H456">
        <v>1</v>
      </c>
      <c r="I456">
        <v>1</v>
      </c>
      <c r="J456">
        <v>0.5</v>
      </c>
      <c r="K456" s="55">
        <f>VLOOKUP(VLOOKUP(Q456&amp;"_"&amp;R456,活动关卡!$A$4:$Z$27,2+5*S456,FALSE),'⚪设计'!$B$85:$H$114,7,FALSE)</f>
        <v>1.5</v>
      </c>
      <c r="L456" s="57" t="s">
        <v>2150</v>
      </c>
      <c r="M456" t="s">
        <v>468</v>
      </c>
      <c r="N456" t="s">
        <v>469</v>
      </c>
      <c r="O456" t="s">
        <v>470</v>
      </c>
      <c r="P456" s="57" t="str">
        <f>IF(VLOOKUP(D456,'⚪设计'!$C$85:$I$113,7,FALSE)="","",VLOOKUP(D456,'⚪设计'!$C$85:$I$113,7,FALSE))</f>
        <v>Skill_Monster_Invisible,NormalAttack</v>
      </c>
      <c r="Q456" s="110" t="str">
        <f t="shared" si="19"/>
        <v>5</v>
      </c>
      <c r="R456" s="110" t="str">
        <f t="shared" si="20"/>
        <v>7</v>
      </c>
      <c r="S456" s="110" t="str">
        <f t="shared" si="21"/>
        <v>2</v>
      </c>
    </row>
    <row r="457" spans="2:19" x14ac:dyDescent="0.2">
      <c r="B457" s="57" t="s">
        <v>2443</v>
      </c>
      <c r="C457" s="57" t="s">
        <v>2735</v>
      </c>
      <c r="D457" s="55" t="str">
        <f>VLOOKUP(VLOOKUP(Q457&amp;"_"&amp;R457,活动关卡!$A$4:$Z$27,2+5*S457,FALSE),'⚪设计'!$B$85:$H$114,2,FALSE)</f>
        <v>ResUnit_BianFu2</v>
      </c>
      <c r="E457" s="55">
        <f>VLOOKUP(VLOOKUP(Q457&amp;"_"&amp;R457,活动关卡!$A$4:$Z$27,2+5*S457,FALSE),'⚪设计'!$B$85:$H$114,6,FALSE)*VLOOKUP(Q457&amp;"_"&amp;R457,活动关卡!$A$4:$Z$27,5,FALSE)</f>
        <v>2</v>
      </c>
      <c r="F457">
        <v>400</v>
      </c>
      <c r="G457" t="b">
        <v>1</v>
      </c>
      <c r="H457">
        <v>1</v>
      </c>
      <c r="I457">
        <v>1</v>
      </c>
      <c r="J457">
        <v>0.5</v>
      </c>
      <c r="K457" s="55">
        <f>VLOOKUP(VLOOKUP(Q457&amp;"_"&amp;R457,活动关卡!$A$4:$Z$27,2+5*S457,FALSE),'⚪设计'!$B$85:$H$114,7,FALSE)</f>
        <v>1.5</v>
      </c>
      <c r="L457" s="57" t="s">
        <v>2151</v>
      </c>
      <c r="M457" t="s">
        <v>468</v>
      </c>
      <c r="N457" t="s">
        <v>469</v>
      </c>
      <c r="O457" t="s">
        <v>470</v>
      </c>
      <c r="P457" s="57" t="str">
        <f>IF(VLOOKUP(D457,'⚪设计'!$C$85:$I$113,7,FALSE)="","",VLOOKUP(D457,'⚪设计'!$C$85:$I$113,7,FALSE))</f>
        <v/>
      </c>
      <c r="Q457" s="110" t="str">
        <f t="shared" si="19"/>
        <v>5</v>
      </c>
      <c r="R457" s="110" t="str">
        <f t="shared" si="20"/>
        <v>7</v>
      </c>
      <c r="S457" s="110" t="str">
        <f t="shared" si="21"/>
        <v>3</v>
      </c>
    </row>
    <row r="458" spans="2:19" x14ac:dyDescent="0.2">
      <c r="B458" s="57" t="s">
        <v>2444</v>
      </c>
      <c r="C458" s="57" t="s">
        <v>2736</v>
      </c>
      <c r="D458" s="55" t="str">
        <f>VLOOKUP(VLOOKUP(Q458&amp;"_"&amp;R458,活动关卡!$A$4:$Z$27,2+5*S458,FALSE),'⚪设计'!$B$85:$H$114,2,FALSE)</f>
        <v>ResUnit_Niao2</v>
      </c>
      <c r="E458" s="55">
        <f>VLOOKUP(VLOOKUP(Q458&amp;"_"&amp;R458,活动关卡!$A$4:$Z$27,2+5*S458,FALSE),'⚪设计'!$B$85:$H$114,6,FALSE)*VLOOKUP(Q458&amp;"_"&amp;R458,活动关卡!$A$4:$Z$27,5,FALSE)</f>
        <v>2</v>
      </c>
      <c r="F458">
        <v>400</v>
      </c>
      <c r="G458" t="b">
        <v>1</v>
      </c>
      <c r="H458">
        <v>1</v>
      </c>
      <c r="I458">
        <v>1</v>
      </c>
      <c r="J458">
        <v>0.5</v>
      </c>
      <c r="K458" s="55">
        <f>VLOOKUP(VLOOKUP(Q458&amp;"_"&amp;R458,活动关卡!$A$4:$Z$27,2+5*S458,FALSE),'⚪设计'!$B$85:$H$114,7,FALSE)</f>
        <v>1.5</v>
      </c>
      <c r="L458" s="57" t="s">
        <v>2152</v>
      </c>
      <c r="M458" t="s">
        <v>468</v>
      </c>
      <c r="N458" t="s">
        <v>469</v>
      </c>
      <c r="O458" t="s">
        <v>470</v>
      </c>
      <c r="P458" s="57" t="str">
        <f>IF(VLOOKUP(D458,'⚪设计'!$C$85:$I$113,7,FALSE)="","",VLOOKUP(D458,'⚪设计'!$C$85:$I$113,7,FALSE))</f>
        <v>Skill_Monster_Niao2,NormalAttack</v>
      </c>
      <c r="Q458" s="110" t="str">
        <f t="shared" si="19"/>
        <v>5</v>
      </c>
      <c r="R458" s="110" t="str">
        <f t="shared" si="20"/>
        <v>7</v>
      </c>
      <c r="S458" s="110" t="str">
        <f t="shared" si="21"/>
        <v>4</v>
      </c>
    </row>
    <row r="459" spans="2:19" x14ac:dyDescent="0.2">
      <c r="B459" s="57" t="s">
        <v>2445</v>
      </c>
      <c r="C459" s="57" t="s">
        <v>2737</v>
      </c>
      <c r="D459" s="55" t="str">
        <f>VLOOKUP(VLOOKUP(Q459&amp;"_"&amp;R459,活动关卡!$A$4:$Z$27,2+5*S459,FALSE),'⚪设计'!$B$85:$H$114,2,FALSE)</f>
        <v>ResUnit_Dan3</v>
      </c>
      <c r="E459" s="55">
        <f>VLOOKUP(VLOOKUP(Q459&amp;"_"&amp;R459,活动关卡!$A$4:$Z$27,2+5*S459,FALSE),'⚪设计'!$B$85:$H$114,6,FALSE)*VLOOKUP(Q459&amp;"_"&amp;R459,活动关卡!$A$4:$Z$27,5,FALSE)</f>
        <v>1.25</v>
      </c>
      <c r="F459">
        <v>400</v>
      </c>
      <c r="G459" t="b">
        <v>1</v>
      </c>
      <c r="H459">
        <v>1</v>
      </c>
      <c r="I459">
        <v>1</v>
      </c>
      <c r="J459">
        <v>0.5</v>
      </c>
      <c r="K459" s="55">
        <f>VLOOKUP(VLOOKUP(Q459&amp;"_"&amp;R459,活动关卡!$A$4:$Z$27,2+5*S459,FALSE),'⚪设计'!$B$85:$H$114,7,FALSE)</f>
        <v>2.5</v>
      </c>
      <c r="L459" s="57" t="s">
        <v>2153</v>
      </c>
      <c r="M459" t="s">
        <v>468</v>
      </c>
      <c r="N459" t="s">
        <v>469</v>
      </c>
      <c r="O459" t="s">
        <v>470</v>
      </c>
      <c r="P459" s="57" t="str">
        <f>IF(VLOOKUP(D459,'⚪设计'!$C$85:$I$113,7,FALSE)="","",VLOOKUP(D459,'⚪设计'!$C$85:$I$113,7,FALSE))</f>
        <v>Skill_Monster_Weaken,NormalAttack</v>
      </c>
      <c r="Q459" s="110" t="str">
        <f t="shared" si="19"/>
        <v>5</v>
      </c>
      <c r="R459" s="110" t="str">
        <f t="shared" si="20"/>
        <v>8</v>
      </c>
      <c r="S459" s="110" t="str">
        <f t="shared" si="21"/>
        <v>1</v>
      </c>
    </row>
    <row r="460" spans="2:19" x14ac:dyDescent="0.2">
      <c r="B460" s="57" t="s">
        <v>2446</v>
      </c>
      <c r="C460" s="57" t="s">
        <v>2738</v>
      </c>
      <c r="D460" s="55" t="str">
        <f>VLOOKUP(VLOOKUP(Q460&amp;"_"&amp;R460,活动关卡!$A$4:$Z$27,2+5*S460,FALSE),'⚪设计'!$B$85:$H$114,2,FALSE)</f>
        <v>ResUnit_Gui2</v>
      </c>
      <c r="E460" s="55">
        <f>VLOOKUP(VLOOKUP(Q460&amp;"_"&amp;R460,活动关卡!$A$4:$Z$27,2+5*S460,FALSE),'⚪设计'!$B$85:$H$114,6,FALSE)*VLOOKUP(Q460&amp;"_"&amp;R460,活动关卡!$A$4:$Z$27,5,FALSE)</f>
        <v>2</v>
      </c>
      <c r="F460">
        <v>400</v>
      </c>
      <c r="G460" t="b">
        <v>1</v>
      </c>
      <c r="H460">
        <v>1</v>
      </c>
      <c r="I460">
        <v>1</v>
      </c>
      <c r="J460">
        <v>0.5</v>
      </c>
      <c r="K460" s="55">
        <f>VLOOKUP(VLOOKUP(Q460&amp;"_"&amp;R460,活动关卡!$A$4:$Z$27,2+5*S460,FALSE),'⚪设计'!$B$85:$H$114,7,FALSE)</f>
        <v>1.5</v>
      </c>
      <c r="L460" s="57" t="s">
        <v>2154</v>
      </c>
      <c r="M460" t="s">
        <v>468</v>
      </c>
      <c r="N460" t="s">
        <v>469</v>
      </c>
      <c r="O460" t="s">
        <v>470</v>
      </c>
      <c r="P460" s="57" t="str">
        <f>IF(VLOOKUP(D460,'⚪设计'!$C$85:$I$113,7,FALSE)="","",VLOOKUP(D460,'⚪设计'!$C$85:$I$113,7,FALSE))</f>
        <v>Skill_Monster_Invisible,NormalAttack</v>
      </c>
      <c r="Q460" s="110" t="str">
        <f t="shared" si="19"/>
        <v>5</v>
      </c>
      <c r="R460" s="110" t="str">
        <f t="shared" si="20"/>
        <v>8</v>
      </c>
      <c r="S460" s="110" t="str">
        <f t="shared" si="21"/>
        <v>2</v>
      </c>
    </row>
    <row r="461" spans="2:19" x14ac:dyDescent="0.2">
      <c r="B461" s="57" t="s">
        <v>2447</v>
      </c>
      <c r="C461" s="57" t="s">
        <v>2739</v>
      </c>
      <c r="D461" s="55" t="str">
        <f>VLOOKUP(VLOOKUP(Q461&amp;"_"&amp;R461,活动关卡!$A$4:$Z$27,2+5*S461,FALSE),'⚪设计'!$B$85:$H$114,2,FALSE)</f>
        <v>ResUnit_ZhongZi2</v>
      </c>
      <c r="E461" s="55">
        <f>VLOOKUP(VLOOKUP(Q461&amp;"_"&amp;R461,活动关卡!$A$4:$Z$27,2+5*S461,FALSE),'⚪设计'!$B$85:$H$114,6,FALSE)*VLOOKUP(Q461&amp;"_"&amp;R461,活动关卡!$A$4:$Z$27,5,FALSE)</f>
        <v>2</v>
      </c>
      <c r="F461">
        <v>400</v>
      </c>
      <c r="G461" t="b">
        <v>1</v>
      </c>
      <c r="H461">
        <v>1</v>
      </c>
      <c r="I461">
        <v>1</v>
      </c>
      <c r="J461">
        <v>0.5</v>
      </c>
      <c r="K461" s="55">
        <f>VLOOKUP(VLOOKUP(Q461&amp;"_"&amp;R461,活动关卡!$A$4:$Z$27,2+5*S461,FALSE),'⚪设计'!$B$85:$H$114,7,FALSE)</f>
        <v>1.5</v>
      </c>
      <c r="L461" s="57" t="s">
        <v>2155</v>
      </c>
      <c r="M461" t="s">
        <v>468</v>
      </c>
      <c r="N461" t="s">
        <v>469</v>
      </c>
      <c r="O461" t="s">
        <v>470</v>
      </c>
      <c r="P461" s="57" t="str">
        <f>IF(VLOOKUP(D461,'⚪设计'!$C$85:$I$113,7,FALSE)="","",VLOOKUP(D461,'⚪设计'!$C$85:$I$113,7,FALSE))</f>
        <v>Skill_Monster_Heal,NormalAttack</v>
      </c>
      <c r="Q461" s="110" t="str">
        <f t="shared" si="19"/>
        <v>5</v>
      </c>
      <c r="R461" s="110" t="str">
        <f t="shared" si="20"/>
        <v>8</v>
      </c>
      <c r="S461" s="110" t="str">
        <f t="shared" si="21"/>
        <v>3</v>
      </c>
    </row>
    <row r="462" spans="2:19" x14ac:dyDescent="0.2">
      <c r="B462" s="57" t="s">
        <v>2448</v>
      </c>
      <c r="C462" s="57" t="s">
        <v>2740</v>
      </c>
      <c r="D462" s="55" t="str">
        <f>VLOOKUP(VLOOKUP(Q462&amp;"_"&amp;R462,活动关卡!$A$4:$Z$27,2+5*S462,FALSE),'⚪设计'!$B$85:$H$114,2,FALSE)</f>
        <v>ResUnit_Niao3</v>
      </c>
      <c r="E462" s="55">
        <f>VLOOKUP(VLOOKUP(Q462&amp;"_"&amp;R462,活动关卡!$A$4:$Z$27,2+5*S462,FALSE),'⚪设计'!$B$85:$H$114,6,FALSE)*VLOOKUP(Q462&amp;"_"&amp;R462,活动关卡!$A$4:$Z$27,5,FALSE)</f>
        <v>2</v>
      </c>
      <c r="F462">
        <v>400</v>
      </c>
      <c r="G462" t="b">
        <v>1</v>
      </c>
      <c r="H462">
        <v>1</v>
      </c>
      <c r="I462">
        <v>1</v>
      </c>
      <c r="J462">
        <v>0.5</v>
      </c>
      <c r="K462" s="55">
        <f>VLOOKUP(VLOOKUP(Q462&amp;"_"&amp;R462,活动关卡!$A$4:$Z$27,2+5*S462,FALSE),'⚪设计'!$B$85:$H$114,7,FALSE)</f>
        <v>2.5</v>
      </c>
      <c r="L462" s="57" t="s">
        <v>2156</v>
      </c>
      <c r="M462" t="s">
        <v>468</v>
      </c>
      <c r="N462" t="s">
        <v>469</v>
      </c>
      <c r="O462" t="s">
        <v>470</v>
      </c>
      <c r="P462" s="57" t="str">
        <f>IF(VLOOKUP(D462,'⚪设计'!$C$85:$I$113,7,FALSE)="","",VLOOKUP(D462,'⚪设计'!$C$85:$I$113,7,FALSE))</f>
        <v>Skill_Monster_Niao3,NormalAttack</v>
      </c>
      <c r="Q462" s="110" t="str">
        <f t="shared" si="19"/>
        <v>5</v>
      </c>
      <c r="R462" s="110" t="str">
        <f t="shared" si="20"/>
        <v>8</v>
      </c>
      <c r="S462" s="110" t="str">
        <f t="shared" si="21"/>
        <v>4</v>
      </c>
    </row>
    <row r="463" spans="2:19" x14ac:dyDescent="0.2">
      <c r="B463" s="57"/>
      <c r="C463" s="57"/>
      <c r="D463" s="55"/>
      <c r="E463" s="55"/>
      <c r="K463" s="55"/>
      <c r="L463" s="57"/>
      <c r="P463" s="57"/>
      <c r="Q463" s="110"/>
      <c r="R463" s="110"/>
      <c r="S463" s="110"/>
    </row>
    <row r="464" spans="2:19" x14ac:dyDescent="0.2">
      <c r="B464" s="57" t="s">
        <v>2449</v>
      </c>
      <c r="C464" s="57" t="s">
        <v>2741</v>
      </c>
      <c r="D464" s="55" t="str">
        <f>VLOOKUP(VLOOKUP(Q464&amp;"_"&amp;R464,活动关卡!$A$32:$Z$55,2+5*S464,FALSE),'⚪设计'!$B$85:$H$114,2,FALSE)</f>
        <v>ResUnit_MiFeng1</v>
      </c>
      <c r="E464" s="55">
        <f>VLOOKUP(VLOOKUP(Q464&amp;"_"&amp;R464,活动关卡!$A$32:$Z$55,2+5*S464,FALSE),'⚪设计'!$B$85:$H$114,6,FALSE)*VLOOKUP(Q464&amp;"_"&amp;R464,活动关卡!$A$32:$Z$55,5,FALSE)</f>
        <v>2</v>
      </c>
      <c r="F464">
        <v>400</v>
      </c>
      <c r="G464" t="b">
        <v>1</v>
      </c>
      <c r="H464">
        <v>1</v>
      </c>
      <c r="I464">
        <v>1</v>
      </c>
      <c r="J464">
        <v>0.5</v>
      </c>
      <c r="K464" s="55">
        <f>VLOOKUP(VLOOKUP(Q464&amp;"_"&amp;R464,活动关卡!$A$32:$Z$55,2+5*S464,FALSE),'⚪设计'!$B$85:$H$114,7,FALSE)</f>
        <v>1</v>
      </c>
      <c r="L464" s="57" t="s">
        <v>2157</v>
      </c>
      <c r="M464" t="s">
        <v>468</v>
      </c>
      <c r="N464" t="s">
        <v>469</v>
      </c>
      <c r="O464" t="s">
        <v>470</v>
      </c>
      <c r="P464" s="57" t="str">
        <f>IF(VLOOKUP(D464,'⚪设计'!$C$85:$I$113,7,FALSE)="","",VLOOKUP(D464,'⚪设计'!$C$85:$I$113,7,FALSE))</f>
        <v/>
      </c>
      <c r="Q464" s="110" t="str">
        <f t="shared" si="19"/>
        <v>1</v>
      </c>
      <c r="R464" s="110" t="str">
        <f t="shared" si="20"/>
        <v>1</v>
      </c>
      <c r="S464" s="110" t="str">
        <f t="shared" si="21"/>
        <v>1</v>
      </c>
    </row>
    <row r="465" spans="2:19" x14ac:dyDescent="0.2">
      <c r="B465" s="57" t="s">
        <v>2450</v>
      </c>
      <c r="C465" s="57" t="s">
        <v>2742</v>
      </c>
      <c r="D465" s="55" t="str">
        <f>VLOOKUP(VLOOKUP(Q465&amp;"_"&amp;R465,活动关卡!$A$32:$Z$55,2+5*S465,FALSE),'⚪设计'!$B$85:$H$114,2,FALSE)</f>
        <v>ResUnit_Rou1</v>
      </c>
      <c r="E465" s="55">
        <f>VLOOKUP(VLOOKUP(Q465&amp;"_"&amp;R465,活动关卡!$A$32:$Z$55,2+5*S465,FALSE),'⚪设计'!$B$85:$H$114,6,FALSE)*VLOOKUP(Q465&amp;"_"&amp;R465,活动关卡!$A$32:$Z$55,5,FALSE)</f>
        <v>2</v>
      </c>
      <c r="F465">
        <v>400</v>
      </c>
      <c r="G465" t="b">
        <v>1</v>
      </c>
      <c r="H465">
        <v>1</v>
      </c>
      <c r="I465">
        <v>1</v>
      </c>
      <c r="J465">
        <v>0.5</v>
      </c>
      <c r="K465" s="55">
        <f>VLOOKUP(VLOOKUP(Q465&amp;"_"&amp;R465,活动关卡!$A$32:$Z$55,2+5*S465,FALSE),'⚪设计'!$B$85:$H$114,7,FALSE)</f>
        <v>1</v>
      </c>
      <c r="L465" s="57" t="s">
        <v>2158</v>
      </c>
      <c r="M465" t="s">
        <v>468</v>
      </c>
      <c r="N465" t="s">
        <v>469</v>
      </c>
      <c r="O465" t="s">
        <v>470</v>
      </c>
      <c r="P465" s="57" t="str">
        <f>IF(VLOOKUP(D465,'⚪设计'!$C$85:$I$113,7,FALSE)="","",VLOOKUP(D465,'⚪设计'!$C$85:$I$113,7,FALSE))</f>
        <v/>
      </c>
      <c r="Q465" s="110" t="str">
        <f t="shared" si="19"/>
        <v>1</v>
      </c>
      <c r="R465" s="110" t="str">
        <f t="shared" si="20"/>
        <v>1</v>
      </c>
      <c r="S465" s="110" t="str">
        <f t="shared" si="21"/>
        <v>2</v>
      </c>
    </row>
    <row r="466" spans="2:19" x14ac:dyDescent="0.2">
      <c r="B466" s="57" t="s">
        <v>2451</v>
      </c>
      <c r="C466" s="57" t="s">
        <v>2743</v>
      </c>
      <c r="D466" s="55" t="str">
        <f>VLOOKUP(VLOOKUP(Q466&amp;"_"&amp;R466,活动关卡!$A$32:$Z$55,2+5*S466,FALSE),'⚪设计'!$B$85:$H$114,2,FALSE)</f>
        <v>ResUnit_MiFeng1</v>
      </c>
      <c r="E466" s="55">
        <f>VLOOKUP(VLOOKUP(Q466&amp;"_"&amp;R466,活动关卡!$A$32:$Z$55,2+5*S466,FALSE),'⚪设计'!$B$85:$H$114,6,FALSE)*VLOOKUP(Q466&amp;"_"&amp;R466,活动关卡!$A$32:$Z$55,5,FALSE)</f>
        <v>2</v>
      </c>
      <c r="F466">
        <v>400</v>
      </c>
      <c r="G466" t="b">
        <v>1</v>
      </c>
      <c r="H466">
        <v>1</v>
      </c>
      <c r="I466">
        <v>1</v>
      </c>
      <c r="J466">
        <v>0.5</v>
      </c>
      <c r="K466" s="55">
        <f>VLOOKUP(VLOOKUP(Q466&amp;"_"&amp;R466,活动关卡!$A$32:$Z$55,2+5*S466,FALSE),'⚪设计'!$B$85:$H$114,7,FALSE)</f>
        <v>1</v>
      </c>
      <c r="L466" s="57" t="s">
        <v>2159</v>
      </c>
      <c r="M466" t="s">
        <v>468</v>
      </c>
      <c r="N466" t="s">
        <v>469</v>
      </c>
      <c r="O466" t="s">
        <v>470</v>
      </c>
      <c r="P466" s="57" t="str">
        <f>IF(VLOOKUP(D466,'⚪设计'!$C$85:$I$113,7,FALSE)="","",VLOOKUP(D466,'⚪设计'!$C$85:$I$113,7,FALSE))</f>
        <v/>
      </c>
      <c r="Q466" s="110" t="str">
        <f t="shared" si="19"/>
        <v>1</v>
      </c>
      <c r="R466" s="110" t="str">
        <f t="shared" si="20"/>
        <v>2</v>
      </c>
      <c r="S466" s="110" t="str">
        <f t="shared" si="21"/>
        <v>1</v>
      </c>
    </row>
    <row r="467" spans="2:19" x14ac:dyDescent="0.2">
      <c r="B467" s="57" t="s">
        <v>2452</v>
      </c>
      <c r="C467" s="57" t="s">
        <v>2744</v>
      </c>
      <c r="D467" s="55" t="str">
        <f>VLOOKUP(VLOOKUP(Q467&amp;"_"&amp;R467,活动关卡!$A$32:$Z$55,2+5*S467,FALSE),'⚪设计'!$B$85:$H$114,2,FALSE)</f>
        <v>ResUnit_Rou1</v>
      </c>
      <c r="E467" s="55">
        <f>VLOOKUP(VLOOKUP(Q467&amp;"_"&amp;R467,活动关卡!$A$32:$Z$55,2+5*S467,FALSE),'⚪设计'!$B$85:$H$114,6,FALSE)*VLOOKUP(Q467&amp;"_"&amp;R467,活动关卡!$A$32:$Z$55,5,FALSE)</f>
        <v>2</v>
      </c>
      <c r="F467">
        <v>400</v>
      </c>
      <c r="G467" t="b">
        <v>1</v>
      </c>
      <c r="H467">
        <v>1</v>
      </c>
      <c r="I467">
        <v>1</v>
      </c>
      <c r="J467">
        <v>0.5</v>
      </c>
      <c r="K467" s="55">
        <f>VLOOKUP(VLOOKUP(Q467&amp;"_"&amp;R467,活动关卡!$A$32:$Z$55,2+5*S467,FALSE),'⚪设计'!$B$85:$H$114,7,FALSE)</f>
        <v>1</v>
      </c>
      <c r="L467" s="57" t="s">
        <v>2160</v>
      </c>
      <c r="M467" t="s">
        <v>468</v>
      </c>
      <c r="N467" t="s">
        <v>469</v>
      </c>
      <c r="O467" t="s">
        <v>470</v>
      </c>
      <c r="P467" s="57" t="str">
        <f>IF(VLOOKUP(D467,'⚪设计'!$C$85:$I$113,7,FALSE)="","",VLOOKUP(D467,'⚪设计'!$C$85:$I$113,7,FALSE))</f>
        <v/>
      </c>
      <c r="Q467" s="110" t="str">
        <f t="shared" si="19"/>
        <v>1</v>
      </c>
      <c r="R467" s="110" t="str">
        <f t="shared" si="20"/>
        <v>2</v>
      </c>
      <c r="S467" s="110" t="str">
        <f t="shared" si="21"/>
        <v>2</v>
      </c>
    </row>
    <row r="468" spans="2:19" x14ac:dyDescent="0.2">
      <c r="B468" s="57" t="s">
        <v>2453</v>
      </c>
      <c r="C468" s="57" t="s">
        <v>2745</v>
      </c>
      <c r="D468" s="55" t="str">
        <f>VLOOKUP(VLOOKUP(Q468&amp;"_"&amp;R468,活动关卡!$A$32:$Z$55,2+5*S468,FALSE),'⚪设计'!$B$85:$H$114,2,FALSE)</f>
        <v>ResUnit_MiFeng1</v>
      </c>
      <c r="E468" s="55">
        <f>VLOOKUP(VLOOKUP(Q468&amp;"_"&amp;R468,活动关卡!$A$32:$Z$55,2+5*S468,FALSE),'⚪设计'!$B$85:$H$114,6,FALSE)*VLOOKUP(Q468&amp;"_"&amp;R468,活动关卡!$A$32:$Z$55,5,FALSE)</f>
        <v>2</v>
      </c>
      <c r="F468">
        <v>400</v>
      </c>
      <c r="G468" t="b">
        <v>1</v>
      </c>
      <c r="H468">
        <v>1</v>
      </c>
      <c r="I468">
        <v>1</v>
      </c>
      <c r="J468">
        <v>0.5</v>
      </c>
      <c r="K468" s="55">
        <f>VLOOKUP(VLOOKUP(Q468&amp;"_"&amp;R468,活动关卡!$A$32:$Z$55,2+5*S468,FALSE),'⚪设计'!$B$85:$H$114,7,FALSE)</f>
        <v>1</v>
      </c>
      <c r="L468" s="57" t="s">
        <v>2161</v>
      </c>
      <c r="M468" t="s">
        <v>468</v>
      </c>
      <c r="N468" t="s">
        <v>469</v>
      </c>
      <c r="O468" t="s">
        <v>470</v>
      </c>
      <c r="P468" s="57" t="str">
        <f>IF(VLOOKUP(D468,'⚪设计'!$C$85:$I$113,7,FALSE)="","",VLOOKUP(D468,'⚪设计'!$C$85:$I$113,7,FALSE))</f>
        <v/>
      </c>
      <c r="Q468" s="110" t="str">
        <f t="shared" si="19"/>
        <v>1</v>
      </c>
      <c r="R468" s="110" t="str">
        <f t="shared" si="20"/>
        <v>3</v>
      </c>
      <c r="S468" s="110" t="str">
        <f t="shared" si="21"/>
        <v>1</v>
      </c>
    </row>
    <row r="469" spans="2:19" x14ac:dyDescent="0.2">
      <c r="B469" s="57" t="s">
        <v>2454</v>
      </c>
      <c r="C469" s="57" t="s">
        <v>2746</v>
      </c>
      <c r="D469" s="55" t="str">
        <f>VLOOKUP(VLOOKUP(Q469&amp;"_"&amp;R469,活动关卡!$A$32:$Z$55,2+5*S469,FALSE),'⚪设计'!$B$85:$H$114,2,FALSE)</f>
        <v>ResUnit_MiFeng2</v>
      </c>
      <c r="E469" s="55">
        <f>VLOOKUP(VLOOKUP(Q469&amp;"_"&amp;R469,活动关卡!$A$32:$Z$55,2+5*S469,FALSE),'⚪设计'!$B$85:$H$114,6,FALSE)*VLOOKUP(Q469&amp;"_"&amp;R469,活动关卡!$A$32:$Z$55,5,FALSE)</f>
        <v>2</v>
      </c>
      <c r="F469">
        <v>400</v>
      </c>
      <c r="G469" t="b">
        <v>1</v>
      </c>
      <c r="H469">
        <v>1</v>
      </c>
      <c r="I469">
        <v>1</v>
      </c>
      <c r="J469">
        <v>0.5</v>
      </c>
      <c r="K469" s="55">
        <f>VLOOKUP(VLOOKUP(Q469&amp;"_"&amp;R469,活动关卡!$A$32:$Z$55,2+5*S469,FALSE),'⚪设计'!$B$85:$H$114,7,FALSE)</f>
        <v>1.5</v>
      </c>
      <c r="L469" s="57" t="s">
        <v>2162</v>
      </c>
      <c r="M469" t="s">
        <v>468</v>
      </c>
      <c r="N469" t="s">
        <v>469</v>
      </c>
      <c r="O469" t="s">
        <v>470</v>
      </c>
      <c r="P469" s="57" t="str">
        <f>IF(VLOOKUP(D469,'⚪设计'!$C$85:$I$113,7,FALSE)="","",VLOOKUP(D469,'⚪设计'!$C$85:$I$113,7,FALSE))</f>
        <v/>
      </c>
      <c r="Q469" s="110" t="str">
        <f t="shared" si="19"/>
        <v>1</v>
      </c>
      <c r="R469" s="110" t="str">
        <f t="shared" si="20"/>
        <v>3</v>
      </c>
      <c r="S469" s="110" t="str">
        <f t="shared" si="21"/>
        <v>2</v>
      </c>
    </row>
    <row r="470" spans="2:19" x14ac:dyDescent="0.2">
      <c r="B470" s="57" t="s">
        <v>2455</v>
      </c>
      <c r="C470" s="57" t="s">
        <v>2747</v>
      </c>
      <c r="D470" s="55" t="str">
        <f>VLOOKUP(VLOOKUP(Q470&amp;"_"&amp;R470,活动关卡!$A$32:$Z$55,2+5*S470,FALSE),'⚪设计'!$B$85:$H$114,2,FALSE)</f>
        <v>ResUnit_Rou1</v>
      </c>
      <c r="E470" s="55">
        <f>VLOOKUP(VLOOKUP(Q470&amp;"_"&amp;R470,活动关卡!$A$32:$Z$55,2+5*S470,FALSE),'⚪设计'!$B$85:$H$114,6,FALSE)*VLOOKUP(Q470&amp;"_"&amp;R470,活动关卡!$A$32:$Z$55,5,FALSE)</f>
        <v>2</v>
      </c>
      <c r="F470">
        <v>400</v>
      </c>
      <c r="G470" t="b">
        <v>1</v>
      </c>
      <c r="H470">
        <v>1</v>
      </c>
      <c r="I470">
        <v>1</v>
      </c>
      <c r="J470">
        <v>0.5</v>
      </c>
      <c r="K470" s="55">
        <f>VLOOKUP(VLOOKUP(Q470&amp;"_"&amp;R470,活动关卡!$A$32:$Z$55,2+5*S470,FALSE),'⚪设计'!$B$85:$H$114,7,FALSE)</f>
        <v>1</v>
      </c>
      <c r="L470" s="57" t="s">
        <v>2163</v>
      </c>
      <c r="M470" t="s">
        <v>468</v>
      </c>
      <c r="N470" t="s">
        <v>469</v>
      </c>
      <c r="O470" t="s">
        <v>470</v>
      </c>
      <c r="P470" s="57" t="str">
        <f>IF(VLOOKUP(D470,'⚪设计'!$C$85:$I$113,7,FALSE)="","",VLOOKUP(D470,'⚪设计'!$C$85:$I$113,7,FALSE))</f>
        <v/>
      </c>
      <c r="Q470" s="110" t="str">
        <f t="shared" si="19"/>
        <v>1</v>
      </c>
      <c r="R470" s="110" t="str">
        <f t="shared" si="20"/>
        <v>3</v>
      </c>
      <c r="S470" s="110" t="str">
        <f t="shared" si="21"/>
        <v>3</v>
      </c>
    </row>
    <row r="471" spans="2:19" x14ac:dyDescent="0.2">
      <c r="B471" s="57" t="s">
        <v>2456</v>
      </c>
      <c r="C471" s="57" t="s">
        <v>2748</v>
      </c>
      <c r="D471" s="55" t="str">
        <f>VLOOKUP(VLOOKUP(Q471&amp;"_"&amp;R471,活动关卡!$A$32:$Z$55,2+5*S471,FALSE),'⚪设计'!$B$85:$H$114,2,FALSE)</f>
        <v>ResUnit_ZhiZhu1</v>
      </c>
      <c r="E471" s="55">
        <f>VLOOKUP(VLOOKUP(Q471&amp;"_"&amp;R471,活动关卡!$A$32:$Z$55,2+5*S471,FALSE),'⚪设计'!$B$85:$H$114,6,FALSE)*VLOOKUP(Q471&amp;"_"&amp;R471,活动关卡!$A$32:$Z$55,5,FALSE)</f>
        <v>3</v>
      </c>
      <c r="F471">
        <v>400</v>
      </c>
      <c r="G471" t="b">
        <v>1</v>
      </c>
      <c r="H471">
        <v>1</v>
      </c>
      <c r="I471">
        <v>1</v>
      </c>
      <c r="J471">
        <v>0.5</v>
      </c>
      <c r="K471" s="55">
        <f>VLOOKUP(VLOOKUP(Q471&amp;"_"&amp;R471,活动关卡!$A$32:$Z$55,2+5*S471,FALSE),'⚪设计'!$B$85:$H$114,7,FALSE)</f>
        <v>1</v>
      </c>
      <c r="L471" s="57" t="s">
        <v>2164</v>
      </c>
      <c r="M471" t="s">
        <v>468</v>
      </c>
      <c r="N471" t="s">
        <v>469</v>
      </c>
      <c r="O471" t="s">
        <v>470</v>
      </c>
      <c r="P471" s="57" t="str">
        <f>IF(VLOOKUP(D471,'⚪设计'!$C$85:$I$113,7,FALSE)="","",VLOOKUP(D471,'⚪设计'!$C$85:$I$113,7,FALSE))</f>
        <v/>
      </c>
      <c r="Q471" s="110" t="str">
        <f t="shared" si="19"/>
        <v>2</v>
      </c>
      <c r="R471" s="110" t="str">
        <f t="shared" si="20"/>
        <v>1</v>
      </c>
      <c r="S471" s="110" t="str">
        <f t="shared" si="21"/>
        <v>1</v>
      </c>
    </row>
    <row r="472" spans="2:19" x14ac:dyDescent="0.2">
      <c r="B472" s="57" t="s">
        <v>2457</v>
      </c>
      <c r="C472" s="57" t="s">
        <v>2749</v>
      </c>
      <c r="D472" s="55" t="str">
        <f>VLOOKUP(VLOOKUP(Q472&amp;"_"&amp;R472,活动关卡!$A$32:$Z$55,2+5*S472,FALSE),'⚪设计'!$B$85:$H$114,2,FALSE)</f>
        <v>ResUnit_Rou1</v>
      </c>
      <c r="E472" s="55">
        <f>VLOOKUP(VLOOKUP(Q472&amp;"_"&amp;R472,活动关卡!$A$32:$Z$55,2+5*S472,FALSE),'⚪设计'!$B$85:$H$114,6,FALSE)*VLOOKUP(Q472&amp;"_"&amp;R472,活动关卡!$A$32:$Z$55,5,FALSE)</f>
        <v>2</v>
      </c>
      <c r="F472">
        <v>400</v>
      </c>
      <c r="G472" t="b">
        <v>1</v>
      </c>
      <c r="H472">
        <v>1</v>
      </c>
      <c r="I472">
        <v>1</v>
      </c>
      <c r="J472">
        <v>0.5</v>
      </c>
      <c r="K472" s="55">
        <f>VLOOKUP(VLOOKUP(Q472&amp;"_"&amp;R472,活动关卡!$A$32:$Z$55,2+5*S472,FALSE),'⚪设计'!$B$85:$H$114,7,FALSE)</f>
        <v>1</v>
      </c>
      <c r="L472" s="57" t="s">
        <v>2165</v>
      </c>
      <c r="M472" t="s">
        <v>468</v>
      </c>
      <c r="N472" t="s">
        <v>469</v>
      </c>
      <c r="O472" t="s">
        <v>470</v>
      </c>
      <c r="P472" s="57" t="str">
        <f>IF(VLOOKUP(D472,'⚪设计'!$C$85:$I$113,7,FALSE)="","",VLOOKUP(D472,'⚪设计'!$C$85:$I$113,7,FALSE))</f>
        <v/>
      </c>
      <c r="Q472" s="110" t="str">
        <f t="shared" si="19"/>
        <v>2</v>
      </c>
      <c r="R472" s="110" t="str">
        <f t="shared" si="20"/>
        <v>1</v>
      </c>
      <c r="S472" s="110" t="str">
        <f t="shared" si="21"/>
        <v>2</v>
      </c>
    </row>
    <row r="473" spans="2:19" x14ac:dyDescent="0.2">
      <c r="B473" s="57" t="s">
        <v>2458</v>
      </c>
      <c r="C473" s="57" t="s">
        <v>2750</v>
      </c>
      <c r="D473" s="55" t="str">
        <f>VLOOKUP(VLOOKUP(Q473&amp;"_"&amp;R473,活动关卡!$A$32:$Z$55,2+5*S473,FALSE),'⚪设计'!$B$85:$H$114,2,FALSE)</f>
        <v>ResUnit_ZhiZhu1</v>
      </c>
      <c r="E473" s="55">
        <f>VLOOKUP(VLOOKUP(Q473&amp;"_"&amp;R473,活动关卡!$A$32:$Z$55,2+5*S473,FALSE),'⚪设计'!$B$85:$H$114,6,FALSE)*VLOOKUP(Q473&amp;"_"&amp;R473,活动关卡!$A$32:$Z$55,5,FALSE)</f>
        <v>3</v>
      </c>
      <c r="F473">
        <v>400</v>
      </c>
      <c r="G473" t="b">
        <v>1</v>
      </c>
      <c r="H473">
        <v>1</v>
      </c>
      <c r="I473">
        <v>1</v>
      </c>
      <c r="J473">
        <v>0.5</v>
      </c>
      <c r="K473" s="55">
        <f>VLOOKUP(VLOOKUP(Q473&amp;"_"&amp;R473,活动关卡!$A$32:$Z$55,2+5*S473,FALSE),'⚪设计'!$B$85:$H$114,7,FALSE)</f>
        <v>1</v>
      </c>
      <c r="L473" s="57" t="s">
        <v>2166</v>
      </c>
      <c r="M473" t="s">
        <v>468</v>
      </c>
      <c r="N473" t="s">
        <v>469</v>
      </c>
      <c r="O473" t="s">
        <v>470</v>
      </c>
      <c r="P473" s="57" t="str">
        <f>IF(VLOOKUP(D473,'⚪设计'!$C$85:$I$113,7,FALSE)="","",VLOOKUP(D473,'⚪设计'!$C$85:$I$113,7,FALSE))</f>
        <v/>
      </c>
      <c r="Q473" s="110" t="str">
        <f t="shared" si="19"/>
        <v>2</v>
      </c>
      <c r="R473" s="110" t="str">
        <f t="shared" si="20"/>
        <v>2</v>
      </c>
      <c r="S473" s="110" t="str">
        <f t="shared" si="21"/>
        <v>1</v>
      </c>
    </row>
    <row r="474" spans="2:19" x14ac:dyDescent="0.2">
      <c r="B474" s="57" t="s">
        <v>2459</v>
      </c>
      <c r="C474" s="57" t="s">
        <v>2751</v>
      </c>
      <c r="D474" s="55" t="str">
        <f>VLOOKUP(VLOOKUP(Q474&amp;"_"&amp;R474,活动关卡!$A$32:$Z$55,2+5*S474,FALSE),'⚪设计'!$B$85:$H$114,2,FALSE)</f>
        <v>ResUnit_MiFeng2</v>
      </c>
      <c r="E474" s="55">
        <f>VLOOKUP(VLOOKUP(Q474&amp;"_"&amp;R474,活动关卡!$A$32:$Z$55,2+5*S474,FALSE),'⚪设计'!$B$85:$H$114,6,FALSE)*VLOOKUP(Q474&amp;"_"&amp;R474,活动关卡!$A$32:$Z$55,5,FALSE)</f>
        <v>2</v>
      </c>
      <c r="F474">
        <v>400</v>
      </c>
      <c r="G474" t="b">
        <v>1</v>
      </c>
      <c r="H474">
        <v>1</v>
      </c>
      <c r="I474">
        <v>1</v>
      </c>
      <c r="J474">
        <v>0.5</v>
      </c>
      <c r="K474" s="55">
        <f>VLOOKUP(VLOOKUP(Q474&amp;"_"&amp;R474,活动关卡!$A$32:$Z$55,2+5*S474,FALSE),'⚪设计'!$B$85:$H$114,7,FALSE)</f>
        <v>1.5</v>
      </c>
      <c r="L474" s="57" t="s">
        <v>2167</v>
      </c>
      <c r="M474" t="s">
        <v>468</v>
      </c>
      <c r="N474" t="s">
        <v>469</v>
      </c>
      <c r="O474" t="s">
        <v>470</v>
      </c>
      <c r="P474" s="57" t="str">
        <f>IF(VLOOKUP(D474,'⚪设计'!$C$85:$I$113,7,FALSE)="","",VLOOKUP(D474,'⚪设计'!$C$85:$I$113,7,FALSE))</f>
        <v/>
      </c>
      <c r="Q474" s="110" t="str">
        <f t="shared" si="19"/>
        <v>2</v>
      </c>
      <c r="R474" s="110" t="str">
        <f t="shared" si="20"/>
        <v>2</v>
      </c>
      <c r="S474" s="110" t="str">
        <f t="shared" si="21"/>
        <v>2</v>
      </c>
    </row>
    <row r="475" spans="2:19" x14ac:dyDescent="0.2">
      <c r="B475" s="57" t="s">
        <v>2460</v>
      </c>
      <c r="C475" s="57" t="s">
        <v>2752</v>
      </c>
      <c r="D475" s="55" t="str">
        <f>VLOOKUP(VLOOKUP(Q475&amp;"_"&amp;R475,活动关卡!$A$32:$Z$55,2+5*S475,FALSE),'⚪设计'!$B$85:$H$114,2,FALSE)</f>
        <v>ResUnit_Rou1</v>
      </c>
      <c r="E475" s="55">
        <f>VLOOKUP(VLOOKUP(Q475&amp;"_"&amp;R475,活动关卡!$A$32:$Z$55,2+5*S475,FALSE),'⚪设计'!$B$85:$H$114,6,FALSE)*VLOOKUP(Q475&amp;"_"&amp;R475,活动关卡!$A$32:$Z$55,5,FALSE)</f>
        <v>2</v>
      </c>
      <c r="F475">
        <v>400</v>
      </c>
      <c r="G475" t="b">
        <v>1</v>
      </c>
      <c r="H475">
        <v>1</v>
      </c>
      <c r="I475">
        <v>1</v>
      </c>
      <c r="J475">
        <v>0.5</v>
      </c>
      <c r="K475" s="55">
        <f>VLOOKUP(VLOOKUP(Q475&amp;"_"&amp;R475,活动关卡!$A$32:$Z$55,2+5*S475,FALSE),'⚪设计'!$B$85:$H$114,7,FALSE)</f>
        <v>1</v>
      </c>
      <c r="L475" s="57" t="s">
        <v>2168</v>
      </c>
      <c r="M475" t="s">
        <v>468</v>
      </c>
      <c r="N475" t="s">
        <v>469</v>
      </c>
      <c r="O475" t="s">
        <v>470</v>
      </c>
      <c r="P475" s="57" t="str">
        <f>IF(VLOOKUP(D475,'⚪设计'!$C$85:$I$113,7,FALSE)="","",VLOOKUP(D475,'⚪设计'!$C$85:$I$113,7,FALSE))</f>
        <v/>
      </c>
      <c r="Q475" s="110" t="str">
        <f t="shared" si="19"/>
        <v>2</v>
      </c>
      <c r="R475" s="110" t="str">
        <f t="shared" si="20"/>
        <v>2</v>
      </c>
      <c r="S475" s="110" t="str">
        <f t="shared" si="21"/>
        <v>3</v>
      </c>
    </row>
    <row r="476" spans="2:19" x14ac:dyDescent="0.2">
      <c r="B476" s="57" t="s">
        <v>2461</v>
      </c>
      <c r="C476" s="57" t="s">
        <v>2753</v>
      </c>
      <c r="D476" s="55" t="str">
        <f>VLOOKUP(VLOOKUP(Q476&amp;"_"&amp;R476,活动关卡!$A$32:$Z$55,2+5*S476,FALSE),'⚪设计'!$B$85:$H$114,2,FALSE)</f>
        <v>ResUnit_ZhiZhu1</v>
      </c>
      <c r="E476" s="55">
        <f>VLOOKUP(VLOOKUP(Q476&amp;"_"&amp;R476,活动关卡!$A$32:$Z$55,2+5*S476,FALSE),'⚪设计'!$B$85:$H$114,6,FALSE)*VLOOKUP(Q476&amp;"_"&amp;R476,活动关卡!$A$32:$Z$55,5,FALSE)</f>
        <v>3</v>
      </c>
      <c r="F476">
        <v>400</v>
      </c>
      <c r="G476" t="b">
        <v>1</v>
      </c>
      <c r="H476">
        <v>1</v>
      </c>
      <c r="I476">
        <v>1</v>
      </c>
      <c r="J476">
        <v>0.5</v>
      </c>
      <c r="K476" s="55">
        <f>VLOOKUP(VLOOKUP(Q476&amp;"_"&amp;R476,活动关卡!$A$32:$Z$55,2+5*S476,FALSE),'⚪设计'!$B$85:$H$114,7,FALSE)</f>
        <v>1</v>
      </c>
      <c r="L476" s="57" t="s">
        <v>2169</v>
      </c>
      <c r="M476" t="s">
        <v>468</v>
      </c>
      <c r="N476" t="s">
        <v>469</v>
      </c>
      <c r="O476" t="s">
        <v>470</v>
      </c>
      <c r="P476" s="57" t="str">
        <f>IF(VLOOKUP(D476,'⚪设计'!$C$85:$I$113,7,FALSE)="","",VLOOKUP(D476,'⚪设计'!$C$85:$I$113,7,FALSE))</f>
        <v/>
      </c>
      <c r="Q476" s="110" t="str">
        <f t="shared" si="19"/>
        <v>2</v>
      </c>
      <c r="R476" s="110" t="str">
        <f t="shared" si="20"/>
        <v>3</v>
      </c>
      <c r="S476" s="110" t="str">
        <f t="shared" si="21"/>
        <v>1</v>
      </c>
    </row>
    <row r="477" spans="2:19" x14ac:dyDescent="0.2">
      <c r="B477" s="57" t="s">
        <v>2462</v>
      </c>
      <c r="C477" s="57" t="s">
        <v>2754</v>
      </c>
      <c r="D477" s="55" t="str">
        <f>VLOOKUP(VLOOKUP(Q477&amp;"_"&amp;R477,活动关卡!$A$32:$Z$55,2+5*S477,FALSE),'⚪设计'!$B$85:$H$114,2,FALSE)</f>
        <v>ResUnit_BianFu1</v>
      </c>
      <c r="E477" s="55">
        <f>VLOOKUP(VLOOKUP(Q477&amp;"_"&amp;R477,活动关卡!$A$32:$Z$55,2+5*S477,FALSE),'⚪设计'!$B$85:$H$114,6,FALSE)*VLOOKUP(Q477&amp;"_"&amp;R477,活动关卡!$A$32:$Z$55,5,FALSE)</f>
        <v>2</v>
      </c>
      <c r="F477">
        <v>400</v>
      </c>
      <c r="G477" t="b">
        <v>1</v>
      </c>
      <c r="H477">
        <v>1</v>
      </c>
      <c r="I477">
        <v>1</v>
      </c>
      <c r="J477">
        <v>0.5</v>
      </c>
      <c r="K477" s="55">
        <f>VLOOKUP(VLOOKUP(Q477&amp;"_"&amp;R477,活动关卡!$A$32:$Z$55,2+5*S477,FALSE),'⚪设计'!$B$85:$H$114,7,FALSE)</f>
        <v>1</v>
      </c>
      <c r="L477" s="57" t="s">
        <v>2170</v>
      </c>
      <c r="M477" t="s">
        <v>468</v>
      </c>
      <c r="N477" t="s">
        <v>469</v>
      </c>
      <c r="O477" t="s">
        <v>470</v>
      </c>
      <c r="P477" s="57" t="str">
        <f>IF(VLOOKUP(D477,'⚪设计'!$C$85:$I$113,7,FALSE)="","",VLOOKUP(D477,'⚪设计'!$C$85:$I$113,7,FALSE))</f>
        <v/>
      </c>
      <c r="Q477" s="110" t="str">
        <f t="shared" si="19"/>
        <v>2</v>
      </c>
      <c r="R477" s="110" t="str">
        <f t="shared" si="20"/>
        <v>3</v>
      </c>
      <c r="S477" s="110" t="str">
        <f t="shared" si="21"/>
        <v>2</v>
      </c>
    </row>
    <row r="478" spans="2:19" x14ac:dyDescent="0.2">
      <c r="B478" s="57" t="s">
        <v>2463</v>
      </c>
      <c r="C478" s="57" t="s">
        <v>2755</v>
      </c>
      <c r="D478" s="55" t="str">
        <f>VLOOKUP(VLOOKUP(Q478&amp;"_"&amp;R478,活动关卡!$A$32:$Z$55,2+5*S478,FALSE),'⚪设计'!$B$85:$H$114,2,FALSE)</f>
        <v>ResUnit_Rou1</v>
      </c>
      <c r="E478" s="55">
        <f>VLOOKUP(VLOOKUP(Q478&amp;"_"&amp;R478,活动关卡!$A$32:$Z$55,2+5*S478,FALSE),'⚪设计'!$B$85:$H$114,6,FALSE)*VLOOKUP(Q478&amp;"_"&amp;R478,活动关卡!$A$32:$Z$55,5,FALSE)</f>
        <v>2</v>
      </c>
      <c r="F478">
        <v>400</v>
      </c>
      <c r="G478" t="b">
        <v>1</v>
      </c>
      <c r="H478">
        <v>1</v>
      </c>
      <c r="I478">
        <v>1</v>
      </c>
      <c r="J478">
        <v>0.5</v>
      </c>
      <c r="K478" s="55">
        <f>VLOOKUP(VLOOKUP(Q478&amp;"_"&amp;R478,活动关卡!$A$32:$Z$55,2+5*S478,FALSE),'⚪设计'!$B$85:$H$114,7,FALSE)</f>
        <v>1</v>
      </c>
      <c r="L478" s="57" t="s">
        <v>2171</v>
      </c>
      <c r="M478" t="s">
        <v>468</v>
      </c>
      <c r="N478" t="s">
        <v>469</v>
      </c>
      <c r="O478" t="s">
        <v>470</v>
      </c>
      <c r="P478" s="57" t="str">
        <f>IF(VLOOKUP(D478,'⚪设计'!$C$85:$I$113,7,FALSE)="","",VLOOKUP(D478,'⚪设计'!$C$85:$I$113,7,FALSE))</f>
        <v/>
      </c>
      <c r="Q478" s="110" t="str">
        <f t="shared" si="19"/>
        <v>2</v>
      </c>
      <c r="R478" s="110" t="str">
        <f t="shared" si="20"/>
        <v>3</v>
      </c>
      <c r="S478" s="110" t="str">
        <f t="shared" si="21"/>
        <v>3</v>
      </c>
    </row>
    <row r="479" spans="2:19" x14ac:dyDescent="0.2">
      <c r="B479" s="57" t="s">
        <v>2464</v>
      </c>
      <c r="C479" s="57" t="s">
        <v>2756</v>
      </c>
      <c r="D479" s="55" t="str">
        <f>VLOOKUP(VLOOKUP(Q479&amp;"_"&amp;R479,活动关卡!$A$32:$Z$55,2+5*S479,FALSE),'⚪设计'!$B$85:$H$114,2,FALSE)</f>
        <v>ResUnit_ZhiZhu1</v>
      </c>
      <c r="E479" s="55">
        <f>VLOOKUP(VLOOKUP(Q479&amp;"_"&amp;R479,活动关卡!$A$32:$Z$55,2+5*S479,FALSE),'⚪设计'!$B$85:$H$114,6,FALSE)*VLOOKUP(Q479&amp;"_"&amp;R479,活动关卡!$A$32:$Z$55,5,FALSE)</f>
        <v>3</v>
      </c>
      <c r="F479">
        <v>400</v>
      </c>
      <c r="G479" t="b">
        <v>1</v>
      </c>
      <c r="H479">
        <v>1</v>
      </c>
      <c r="I479">
        <v>1</v>
      </c>
      <c r="J479">
        <v>0.5</v>
      </c>
      <c r="K479" s="55">
        <f>VLOOKUP(VLOOKUP(Q479&amp;"_"&amp;R479,活动关卡!$A$32:$Z$55,2+5*S479,FALSE),'⚪设计'!$B$85:$H$114,7,FALSE)</f>
        <v>1</v>
      </c>
      <c r="L479" s="57" t="s">
        <v>2172</v>
      </c>
      <c r="M479" t="s">
        <v>468</v>
      </c>
      <c r="N479" t="s">
        <v>469</v>
      </c>
      <c r="O479" t="s">
        <v>470</v>
      </c>
      <c r="P479" s="57" t="str">
        <f>IF(VLOOKUP(D479,'⚪设计'!$C$85:$I$113,7,FALSE)="","",VLOOKUP(D479,'⚪设计'!$C$85:$I$113,7,FALSE))</f>
        <v/>
      </c>
      <c r="Q479" s="110" t="str">
        <f t="shared" si="19"/>
        <v>2</v>
      </c>
      <c r="R479" s="110" t="str">
        <f t="shared" si="20"/>
        <v>4</v>
      </c>
      <c r="S479" s="110" t="str">
        <f t="shared" si="21"/>
        <v>1</v>
      </c>
    </row>
    <row r="480" spans="2:19" x14ac:dyDescent="0.2">
      <c r="B480" s="57" t="s">
        <v>2465</v>
      </c>
      <c r="C480" s="57" t="s">
        <v>2757</v>
      </c>
      <c r="D480" s="55" t="str">
        <f>VLOOKUP(VLOOKUP(Q480&amp;"_"&amp;R480,活动关卡!$A$32:$Z$55,2+5*S480,FALSE),'⚪设计'!$B$85:$H$114,2,FALSE)</f>
        <v>ResUnit_BianFu1</v>
      </c>
      <c r="E480" s="55">
        <f>VLOOKUP(VLOOKUP(Q480&amp;"_"&amp;R480,活动关卡!$A$32:$Z$55,2+5*S480,FALSE),'⚪设计'!$B$85:$H$114,6,FALSE)*VLOOKUP(Q480&amp;"_"&amp;R480,活动关卡!$A$32:$Z$55,5,FALSE)</f>
        <v>2</v>
      </c>
      <c r="F480">
        <v>400</v>
      </c>
      <c r="G480" t="b">
        <v>1</v>
      </c>
      <c r="H480">
        <v>1</v>
      </c>
      <c r="I480">
        <v>1</v>
      </c>
      <c r="J480">
        <v>0.5</v>
      </c>
      <c r="K480" s="55">
        <f>VLOOKUP(VLOOKUP(Q480&amp;"_"&amp;R480,活动关卡!$A$32:$Z$55,2+5*S480,FALSE),'⚪设计'!$B$85:$H$114,7,FALSE)</f>
        <v>1</v>
      </c>
      <c r="L480" s="57" t="s">
        <v>2173</v>
      </c>
      <c r="M480" t="s">
        <v>468</v>
      </c>
      <c r="N480" t="s">
        <v>469</v>
      </c>
      <c r="O480" t="s">
        <v>470</v>
      </c>
      <c r="P480" s="57" t="str">
        <f>IF(VLOOKUP(D480,'⚪设计'!$C$85:$I$113,7,FALSE)="","",VLOOKUP(D480,'⚪设计'!$C$85:$I$113,7,FALSE))</f>
        <v/>
      </c>
      <c r="Q480" s="110" t="str">
        <f t="shared" si="19"/>
        <v>2</v>
      </c>
      <c r="R480" s="110" t="str">
        <f t="shared" si="20"/>
        <v>4</v>
      </c>
      <c r="S480" s="110" t="str">
        <f t="shared" si="21"/>
        <v>2</v>
      </c>
    </row>
    <row r="481" spans="2:19" x14ac:dyDescent="0.2">
      <c r="B481" s="57" t="s">
        <v>2466</v>
      </c>
      <c r="C481" s="57" t="s">
        <v>2758</v>
      </c>
      <c r="D481" s="55" t="str">
        <f>VLOOKUP(VLOOKUP(Q481&amp;"_"&amp;R481,活动关卡!$A$32:$Z$55,2+5*S481,FALSE),'⚪设计'!$B$85:$H$114,2,FALSE)</f>
        <v>ResUnit_MiFeng2</v>
      </c>
      <c r="E481" s="55">
        <f>VLOOKUP(VLOOKUP(Q481&amp;"_"&amp;R481,活动关卡!$A$32:$Z$55,2+5*S481,FALSE),'⚪设计'!$B$85:$H$114,6,FALSE)*VLOOKUP(Q481&amp;"_"&amp;R481,活动关卡!$A$32:$Z$55,5,FALSE)</f>
        <v>2</v>
      </c>
      <c r="F481">
        <v>400</v>
      </c>
      <c r="G481" t="b">
        <v>1</v>
      </c>
      <c r="H481">
        <v>1</v>
      </c>
      <c r="I481">
        <v>1</v>
      </c>
      <c r="J481">
        <v>0.5</v>
      </c>
      <c r="K481" s="55">
        <f>VLOOKUP(VLOOKUP(Q481&amp;"_"&amp;R481,活动关卡!$A$32:$Z$55,2+5*S481,FALSE),'⚪设计'!$B$85:$H$114,7,FALSE)</f>
        <v>1.5</v>
      </c>
      <c r="L481" s="57" t="s">
        <v>2174</v>
      </c>
      <c r="M481" t="s">
        <v>468</v>
      </c>
      <c r="N481" t="s">
        <v>469</v>
      </c>
      <c r="O481" t="s">
        <v>470</v>
      </c>
      <c r="P481" s="57" t="str">
        <f>IF(VLOOKUP(D481,'⚪设计'!$C$85:$I$113,7,FALSE)="","",VLOOKUP(D481,'⚪设计'!$C$85:$I$113,7,FALSE))</f>
        <v/>
      </c>
      <c r="Q481" s="110" t="str">
        <f t="shared" si="19"/>
        <v>2</v>
      </c>
      <c r="R481" s="110" t="str">
        <f t="shared" si="20"/>
        <v>4</v>
      </c>
      <c r="S481" s="110" t="str">
        <f t="shared" si="21"/>
        <v>3</v>
      </c>
    </row>
    <row r="482" spans="2:19" x14ac:dyDescent="0.2">
      <c r="B482" s="57" t="s">
        <v>2467</v>
      </c>
      <c r="C482" s="57" t="s">
        <v>2759</v>
      </c>
      <c r="D482" s="55" t="str">
        <f>VLOOKUP(VLOOKUP(Q482&amp;"_"&amp;R482,活动关卡!$A$32:$Z$55,2+5*S482,FALSE),'⚪设计'!$B$85:$H$114,2,FALSE)</f>
        <v>ResUnit_Rou1</v>
      </c>
      <c r="E482" s="55">
        <f>VLOOKUP(VLOOKUP(Q482&amp;"_"&amp;R482,活动关卡!$A$32:$Z$55,2+5*S482,FALSE),'⚪设计'!$B$85:$H$114,6,FALSE)*VLOOKUP(Q482&amp;"_"&amp;R482,活动关卡!$A$32:$Z$55,5,FALSE)</f>
        <v>2</v>
      </c>
      <c r="F482">
        <v>400</v>
      </c>
      <c r="G482" t="b">
        <v>1</v>
      </c>
      <c r="H482">
        <v>1</v>
      </c>
      <c r="I482">
        <v>1</v>
      </c>
      <c r="J482">
        <v>0.5</v>
      </c>
      <c r="K482" s="55">
        <f>VLOOKUP(VLOOKUP(Q482&amp;"_"&amp;R482,活动关卡!$A$32:$Z$55,2+5*S482,FALSE),'⚪设计'!$B$85:$H$114,7,FALSE)</f>
        <v>1</v>
      </c>
      <c r="L482" s="57" t="s">
        <v>2175</v>
      </c>
      <c r="M482" t="s">
        <v>468</v>
      </c>
      <c r="N482" t="s">
        <v>469</v>
      </c>
      <c r="O482" t="s">
        <v>470</v>
      </c>
      <c r="P482" s="57" t="str">
        <f>IF(VLOOKUP(D482,'⚪设计'!$C$85:$I$113,7,FALSE)="","",VLOOKUP(D482,'⚪设计'!$C$85:$I$113,7,FALSE))</f>
        <v/>
      </c>
      <c r="Q482" s="110" t="str">
        <f t="shared" si="19"/>
        <v>2</v>
      </c>
      <c r="R482" s="110" t="str">
        <f t="shared" si="20"/>
        <v>4</v>
      </c>
      <c r="S482" s="110" t="str">
        <f t="shared" si="21"/>
        <v>4</v>
      </c>
    </row>
    <row r="483" spans="2:19" x14ac:dyDescent="0.2">
      <c r="B483" s="57" t="s">
        <v>2468</v>
      </c>
      <c r="C483" s="57" t="s">
        <v>2760</v>
      </c>
      <c r="D483" s="55" t="str">
        <f>VLOOKUP(VLOOKUP(Q483&amp;"_"&amp;R483,活动关卡!$A$32:$Z$55,2+5*S483,FALSE),'⚪设计'!$B$85:$H$114,2,FALSE)</f>
        <v>ResUnit_ZhiZhu1</v>
      </c>
      <c r="E483" s="55">
        <f>VLOOKUP(VLOOKUP(Q483&amp;"_"&amp;R483,活动关卡!$A$32:$Z$55,2+5*S483,FALSE),'⚪设计'!$B$85:$H$114,6,FALSE)*VLOOKUP(Q483&amp;"_"&amp;R483,活动关卡!$A$32:$Z$55,5,FALSE)</f>
        <v>3</v>
      </c>
      <c r="F483">
        <v>400</v>
      </c>
      <c r="G483" t="b">
        <v>1</v>
      </c>
      <c r="H483">
        <v>1</v>
      </c>
      <c r="I483">
        <v>1</v>
      </c>
      <c r="J483">
        <v>0.5</v>
      </c>
      <c r="K483" s="55">
        <f>VLOOKUP(VLOOKUP(Q483&amp;"_"&amp;R483,活动关卡!$A$32:$Z$55,2+5*S483,FALSE),'⚪设计'!$B$85:$H$114,7,FALSE)</f>
        <v>1</v>
      </c>
      <c r="L483" s="57" t="s">
        <v>2176</v>
      </c>
      <c r="M483" t="s">
        <v>468</v>
      </c>
      <c r="N483" t="s">
        <v>469</v>
      </c>
      <c r="O483" t="s">
        <v>470</v>
      </c>
      <c r="P483" s="57" t="str">
        <f>IF(VLOOKUP(D483,'⚪设计'!$C$85:$I$113,7,FALSE)="","",VLOOKUP(D483,'⚪设计'!$C$85:$I$113,7,FALSE))</f>
        <v/>
      </c>
      <c r="Q483" s="110" t="str">
        <f t="shared" si="19"/>
        <v>2</v>
      </c>
      <c r="R483" s="110" t="str">
        <f t="shared" si="20"/>
        <v>5</v>
      </c>
      <c r="S483" s="110" t="str">
        <f t="shared" si="21"/>
        <v>1</v>
      </c>
    </row>
    <row r="484" spans="2:19" x14ac:dyDescent="0.2">
      <c r="B484" s="57" t="s">
        <v>2469</v>
      </c>
      <c r="C484" s="57" t="s">
        <v>2761</v>
      </c>
      <c r="D484" s="55" t="str">
        <f>VLOOKUP(VLOOKUP(Q484&amp;"_"&amp;R484,活动关卡!$A$32:$Z$55,2+5*S484,FALSE),'⚪设计'!$B$85:$H$114,2,FALSE)</f>
        <v>ResUnit_BianFu1</v>
      </c>
      <c r="E484" s="55">
        <f>VLOOKUP(VLOOKUP(Q484&amp;"_"&amp;R484,活动关卡!$A$32:$Z$55,2+5*S484,FALSE),'⚪设计'!$B$85:$H$114,6,FALSE)*VLOOKUP(Q484&amp;"_"&amp;R484,活动关卡!$A$32:$Z$55,5,FALSE)</f>
        <v>2</v>
      </c>
      <c r="F484">
        <v>400</v>
      </c>
      <c r="G484" t="b">
        <v>1</v>
      </c>
      <c r="H484">
        <v>1</v>
      </c>
      <c r="I484">
        <v>1</v>
      </c>
      <c r="J484">
        <v>0.5</v>
      </c>
      <c r="K484" s="55">
        <f>VLOOKUP(VLOOKUP(Q484&amp;"_"&amp;R484,活动关卡!$A$32:$Z$55,2+5*S484,FALSE),'⚪设计'!$B$85:$H$114,7,FALSE)</f>
        <v>1</v>
      </c>
      <c r="L484" s="57" t="s">
        <v>2177</v>
      </c>
      <c r="M484" t="s">
        <v>468</v>
      </c>
      <c r="N484" t="s">
        <v>469</v>
      </c>
      <c r="O484" t="s">
        <v>470</v>
      </c>
      <c r="P484" s="57" t="str">
        <f>IF(VLOOKUP(D484,'⚪设计'!$C$85:$I$113,7,FALSE)="","",VLOOKUP(D484,'⚪设计'!$C$85:$I$113,7,FALSE))</f>
        <v/>
      </c>
      <c r="Q484" s="110" t="str">
        <f t="shared" si="19"/>
        <v>2</v>
      </c>
      <c r="R484" s="110" t="str">
        <f t="shared" si="20"/>
        <v>5</v>
      </c>
      <c r="S484" s="110" t="str">
        <f t="shared" si="21"/>
        <v>2</v>
      </c>
    </row>
    <row r="485" spans="2:19" x14ac:dyDescent="0.2">
      <c r="B485" s="57" t="s">
        <v>2470</v>
      </c>
      <c r="C485" s="57" t="s">
        <v>2762</v>
      </c>
      <c r="D485" s="55" t="str">
        <f>VLOOKUP(VLOOKUP(Q485&amp;"_"&amp;R485,活动关卡!$A$32:$Z$55,2+5*S485,FALSE),'⚪设计'!$B$85:$H$114,2,FALSE)</f>
        <v>ResUnit_MiFeng2</v>
      </c>
      <c r="E485" s="55">
        <f>VLOOKUP(VLOOKUP(Q485&amp;"_"&amp;R485,活动关卡!$A$32:$Z$55,2+5*S485,FALSE),'⚪设计'!$B$85:$H$114,6,FALSE)*VLOOKUP(Q485&amp;"_"&amp;R485,活动关卡!$A$32:$Z$55,5,FALSE)</f>
        <v>2</v>
      </c>
      <c r="F485">
        <v>400</v>
      </c>
      <c r="G485" t="b">
        <v>1</v>
      </c>
      <c r="H485">
        <v>1</v>
      </c>
      <c r="I485">
        <v>1</v>
      </c>
      <c r="J485">
        <v>0.5</v>
      </c>
      <c r="K485" s="55">
        <f>VLOOKUP(VLOOKUP(Q485&amp;"_"&amp;R485,活动关卡!$A$32:$Z$55,2+5*S485,FALSE),'⚪设计'!$B$85:$H$114,7,FALSE)</f>
        <v>1.5</v>
      </c>
      <c r="L485" s="57" t="s">
        <v>2178</v>
      </c>
      <c r="M485" t="s">
        <v>468</v>
      </c>
      <c r="N485" t="s">
        <v>469</v>
      </c>
      <c r="O485" t="s">
        <v>470</v>
      </c>
      <c r="P485" s="57" t="str">
        <f>IF(VLOOKUP(D485,'⚪设计'!$C$85:$I$113,7,FALSE)="","",VLOOKUP(D485,'⚪设计'!$C$85:$I$113,7,FALSE))</f>
        <v/>
      </c>
      <c r="Q485" s="110" t="str">
        <f t="shared" si="19"/>
        <v>2</v>
      </c>
      <c r="R485" s="110" t="str">
        <f t="shared" si="20"/>
        <v>5</v>
      </c>
      <c r="S485" s="110" t="str">
        <f t="shared" si="21"/>
        <v>3</v>
      </c>
    </row>
    <row r="486" spans="2:19" x14ac:dyDescent="0.2">
      <c r="B486" s="57" t="s">
        <v>2471</v>
      </c>
      <c r="C486" s="57" t="s">
        <v>2763</v>
      </c>
      <c r="D486" s="55" t="str">
        <f>VLOOKUP(VLOOKUP(Q486&amp;"_"&amp;R486,活动关卡!$A$32:$Z$55,2+5*S486,FALSE),'⚪设计'!$B$85:$H$114,2,FALSE)</f>
        <v>ResUnit_Rou1</v>
      </c>
      <c r="E486" s="55">
        <f>VLOOKUP(VLOOKUP(Q486&amp;"_"&amp;R486,活动关卡!$A$32:$Z$55,2+5*S486,FALSE),'⚪设计'!$B$85:$H$114,6,FALSE)*VLOOKUP(Q486&amp;"_"&amp;R486,活动关卡!$A$32:$Z$55,5,FALSE)</f>
        <v>2</v>
      </c>
      <c r="F486">
        <v>400</v>
      </c>
      <c r="G486" t="b">
        <v>1</v>
      </c>
      <c r="H486">
        <v>1</v>
      </c>
      <c r="I486">
        <v>1</v>
      </c>
      <c r="J486">
        <v>0.5</v>
      </c>
      <c r="K486" s="55">
        <f>VLOOKUP(VLOOKUP(Q486&amp;"_"&amp;R486,活动关卡!$A$32:$Z$55,2+5*S486,FALSE),'⚪设计'!$B$85:$H$114,7,FALSE)</f>
        <v>1</v>
      </c>
      <c r="L486" s="57" t="s">
        <v>2179</v>
      </c>
      <c r="M486" t="s">
        <v>468</v>
      </c>
      <c r="N486" t="s">
        <v>469</v>
      </c>
      <c r="O486" t="s">
        <v>470</v>
      </c>
      <c r="P486" s="57" t="str">
        <f>IF(VLOOKUP(D486,'⚪设计'!$C$85:$I$113,7,FALSE)="","",VLOOKUP(D486,'⚪设计'!$C$85:$I$113,7,FALSE))</f>
        <v/>
      </c>
      <c r="Q486" s="110" t="str">
        <f t="shared" si="19"/>
        <v>2</v>
      </c>
      <c r="R486" s="110" t="str">
        <f t="shared" si="20"/>
        <v>5</v>
      </c>
      <c r="S486" s="110" t="str">
        <f t="shared" si="21"/>
        <v>4</v>
      </c>
    </row>
    <row r="487" spans="2:19" x14ac:dyDescent="0.2">
      <c r="B487" s="57" t="s">
        <v>2472</v>
      </c>
      <c r="C487" s="57" t="s">
        <v>2764</v>
      </c>
      <c r="D487" s="55" t="str">
        <f>VLOOKUP(VLOOKUP(Q487&amp;"_"&amp;R487,活动关卡!$A$32:$Z$55,2+5*S487,FALSE),'⚪设计'!$B$85:$H$114,2,FALSE)</f>
        <v>ResUnit_ZhongZi1</v>
      </c>
      <c r="E487" s="55">
        <f>VLOOKUP(VLOOKUP(Q487&amp;"_"&amp;R487,活动关卡!$A$32:$Z$55,2+5*S487,FALSE),'⚪设计'!$B$85:$H$114,6,FALSE)*VLOOKUP(Q487&amp;"_"&amp;R487,活动关卡!$A$32:$Z$55,5,FALSE)</f>
        <v>2</v>
      </c>
      <c r="F487">
        <v>400</v>
      </c>
      <c r="G487" t="b">
        <v>1</v>
      </c>
      <c r="H487">
        <v>1</v>
      </c>
      <c r="I487">
        <v>1</v>
      </c>
      <c r="J487">
        <v>0.5</v>
      </c>
      <c r="K487" s="55">
        <f>VLOOKUP(VLOOKUP(Q487&amp;"_"&amp;R487,活动关卡!$A$32:$Z$55,2+5*S487,FALSE),'⚪设计'!$B$85:$H$114,7,FALSE)</f>
        <v>1</v>
      </c>
      <c r="L487" s="57" t="s">
        <v>2180</v>
      </c>
      <c r="M487" t="s">
        <v>468</v>
      </c>
      <c r="N487" t="s">
        <v>469</v>
      </c>
      <c r="O487" t="s">
        <v>470</v>
      </c>
      <c r="P487" s="57" t="str">
        <f>IF(VLOOKUP(D487,'⚪设计'!$C$85:$I$113,7,FALSE)="","",VLOOKUP(D487,'⚪设计'!$C$85:$I$113,7,FALSE))</f>
        <v>Skill_Monster_Heal,NormalAttack</v>
      </c>
      <c r="Q487" s="110" t="str">
        <f t="shared" si="19"/>
        <v>3</v>
      </c>
      <c r="R487" s="110" t="str">
        <f t="shared" si="20"/>
        <v>1</v>
      </c>
      <c r="S487" s="110" t="str">
        <f t="shared" si="21"/>
        <v>1</v>
      </c>
    </row>
    <row r="488" spans="2:19" x14ac:dyDescent="0.2">
      <c r="B488" s="57" t="s">
        <v>2473</v>
      </c>
      <c r="C488" s="57" t="s">
        <v>2765</v>
      </c>
      <c r="D488" s="55" t="str">
        <f>VLOOKUP(VLOOKUP(Q488&amp;"_"&amp;R488,活动关卡!$A$32:$Z$55,2+5*S488,FALSE),'⚪设计'!$B$85:$H$114,2,FALSE)</f>
        <v>ResUnit_Rou2</v>
      </c>
      <c r="E488" s="55">
        <f>VLOOKUP(VLOOKUP(Q488&amp;"_"&amp;R488,活动关卡!$A$32:$Z$55,2+5*S488,FALSE),'⚪设计'!$B$85:$H$114,6,FALSE)*VLOOKUP(Q488&amp;"_"&amp;R488,活动关卡!$A$32:$Z$55,5,FALSE)</f>
        <v>2</v>
      </c>
      <c r="F488">
        <v>400</v>
      </c>
      <c r="G488" t="b">
        <v>1</v>
      </c>
      <c r="H488">
        <v>1</v>
      </c>
      <c r="I488">
        <v>1</v>
      </c>
      <c r="J488">
        <v>0.5</v>
      </c>
      <c r="K488" s="55">
        <f>VLOOKUP(VLOOKUP(Q488&amp;"_"&amp;R488,活动关卡!$A$32:$Z$55,2+5*S488,FALSE),'⚪设计'!$B$85:$H$114,7,FALSE)</f>
        <v>1.5</v>
      </c>
      <c r="L488" s="57" t="s">
        <v>2181</v>
      </c>
      <c r="M488" t="s">
        <v>468</v>
      </c>
      <c r="N488" t="s">
        <v>469</v>
      </c>
      <c r="O488" t="s">
        <v>470</v>
      </c>
      <c r="P488" s="57" t="str">
        <f>IF(VLOOKUP(D488,'⚪设计'!$C$85:$I$113,7,FALSE)="","",VLOOKUP(D488,'⚪设计'!$C$85:$I$113,7,FALSE))</f>
        <v/>
      </c>
      <c r="Q488" s="110" t="str">
        <f t="shared" si="19"/>
        <v>3</v>
      </c>
      <c r="R488" s="110" t="str">
        <f t="shared" si="20"/>
        <v>1</v>
      </c>
      <c r="S488" s="110" t="str">
        <f t="shared" si="21"/>
        <v>2</v>
      </c>
    </row>
    <row r="489" spans="2:19" x14ac:dyDescent="0.2">
      <c r="B489" s="57" t="s">
        <v>2474</v>
      </c>
      <c r="C489" s="57" t="s">
        <v>2766</v>
      </c>
      <c r="D489" s="55" t="str">
        <f>VLOOKUP(VLOOKUP(Q489&amp;"_"&amp;R489,活动关卡!$A$32:$Z$55,2+5*S489,FALSE),'⚪设计'!$B$85:$H$114,2,FALSE)</f>
        <v>ResUnit_ZhongZi1</v>
      </c>
      <c r="E489" s="55">
        <f>VLOOKUP(VLOOKUP(Q489&amp;"_"&amp;R489,活动关卡!$A$32:$Z$55,2+5*S489,FALSE),'⚪设计'!$B$85:$H$114,6,FALSE)*VLOOKUP(Q489&amp;"_"&amp;R489,活动关卡!$A$32:$Z$55,5,FALSE)</f>
        <v>2</v>
      </c>
      <c r="F489">
        <v>400</v>
      </c>
      <c r="G489" t="b">
        <v>1</v>
      </c>
      <c r="H489">
        <v>1</v>
      </c>
      <c r="I489">
        <v>1</v>
      </c>
      <c r="J489">
        <v>0.5</v>
      </c>
      <c r="K489" s="55">
        <f>VLOOKUP(VLOOKUP(Q489&amp;"_"&amp;R489,活动关卡!$A$32:$Z$55,2+5*S489,FALSE),'⚪设计'!$B$85:$H$114,7,FALSE)</f>
        <v>1</v>
      </c>
      <c r="L489" s="57" t="s">
        <v>2182</v>
      </c>
      <c r="M489" t="s">
        <v>468</v>
      </c>
      <c r="N489" t="s">
        <v>469</v>
      </c>
      <c r="O489" t="s">
        <v>470</v>
      </c>
      <c r="P489" s="57" t="str">
        <f>IF(VLOOKUP(D489,'⚪设计'!$C$85:$I$113,7,FALSE)="","",VLOOKUP(D489,'⚪设计'!$C$85:$I$113,7,FALSE))</f>
        <v>Skill_Monster_Heal,NormalAttack</v>
      </c>
      <c r="Q489" s="110" t="str">
        <f t="shared" si="19"/>
        <v>3</v>
      </c>
      <c r="R489" s="110" t="str">
        <f t="shared" si="20"/>
        <v>2</v>
      </c>
      <c r="S489" s="110" t="str">
        <f t="shared" si="21"/>
        <v>1</v>
      </c>
    </row>
    <row r="490" spans="2:19" x14ac:dyDescent="0.2">
      <c r="B490" s="57" t="s">
        <v>2475</v>
      </c>
      <c r="C490" s="57" t="s">
        <v>2767</v>
      </c>
      <c r="D490" s="55" t="str">
        <f>VLOOKUP(VLOOKUP(Q490&amp;"_"&amp;R490,活动关卡!$A$32:$Z$55,2+5*S490,FALSE),'⚪设计'!$B$85:$H$114,2,FALSE)</f>
        <v>ResUnit_MiFeng2</v>
      </c>
      <c r="E490" s="55">
        <f>VLOOKUP(VLOOKUP(Q490&amp;"_"&amp;R490,活动关卡!$A$32:$Z$55,2+5*S490,FALSE),'⚪设计'!$B$85:$H$114,6,FALSE)*VLOOKUP(Q490&amp;"_"&amp;R490,活动关卡!$A$32:$Z$55,5,FALSE)</f>
        <v>2</v>
      </c>
      <c r="F490">
        <v>400</v>
      </c>
      <c r="G490" t="b">
        <v>1</v>
      </c>
      <c r="H490">
        <v>1</v>
      </c>
      <c r="I490">
        <v>1</v>
      </c>
      <c r="J490">
        <v>0.5</v>
      </c>
      <c r="K490" s="55">
        <f>VLOOKUP(VLOOKUP(Q490&amp;"_"&amp;R490,活动关卡!$A$32:$Z$55,2+5*S490,FALSE),'⚪设计'!$B$85:$H$114,7,FALSE)</f>
        <v>1.5</v>
      </c>
      <c r="L490" s="57" t="s">
        <v>2183</v>
      </c>
      <c r="M490" t="s">
        <v>468</v>
      </c>
      <c r="N490" t="s">
        <v>469</v>
      </c>
      <c r="O490" t="s">
        <v>470</v>
      </c>
      <c r="P490" s="57" t="str">
        <f>IF(VLOOKUP(D490,'⚪设计'!$C$85:$I$113,7,FALSE)="","",VLOOKUP(D490,'⚪设计'!$C$85:$I$113,7,FALSE))</f>
        <v/>
      </c>
      <c r="Q490" s="110" t="str">
        <f t="shared" si="19"/>
        <v>3</v>
      </c>
      <c r="R490" s="110" t="str">
        <f t="shared" si="20"/>
        <v>2</v>
      </c>
      <c r="S490" s="110" t="str">
        <f t="shared" si="21"/>
        <v>2</v>
      </c>
    </row>
    <row r="491" spans="2:19" x14ac:dyDescent="0.2">
      <c r="B491" s="57" t="s">
        <v>2476</v>
      </c>
      <c r="C491" s="57" t="s">
        <v>2768</v>
      </c>
      <c r="D491" s="55" t="str">
        <f>VLOOKUP(VLOOKUP(Q491&amp;"_"&amp;R491,活动关卡!$A$32:$Z$55,2+5*S491,FALSE),'⚪设计'!$B$85:$H$114,2,FALSE)</f>
        <v>ResUnit_Rou2</v>
      </c>
      <c r="E491" s="55">
        <f>VLOOKUP(VLOOKUP(Q491&amp;"_"&amp;R491,活动关卡!$A$32:$Z$55,2+5*S491,FALSE),'⚪设计'!$B$85:$H$114,6,FALSE)*VLOOKUP(Q491&amp;"_"&amp;R491,活动关卡!$A$32:$Z$55,5,FALSE)</f>
        <v>2</v>
      </c>
      <c r="F491">
        <v>400</v>
      </c>
      <c r="G491" t="b">
        <v>1</v>
      </c>
      <c r="H491">
        <v>1</v>
      </c>
      <c r="I491">
        <v>1</v>
      </c>
      <c r="J491">
        <v>0.5</v>
      </c>
      <c r="K491" s="55">
        <f>VLOOKUP(VLOOKUP(Q491&amp;"_"&amp;R491,活动关卡!$A$32:$Z$55,2+5*S491,FALSE),'⚪设计'!$B$85:$H$114,7,FALSE)</f>
        <v>1.5</v>
      </c>
      <c r="L491" s="57" t="s">
        <v>2184</v>
      </c>
      <c r="M491" t="s">
        <v>468</v>
      </c>
      <c r="N491" t="s">
        <v>469</v>
      </c>
      <c r="O491" t="s">
        <v>470</v>
      </c>
      <c r="P491" s="57" t="str">
        <f>IF(VLOOKUP(D491,'⚪设计'!$C$85:$I$113,7,FALSE)="","",VLOOKUP(D491,'⚪设计'!$C$85:$I$113,7,FALSE))</f>
        <v/>
      </c>
      <c r="Q491" s="110" t="str">
        <f t="shared" si="19"/>
        <v>3</v>
      </c>
      <c r="R491" s="110" t="str">
        <f t="shared" si="20"/>
        <v>2</v>
      </c>
      <c r="S491" s="110" t="str">
        <f t="shared" si="21"/>
        <v>3</v>
      </c>
    </row>
    <row r="492" spans="2:19" x14ac:dyDescent="0.2">
      <c r="B492" s="57" t="s">
        <v>2477</v>
      </c>
      <c r="C492" s="57" t="s">
        <v>2769</v>
      </c>
      <c r="D492" s="55" t="str">
        <f>VLOOKUP(VLOOKUP(Q492&amp;"_"&amp;R492,活动关卡!$A$32:$Z$55,2+5*S492,FALSE),'⚪设计'!$B$85:$H$114,2,FALSE)</f>
        <v>ResUnit_ZhongZi1</v>
      </c>
      <c r="E492" s="55">
        <f>VLOOKUP(VLOOKUP(Q492&amp;"_"&amp;R492,活动关卡!$A$32:$Z$55,2+5*S492,FALSE),'⚪设计'!$B$85:$H$114,6,FALSE)*VLOOKUP(Q492&amp;"_"&amp;R492,活动关卡!$A$32:$Z$55,5,FALSE)</f>
        <v>2</v>
      </c>
      <c r="F492">
        <v>400</v>
      </c>
      <c r="G492" t="b">
        <v>1</v>
      </c>
      <c r="H492">
        <v>1</v>
      </c>
      <c r="I492">
        <v>1</v>
      </c>
      <c r="J492">
        <v>0.5</v>
      </c>
      <c r="K492" s="55">
        <f>VLOOKUP(VLOOKUP(Q492&amp;"_"&amp;R492,活动关卡!$A$32:$Z$55,2+5*S492,FALSE),'⚪设计'!$B$85:$H$114,7,FALSE)</f>
        <v>1</v>
      </c>
      <c r="L492" s="57" t="s">
        <v>2185</v>
      </c>
      <c r="M492" t="s">
        <v>468</v>
      </c>
      <c r="N492" t="s">
        <v>469</v>
      </c>
      <c r="O492" t="s">
        <v>470</v>
      </c>
      <c r="P492" s="57" t="str">
        <f>IF(VLOOKUP(D492,'⚪设计'!$C$85:$I$113,7,FALSE)="","",VLOOKUP(D492,'⚪设计'!$C$85:$I$113,7,FALSE))</f>
        <v>Skill_Monster_Heal,NormalAttack</v>
      </c>
      <c r="Q492" s="110" t="str">
        <f t="shared" si="19"/>
        <v>3</v>
      </c>
      <c r="R492" s="110" t="str">
        <f t="shared" si="20"/>
        <v>3</v>
      </c>
      <c r="S492" s="110" t="str">
        <f t="shared" si="21"/>
        <v>1</v>
      </c>
    </row>
    <row r="493" spans="2:19" x14ac:dyDescent="0.2">
      <c r="B493" s="57" t="s">
        <v>2478</v>
      </c>
      <c r="C493" s="57" t="s">
        <v>2770</v>
      </c>
      <c r="D493" s="55" t="str">
        <f>VLOOKUP(VLOOKUP(Q493&amp;"_"&amp;R493,活动关卡!$A$32:$Z$55,2+5*S493,FALSE),'⚪设计'!$B$85:$H$114,2,FALSE)</f>
        <v>ResUnit_BianFu1</v>
      </c>
      <c r="E493" s="55">
        <f>VLOOKUP(VLOOKUP(Q493&amp;"_"&amp;R493,活动关卡!$A$32:$Z$55,2+5*S493,FALSE),'⚪设计'!$B$85:$H$114,6,FALSE)*VLOOKUP(Q493&amp;"_"&amp;R493,活动关卡!$A$32:$Z$55,5,FALSE)</f>
        <v>2</v>
      </c>
      <c r="F493">
        <v>400</v>
      </c>
      <c r="G493" t="b">
        <v>1</v>
      </c>
      <c r="H493">
        <v>1</v>
      </c>
      <c r="I493">
        <v>1</v>
      </c>
      <c r="J493">
        <v>0.5</v>
      </c>
      <c r="K493" s="55">
        <f>VLOOKUP(VLOOKUP(Q493&amp;"_"&amp;R493,活动关卡!$A$32:$Z$55,2+5*S493,FALSE),'⚪设计'!$B$85:$H$114,7,FALSE)</f>
        <v>1</v>
      </c>
      <c r="L493" s="57" t="s">
        <v>2186</v>
      </c>
      <c r="M493" t="s">
        <v>468</v>
      </c>
      <c r="N493" t="s">
        <v>469</v>
      </c>
      <c r="O493" t="s">
        <v>470</v>
      </c>
      <c r="P493" s="57" t="str">
        <f>IF(VLOOKUP(D493,'⚪设计'!$C$85:$I$113,7,FALSE)="","",VLOOKUP(D493,'⚪设计'!$C$85:$I$113,7,FALSE))</f>
        <v/>
      </c>
      <c r="Q493" s="110" t="str">
        <f t="shared" si="19"/>
        <v>3</v>
      </c>
      <c r="R493" s="110" t="str">
        <f t="shared" si="20"/>
        <v>3</v>
      </c>
      <c r="S493" s="110" t="str">
        <f t="shared" si="21"/>
        <v>2</v>
      </c>
    </row>
    <row r="494" spans="2:19" x14ac:dyDescent="0.2">
      <c r="B494" s="57" t="s">
        <v>2479</v>
      </c>
      <c r="C494" s="57" t="s">
        <v>2771</v>
      </c>
      <c r="D494" s="55" t="str">
        <f>VLOOKUP(VLOOKUP(Q494&amp;"_"&amp;R494,活动关卡!$A$32:$Z$55,2+5*S494,FALSE),'⚪设计'!$B$85:$H$114,2,FALSE)</f>
        <v>ResUnit_Rou2</v>
      </c>
      <c r="E494" s="55">
        <f>VLOOKUP(VLOOKUP(Q494&amp;"_"&amp;R494,活动关卡!$A$32:$Z$55,2+5*S494,FALSE),'⚪设计'!$B$85:$H$114,6,FALSE)*VLOOKUP(Q494&amp;"_"&amp;R494,活动关卡!$A$32:$Z$55,5,FALSE)</f>
        <v>2</v>
      </c>
      <c r="F494">
        <v>400</v>
      </c>
      <c r="G494" t="b">
        <v>1</v>
      </c>
      <c r="H494">
        <v>1</v>
      </c>
      <c r="I494">
        <v>1</v>
      </c>
      <c r="J494">
        <v>0.5</v>
      </c>
      <c r="K494" s="55">
        <f>VLOOKUP(VLOOKUP(Q494&amp;"_"&amp;R494,活动关卡!$A$32:$Z$55,2+5*S494,FALSE),'⚪设计'!$B$85:$H$114,7,FALSE)</f>
        <v>1.5</v>
      </c>
      <c r="L494" s="57" t="s">
        <v>2187</v>
      </c>
      <c r="M494" t="s">
        <v>468</v>
      </c>
      <c r="N494" t="s">
        <v>469</v>
      </c>
      <c r="O494" t="s">
        <v>470</v>
      </c>
      <c r="P494" s="57" t="str">
        <f>IF(VLOOKUP(D494,'⚪设计'!$C$85:$I$113,7,FALSE)="","",VLOOKUP(D494,'⚪设计'!$C$85:$I$113,7,FALSE))</f>
        <v/>
      </c>
      <c r="Q494" s="110" t="str">
        <f t="shared" si="19"/>
        <v>3</v>
      </c>
      <c r="R494" s="110" t="str">
        <f t="shared" si="20"/>
        <v>3</v>
      </c>
      <c r="S494" s="110" t="str">
        <f t="shared" si="21"/>
        <v>3</v>
      </c>
    </row>
    <row r="495" spans="2:19" x14ac:dyDescent="0.2">
      <c r="B495" s="57" t="s">
        <v>2480</v>
      </c>
      <c r="C495" s="57" t="s">
        <v>2772</v>
      </c>
      <c r="D495" s="55" t="str">
        <f>VLOOKUP(VLOOKUP(Q495&amp;"_"&amp;R495,活动关卡!$A$32:$Z$55,2+5*S495,FALSE),'⚪设计'!$B$85:$H$114,2,FALSE)</f>
        <v>ResUnit_Gui1</v>
      </c>
      <c r="E495" s="55">
        <f>VLOOKUP(VLOOKUP(Q495&amp;"_"&amp;R495,活动关卡!$A$32:$Z$55,2+5*S495,FALSE),'⚪设计'!$B$85:$H$114,6,FALSE)*VLOOKUP(Q495&amp;"_"&amp;R495,活动关卡!$A$32:$Z$55,5,FALSE)</f>
        <v>2</v>
      </c>
      <c r="F495">
        <v>400</v>
      </c>
      <c r="G495" t="b">
        <v>1</v>
      </c>
      <c r="H495">
        <v>1</v>
      </c>
      <c r="I495">
        <v>1</v>
      </c>
      <c r="J495">
        <v>0.5</v>
      </c>
      <c r="K495" s="55">
        <f>VLOOKUP(VLOOKUP(Q495&amp;"_"&amp;R495,活动关卡!$A$32:$Z$55,2+5*S495,FALSE),'⚪设计'!$B$85:$H$114,7,FALSE)</f>
        <v>1</v>
      </c>
      <c r="L495" s="57" t="s">
        <v>2188</v>
      </c>
      <c r="M495" t="s">
        <v>468</v>
      </c>
      <c r="N495" t="s">
        <v>469</v>
      </c>
      <c r="O495" t="s">
        <v>470</v>
      </c>
      <c r="P495" s="57" t="str">
        <f>IF(VLOOKUP(D495,'⚪设计'!$C$85:$I$113,7,FALSE)="","",VLOOKUP(D495,'⚪设计'!$C$85:$I$113,7,FALSE))</f>
        <v>Skill_Monster_Invisible,NormalAttack</v>
      </c>
      <c r="Q495" s="110" t="str">
        <f t="shared" si="19"/>
        <v>4</v>
      </c>
      <c r="R495" s="110" t="str">
        <f t="shared" si="20"/>
        <v>1</v>
      </c>
      <c r="S495" s="110" t="str">
        <f t="shared" si="21"/>
        <v>1</v>
      </c>
    </row>
    <row r="496" spans="2:19" x14ac:dyDescent="0.2">
      <c r="B496" s="57" t="s">
        <v>2481</v>
      </c>
      <c r="C496" s="57" t="s">
        <v>2773</v>
      </c>
      <c r="D496" s="55" t="str">
        <f>VLOOKUP(VLOOKUP(Q496&amp;"_"&amp;R496,活动关卡!$A$32:$Z$55,2+5*S496,FALSE),'⚪设计'!$B$85:$H$114,2,FALSE)</f>
        <v>ResUnit_Rou2</v>
      </c>
      <c r="E496" s="55">
        <f>VLOOKUP(VLOOKUP(Q496&amp;"_"&amp;R496,活动关卡!$A$32:$Z$55,2+5*S496,FALSE),'⚪设计'!$B$85:$H$114,6,FALSE)*VLOOKUP(Q496&amp;"_"&amp;R496,活动关卡!$A$32:$Z$55,5,FALSE)</f>
        <v>2</v>
      </c>
      <c r="F496">
        <v>400</v>
      </c>
      <c r="G496" t="b">
        <v>1</v>
      </c>
      <c r="H496">
        <v>1</v>
      </c>
      <c r="I496">
        <v>1</v>
      </c>
      <c r="J496">
        <v>0.5</v>
      </c>
      <c r="K496" s="55">
        <f>VLOOKUP(VLOOKUP(Q496&amp;"_"&amp;R496,活动关卡!$A$32:$Z$55,2+5*S496,FALSE),'⚪设计'!$B$85:$H$114,7,FALSE)</f>
        <v>1.5</v>
      </c>
      <c r="L496" s="57" t="s">
        <v>2189</v>
      </c>
      <c r="M496" t="s">
        <v>468</v>
      </c>
      <c r="N496" t="s">
        <v>469</v>
      </c>
      <c r="O496" t="s">
        <v>470</v>
      </c>
      <c r="P496" s="57" t="str">
        <f>IF(VLOOKUP(D496,'⚪设计'!$C$85:$I$113,7,FALSE)="","",VLOOKUP(D496,'⚪设计'!$C$85:$I$113,7,FALSE))</f>
        <v/>
      </c>
      <c r="Q496" s="110" t="str">
        <f t="shared" si="19"/>
        <v>4</v>
      </c>
      <c r="R496" s="110" t="str">
        <f t="shared" si="20"/>
        <v>1</v>
      </c>
      <c r="S496" s="110" t="str">
        <f t="shared" si="21"/>
        <v>2</v>
      </c>
    </row>
    <row r="497" spans="2:19" x14ac:dyDescent="0.2">
      <c r="B497" s="57" t="s">
        <v>2482</v>
      </c>
      <c r="C497" s="57" t="s">
        <v>2774</v>
      </c>
      <c r="D497" s="55" t="str">
        <f>VLOOKUP(VLOOKUP(Q497&amp;"_"&amp;R497,活动关卡!$A$32:$Z$55,2+5*S497,FALSE),'⚪设计'!$B$85:$H$114,2,FALSE)</f>
        <v>ResUnit_Gui1</v>
      </c>
      <c r="E497" s="55">
        <f>VLOOKUP(VLOOKUP(Q497&amp;"_"&amp;R497,活动关卡!$A$32:$Z$55,2+5*S497,FALSE),'⚪设计'!$B$85:$H$114,6,FALSE)*VLOOKUP(Q497&amp;"_"&amp;R497,活动关卡!$A$32:$Z$55,5,FALSE)</f>
        <v>2</v>
      </c>
      <c r="F497">
        <v>400</v>
      </c>
      <c r="G497" t="b">
        <v>1</v>
      </c>
      <c r="H497">
        <v>1</v>
      </c>
      <c r="I497">
        <v>1</v>
      </c>
      <c r="J497">
        <v>0.5</v>
      </c>
      <c r="K497" s="55">
        <f>VLOOKUP(VLOOKUP(Q497&amp;"_"&amp;R497,活动关卡!$A$32:$Z$55,2+5*S497,FALSE),'⚪设计'!$B$85:$H$114,7,FALSE)</f>
        <v>1</v>
      </c>
      <c r="L497" s="57" t="s">
        <v>2190</v>
      </c>
      <c r="M497" t="s">
        <v>468</v>
      </c>
      <c r="N497" t="s">
        <v>469</v>
      </c>
      <c r="O497" t="s">
        <v>470</v>
      </c>
      <c r="P497" s="57" t="str">
        <f>IF(VLOOKUP(D497,'⚪设计'!$C$85:$I$113,7,FALSE)="","",VLOOKUP(D497,'⚪设计'!$C$85:$I$113,7,FALSE))</f>
        <v>Skill_Monster_Invisible,NormalAttack</v>
      </c>
      <c r="Q497" s="110" t="str">
        <f t="shared" si="19"/>
        <v>4</v>
      </c>
      <c r="R497" s="110" t="str">
        <f t="shared" si="20"/>
        <v>2</v>
      </c>
      <c r="S497" s="110" t="str">
        <f t="shared" si="21"/>
        <v>1</v>
      </c>
    </row>
    <row r="498" spans="2:19" x14ac:dyDescent="0.2">
      <c r="B498" s="57" t="s">
        <v>2483</v>
      </c>
      <c r="C498" s="57" t="s">
        <v>2775</v>
      </c>
      <c r="D498" s="55" t="str">
        <f>VLOOKUP(VLOOKUP(Q498&amp;"_"&amp;R498,活动关卡!$A$32:$Z$55,2+5*S498,FALSE),'⚪设计'!$B$85:$H$114,2,FALSE)</f>
        <v>ResUnit_MiFeng2</v>
      </c>
      <c r="E498" s="55">
        <f>VLOOKUP(VLOOKUP(Q498&amp;"_"&amp;R498,活动关卡!$A$32:$Z$55,2+5*S498,FALSE),'⚪设计'!$B$85:$H$114,6,FALSE)*VLOOKUP(Q498&amp;"_"&amp;R498,活动关卡!$A$32:$Z$55,5,FALSE)</f>
        <v>2</v>
      </c>
      <c r="F498">
        <v>400</v>
      </c>
      <c r="G498" t="b">
        <v>1</v>
      </c>
      <c r="H498">
        <v>1</v>
      </c>
      <c r="I498">
        <v>1</v>
      </c>
      <c r="J498">
        <v>0.5</v>
      </c>
      <c r="K498" s="55">
        <f>VLOOKUP(VLOOKUP(Q498&amp;"_"&amp;R498,活动关卡!$A$32:$Z$55,2+5*S498,FALSE),'⚪设计'!$B$85:$H$114,7,FALSE)</f>
        <v>1.5</v>
      </c>
      <c r="L498" s="57" t="s">
        <v>2191</v>
      </c>
      <c r="M498" t="s">
        <v>468</v>
      </c>
      <c r="N498" t="s">
        <v>469</v>
      </c>
      <c r="O498" t="s">
        <v>470</v>
      </c>
      <c r="P498" s="57" t="str">
        <f>IF(VLOOKUP(D498,'⚪设计'!$C$85:$I$113,7,FALSE)="","",VLOOKUP(D498,'⚪设计'!$C$85:$I$113,7,FALSE))</f>
        <v/>
      </c>
      <c r="Q498" s="110" t="str">
        <f t="shared" si="19"/>
        <v>4</v>
      </c>
      <c r="R498" s="110" t="str">
        <f t="shared" si="20"/>
        <v>2</v>
      </c>
      <c r="S498" s="110" t="str">
        <f t="shared" si="21"/>
        <v>2</v>
      </c>
    </row>
    <row r="499" spans="2:19" x14ac:dyDescent="0.2">
      <c r="B499" s="57" t="s">
        <v>2484</v>
      </c>
      <c r="C499" s="57" t="s">
        <v>2776</v>
      </c>
      <c r="D499" s="55" t="str">
        <f>VLOOKUP(VLOOKUP(Q499&amp;"_"&amp;R499,活动关卡!$A$32:$Z$55,2+5*S499,FALSE),'⚪设计'!$B$85:$H$114,2,FALSE)</f>
        <v>ResUnit_Rou2</v>
      </c>
      <c r="E499" s="55">
        <f>VLOOKUP(VLOOKUP(Q499&amp;"_"&amp;R499,活动关卡!$A$32:$Z$55,2+5*S499,FALSE),'⚪设计'!$B$85:$H$114,6,FALSE)*VLOOKUP(Q499&amp;"_"&amp;R499,活动关卡!$A$32:$Z$55,5,FALSE)</f>
        <v>2</v>
      </c>
      <c r="F499">
        <v>400</v>
      </c>
      <c r="G499" t="b">
        <v>1</v>
      </c>
      <c r="H499">
        <v>1</v>
      </c>
      <c r="I499">
        <v>1</v>
      </c>
      <c r="J499">
        <v>0.5</v>
      </c>
      <c r="K499" s="55">
        <f>VLOOKUP(VLOOKUP(Q499&amp;"_"&amp;R499,活动关卡!$A$32:$Z$55,2+5*S499,FALSE),'⚪设计'!$B$85:$H$114,7,FALSE)</f>
        <v>1.5</v>
      </c>
      <c r="L499" s="57" t="s">
        <v>2192</v>
      </c>
      <c r="M499" t="s">
        <v>468</v>
      </c>
      <c r="N499" t="s">
        <v>469</v>
      </c>
      <c r="O499" t="s">
        <v>470</v>
      </c>
      <c r="P499" s="57" t="str">
        <f>IF(VLOOKUP(D499,'⚪设计'!$C$85:$I$113,7,FALSE)="","",VLOOKUP(D499,'⚪设计'!$C$85:$I$113,7,FALSE))</f>
        <v/>
      </c>
      <c r="Q499" s="110" t="str">
        <f t="shared" si="19"/>
        <v>4</v>
      </c>
      <c r="R499" s="110" t="str">
        <f t="shared" si="20"/>
        <v>2</v>
      </c>
      <c r="S499" s="110" t="str">
        <f t="shared" si="21"/>
        <v>3</v>
      </c>
    </row>
    <row r="500" spans="2:19" x14ac:dyDescent="0.2">
      <c r="B500" s="57" t="s">
        <v>2485</v>
      </c>
      <c r="C500" s="57" t="s">
        <v>2777</v>
      </c>
      <c r="D500" s="55" t="str">
        <f>VLOOKUP(VLOOKUP(Q500&amp;"_"&amp;R500,活动关卡!$A$32:$Z$55,2+5*S500,FALSE),'⚪设计'!$B$85:$H$114,2,FALSE)</f>
        <v>ResUnit_Gui1</v>
      </c>
      <c r="E500" s="55">
        <f>VLOOKUP(VLOOKUP(Q500&amp;"_"&amp;R500,活动关卡!$A$32:$Z$55,2+5*S500,FALSE),'⚪设计'!$B$85:$H$114,6,FALSE)*VLOOKUP(Q500&amp;"_"&amp;R500,活动关卡!$A$32:$Z$55,5,FALSE)</f>
        <v>2</v>
      </c>
      <c r="F500">
        <v>400</v>
      </c>
      <c r="G500" t="b">
        <v>1</v>
      </c>
      <c r="H500">
        <v>1</v>
      </c>
      <c r="I500">
        <v>1</v>
      </c>
      <c r="J500">
        <v>0.5</v>
      </c>
      <c r="K500" s="55">
        <f>VLOOKUP(VLOOKUP(Q500&amp;"_"&amp;R500,活动关卡!$A$32:$Z$55,2+5*S500,FALSE),'⚪设计'!$B$85:$H$114,7,FALSE)</f>
        <v>1</v>
      </c>
      <c r="L500" s="57" t="s">
        <v>2193</v>
      </c>
      <c r="M500" t="s">
        <v>468</v>
      </c>
      <c r="N500" t="s">
        <v>469</v>
      </c>
      <c r="O500" t="s">
        <v>470</v>
      </c>
      <c r="P500" s="57" t="str">
        <f>IF(VLOOKUP(D500,'⚪设计'!$C$85:$I$113,7,FALSE)="","",VLOOKUP(D500,'⚪设计'!$C$85:$I$113,7,FALSE))</f>
        <v>Skill_Monster_Invisible,NormalAttack</v>
      </c>
      <c r="Q500" s="110" t="str">
        <f t="shared" si="19"/>
        <v>4</v>
      </c>
      <c r="R500" s="110" t="str">
        <f t="shared" si="20"/>
        <v>3</v>
      </c>
      <c r="S500" s="110" t="str">
        <f t="shared" si="21"/>
        <v>1</v>
      </c>
    </row>
    <row r="501" spans="2:19" x14ac:dyDescent="0.2">
      <c r="B501" s="57" t="s">
        <v>2486</v>
      </c>
      <c r="C501" s="57" t="s">
        <v>2778</v>
      </c>
      <c r="D501" s="55" t="str">
        <f>VLOOKUP(VLOOKUP(Q501&amp;"_"&amp;R501,活动关卡!$A$32:$Z$55,2+5*S501,FALSE),'⚪设计'!$B$85:$H$114,2,FALSE)</f>
        <v>ResUnit_BianFu1</v>
      </c>
      <c r="E501" s="55">
        <f>VLOOKUP(VLOOKUP(Q501&amp;"_"&amp;R501,活动关卡!$A$32:$Z$55,2+5*S501,FALSE),'⚪设计'!$B$85:$H$114,6,FALSE)*VLOOKUP(Q501&amp;"_"&amp;R501,活动关卡!$A$32:$Z$55,5,FALSE)</f>
        <v>2</v>
      </c>
      <c r="F501">
        <v>400</v>
      </c>
      <c r="G501" t="b">
        <v>1</v>
      </c>
      <c r="H501">
        <v>1</v>
      </c>
      <c r="I501">
        <v>1</v>
      </c>
      <c r="J501">
        <v>0.5</v>
      </c>
      <c r="K501" s="55">
        <f>VLOOKUP(VLOOKUP(Q501&amp;"_"&amp;R501,活动关卡!$A$32:$Z$55,2+5*S501,FALSE),'⚪设计'!$B$85:$H$114,7,FALSE)</f>
        <v>1</v>
      </c>
      <c r="L501" s="57" t="s">
        <v>2194</v>
      </c>
      <c r="M501" t="s">
        <v>468</v>
      </c>
      <c r="N501" t="s">
        <v>469</v>
      </c>
      <c r="O501" t="s">
        <v>470</v>
      </c>
      <c r="P501" s="57" t="str">
        <f>IF(VLOOKUP(D501,'⚪设计'!$C$85:$I$113,7,FALSE)="","",VLOOKUP(D501,'⚪设计'!$C$85:$I$113,7,FALSE))</f>
        <v/>
      </c>
      <c r="Q501" s="110" t="str">
        <f t="shared" si="19"/>
        <v>4</v>
      </c>
      <c r="R501" s="110" t="str">
        <f t="shared" si="20"/>
        <v>3</v>
      </c>
      <c r="S501" s="110" t="str">
        <f t="shared" si="21"/>
        <v>2</v>
      </c>
    </row>
    <row r="502" spans="2:19" x14ac:dyDescent="0.2">
      <c r="B502" s="57" t="s">
        <v>2487</v>
      </c>
      <c r="C502" s="57" t="s">
        <v>2779</v>
      </c>
      <c r="D502" s="55" t="str">
        <f>VLOOKUP(VLOOKUP(Q502&amp;"_"&amp;R502,活动关卡!$A$32:$Z$55,2+5*S502,FALSE),'⚪设计'!$B$85:$H$114,2,FALSE)</f>
        <v>ResUnit_Rou2</v>
      </c>
      <c r="E502" s="55">
        <f>VLOOKUP(VLOOKUP(Q502&amp;"_"&amp;R502,活动关卡!$A$32:$Z$55,2+5*S502,FALSE),'⚪设计'!$B$85:$H$114,6,FALSE)*VLOOKUP(Q502&amp;"_"&amp;R502,活动关卡!$A$32:$Z$55,5,FALSE)</f>
        <v>2</v>
      </c>
      <c r="F502">
        <v>400</v>
      </c>
      <c r="G502" t="b">
        <v>1</v>
      </c>
      <c r="H502">
        <v>1</v>
      </c>
      <c r="I502">
        <v>1</v>
      </c>
      <c r="J502">
        <v>0.5</v>
      </c>
      <c r="K502" s="55">
        <f>VLOOKUP(VLOOKUP(Q502&amp;"_"&amp;R502,活动关卡!$A$32:$Z$55,2+5*S502,FALSE),'⚪设计'!$B$85:$H$114,7,FALSE)</f>
        <v>1.5</v>
      </c>
      <c r="L502" s="57" t="s">
        <v>2195</v>
      </c>
      <c r="M502" t="s">
        <v>468</v>
      </c>
      <c r="N502" t="s">
        <v>469</v>
      </c>
      <c r="O502" t="s">
        <v>470</v>
      </c>
      <c r="P502" s="57" t="str">
        <f>IF(VLOOKUP(D502,'⚪设计'!$C$85:$I$113,7,FALSE)="","",VLOOKUP(D502,'⚪设计'!$C$85:$I$113,7,FALSE))</f>
        <v/>
      </c>
      <c r="Q502" s="110" t="str">
        <f t="shared" si="19"/>
        <v>4</v>
      </c>
      <c r="R502" s="110" t="str">
        <f t="shared" si="20"/>
        <v>3</v>
      </c>
      <c r="S502" s="110" t="str">
        <f t="shared" si="21"/>
        <v>3</v>
      </c>
    </row>
    <row r="503" spans="2:19" x14ac:dyDescent="0.2">
      <c r="B503" s="57" t="s">
        <v>2488</v>
      </c>
      <c r="C503" s="57" t="s">
        <v>2780</v>
      </c>
      <c r="D503" s="55" t="str">
        <f>VLOOKUP(VLOOKUP(Q503&amp;"_"&amp;R503,活动关卡!$A$32:$Z$55,2+5*S503,FALSE),'⚪设计'!$B$85:$H$114,2,FALSE)</f>
        <v>ResUnit_Gui1</v>
      </c>
      <c r="E503" s="55">
        <f>VLOOKUP(VLOOKUP(Q503&amp;"_"&amp;R503,活动关卡!$A$32:$Z$55,2+5*S503,FALSE),'⚪设计'!$B$85:$H$114,6,FALSE)*VLOOKUP(Q503&amp;"_"&amp;R503,活动关卡!$A$32:$Z$55,5,FALSE)</f>
        <v>2</v>
      </c>
      <c r="F503">
        <v>400</v>
      </c>
      <c r="G503" t="b">
        <v>1</v>
      </c>
      <c r="H503">
        <v>1</v>
      </c>
      <c r="I503">
        <v>1</v>
      </c>
      <c r="J503">
        <v>0.5</v>
      </c>
      <c r="K503" s="55">
        <f>VLOOKUP(VLOOKUP(Q503&amp;"_"&amp;R503,活动关卡!$A$32:$Z$55,2+5*S503,FALSE),'⚪设计'!$B$85:$H$114,7,FALSE)</f>
        <v>1</v>
      </c>
      <c r="L503" s="57" t="s">
        <v>2196</v>
      </c>
      <c r="M503" t="s">
        <v>468</v>
      </c>
      <c r="N503" t="s">
        <v>469</v>
      </c>
      <c r="O503" t="s">
        <v>470</v>
      </c>
      <c r="P503" s="57" t="str">
        <f>IF(VLOOKUP(D503,'⚪设计'!$C$85:$I$113,7,FALSE)="","",VLOOKUP(D503,'⚪设计'!$C$85:$I$113,7,FALSE))</f>
        <v>Skill_Monster_Invisible,NormalAttack</v>
      </c>
      <c r="Q503" s="110" t="str">
        <f t="shared" si="19"/>
        <v>4</v>
      </c>
      <c r="R503" s="110" t="str">
        <f t="shared" si="20"/>
        <v>4</v>
      </c>
      <c r="S503" s="110" t="str">
        <f t="shared" si="21"/>
        <v>1</v>
      </c>
    </row>
    <row r="504" spans="2:19" x14ac:dyDescent="0.2">
      <c r="B504" s="57" t="s">
        <v>2489</v>
      </c>
      <c r="C504" s="57" t="s">
        <v>2781</v>
      </c>
      <c r="D504" s="55" t="str">
        <f>VLOOKUP(VLOOKUP(Q504&amp;"_"&amp;R504,活动关卡!$A$32:$Z$55,2+5*S504,FALSE),'⚪设计'!$B$85:$H$114,2,FALSE)</f>
        <v>ResUnit_ZhiZhu1</v>
      </c>
      <c r="E504" s="55">
        <f>VLOOKUP(VLOOKUP(Q504&amp;"_"&amp;R504,活动关卡!$A$32:$Z$55,2+5*S504,FALSE),'⚪设计'!$B$85:$H$114,6,FALSE)*VLOOKUP(Q504&amp;"_"&amp;R504,活动关卡!$A$32:$Z$55,5,FALSE)</f>
        <v>3</v>
      </c>
      <c r="F504">
        <v>400</v>
      </c>
      <c r="G504" t="b">
        <v>1</v>
      </c>
      <c r="H504">
        <v>1</v>
      </c>
      <c r="I504">
        <v>1</v>
      </c>
      <c r="J504">
        <v>0.5</v>
      </c>
      <c r="K504" s="55">
        <f>VLOOKUP(VLOOKUP(Q504&amp;"_"&amp;R504,活动关卡!$A$32:$Z$55,2+5*S504,FALSE),'⚪设计'!$B$85:$H$114,7,FALSE)</f>
        <v>1</v>
      </c>
      <c r="L504" s="57" t="s">
        <v>2197</v>
      </c>
      <c r="M504" t="s">
        <v>468</v>
      </c>
      <c r="N504" t="s">
        <v>469</v>
      </c>
      <c r="O504" t="s">
        <v>470</v>
      </c>
      <c r="P504" s="57" t="str">
        <f>IF(VLOOKUP(D504,'⚪设计'!$C$85:$I$113,7,FALSE)="","",VLOOKUP(D504,'⚪设计'!$C$85:$I$113,7,FALSE))</f>
        <v/>
      </c>
      <c r="Q504" s="110" t="str">
        <f t="shared" si="19"/>
        <v>4</v>
      </c>
      <c r="R504" s="110" t="str">
        <f t="shared" si="20"/>
        <v>4</v>
      </c>
      <c r="S504" s="110" t="str">
        <f t="shared" si="21"/>
        <v>2</v>
      </c>
    </row>
    <row r="505" spans="2:19" x14ac:dyDescent="0.2">
      <c r="B505" s="57" t="s">
        <v>2490</v>
      </c>
      <c r="C505" s="57" t="s">
        <v>2782</v>
      </c>
      <c r="D505" s="55" t="str">
        <f>VLOOKUP(VLOOKUP(Q505&amp;"_"&amp;R505,活动关卡!$A$32:$Z$55,2+5*S505,FALSE),'⚪设计'!$B$85:$H$114,2,FALSE)</f>
        <v>ResUnit_Rou2</v>
      </c>
      <c r="E505" s="55">
        <f>VLOOKUP(VLOOKUP(Q505&amp;"_"&amp;R505,活动关卡!$A$32:$Z$55,2+5*S505,FALSE),'⚪设计'!$B$85:$H$114,6,FALSE)*VLOOKUP(Q505&amp;"_"&amp;R505,活动关卡!$A$32:$Z$55,5,FALSE)</f>
        <v>2</v>
      </c>
      <c r="F505">
        <v>400</v>
      </c>
      <c r="G505" t="b">
        <v>1</v>
      </c>
      <c r="H505">
        <v>1</v>
      </c>
      <c r="I505">
        <v>1</v>
      </c>
      <c r="J505">
        <v>0.5</v>
      </c>
      <c r="K505" s="55">
        <f>VLOOKUP(VLOOKUP(Q505&amp;"_"&amp;R505,活动关卡!$A$32:$Z$55,2+5*S505,FALSE),'⚪设计'!$B$85:$H$114,7,FALSE)</f>
        <v>1.5</v>
      </c>
      <c r="L505" s="57" t="s">
        <v>2198</v>
      </c>
      <c r="M505" t="s">
        <v>468</v>
      </c>
      <c r="N505" t="s">
        <v>469</v>
      </c>
      <c r="O505" t="s">
        <v>470</v>
      </c>
      <c r="P505" s="57" t="str">
        <f>IF(VLOOKUP(D505,'⚪设计'!$C$85:$I$113,7,FALSE)="","",VLOOKUP(D505,'⚪设计'!$C$85:$I$113,7,FALSE))</f>
        <v/>
      </c>
      <c r="Q505" s="110" t="str">
        <f t="shared" si="19"/>
        <v>4</v>
      </c>
      <c r="R505" s="110" t="str">
        <f t="shared" si="20"/>
        <v>4</v>
      </c>
      <c r="S505" s="110" t="str">
        <f t="shared" si="21"/>
        <v>3</v>
      </c>
    </row>
    <row r="506" spans="2:19" x14ac:dyDescent="0.2">
      <c r="B506" s="57" t="s">
        <v>2491</v>
      </c>
      <c r="C506" s="57" t="s">
        <v>2783</v>
      </c>
      <c r="D506" s="55" t="str">
        <f>VLOOKUP(VLOOKUP(Q506&amp;"_"&amp;R506,活动关卡!$A$32:$Z$55,2+5*S506,FALSE),'⚪设计'!$B$85:$H$114,2,FALSE)</f>
        <v>ResUnit_Gui1</v>
      </c>
      <c r="E506" s="55">
        <f>VLOOKUP(VLOOKUP(Q506&amp;"_"&amp;R506,活动关卡!$A$32:$Z$55,2+5*S506,FALSE),'⚪设计'!$B$85:$H$114,6,FALSE)*VLOOKUP(Q506&amp;"_"&amp;R506,活动关卡!$A$32:$Z$55,5,FALSE)</f>
        <v>2</v>
      </c>
      <c r="F506">
        <v>400</v>
      </c>
      <c r="G506" t="b">
        <v>1</v>
      </c>
      <c r="H506">
        <v>1</v>
      </c>
      <c r="I506">
        <v>1</v>
      </c>
      <c r="J506">
        <v>0.5</v>
      </c>
      <c r="K506" s="55">
        <f>VLOOKUP(VLOOKUP(Q506&amp;"_"&amp;R506,活动关卡!$A$32:$Z$55,2+5*S506,FALSE),'⚪设计'!$B$85:$H$114,7,FALSE)</f>
        <v>1</v>
      </c>
      <c r="L506" s="57" t="s">
        <v>2199</v>
      </c>
      <c r="M506" t="s">
        <v>468</v>
      </c>
      <c r="N506" t="s">
        <v>469</v>
      </c>
      <c r="O506" t="s">
        <v>470</v>
      </c>
      <c r="P506" s="57" t="str">
        <f>IF(VLOOKUP(D506,'⚪设计'!$C$85:$I$113,7,FALSE)="","",VLOOKUP(D506,'⚪设计'!$C$85:$I$113,7,FALSE))</f>
        <v>Skill_Monster_Invisible,NormalAttack</v>
      </c>
      <c r="Q506" s="110" t="str">
        <f t="shared" si="19"/>
        <v>4</v>
      </c>
      <c r="R506" s="110" t="str">
        <f t="shared" si="20"/>
        <v>5</v>
      </c>
      <c r="S506" s="110" t="str">
        <f t="shared" si="21"/>
        <v>1</v>
      </c>
    </row>
    <row r="507" spans="2:19" x14ac:dyDescent="0.2">
      <c r="B507" s="57" t="s">
        <v>2492</v>
      </c>
      <c r="C507" s="57" t="s">
        <v>2784</v>
      </c>
      <c r="D507" s="55" t="str">
        <f>VLOOKUP(VLOOKUP(Q507&amp;"_"&amp;R507,活动关卡!$A$32:$Z$55,2+5*S507,FALSE),'⚪设计'!$B$85:$H$114,2,FALSE)</f>
        <v>ResUnit_ZhongZi1</v>
      </c>
      <c r="E507" s="55">
        <f>VLOOKUP(VLOOKUP(Q507&amp;"_"&amp;R507,活动关卡!$A$32:$Z$55,2+5*S507,FALSE),'⚪设计'!$B$85:$H$114,6,FALSE)*VLOOKUP(Q507&amp;"_"&amp;R507,活动关卡!$A$32:$Z$55,5,FALSE)</f>
        <v>2</v>
      </c>
      <c r="F507">
        <v>400</v>
      </c>
      <c r="G507" t="b">
        <v>1</v>
      </c>
      <c r="H507">
        <v>1</v>
      </c>
      <c r="I507">
        <v>1</v>
      </c>
      <c r="J507">
        <v>0.5</v>
      </c>
      <c r="K507" s="55">
        <f>VLOOKUP(VLOOKUP(Q507&amp;"_"&amp;R507,活动关卡!$A$32:$Z$55,2+5*S507,FALSE),'⚪设计'!$B$85:$H$114,7,FALSE)</f>
        <v>1</v>
      </c>
      <c r="L507" s="57" t="s">
        <v>2200</v>
      </c>
      <c r="M507" t="s">
        <v>468</v>
      </c>
      <c r="N507" t="s">
        <v>469</v>
      </c>
      <c r="O507" t="s">
        <v>470</v>
      </c>
      <c r="P507" s="57" t="str">
        <f>IF(VLOOKUP(D507,'⚪设计'!$C$85:$I$113,7,FALSE)="","",VLOOKUP(D507,'⚪设计'!$C$85:$I$113,7,FALSE))</f>
        <v>Skill_Monster_Heal,NormalAttack</v>
      </c>
      <c r="Q507" s="110" t="str">
        <f t="shared" si="19"/>
        <v>4</v>
      </c>
      <c r="R507" s="110" t="str">
        <f t="shared" si="20"/>
        <v>5</v>
      </c>
      <c r="S507" s="110" t="str">
        <f t="shared" si="21"/>
        <v>2</v>
      </c>
    </row>
    <row r="508" spans="2:19" x14ac:dyDescent="0.2">
      <c r="B508" s="57" t="s">
        <v>2493</v>
      </c>
      <c r="C508" s="57" t="s">
        <v>2785</v>
      </c>
      <c r="D508" s="55" t="str">
        <f>VLOOKUP(VLOOKUP(Q508&amp;"_"&amp;R508,活动关卡!$A$32:$Z$55,2+5*S508,FALSE),'⚪设计'!$B$85:$H$114,2,FALSE)</f>
        <v>ResUnit_Rou2</v>
      </c>
      <c r="E508" s="55">
        <f>VLOOKUP(VLOOKUP(Q508&amp;"_"&amp;R508,活动关卡!$A$32:$Z$55,2+5*S508,FALSE),'⚪设计'!$B$85:$H$114,6,FALSE)*VLOOKUP(Q508&amp;"_"&amp;R508,活动关卡!$A$32:$Z$55,5,FALSE)</f>
        <v>2</v>
      </c>
      <c r="F508">
        <v>400</v>
      </c>
      <c r="G508" t="b">
        <v>1</v>
      </c>
      <c r="H508">
        <v>1</v>
      </c>
      <c r="I508">
        <v>1</v>
      </c>
      <c r="J508">
        <v>0.5</v>
      </c>
      <c r="K508" s="55">
        <f>VLOOKUP(VLOOKUP(Q508&amp;"_"&amp;R508,活动关卡!$A$32:$Z$55,2+5*S508,FALSE),'⚪设计'!$B$85:$H$114,7,FALSE)</f>
        <v>1.5</v>
      </c>
      <c r="L508" s="57" t="s">
        <v>2201</v>
      </c>
      <c r="M508" t="s">
        <v>468</v>
      </c>
      <c r="N508" t="s">
        <v>469</v>
      </c>
      <c r="O508" t="s">
        <v>470</v>
      </c>
      <c r="P508" s="57" t="str">
        <f>IF(VLOOKUP(D508,'⚪设计'!$C$85:$I$113,7,FALSE)="","",VLOOKUP(D508,'⚪设计'!$C$85:$I$113,7,FALSE))</f>
        <v/>
      </c>
      <c r="Q508" s="110" t="str">
        <f t="shared" si="19"/>
        <v>4</v>
      </c>
      <c r="R508" s="110" t="str">
        <f t="shared" si="20"/>
        <v>5</v>
      </c>
      <c r="S508" s="110" t="str">
        <f t="shared" si="21"/>
        <v>3</v>
      </c>
    </row>
    <row r="509" spans="2:19" x14ac:dyDescent="0.2">
      <c r="B509" s="57" t="s">
        <v>2494</v>
      </c>
      <c r="C509" s="57" t="s">
        <v>2786</v>
      </c>
      <c r="D509" s="55" t="str">
        <f>VLOOKUP(VLOOKUP(Q509&amp;"_"&amp;R509,活动关卡!$A$32:$Z$55,2+5*S509,FALSE),'⚪设计'!$B$85:$H$114,2,FALSE)</f>
        <v>ResUnit_Dan2</v>
      </c>
      <c r="E509" s="55">
        <f>VLOOKUP(VLOOKUP(Q509&amp;"_"&amp;R509,活动关卡!$A$32:$Z$55,2+5*S509,FALSE),'⚪设计'!$B$85:$H$114,6,FALSE)*VLOOKUP(Q509&amp;"_"&amp;R509,活动关卡!$A$32:$Z$55,5,FALSE)</f>
        <v>2</v>
      </c>
      <c r="F509">
        <v>400</v>
      </c>
      <c r="G509" t="b">
        <v>1</v>
      </c>
      <c r="H509">
        <v>1</v>
      </c>
      <c r="I509">
        <v>1</v>
      </c>
      <c r="J509">
        <v>0.5</v>
      </c>
      <c r="K509" s="55">
        <f>VLOOKUP(VLOOKUP(Q509&amp;"_"&amp;R509,活动关卡!$A$32:$Z$55,2+5*S509,FALSE),'⚪设计'!$B$85:$H$114,7,FALSE)</f>
        <v>1.5</v>
      </c>
      <c r="L509" s="57" t="s">
        <v>2202</v>
      </c>
      <c r="M509" t="s">
        <v>468</v>
      </c>
      <c r="N509" t="s">
        <v>469</v>
      </c>
      <c r="O509" t="s">
        <v>470</v>
      </c>
      <c r="P509" s="57" t="str">
        <f>IF(VLOOKUP(D509,'⚪设计'!$C$85:$I$113,7,FALSE)="","",VLOOKUP(D509,'⚪设计'!$C$85:$I$113,7,FALSE))</f>
        <v>Skill_Monster_Weaken,NormalAttack</v>
      </c>
      <c r="Q509" s="110" t="str">
        <f t="shared" si="19"/>
        <v>5</v>
      </c>
      <c r="R509" s="110" t="str">
        <f t="shared" si="20"/>
        <v>1</v>
      </c>
      <c r="S509" s="110" t="str">
        <f t="shared" si="21"/>
        <v>1</v>
      </c>
    </row>
    <row r="510" spans="2:19" x14ac:dyDescent="0.2">
      <c r="B510" s="57" t="s">
        <v>2495</v>
      </c>
      <c r="C510" s="57" t="s">
        <v>2787</v>
      </c>
      <c r="D510" s="55" t="str">
        <f>VLOOKUP(VLOOKUP(Q510&amp;"_"&amp;R510,活动关卡!$A$32:$Z$55,2+5*S510,FALSE),'⚪设计'!$B$85:$H$114,2,FALSE)</f>
        <v>ResUnit_Rou2</v>
      </c>
      <c r="E510" s="55">
        <f>VLOOKUP(VLOOKUP(Q510&amp;"_"&amp;R510,活动关卡!$A$32:$Z$55,2+5*S510,FALSE),'⚪设计'!$B$85:$H$114,6,FALSE)*VLOOKUP(Q510&amp;"_"&amp;R510,活动关卡!$A$32:$Z$55,5,FALSE)</f>
        <v>2</v>
      </c>
      <c r="F510">
        <v>400</v>
      </c>
      <c r="G510" t="b">
        <v>1</v>
      </c>
      <c r="H510">
        <v>1</v>
      </c>
      <c r="I510">
        <v>1</v>
      </c>
      <c r="J510">
        <v>0.5</v>
      </c>
      <c r="K510" s="55">
        <f>VLOOKUP(VLOOKUP(Q510&amp;"_"&amp;R510,活动关卡!$A$32:$Z$55,2+5*S510,FALSE),'⚪设计'!$B$85:$H$114,7,FALSE)</f>
        <v>1.5</v>
      </c>
      <c r="L510" s="57" t="s">
        <v>2203</v>
      </c>
      <c r="M510" t="s">
        <v>468</v>
      </c>
      <c r="N510" t="s">
        <v>469</v>
      </c>
      <c r="O510" t="s">
        <v>470</v>
      </c>
      <c r="P510" s="57" t="str">
        <f>IF(VLOOKUP(D510,'⚪设计'!$C$85:$I$113,7,FALSE)="","",VLOOKUP(D510,'⚪设计'!$C$85:$I$113,7,FALSE))</f>
        <v/>
      </c>
      <c r="Q510" s="110" t="str">
        <f t="shared" si="19"/>
        <v>5</v>
      </c>
      <c r="R510" s="110" t="str">
        <f t="shared" si="20"/>
        <v>1</v>
      </c>
      <c r="S510" s="110" t="str">
        <f t="shared" si="21"/>
        <v>2</v>
      </c>
    </row>
    <row r="511" spans="2:19" x14ac:dyDescent="0.2">
      <c r="B511" s="57" t="s">
        <v>2496</v>
      </c>
      <c r="C511" s="57" t="s">
        <v>2788</v>
      </c>
      <c r="D511" s="55" t="str">
        <f>VLOOKUP(VLOOKUP(Q511&amp;"_"&amp;R511,活动关卡!$A$32:$Z$55,2+5*S511,FALSE),'⚪设计'!$B$85:$H$114,2,FALSE)</f>
        <v>ResUnit_Dan2</v>
      </c>
      <c r="E511" s="55">
        <f>VLOOKUP(VLOOKUP(Q511&amp;"_"&amp;R511,活动关卡!$A$32:$Z$55,2+5*S511,FALSE),'⚪设计'!$B$85:$H$114,6,FALSE)*VLOOKUP(Q511&amp;"_"&amp;R511,活动关卡!$A$32:$Z$55,5,FALSE)</f>
        <v>2</v>
      </c>
      <c r="F511">
        <v>400</v>
      </c>
      <c r="G511" t="b">
        <v>1</v>
      </c>
      <c r="H511">
        <v>1</v>
      </c>
      <c r="I511">
        <v>1</v>
      </c>
      <c r="J511">
        <v>0.5</v>
      </c>
      <c r="K511" s="55">
        <f>VLOOKUP(VLOOKUP(Q511&amp;"_"&amp;R511,活动关卡!$A$32:$Z$55,2+5*S511,FALSE),'⚪设计'!$B$85:$H$114,7,FALSE)</f>
        <v>1.5</v>
      </c>
      <c r="L511" s="57" t="s">
        <v>2204</v>
      </c>
      <c r="M511" t="s">
        <v>468</v>
      </c>
      <c r="N511" t="s">
        <v>469</v>
      </c>
      <c r="O511" t="s">
        <v>470</v>
      </c>
      <c r="P511" s="57" t="str">
        <f>IF(VLOOKUP(D511,'⚪设计'!$C$85:$I$113,7,FALSE)="","",VLOOKUP(D511,'⚪设计'!$C$85:$I$113,7,FALSE))</f>
        <v>Skill_Monster_Weaken,NormalAttack</v>
      </c>
      <c r="Q511" s="110" t="str">
        <f t="shared" si="19"/>
        <v>5</v>
      </c>
      <c r="R511" s="110" t="str">
        <f t="shared" si="20"/>
        <v>2</v>
      </c>
      <c r="S511" s="110" t="str">
        <f t="shared" si="21"/>
        <v>1</v>
      </c>
    </row>
    <row r="512" spans="2:19" x14ac:dyDescent="0.2">
      <c r="B512" s="57" t="s">
        <v>2497</v>
      </c>
      <c r="C512" s="57" t="s">
        <v>2789</v>
      </c>
      <c r="D512" s="55" t="str">
        <f>VLOOKUP(VLOOKUP(Q512&amp;"_"&amp;R512,活动关卡!$A$32:$Z$55,2+5*S512,FALSE),'⚪设计'!$B$85:$H$114,2,FALSE)</f>
        <v>ResUnit_BianFu1</v>
      </c>
      <c r="E512" s="55">
        <f>VLOOKUP(VLOOKUP(Q512&amp;"_"&amp;R512,活动关卡!$A$32:$Z$55,2+5*S512,FALSE),'⚪设计'!$B$85:$H$114,6,FALSE)*VLOOKUP(Q512&amp;"_"&amp;R512,活动关卡!$A$32:$Z$55,5,FALSE)</f>
        <v>2</v>
      </c>
      <c r="F512">
        <v>400</v>
      </c>
      <c r="G512" t="b">
        <v>1</v>
      </c>
      <c r="H512">
        <v>1</v>
      </c>
      <c r="I512">
        <v>1</v>
      </c>
      <c r="J512">
        <v>0.5</v>
      </c>
      <c r="K512" s="55">
        <f>VLOOKUP(VLOOKUP(Q512&amp;"_"&amp;R512,活动关卡!$A$32:$Z$55,2+5*S512,FALSE),'⚪设计'!$B$85:$H$114,7,FALSE)</f>
        <v>1</v>
      </c>
      <c r="L512" s="57" t="s">
        <v>2205</v>
      </c>
      <c r="M512" t="s">
        <v>468</v>
      </c>
      <c r="N512" t="s">
        <v>469</v>
      </c>
      <c r="O512" t="s">
        <v>470</v>
      </c>
      <c r="P512" s="57" t="str">
        <f>IF(VLOOKUP(D512,'⚪设计'!$C$85:$I$113,7,FALSE)="","",VLOOKUP(D512,'⚪设计'!$C$85:$I$113,7,FALSE))</f>
        <v/>
      </c>
      <c r="Q512" s="110" t="str">
        <f t="shared" si="19"/>
        <v>5</v>
      </c>
      <c r="R512" s="110" t="str">
        <f t="shared" si="20"/>
        <v>2</v>
      </c>
      <c r="S512" s="110" t="str">
        <f t="shared" si="21"/>
        <v>2</v>
      </c>
    </row>
    <row r="513" spans="2:19" x14ac:dyDescent="0.2">
      <c r="B513" s="57" t="s">
        <v>2498</v>
      </c>
      <c r="C513" s="57" t="s">
        <v>2790</v>
      </c>
      <c r="D513" s="55" t="str">
        <f>VLOOKUP(VLOOKUP(Q513&amp;"_"&amp;R513,活动关卡!$A$32:$Z$55,2+5*S513,FALSE),'⚪设计'!$B$85:$H$114,2,FALSE)</f>
        <v>ResUnit_Rou2</v>
      </c>
      <c r="E513" s="55">
        <f>VLOOKUP(VLOOKUP(Q513&amp;"_"&amp;R513,活动关卡!$A$32:$Z$55,2+5*S513,FALSE),'⚪设计'!$B$85:$H$114,6,FALSE)*VLOOKUP(Q513&amp;"_"&amp;R513,活动关卡!$A$32:$Z$55,5,FALSE)</f>
        <v>2</v>
      </c>
      <c r="F513">
        <v>400</v>
      </c>
      <c r="G513" t="b">
        <v>1</v>
      </c>
      <c r="H513">
        <v>1</v>
      </c>
      <c r="I513">
        <v>1</v>
      </c>
      <c r="J513">
        <v>0.5</v>
      </c>
      <c r="K513" s="55">
        <f>VLOOKUP(VLOOKUP(Q513&amp;"_"&amp;R513,活动关卡!$A$32:$Z$55,2+5*S513,FALSE),'⚪设计'!$B$85:$H$114,7,FALSE)</f>
        <v>1.5</v>
      </c>
      <c r="L513" s="57" t="s">
        <v>2206</v>
      </c>
      <c r="M513" t="s">
        <v>468</v>
      </c>
      <c r="N513" t="s">
        <v>469</v>
      </c>
      <c r="O513" t="s">
        <v>470</v>
      </c>
      <c r="P513" s="57" t="str">
        <f>IF(VLOOKUP(D513,'⚪设计'!$C$85:$I$113,7,FALSE)="","",VLOOKUP(D513,'⚪设计'!$C$85:$I$113,7,FALSE))</f>
        <v/>
      </c>
      <c r="Q513" s="110" t="str">
        <f t="shared" si="19"/>
        <v>5</v>
      </c>
      <c r="R513" s="110" t="str">
        <f t="shared" si="20"/>
        <v>2</v>
      </c>
      <c r="S513" s="110" t="str">
        <f t="shared" si="21"/>
        <v>3</v>
      </c>
    </row>
    <row r="514" spans="2:19" x14ac:dyDescent="0.2">
      <c r="B514" s="57" t="s">
        <v>2499</v>
      </c>
      <c r="C514" s="57" t="s">
        <v>2791</v>
      </c>
      <c r="D514" s="55" t="str">
        <f>VLOOKUP(VLOOKUP(Q514&amp;"_"&amp;R514,活动关卡!$A$32:$Z$55,2+5*S514,FALSE),'⚪设计'!$B$85:$H$114,2,FALSE)</f>
        <v>ResUnit_Dan2</v>
      </c>
      <c r="E514" s="55">
        <f>VLOOKUP(VLOOKUP(Q514&amp;"_"&amp;R514,活动关卡!$A$32:$Z$55,2+5*S514,FALSE),'⚪设计'!$B$85:$H$114,6,FALSE)*VLOOKUP(Q514&amp;"_"&amp;R514,活动关卡!$A$32:$Z$55,5,FALSE)</f>
        <v>2</v>
      </c>
      <c r="F514">
        <v>400</v>
      </c>
      <c r="G514" t="b">
        <v>1</v>
      </c>
      <c r="H514">
        <v>1</v>
      </c>
      <c r="I514">
        <v>1</v>
      </c>
      <c r="J514">
        <v>0.5</v>
      </c>
      <c r="K514" s="55">
        <f>VLOOKUP(VLOOKUP(Q514&amp;"_"&amp;R514,活动关卡!$A$32:$Z$55,2+5*S514,FALSE),'⚪设计'!$B$85:$H$114,7,FALSE)</f>
        <v>1.5</v>
      </c>
      <c r="L514" s="57" t="s">
        <v>2207</v>
      </c>
      <c r="M514" t="s">
        <v>468</v>
      </c>
      <c r="N514" t="s">
        <v>469</v>
      </c>
      <c r="O514" t="s">
        <v>470</v>
      </c>
      <c r="P514" s="57" t="str">
        <f>IF(VLOOKUP(D514,'⚪设计'!$C$85:$I$113,7,FALSE)="","",VLOOKUP(D514,'⚪设计'!$C$85:$I$113,7,FALSE))</f>
        <v>Skill_Monster_Weaken,NormalAttack</v>
      </c>
      <c r="Q514" s="110" t="str">
        <f t="shared" si="19"/>
        <v>5</v>
      </c>
      <c r="R514" s="110" t="str">
        <f t="shared" si="20"/>
        <v>3</v>
      </c>
      <c r="S514" s="110" t="str">
        <f t="shared" si="21"/>
        <v>1</v>
      </c>
    </row>
    <row r="515" spans="2:19" x14ac:dyDescent="0.2">
      <c r="B515" s="57" t="s">
        <v>2500</v>
      </c>
      <c r="C515" s="57" t="s">
        <v>2792</v>
      </c>
      <c r="D515" s="55" t="str">
        <f>VLOOKUP(VLOOKUP(Q515&amp;"_"&amp;R515,活动关卡!$A$32:$Z$55,2+5*S515,FALSE),'⚪设计'!$B$85:$H$114,2,FALSE)</f>
        <v>ResUnit_ZhiZhu1</v>
      </c>
      <c r="E515" s="55">
        <f>VLOOKUP(VLOOKUP(Q515&amp;"_"&amp;R515,活动关卡!$A$32:$Z$55,2+5*S515,FALSE),'⚪设计'!$B$85:$H$114,6,FALSE)*VLOOKUP(Q515&amp;"_"&amp;R515,活动关卡!$A$32:$Z$55,5,FALSE)</f>
        <v>3</v>
      </c>
      <c r="F515">
        <v>400</v>
      </c>
      <c r="G515" t="b">
        <v>1</v>
      </c>
      <c r="H515">
        <v>1</v>
      </c>
      <c r="I515">
        <v>1</v>
      </c>
      <c r="J515">
        <v>0.5</v>
      </c>
      <c r="K515" s="55">
        <f>VLOOKUP(VLOOKUP(Q515&amp;"_"&amp;R515,活动关卡!$A$32:$Z$55,2+5*S515,FALSE),'⚪设计'!$B$85:$H$114,7,FALSE)</f>
        <v>1</v>
      </c>
      <c r="L515" s="57" t="s">
        <v>2208</v>
      </c>
      <c r="M515" t="s">
        <v>468</v>
      </c>
      <c r="N515" t="s">
        <v>469</v>
      </c>
      <c r="O515" t="s">
        <v>470</v>
      </c>
      <c r="P515" s="57" t="str">
        <f>IF(VLOOKUP(D515,'⚪设计'!$C$85:$I$113,7,FALSE)="","",VLOOKUP(D515,'⚪设计'!$C$85:$I$113,7,FALSE))</f>
        <v/>
      </c>
      <c r="Q515" s="110" t="str">
        <f t="shared" si="19"/>
        <v>5</v>
      </c>
      <c r="R515" s="110" t="str">
        <f t="shared" si="20"/>
        <v>3</v>
      </c>
      <c r="S515" s="110" t="str">
        <f t="shared" si="21"/>
        <v>2</v>
      </c>
    </row>
    <row r="516" spans="2:19" x14ac:dyDescent="0.2">
      <c r="B516" s="57" t="s">
        <v>2501</v>
      </c>
      <c r="C516" s="57" t="s">
        <v>2793</v>
      </c>
      <c r="D516" s="55" t="str">
        <f>VLOOKUP(VLOOKUP(Q516&amp;"_"&amp;R516,活动关卡!$A$32:$Z$55,2+5*S516,FALSE),'⚪设计'!$B$85:$H$114,2,FALSE)</f>
        <v>ResUnit_Gui1</v>
      </c>
      <c r="E516" s="55">
        <f>VLOOKUP(VLOOKUP(Q516&amp;"_"&amp;R516,活动关卡!$A$32:$Z$55,2+5*S516,FALSE),'⚪设计'!$B$85:$H$114,6,FALSE)*VLOOKUP(Q516&amp;"_"&amp;R516,活动关卡!$A$32:$Z$55,5,FALSE)</f>
        <v>2</v>
      </c>
      <c r="F516">
        <v>400</v>
      </c>
      <c r="G516" t="b">
        <v>1</v>
      </c>
      <c r="H516">
        <v>1</v>
      </c>
      <c r="I516">
        <v>1</v>
      </c>
      <c r="J516">
        <v>0.5</v>
      </c>
      <c r="K516" s="55">
        <f>VLOOKUP(VLOOKUP(Q516&amp;"_"&amp;R516,活动关卡!$A$32:$Z$55,2+5*S516,FALSE),'⚪设计'!$B$85:$H$114,7,FALSE)</f>
        <v>1</v>
      </c>
      <c r="L516" s="57" t="s">
        <v>2209</v>
      </c>
      <c r="M516" t="s">
        <v>468</v>
      </c>
      <c r="N516" t="s">
        <v>469</v>
      </c>
      <c r="O516" t="s">
        <v>470</v>
      </c>
      <c r="P516" s="57" t="str">
        <f>IF(VLOOKUP(D516,'⚪设计'!$C$85:$I$113,7,FALSE)="","",VLOOKUP(D516,'⚪设计'!$C$85:$I$113,7,FALSE))</f>
        <v>Skill_Monster_Invisible,NormalAttack</v>
      </c>
      <c r="Q516" s="110" t="str">
        <f t="shared" si="19"/>
        <v>5</v>
      </c>
      <c r="R516" s="110" t="str">
        <f t="shared" si="20"/>
        <v>3</v>
      </c>
      <c r="S516" s="110" t="str">
        <f t="shared" si="21"/>
        <v>3</v>
      </c>
    </row>
    <row r="517" spans="2:19" x14ac:dyDescent="0.2">
      <c r="B517" s="57" t="s">
        <v>2502</v>
      </c>
      <c r="C517" s="57" t="s">
        <v>2794</v>
      </c>
      <c r="D517" s="55" t="str">
        <f>VLOOKUP(VLOOKUP(Q517&amp;"_"&amp;R517,活动关卡!$A$32:$Z$55,2+5*S517,FALSE),'⚪设计'!$B$85:$H$114,2,FALSE)</f>
        <v>ResUnit_Rou2</v>
      </c>
      <c r="E517" s="55">
        <f>VLOOKUP(VLOOKUP(Q517&amp;"_"&amp;R517,活动关卡!$A$32:$Z$55,2+5*S517,FALSE),'⚪设计'!$B$85:$H$114,6,FALSE)*VLOOKUP(Q517&amp;"_"&amp;R517,活动关卡!$A$32:$Z$55,5,FALSE)</f>
        <v>2</v>
      </c>
      <c r="F517">
        <v>400</v>
      </c>
      <c r="G517" t="b">
        <v>1</v>
      </c>
      <c r="H517">
        <v>1</v>
      </c>
      <c r="I517">
        <v>1</v>
      </c>
      <c r="J517">
        <v>0.5</v>
      </c>
      <c r="K517" s="55">
        <f>VLOOKUP(VLOOKUP(Q517&amp;"_"&amp;R517,活动关卡!$A$32:$Z$55,2+5*S517,FALSE),'⚪设计'!$B$85:$H$114,7,FALSE)</f>
        <v>1.5</v>
      </c>
      <c r="L517" s="57" t="s">
        <v>2210</v>
      </c>
      <c r="M517" t="s">
        <v>468</v>
      </c>
      <c r="N517" t="s">
        <v>469</v>
      </c>
      <c r="O517" t="s">
        <v>470</v>
      </c>
      <c r="P517" s="57" t="str">
        <f>IF(VLOOKUP(D517,'⚪设计'!$C$85:$I$113,7,FALSE)="","",VLOOKUP(D517,'⚪设计'!$C$85:$I$113,7,FALSE))</f>
        <v/>
      </c>
      <c r="Q517" s="110" t="str">
        <f t="shared" si="19"/>
        <v>5</v>
      </c>
      <c r="R517" s="110" t="str">
        <f t="shared" si="20"/>
        <v>3</v>
      </c>
      <c r="S517" s="110" t="str">
        <f t="shared" si="21"/>
        <v>4</v>
      </c>
    </row>
    <row r="518" spans="2:19" x14ac:dyDescent="0.2">
      <c r="B518" s="57" t="s">
        <v>2503</v>
      </c>
      <c r="C518" s="57" t="s">
        <v>2795</v>
      </c>
      <c r="D518" s="55" t="str">
        <f>VLOOKUP(VLOOKUP(Q518&amp;"_"&amp;R518,活动关卡!$A$32:$Z$55,2+5*S518,FALSE),'⚪设计'!$B$85:$H$114,2,FALSE)</f>
        <v>ResUnit_Dan2</v>
      </c>
      <c r="E518" s="55">
        <f>VLOOKUP(VLOOKUP(Q518&amp;"_"&amp;R518,活动关卡!$A$32:$Z$55,2+5*S518,FALSE),'⚪设计'!$B$85:$H$114,6,FALSE)*VLOOKUP(Q518&amp;"_"&amp;R518,活动关卡!$A$32:$Z$55,5,FALSE)</f>
        <v>2</v>
      </c>
      <c r="F518">
        <v>400</v>
      </c>
      <c r="G518" t="b">
        <v>1</v>
      </c>
      <c r="H518">
        <v>1</v>
      </c>
      <c r="I518">
        <v>1</v>
      </c>
      <c r="J518">
        <v>0.5</v>
      </c>
      <c r="K518" s="55">
        <f>VLOOKUP(VLOOKUP(Q518&amp;"_"&amp;R518,活动关卡!$A$32:$Z$55,2+5*S518,FALSE),'⚪设计'!$B$85:$H$114,7,FALSE)</f>
        <v>1.5</v>
      </c>
      <c r="L518" s="57" t="s">
        <v>2211</v>
      </c>
      <c r="M518" t="s">
        <v>468</v>
      </c>
      <c r="N518" t="s">
        <v>469</v>
      </c>
      <c r="O518" t="s">
        <v>470</v>
      </c>
      <c r="P518" s="57" t="str">
        <f>IF(VLOOKUP(D518,'⚪设计'!$C$85:$I$113,7,FALSE)="","",VLOOKUP(D518,'⚪设计'!$C$85:$I$113,7,FALSE))</f>
        <v>Skill_Monster_Weaken,NormalAttack</v>
      </c>
      <c r="Q518" s="110" t="str">
        <f t="shared" si="19"/>
        <v>5</v>
      </c>
      <c r="R518" s="110" t="str">
        <f t="shared" si="20"/>
        <v>4</v>
      </c>
      <c r="S518" s="110" t="str">
        <f t="shared" si="21"/>
        <v>1</v>
      </c>
    </row>
    <row r="519" spans="2:19" x14ac:dyDescent="0.2">
      <c r="B519" s="57" t="s">
        <v>2504</v>
      </c>
      <c r="C519" s="57" t="s">
        <v>2796</v>
      </c>
      <c r="D519" s="55" t="str">
        <f>VLOOKUP(VLOOKUP(Q519&amp;"_"&amp;R519,活动关卡!$A$32:$Z$55,2+5*S519,FALSE),'⚪设计'!$B$85:$H$114,2,FALSE)</f>
        <v>ResUnit_Gui1</v>
      </c>
      <c r="E519" s="55">
        <f>VLOOKUP(VLOOKUP(Q519&amp;"_"&amp;R519,活动关卡!$A$32:$Z$55,2+5*S519,FALSE),'⚪设计'!$B$85:$H$114,6,FALSE)*VLOOKUP(Q519&amp;"_"&amp;R519,活动关卡!$A$32:$Z$55,5,FALSE)</f>
        <v>2</v>
      </c>
      <c r="F519">
        <v>400</v>
      </c>
      <c r="G519" t="b">
        <v>1</v>
      </c>
      <c r="H519">
        <v>1</v>
      </c>
      <c r="I519">
        <v>1</v>
      </c>
      <c r="J519">
        <v>0.5</v>
      </c>
      <c r="K519" s="55">
        <f>VLOOKUP(VLOOKUP(Q519&amp;"_"&amp;R519,活动关卡!$A$32:$Z$55,2+5*S519,FALSE),'⚪设计'!$B$85:$H$114,7,FALSE)</f>
        <v>1</v>
      </c>
      <c r="L519" s="57" t="s">
        <v>2212</v>
      </c>
      <c r="M519" t="s">
        <v>468</v>
      </c>
      <c r="N519" t="s">
        <v>469</v>
      </c>
      <c r="O519" t="s">
        <v>470</v>
      </c>
      <c r="P519" s="57" t="str">
        <f>IF(VLOOKUP(D519,'⚪设计'!$C$85:$I$113,7,FALSE)="","",VLOOKUP(D519,'⚪设计'!$C$85:$I$113,7,FALSE))</f>
        <v>Skill_Monster_Invisible,NormalAttack</v>
      </c>
      <c r="Q519" s="110" t="str">
        <f t="shared" ref="Q519:Q582" si="22">LEFT(RIGHT(C519,5),1)</f>
        <v>5</v>
      </c>
      <c r="R519" s="110" t="str">
        <f t="shared" ref="R519:R582" si="23">LEFT(RIGHT(C519,3),1)</f>
        <v>4</v>
      </c>
      <c r="S519" s="110" t="str">
        <f t="shared" ref="S519:S582" si="24">RIGHT(C519,1)</f>
        <v>2</v>
      </c>
    </row>
    <row r="520" spans="2:19" x14ac:dyDescent="0.2">
      <c r="B520" s="57" t="s">
        <v>2505</v>
      </c>
      <c r="C520" s="57" t="s">
        <v>2797</v>
      </c>
      <c r="D520" s="55" t="str">
        <f>VLOOKUP(VLOOKUP(Q520&amp;"_"&amp;R520,活动关卡!$A$32:$Z$55,2+5*S520,FALSE),'⚪设计'!$B$85:$H$114,2,FALSE)</f>
        <v>ResUnit_Rou2</v>
      </c>
      <c r="E520" s="55">
        <f>VLOOKUP(VLOOKUP(Q520&amp;"_"&amp;R520,活动关卡!$A$32:$Z$55,2+5*S520,FALSE),'⚪设计'!$B$85:$H$114,6,FALSE)*VLOOKUP(Q520&amp;"_"&amp;R520,活动关卡!$A$32:$Z$55,5,FALSE)</f>
        <v>2</v>
      </c>
      <c r="F520">
        <v>400</v>
      </c>
      <c r="G520" t="b">
        <v>1</v>
      </c>
      <c r="H520">
        <v>1</v>
      </c>
      <c r="I520">
        <v>1</v>
      </c>
      <c r="J520">
        <v>0.5</v>
      </c>
      <c r="K520" s="55">
        <f>VLOOKUP(VLOOKUP(Q520&amp;"_"&amp;R520,活动关卡!$A$32:$Z$55,2+5*S520,FALSE),'⚪设计'!$B$85:$H$114,7,FALSE)</f>
        <v>1.5</v>
      </c>
      <c r="L520" s="57" t="s">
        <v>2213</v>
      </c>
      <c r="M520" t="s">
        <v>468</v>
      </c>
      <c r="N520" t="s">
        <v>469</v>
      </c>
      <c r="O520" t="s">
        <v>470</v>
      </c>
      <c r="P520" s="57" t="str">
        <f>IF(VLOOKUP(D520,'⚪设计'!$C$85:$I$113,7,FALSE)="","",VLOOKUP(D520,'⚪设计'!$C$85:$I$113,7,FALSE))</f>
        <v/>
      </c>
      <c r="Q520" s="110" t="str">
        <f t="shared" si="22"/>
        <v>5</v>
      </c>
      <c r="R520" s="110" t="str">
        <f t="shared" si="23"/>
        <v>4</v>
      </c>
      <c r="S520" s="110" t="str">
        <f t="shared" si="24"/>
        <v>3</v>
      </c>
    </row>
    <row r="521" spans="2:19" x14ac:dyDescent="0.2">
      <c r="B521" s="57" t="s">
        <v>2506</v>
      </c>
      <c r="C521" s="57" t="s">
        <v>2798</v>
      </c>
      <c r="D521" s="55" t="str">
        <f>VLOOKUP(VLOOKUP(Q521&amp;"_"&amp;R521,活动关卡!$A$32:$Z$55,2+5*S521,FALSE),'⚪设计'!$B$85:$H$114,2,FALSE)</f>
        <v>ResUnit_Dan2</v>
      </c>
      <c r="E521" s="55">
        <f>VLOOKUP(VLOOKUP(Q521&amp;"_"&amp;R521,活动关卡!$A$32:$Z$55,2+5*S521,FALSE),'⚪设计'!$B$85:$H$114,6,FALSE)*VLOOKUP(Q521&amp;"_"&amp;R521,活动关卡!$A$32:$Z$55,5,FALSE)</f>
        <v>2</v>
      </c>
      <c r="F521">
        <v>400</v>
      </c>
      <c r="G521" t="b">
        <v>1</v>
      </c>
      <c r="H521">
        <v>1</v>
      </c>
      <c r="I521">
        <v>1</v>
      </c>
      <c r="J521">
        <v>0.5</v>
      </c>
      <c r="K521" s="55">
        <f>VLOOKUP(VLOOKUP(Q521&amp;"_"&amp;R521,活动关卡!$A$32:$Z$55,2+5*S521,FALSE),'⚪设计'!$B$85:$H$114,7,FALSE)</f>
        <v>1.5</v>
      </c>
      <c r="L521" s="57" t="s">
        <v>2214</v>
      </c>
      <c r="M521" t="s">
        <v>468</v>
      </c>
      <c r="N521" t="s">
        <v>469</v>
      </c>
      <c r="O521" t="s">
        <v>470</v>
      </c>
      <c r="P521" s="57" t="str">
        <f>IF(VLOOKUP(D521,'⚪设计'!$C$85:$I$113,7,FALSE)="","",VLOOKUP(D521,'⚪设计'!$C$85:$I$113,7,FALSE))</f>
        <v>Skill_Monster_Weaken,NormalAttack</v>
      </c>
      <c r="Q521" s="110" t="str">
        <f t="shared" si="22"/>
        <v>5</v>
      </c>
      <c r="R521" s="110" t="str">
        <f t="shared" si="23"/>
        <v>5</v>
      </c>
      <c r="S521" s="110" t="str">
        <f t="shared" si="24"/>
        <v>1</v>
      </c>
    </row>
    <row r="522" spans="2:19" x14ac:dyDescent="0.2">
      <c r="B522" s="57" t="s">
        <v>2507</v>
      </c>
      <c r="C522" s="57" t="s">
        <v>2799</v>
      </c>
      <c r="D522" s="55" t="str">
        <f>VLOOKUP(VLOOKUP(Q522&amp;"_"&amp;R522,活动关卡!$A$32:$Z$55,2+5*S522,FALSE),'⚪设计'!$B$85:$H$114,2,FALSE)</f>
        <v>ResUnit_Gui1</v>
      </c>
      <c r="E522" s="55">
        <f>VLOOKUP(VLOOKUP(Q522&amp;"_"&amp;R522,活动关卡!$A$32:$Z$55,2+5*S522,FALSE),'⚪设计'!$B$85:$H$114,6,FALSE)*VLOOKUP(Q522&amp;"_"&amp;R522,活动关卡!$A$32:$Z$55,5,FALSE)</f>
        <v>2</v>
      </c>
      <c r="F522">
        <v>400</v>
      </c>
      <c r="G522" t="b">
        <v>1</v>
      </c>
      <c r="H522">
        <v>1</v>
      </c>
      <c r="I522">
        <v>1</v>
      </c>
      <c r="J522">
        <v>0.5</v>
      </c>
      <c r="K522" s="55">
        <f>VLOOKUP(VLOOKUP(Q522&amp;"_"&amp;R522,活动关卡!$A$32:$Z$55,2+5*S522,FALSE),'⚪设计'!$B$85:$H$114,7,FALSE)</f>
        <v>1</v>
      </c>
      <c r="L522" s="57" t="s">
        <v>2215</v>
      </c>
      <c r="M522" t="s">
        <v>468</v>
      </c>
      <c r="N522" t="s">
        <v>469</v>
      </c>
      <c r="O522" t="s">
        <v>470</v>
      </c>
      <c r="P522" s="57" t="str">
        <f>IF(VLOOKUP(D522,'⚪设计'!$C$85:$I$113,7,FALSE)="","",VLOOKUP(D522,'⚪设计'!$C$85:$I$113,7,FALSE))</f>
        <v>Skill_Monster_Invisible,NormalAttack</v>
      </c>
      <c r="Q522" s="110" t="str">
        <f t="shared" si="22"/>
        <v>5</v>
      </c>
      <c r="R522" s="110" t="str">
        <f t="shared" si="23"/>
        <v>5</v>
      </c>
      <c r="S522" s="110" t="str">
        <f t="shared" si="24"/>
        <v>2</v>
      </c>
    </row>
    <row r="523" spans="2:19" x14ac:dyDescent="0.2">
      <c r="B523" s="57" t="s">
        <v>2508</v>
      </c>
      <c r="C523" s="57" t="s">
        <v>2800</v>
      </c>
      <c r="D523" s="55" t="str">
        <f>VLOOKUP(VLOOKUP(Q523&amp;"_"&amp;R523,活动关卡!$A$32:$Z$55,2+5*S523,FALSE),'⚪设计'!$B$85:$H$114,2,FALSE)</f>
        <v>ResUnit_ZhongZi1</v>
      </c>
      <c r="E523" s="55">
        <f>VLOOKUP(VLOOKUP(Q523&amp;"_"&amp;R523,活动关卡!$A$32:$Z$55,2+5*S523,FALSE),'⚪设计'!$B$85:$H$114,6,FALSE)*VLOOKUP(Q523&amp;"_"&amp;R523,活动关卡!$A$32:$Z$55,5,FALSE)</f>
        <v>2</v>
      </c>
      <c r="F523">
        <v>400</v>
      </c>
      <c r="G523" t="b">
        <v>1</v>
      </c>
      <c r="H523">
        <v>1</v>
      </c>
      <c r="I523">
        <v>1</v>
      </c>
      <c r="J523">
        <v>0.5</v>
      </c>
      <c r="K523" s="55">
        <f>VLOOKUP(VLOOKUP(Q523&amp;"_"&amp;R523,活动关卡!$A$32:$Z$55,2+5*S523,FALSE),'⚪设计'!$B$85:$H$114,7,FALSE)</f>
        <v>1</v>
      </c>
      <c r="L523" s="57" t="s">
        <v>2216</v>
      </c>
      <c r="M523" t="s">
        <v>468</v>
      </c>
      <c r="N523" t="s">
        <v>469</v>
      </c>
      <c r="O523" t="s">
        <v>470</v>
      </c>
      <c r="P523" s="57" t="str">
        <f>IF(VLOOKUP(D523,'⚪设计'!$C$85:$I$113,7,FALSE)="","",VLOOKUP(D523,'⚪设计'!$C$85:$I$113,7,FALSE))</f>
        <v>Skill_Monster_Heal,NormalAttack</v>
      </c>
      <c r="Q523" s="110" t="str">
        <f t="shared" si="22"/>
        <v>5</v>
      </c>
      <c r="R523" s="110" t="str">
        <f t="shared" si="23"/>
        <v>5</v>
      </c>
      <c r="S523" s="110" t="str">
        <f t="shared" si="24"/>
        <v>3</v>
      </c>
    </row>
    <row r="524" spans="2:19" x14ac:dyDescent="0.2">
      <c r="B524" s="57" t="s">
        <v>2509</v>
      </c>
      <c r="C524" s="57" t="s">
        <v>2801</v>
      </c>
      <c r="D524" s="55" t="str">
        <f>VLOOKUP(VLOOKUP(Q524&amp;"_"&amp;R524,活动关卡!$A$32:$Z$55,2+5*S524,FALSE),'⚪设计'!$B$85:$H$114,2,FALSE)</f>
        <v>ResUnit_Rou2</v>
      </c>
      <c r="E524" s="55">
        <f>VLOOKUP(VLOOKUP(Q524&amp;"_"&amp;R524,活动关卡!$A$32:$Z$55,2+5*S524,FALSE),'⚪设计'!$B$85:$H$114,6,FALSE)*VLOOKUP(Q524&amp;"_"&amp;R524,活动关卡!$A$32:$Z$55,5,FALSE)</f>
        <v>2</v>
      </c>
      <c r="F524">
        <v>400</v>
      </c>
      <c r="G524" t="b">
        <v>1</v>
      </c>
      <c r="H524">
        <v>1</v>
      </c>
      <c r="I524">
        <v>1</v>
      </c>
      <c r="J524">
        <v>0.5</v>
      </c>
      <c r="K524" s="55">
        <f>VLOOKUP(VLOOKUP(Q524&amp;"_"&amp;R524,活动关卡!$A$32:$Z$55,2+5*S524,FALSE),'⚪设计'!$B$85:$H$114,7,FALSE)</f>
        <v>1.5</v>
      </c>
      <c r="L524" s="57" t="s">
        <v>2217</v>
      </c>
      <c r="M524" t="s">
        <v>468</v>
      </c>
      <c r="N524" t="s">
        <v>469</v>
      </c>
      <c r="O524" t="s">
        <v>470</v>
      </c>
      <c r="P524" s="57" t="str">
        <f>IF(VLOOKUP(D524,'⚪设计'!$C$85:$I$113,7,FALSE)="","",VLOOKUP(D524,'⚪设计'!$C$85:$I$113,7,FALSE))</f>
        <v/>
      </c>
      <c r="Q524" s="110" t="str">
        <f t="shared" si="22"/>
        <v>5</v>
      </c>
      <c r="R524" s="110" t="str">
        <f t="shared" si="23"/>
        <v>5</v>
      </c>
      <c r="S524" s="110" t="str">
        <f t="shared" si="24"/>
        <v>4</v>
      </c>
    </row>
    <row r="525" spans="2:19" x14ac:dyDescent="0.2">
      <c r="B525" s="57" t="s">
        <v>2510</v>
      </c>
      <c r="C525" s="57" t="s">
        <v>2802</v>
      </c>
      <c r="D525" s="55" t="str">
        <f>VLOOKUP(VLOOKUP(Q525&amp;"_"&amp;R525,活动关卡!$A$32:$Z$55,2+5*S525,FALSE),'⚪设计'!$B$85:$H$114,2,FALSE)</f>
        <v>ResUnit_Dan2</v>
      </c>
      <c r="E525" s="55">
        <f>VLOOKUP(VLOOKUP(Q525&amp;"_"&amp;R525,活动关卡!$A$32:$Z$55,2+5*S525,FALSE),'⚪设计'!$B$85:$H$114,6,FALSE)*VLOOKUP(Q525&amp;"_"&amp;R525,活动关卡!$A$32:$Z$55,5,FALSE)</f>
        <v>2</v>
      </c>
      <c r="F525">
        <v>400</v>
      </c>
      <c r="G525" t="b">
        <v>1</v>
      </c>
      <c r="H525">
        <v>1</v>
      </c>
      <c r="I525">
        <v>1</v>
      </c>
      <c r="J525">
        <v>0.5</v>
      </c>
      <c r="K525" s="55">
        <f>VLOOKUP(VLOOKUP(Q525&amp;"_"&amp;R525,活动关卡!$A$32:$Z$55,2+5*S525,FALSE),'⚪设计'!$B$85:$H$114,7,FALSE)</f>
        <v>1.5</v>
      </c>
      <c r="L525" s="57" t="s">
        <v>2218</v>
      </c>
      <c r="M525" t="s">
        <v>468</v>
      </c>
      <c r="N525" t="s">
        <v>469</v>
      </c>
      <c r="O525" t="s">
        <v>470</v>
      </c>
      <c r="P525" s="57" t="str">
        <f>IF(VLOOKUP(D525,'⚪设计'!$C$85:$I$113,7,FALSE)="","",VLOOKUP(D525,'⚪设计'!$C$85:$I$113,7,FALSE))</f>
        <v>Skill_Monster_Weaken,NormalAttack</v>
      </c>
      <c r="Q525" s="110" t="str">
        <f t="shared" si="22"/>
        <v>5</v>
      </c>
      <c r="R525" s="110" t="str">
        <f t="shared" si="23"/>
        <v>6</v>
      </c>
      <c r="S525" s="110" t="str">
        <f t="shared" si="24"/>
        <v>1</v>
      </c>
    </row>
    <row r="526" spans="2:19" x14ac:dyDescent="0.2">
      <c r="B526" s="57" t="s">
        <v>2511</v>
      </c>
      <c r="C526" s="57" t="s">
        <v>2803</v>
      </c>
      <c r="D526" s="55" t="str">
        <f>VLOOKUP(VLOOKUP(Q526&amp;"_"&amp;R526,活动关卡!$A$32:$Z$55,2+5*S526,FALSE),'⚪设计'!$B$85:$H$114,2,FALSE)</f>
        <v>ResUnit_ZhongZi2</v>
      </c>
      <c r="E526" s="55">
        <f>VLOOKUP(VLOOKUP(Q526&amp;"_"&amp;R526,活动关卡!$A$32:$Z$55,2+5*S526,FALSE),'⚪设计'!$B$85:$H$114,6,FALSE)*VLOOKUP(Q526&amp;"_"&amp;R526,活动关卡!$A$32:$Z$55,5,FALSE)</f>
        <v>2</v>
      </c>
      <c r="F526">
        <v>400</v>
      </c>
      <c r="G526" t="b">
        <v>1</v>
      </c>
      <c r="H526">
        <v>1</v>
      </c>
      <c r="I526">
        <v>1</v>
      </c>
      <c r="J526">
        <v>0.5</v>
      </c>
      <c r="K526" s="55">
        <f>VLOOKUP(VLOOKUP(Q526&amp;"_"&amp;R526,活动关卡!$A$32:$Z$55,2+5*S526,FALSE),'⚪设计'!$B$85:$H$114,7,FALSE)</f>
        <v>1.5</v>
      </c>
      <c r="L526" s="57" t="s">
        <v>2219</v>
      </c>
      <c r="M526" t="s">
        <v>468</v>
      </c>
      <c r="N526" t="s">
        <v>469</v>
      </c>
      <c r="O526" t="s">
        <v>470</v>
      </c>
      <c r="P526" s="57" t="str">
        <f>IF(VLOOKUP(D526,'⚪设计'!$C$85:$I$113,7,FALSE)="","",VLOOKUP(D526,'⚪设计'!$C$85:$I$113,7,FALSE))</f>
        <v>Skill_Monster_Heal,NormalAttack</v>
      </c>
      <c r="Q526" s="110" t="str">
        <f t="shared" si="22"/>
        <v>5</v>
      </c>
      <c r="R526" s="110" t="str">
        <f t="shared" si="23"/>
        <v>6</v>
      </c>
      <c r="S526" s="110" t="str">
        <f t="shared" si="24"/>
        <v>2</v>
      </c>
    </row>
    <row r="527" spans="2:19" x14ac:dyDescent="0.2">
      <c r="B527" s="57" t="s">
        <v>2512</v>
      </c>
      <c r="C527" s="57" t="s">
        <v>2804</v>
      </c>
      <c r="D527" s="55" t="str">
        <f>VLOOKUP(VLOOKUP(Q527&amp;"_"&amp;R527,活动关卡!$A$32:$Z$55,2+5*S527,FALSE),'⚪设计'!$B$85:$H$114,2,FALSE)</f>
        <v>ResUnit_ZhiZhu2</v>
      </c>
      <c r="E527" s="55">
        <f>VLOOKUP(VLOOKUP(Q527&amp;"_"&amp;R527,活动关卡!$A$32:$Z$55,2+5*S527,FALSE),'⚪设计'!$B$85:$H$114,6,FALSE)*VLOOKUP(Q527&amp;"_"&amp;R527,活动关卡!$A$32:$Z$55,5,FALSE)</f>
        <v>3</v>
      </c>
      <c r="F527">
        <v>400</v>
      </c>
      <c r="G527" t="b">
        <v>1</v>
      </c>
      <c r="H527">
        <v>1</v>
      </c>
      <c r="I527">
        <v>1</v>
      </c>
      <c r="J527">
        <v>0.5</v>
      </c>
      <c r="K527" s="55">
        <f>VLOOKUP(VLOOKUP(Q527&amp;"_"&amp;R527,活动关卡!$A$32:$Z$55,2+5*S527,FALSE),'⚪设计'!$B$85:$H$114,7,FALSE)</f>
        <v>1.5</v>
      </c>
      <c r="L527" s="57" t="s">
        <v>2220</v>
      </c>
      <c r="M527" t="s">
        <v>468</v>
      </c>
      <c r="N527" t="s">
        <v>469</v>
      </c>
      <c r="O527" t="s">
        <v>470</v>
      </c>
      <c r="P527" s="57" t="str">
        <f>IF(VLOOKUP(D527,'⚪设计'!$C$85:$I$113,7,FALSE)="","",VLOOKUP(D527,'⚪设计'!$C$85:$I$113,7,FALSE))</f>
        <v/>
      </c>
      <c r="Q527" s="110" t="str">
        <f t="shared" si="22"/>
        <v>5</v>
      </c>
      <c r="R527" s="110" t="str">
        <f t="shared" si="23"/>
        <v>6</v>
      </c>
      <c r="S527" s="110" t="str">
        <f t="shared" si="24"/>
        <v>3</v>
      </c>
    </row>
    <row r="528" spans="2:19" x14ac:dyDescent="0.2">
      <c r="B528" s="57" t="s">
        <v>2513</v>
      </c>
      <c r="C528" s="57" t="s">
        <v>2805</v>
      </c>
      <c r="D528" s="55" t="str">
        <f>VLOOKUP(VLOOKUP(Q528&amp;"_"&amp;R528,活动关卡!$A$32:$Z$55,2+5*S528,FALSE),'⚪设计'!$B$85:$H$114,2,FALSE)</f>
        <v>ResUnit_Rou2</v>
      </c>
      <c r="E528" s="55">
        <f>VLOOKUP(VLOOKUP(Q528&amp;"_"&amp;R528,活动关卡!$A$32:$Z$55,2+5*S528,FALSE),'⚪设计'!$B$85:$H$114,6,FALSE)*VLOOKUP(Q528&amp;"_"&amp;R528,活动关卡!$A$32:$Z$55,5,FALSE)</f>
        <v>2</v>
      </c>
      <c r="F528">
        <v>400</v>
      </c>
      <c r="G528" t="b">
        <v>1</v>
      </c>
      <c r="H528">
        <v>1</v>
      </c>
      <c r="I528">
        <v>1</v>
      </c>
      <c r="J528">
        <v>0.5</v>
      </c>
      <c r="K528" s="55">
        <f>VLOOKUP(VLOOKUP(Q528&amp;"_"&amp;R528,活动关卡!$A$32:$Z$55,2+5*S528,FALSE),'⚪设计'!$B$85:$H$114,7,FALSE)</f>
        <v>1.5</v>
      </c>
      <c r="L528" s="57" t="s">
        <v>2221</v>
      </c>
      <c r="M528" t="s">
        <v>468</v>
      </c>
      <c r="N528" t="s">
        <v>469</v>
      </c>
      <c r="O528" t="s">
        <v>470</v>
      </c>
      <c r="P528" s="57" t="str">
        <f>IF(VLOOKUP(D528,'⚪设计'!$C$85:$I$113,7,FALSE)="","",VLOOKUP(D528,'⚪设计'!$C$85:$I$113,7,FALSE))</f>
        <v/>
      </c>
      <c r="Q528" s="110" t="str">
        <f t="shared" si="22"/>
        <v>5</v>
      </c>
      <c r="R528" s="110" t="str">
        <f t="shared" si="23"/>
        <v>6</v>
      </c>
      <c r="S528" s="110" t="str">
        <f t="shared" si="24"/>
        <v>4</v>
      </c>
    </row>
    <row r="529" spans="2:19" x14ac:dyDescent="0.2">
      <c r="B529" s="57" t="s">
        <v>2514</v>
      </c>
      <c r="C529" s="57" t="s">
        <v>2806</v>
      </c>
      <c r="D529" s="55" t="str">
        <f>VLOOKUP(VLOOKUP(Q529&amp;"_"&amp;R529,活动关卡!$A$32:$Z$55,2+5*S529,FALSE),'⚪设计'!$B$85:$H$114,2,FALSE)</f>
        <v>ResUnit_Dan2</v>
      </c>
      <c r="E529" s="55">
        <f>VLOOKUP(VLOOKUP(Q529&amp;"_"&amp;R529,活动关卡!$A$32:$Z$55,2+5*S529,FALSE),'⚪设计'!$B$85:$H$114,6,FALSE)*VLOOKUP(Q529&amp;"_"&amp;R529,活动关卡!$A$32:$Z$55,5,FALSE)</f>
        <v>2</v>
      </c>
      <c r="F529">
        <v>400</v>
      </c>
      <c r="G529" t="b">
        <v>1</v>
      </c>
      <c r="H529">
        <v>1</v>
      </c>
      <c r="I529">
        <v>1</v>
      </c>
      <c r="J529">
        <v>0.5</v>
      </c>
      <c r="K529" s="55">
        <f>VLOOKUP(VLOOKUP(Q529&amp;"_"&amp;R529,活动关卡!$A$32:$Z$55,2+5*S529,FALSE),'⚪设计'!$B$85:$H$114,7,FALSE)</f>
        <v>1.5</v>
      </c>
      <c r="L529" s="57" t="s">
        <v>2222</v>
      </c>
      <c r="M529" t="s">
        <v>468</v>
      </c>
      <c r="N529" t="s">
        <v>469</v>
      </c>
      <c r="O529" t="s">
        <v>470</v>
      </c>
      <c r="P529" s="57" t="str">
        <f>IF(VLOOKUP(D529,'⚪设计'!$C$85:$I$113,7,FALSE)="","",VLOOKUP(D529,'⚪设计'!$C$85:$I$113,7,FALSE))</f>
        <v>Skill_Monster_Weaken,NormalAttack</v>
      </c>
      <c r="Q529" s="110" t="str">
        <f t="shared" si="22"/>
        <v>5</v>
      </c>
      <c r="R529" s="110" t="str">
        <f t="shared" si="23"/>
        <v>7</v>
      </c>
      <c r="S529" s="110" t="str">
        <f t="shared" si="24"/>
        <v>1</v>
      </c>
    </row>
    <row r="530" spans="2:19" x14ac:dyDescent="0.2">
      <c r="B530" s="57" t="s">
        <v>2515</v>
      </c>
      <c r="C530" s="57" t="s">
        <v>2807</v>
      </c>
      <c r="D530" s="55" t="str">
        <f>VLOOKUP(VLOOKUP(Q530&amp;"_"&amp;R530,活动关卡!$A$32:$Z$55,2+5*S530,FALSE),'⚪设计'!$B$85:$H$114,2,FALSE)</f>
        <v>ResUnit_Gui2</v>
      </c>
      <c r="E530" s="55">
        <f>VLOOKUP(VLOOKUP(Q530&amp;"_"&amp;R530,活动关卡!$A$32:$Z$55,2+5*S530,FALSE),'⚪设计'!$B$85:$H$114,6,FALSE)*VLOOKUP(Q530&amp;"_"&amp;R530,活动关卡!$A$32:$Z$55,5,FALSE)</f>
        <v>2</v>
      </c>
      <c r="F530">
        <v>400</v>
      </c>
      <c r="G530" t="b">
        <v>1</v>
      </c>
      <c r="H530">
        <v>1</v>
      </c>
      <c r="I530">
        <v>1</v>
      </c>
      <c r="J530">
        <v>0.5</v>
      </c>
      <c r="K530" s="55">
        <f>VLOOKUP(VLOOKUP(Q530&amp;"_"&amp;R530,活动关卡!$A$32:$Z$55,2+5*S530,FALSE),'⚪设计'!$B$85:$H$114,7,FALSE)</f>
        <v>1.5</v>
      </c>
      <c r="L530" s="57" t="s">
        <v>2223</v>
      </c>
      <c r="M530" t="s">
        <v>468</v>
      </c>
      <c r="N530" t="s">
        <v>469</v>
      </c>
      <c r="O530" t="s">
        <v>470</v>
      </c>
      <c r="P530" s="57" t="str">
        <f>IF(VLOOKUP(D530,'⚪设计'!$C$85:$I$113,7,FALSE)="","",VLOOKUP(D530,'⚪设计'!$C$85:$I$113,7,FALSE))</f>
        <v>Skill_Monster_Invisible,NormalAttack</v>
      </c>
      <c r="Q530" s="110" t="str">
        <f t="shared" si="22"/>
        <v>5</v>
      </c>
      <c r="R530" s="110" t="str">
        <f t="shared" si="23"/>
        <v>7</v>
      </c>
      <c r="S530" s="110" t="str">
        <f t="shared" si="24"/>
        <v>2</v>
      </c>
    </row>
    <row r="531" spans="2:19" x14ac:dyDescent="0.2">
      <c r="B531" s="57" t="s">
        <v>2516</v>
      </c>
      <c r="C531" s="57" t="s">
        <v>2808</v>
      </c>
      <c r="D531" s="55" t="str">
        <f>VLOOKUP(VLOOKUP(Q531&amp;"_"&amp;R531,活动关卡!$A$32:$Z$55,2+5*S531,FALSE),'⚪设计'!$B$85:$H$114,2,FALSE)</f>
        <v>ResUnit_BianFu2</v>
      </c>
      <c r="E531" s="55">
        <f>VLOOKUP(VLOOKUP(Q531&amp;"_"&amp;R531,活动关卡!$A$32:$Z$55,2+5*S531,FALSE),'⚪设计'!$B$85:$H$114,6,FALSE)*VLOOKUP(Q531&amp;"_"&amp;R531,活动关卡!$A$32:$Z$55,5,FALSE)</f>
        <v>2</v>
      </c>
      <c r="F531">
        <v>400</v>
      </c>
      <c r="G531" t="b">
        <v>1</v>
      </c>
      <c r="H531">
        <v>1</v>
      </c>
      <c r="I531">
        <v>1</v>
      </c>
      <c r="J531">
        <v>0.5</v>
      </c>
      <c r="K531" s="55">
        <f>VLOOKUP(VLOOKUP(Q531&amp;"_"&amp;R531,活动关卡!$A$32:$Z$55,2+5*S531,FALSE),'⚪设计'!$B$85:$H$114,7,FALSE)</f>
        <v>1.5</v>
      </c>
      <c r="L531" s="57" t="s">
        <v>2224</v>
      </c>
      <c r="M531" t="s">
        <v>468</v>
      </c>
      <c r="N531" t="s">
        <v>469</v>
      </c>
      <c r="O531" t="s">
        <v>470</v>
      </c>
      <c r="P531" s="57" t="str">
        <f>IF(VLOOKUP(D531,'⚪设计'!$C$85:$I$113,7,FALSE)="","",VLOOKUP(D531,'⚪设计'!$C$85:$I$113,7,FALSE))</f>
        <v/>
      </c>
      <c r="Q531" s="110" t="str">
        <f t="shared" si="22"/>
        <v>5</v>
      </c>
      <c r="R531" s="110" t="str">
        <f t="shared" si="23"/>
        <v>7</v>
      </c>
      <c r="S531" s="110" t="str">
        <f t="shared" si="24"/>
        <v>3</v>
      </c>
    </row>
    <row r="532" spans="2:19" x14ac:dyDescent="0.2">
      <c r="B532" s="57" t="s">
        <v>2517</v>
      </c>
      <c r="C532" s="57" t="s">
        <v>2809</v>
      </c>
      <c r="D532" s="55" t="str">
        <f>VLOOKUP(VLOOKUP(Q532&amp;"_"&amp;R532,活动关卡!$A$32:$Z$55,2+5*S532,FALSE),'⚪设计'!$B$85:$H$114,2,FALSE)</f>
        <v>ResUnit_Rou2</v>
      </c>
      <c r="E532" s="55">
        <f>VLOOKUP(VLOOKUP(Q532&amp;"_"&amp;R532,活动关卡!$A$32:$Z$55,2+5*S532,FALSE),'⚪设计'!$B$85:$H$114,6,FALSE)*VLOOKUP(Q532&amp;"_"&amp;R532,活动关卡!$A$32:$Z$55,5,FALSE)</f>
        <v>2</v>
      </c>
      <c r="F532">
        <v>400</v>
      </c>
      <c r="G532" t="b">
        <v>1</v>
      </c>
      <c r="H532">
        <v>1</v>
      </c>
      <c r="I532">
        <v>1</v>
      </c>
      <c r="J532">
        <v>0.5</v>
      </c>
      <c r="K532" s="55">
        <f>VLOOKUP(VLOOKUP(Q532&amp;"_"&amp;R532,活动关卡!$A$32:$Z$55,2+5*S532,FALSE),'⚪设计'!$B$85:$H$114,7,FALSE)</f>
        <v>1.5</v>
      </c>
      <c r="L532" s="57" t="s">
        <v>2225</v>
      </c>
      <c r="M532" t="s">
        <v>468</v>
      </c>
      <c r="N532" t="s">
        <v>469</v>
      </c>
      <c r="O532" t="s">
        <v>470</v>
      </c>
      <c r="P532" s="57" t="str">
        <f>IF(VLOOKUP(D532,'⚪设计'!$C$85:$I$113,7,FALSE)="","",VLOOKUP(D532,'⚪设计'!$C$85:$I$113,7,FALSE))</f>
        <v/>
      </c>
      <c r="Q532" s="110" t="str">
        <f t="shared" si="22"/>
        <v>5</v>
      </c>
      <c r="R532" s="110" t="str">
        <f t="shared" si="23"/>
        <v>7</v>
      </c>
      <c r="S532" s="110" t="str">
        <f t="shared" si="24"/>
        <v>4</v>
      </c>
    </row>
    <row r="533" spans="2:19" x14ac:dyDescent="0.2">
      <c r="B533" s="57" t="s">
        <v>2518</v>
      </c>
      <c r="C533" s="57" t="s">
        <v>2810</v>
      </c>
      <c r="D533" s="55" t="str">
        <f>VLOOKUP(VLOOKUP(Q533&amp;"_"&amp;R533,活动关卡!$A$32:$Z$55,2+5*S533,FALSE),'⚪设计'!$B$85:$H$114,2,FALSE)</f>
        <v>ResUnit_Dan3</v>
      </c>
      <c r="E533" s="55">
        <f>VLOOKUP(VLOOKUP(Q533&amp;"_"&amp;R533,活动关卡!$A$32:$Z$55,2+5*S533,FALSE),'⚪设计'!$B$85:$H$114,6,FALSE)*VLOOKUP(Q533&amp;"_"&amp;R533,活动关卡!$A$32:$Z$55,5,FALSE)</f>
        <v>1.25</v>
      </c>
      <c r="F533">
        <v>400</v>
      </c>
      <c r="G533" t="b">
        <v>1</v>
      </c>
      <c r="H533">
        <v>1</v>
      </c>
      <c r="I533">
        <v>1</v>
      </c>
      <c r="J533">
        <v>0.5</v>
      </c>
      <c r="K533" s="55">
        <f>VLOOKUP(VLOOKUP(Q533&amp;"_"&amp;R533,活动关卡!$A$32:$Z$55,2+5*S533,FALSE),'⚪设计'!$B$85:$H$114,7,FALSE)</f>
        <v>2.5</v>
      </c>
      <c r="L533" s="57" t="s">
        <v>2226</v>
      </c>
      <c r="M533" t="s">
        <v>468</v>
      </c>
      <c r="N533" t="s">
        <v>469</v>
      </c>
      <c r="O533" t="s">
        <v>470</v>
      </c>
      <c r="P533" s="57" t="str">
        <f>IF(VLOOKUP(D533,'⚪设计'!$C$85:$I$113,7,FALSE)="","",VLOOKUP(D533,'⚪设计'!$C$85:$I$113,7,FALSE))</f>
        <v>Skill_Monster_Weaken,NormalAttack</v>
      </c>
      <c r="Q533" s="110" t="str">
        <f t="shared" si="22"/>
        <v>5</v>
      </c>
      <c r="R533" s="110" t="str">
        <f t="shared" si="23"/>
        <v>8</v>
      </c>
      <c r="S533" s="110" t="str">
        <f t="shared" si="24"/>
        <v>1</v>
      </c>
    </row>
    <row r="534" spans="2:19" x14ac:dyDescent="0.2">
      <c r="B534" s="57" t="s">
        <v>2519</v>
      </c>
      <c r="C534" s="57" t="s">
        <v>2811</v>
      </c>
      <c r="D534" s="55" t="str">
        <f>VLOOKUP(VLOOKUP(Q534&amp;"_"&amp;R534,活动关卡!$A$32:$Z$55,2+5*S534,FALSE),'⚪设计'!$B$85:$H$114,2,FALSE)</f>
        <v>ResUnit_Gui2</v>
      </c>
      <c r="E534" s="55">
        <f>VLOOKUP(VLOOKUP(Q534&amp;"_"&amp;R534,活动关卡!$A$32:$Z$55,2+5*S534,FALSE),'⚪设计'!$B$85:$H$114,6,FALSE)*VLOOKUP(Q534&amp;"_"&amp;R534,活动关卡!$A$32:$Z$55,5,FALSE)</f>
        <v>2</v>
      </c>
      <c r="F534">
        <v>400</v>
      </c>
      <c r="G534" t="b">
        <v>1</v>
      </c>
      <c r="H534">
        <v>1</v>
      </c>
      <c r="I534">
        <v>1</v>
      </c>
      <c r="J534">
        <v>0.5</v>
      </c>
      <c r="K534" s="55">
        <f>VLOOKUP(VLOOKUP(Q534&amp;"_"&amp;R534,活动关卡!$A$32:$Z$55,2+5*S534,FALSE),'⚪设计'!$B$85:$H$114,7,FALSE)</f>
        <v>1.5</v>
      </c>
      <c r="L534" s="57" t="s">
        <v>2227</v>
      </c>
      <c r="M534" t="s">
        <v>468</v>
      </c>
      <c r="N534" t="s">
        <v>469</v>
      </c>
      <c r="O534" t="s">
        <v>470</v>
      </c>
      <c r="P534" s="57" t="str">
        <f>IF(VLOOKUP(D534,'⚪设计'!$C$85:$I$113,7,FALSE)="","",VLOOKUP(D534,'⚪设计'!$C$85:$I$113,7,FALSE))</f>
        <v>Skill_Monster_Invisible,NormalAttack</v>
      </c>
      <c r="Q534" s="110" t="str">
        <f t="shared" si="22"/>
        <v>5</v>
      </c>
      <c r="R534" s="110" t="str">
        <f t="shared" si="23"/>
        <v>8</v>
      </c>
      <c r="S534" s="110" t="str">
        <f t="shared" si="24"/>
        <v>2</v>
      </c>
    </row>
    <row r="535" spans="2:19" x14ac:dyDescent="0.2">
      <c r="B535" s="57" t="s">
        <v>2520</v>
      </c>
      <c r="C535" s="57" t="s">
        <v>2812</v>
      </c>
      <c r="D535" s="55" t="str">
        <f>VLOOKUP(VLOOKUP(Q535&amp;"_"&amp;R535,活动关卡!$A$32:$Z$55,2+5*S535,FALSE),'⚪设计'!$B$85:$H$114,2,FALSE)</f>
        <v>ResUnit_ZhongZi2</v>
      </c>
      <c r="E535" s="55">
        <f>VLOOKUP(VLOOKUP(Q535&amp;"_"&amp;R535,活动关卡!$A$32:$Z$55,2+5*S535,FALSE),'⚪设计'!$B$85:$H$114,6,FALSE)*VLOOKUP(Q535&amp;"_"&amp;R535,活动关卡!$A$32:$Z$55,5,FALSE)</f>
        <v>2</v>
      </c>
      <c r="F535">
        <v>400</v>
      </c>
      <c r="G535" t="b">
        <v>1</v>
      </c>
      <c r="H535">
        <v>1</v>
      </c>
      <c r="I535">
        <v>1</v>
      </c>
      <c r="J535">
        <v>0.5</v>
      </c>
      <c r="K535" s="55">
        <f>VLOOKUP(VLOOKUP(Q535&amp;"_"&amp;R535,活动关卡!$A$32:$Z$55,2+5*S535,FALSE),'⚪设计'!$B$85:$H$114,7,FALSE)</f>
        <v>1.5</v>
      </c>
      <c r="L535" s="57" t="s">
        <v>2228</v>
      </c>
      <c r="M535" t="s">
        <v>468</v>
      </c>
      <c r="N535" t="s">
        <v>469</v>
      </c>
      <c r="O535" t="s">
        <v>470</v>
      </c>
      <c r="P535" s="57" t="str">
        <f>IF(VLOOKUP(D535,'⚪设计'!$C$85:$I$113,7,FALSE)="","",VLOOKUP(D535,'⚪设计'!$C$85:$I$113,7,FALSE))</f>
        <v>Skill_Monster_Heal,NormalAttack</v>
      </c>
      <c r="Q535" s="110" t="str">
        <f t="shared" si="22"/>
        <v>5</v>
      </c>
      <c r="R535" s="110" t="str">
        <f t="shared" si="23"/>
        <v>8</v>
      </c>
      <c r="S535" s="110" t="str">
        <f t="shared" si="24"/>
        <v>3</v>
      </c>
    </row>
    <row r="536" spans="2:19" x14ac:dyDescent="0.2">
      <c r="B536" s="57" t="s">
        <v>2521</v>
      </c>
      <c r="C536" s="57" t="s">
        <v>2813</v>
      </c>
      <c r="D536" s="55" t="str">
        <f>VLOOKUP(VLOOKUP(Q536&amp;"_"&amp;R536,活动关卡!$A$32:$Z$55,2+5*S536,FALSE),'⚪设计'!$B$85:$H$114,2,FALSE)</f>
        <v>ResUnit_Rou3</v>
      </c>
      <c r="E536" s="55">
        <f>VLOOKUP(VLOOKUP(Q536&amp;"_"&amp;R536,活动关卡!$A$32:$Z$55,2+5*S536,FALSE),'⚪设计'!$B$85:$H$114,6,FALSE)*VLOOKUP(Q536&amp;"_"&amp;R536,活动关卡!$A$32:$Z$55,5,FALSE)</f>
        <v>2</v>
      </c>
      <c r="F536">
        <v>400</v>
      </c>
      <c r="G536" t="b">
        <v>1</v>
      </c>
      <c r="H536">
        <v>1</v>
      </c>
      <c r="I536">
        <v>1</v>
      </c>
      <c r="J536">
        <v>0.5</v>
      </c>
      <c r="K536" s="55">
        <f>VLOOKUP(VLOOKUP(Q536&amp;"_"&amp;R536,活动关卡!$A$32:$Z$55,2+5*S536,FALSE),'⚪设计'!$B$85:$H$114,7,FALSE)</f>
        <v>2.5</v>
      </c>
      <c r="L536" s="57" t="s">
        <v>2229</v>
      </c>
      <c r="M536" t="s">
        <v>468</v>
      </c>
      <c r="N536" t="s">
        <v>469</v>
      </c>
      <c r="O536" t="s">
        <v>470</v>
      </c>
      <c r="P536" s="57" t="str">
        <f>IF(VLOOKUP(D536,'⚪设计'!$C$85:$I$113,7,FALSE)="","",VLOOKUP(D536,'⚪设计'!$C$85:$I$113,7,FALSE))</f>
        <v/>
      </c>
      <c r="Q536" s="110" t="str">
        <f t="shared" si="22"/>
        <v>5</v>
      </c>
      <c r="R536" s="110" t="str">
        <f t="shared" si="23"/>
        <v>8</v>
      </c>
      <c r="S536" s="110" t="str">
        <f t="shared" si="24"/>
        <v>4</v>
      </c>
    </row>
    <row r="537" spans="2:19" x14ac:dyDescent="0.2">
      <c r="B537" s="57"/>
      <c r="C537" s="57"/>
      <c r="D537" s="55"/>
      <c r="E537" s="55"/>
      <c r="K537" s="55"/>
      <c r="L537" s="57"/>
      <c r="P537" s="57"/>
      <c r="Q537" s="110"/>
      <c r="R537" s="110"/>
      <c r="S537" s="110"/>
    </row>
    <row r="538" spans="2:19" x14ac:dyDescent="0.2">
      <c r="B538" s="57" t="s">
        <v>2522</v>
      </c>
      <c r="C538" s="57" t="s">
        <v>2814</v>
      </c>
      <c r="D538" s="55" t="str">
        <f>VLOOKUP(VLOOKUP(Q538&amp;"_"&amp;R538,活动关卡!$A$60:$Z$83,2+5*S538,FALSE),'⚪设计'!$B$85:$H$114,2,FALSE)</f>
        <v>ResUnit_MiFeng1</v>
      </c>
      <c r="E538" s="55">
        <f>VLOOKUP(VLOOKUP(Q538&amp;"_"&amp;R538,活动关卡!$A$60:$Z$83,2+5*S538,FALSE),'⚪设计'!$B$85:$H$114,6,FALSE)*VLOOKUP(Q538&amp;"_"&amp;R538,活动关卡!$A$60:$Z$83,5,FALSE)</f>
        <v>2</v>
      </c>
      <c r="F538">
        <v>400</v>
      </c>
      <c r="G538" t="b">
        <v>1</v>
      </c>
      <c r="H538">
        <v>1</v>
      </c>
      <c r="I538">
        <v>1</v>
      </c>
      <c r="J538">
        <v>0.5</v>
      </c>
      <c r="K538" s="55">
        <f>VLOOKUP(VLOOKUP(Q538&amp;"_"&amp;R538,活动关卡!$A$60:$Z$83,2+5*S538,FALSE),'⚪设计'!$B$85:$H$114,7,FALSE)</f>
        <v>1</v>
      </c>
      <c r="L538" s="57" t="s">
        <v>2230</v>
      </c>
      <c r="M538" t="s">
        <v>468</v>
      </c>
      <c r="N538" t="s">
        <v>469</v>
      </c>
      <c r="O538" t="s">
        <v>470</v>
      </c>
      <c r="P538" s="57" t="str">
        <f>IF(VLOOKUP(D538,'⚪设计'!$C$85:$I$113,7,FALSE)="","",VLOOKUP(D538,'⚪设计'!$C$85:$I$113,7,FALSE))</f>
        <v/>
      </c>
      <c r="Q538" s="110" t="str">
        <f t="shared" si="22"/>
        <v>1</v>
      </c>
      <c r="R538" s="110" t="str">
        <f t="shared" si="23"/>
        <v>1</v>
      </c>
      <c r="S538" s="110" t="str">
        <f t="shared" si="24"/>
        <v>1</v>
      </c>
    </row>
    <row r="539" spans="2:19" x14ac:dyDescent="0.2">
      <c r="B539" s="57" t="s">
        <v>2523</v>
      </c>
      <c r="C539" s="57" t="s">
        <v>2815</v>
      </c>
      <c r="D539" s="55" t="str">
        <f>VLOOKUP(VLOOKUP(Q539&amp;"_"&amp;R539,活动关卡!$A$60:$Z$83,2+5*S539,FALSE),'⚪设计'!$B$85:$H$114,2,FALSE)</f>
        <v>ResUnit_XueRen1</v>
      </c>
      <c r="E539" s="55">
        <f>VLOOKUP(VLOOKUP(Q539&amp;"_"&amp;R539,活动关卡!$A$60:$Z$83,2+5*S539,FALSE),'⚪设计'!$B$85:$H$114,6,FALSE)*VLOOKUP(Q539&amp;"_"&amp;R539,活动关卡!$A$60:$Z$83,5,FALSE)</f>
        <v>2</v>
      </c>
      <c r="F539">
        <v>400</v>
      </c>
      <c r="G539" t="b">
        <v>1</v>
      </c>
      <c r="H539">
        <v>1</v>
      </c>
      <c r="I539">
        <v>1</v>
      </c>
      <c r="J539">
        <v>0.5</v>
      </c>
      <c r="K539" s="55">
        <f>VLOOKUP(VLOOKUP(Q539&amp;"_"&amp;R539,活动关卡!$A$60:$Z$83,2+5*S539,FALSE),'⚪设计'!$B$85:$H$114,7,FALSE)</f>
        <v>1</v>
      </c>
      <c r="L539" s="57" t="s">
        <v>2231</v>
      </c>
      <c r="M539" t="s">
        <v>468</v>
      </c>
      <c r="N539" t="s">
        <v>469</v>
      </c>
      <c r="O539" t="s">
        <v>470</v>
      </c>
      <c r="P539" s="57" t="str">
        <f>IF(VLOOKUP(D539,'⚪设计'!$C$85:$I$113,7,FALSE)="","",VLOOKUP(D539,'⚪设计'!$C$85:$I$113,7,FALSE))</f>
        <v>Skill_Monster_XueRen1,NormalAttack</v>
      </c>
      <c r="Q539" s="110" t="str">
        <f t="shared" si="22"/>
        <v>1</v>
      </c>
      <c r="R539" s="110" t="str">
        <f t="shared" si="23"/>
        <v>1</v>
      </c>
      <c r="S539" s="110" t="str">
        <f t="shared" si="24"/>
        <v>2</v>
      </c>
    </row>
    <row r="540" spans="2:19" x14ac:dyDescent="0.2">
      <c r="B540" s="57" t="s">
        <v>2524</v>
      </c>
      <c r="C540" s="57" t="s">
        <v>2816</v>
      </c>
      <c r="D540" s="55" t="str">
        <f>VLOOKUP(VLOOKUP(Q540&amp;"_"&amp;R540,活动关卡!$A$60:$Z$83,2+5*S540,FALSE),'⚪设计'!$B$85:$H$114,2,FALSE)</f>
        <v>ResUnit_MiFeng1</v>
      </c>
      <c r="E540" s="55">
        <f>VLOOKUP(VLOOKUP(Q540&amp;"_"&amp;R540,活动关卡!$A$60:$Z$83,2+5*S540,FALSE),'⚪设计'!$B$85:$H$114,6,FALSE)*VLOOKUP(Q540&amp;"_"&amp;R540,活动关卡!$A$60:$Z$83,5,FALSE)</f>
        <v>2</v>
      </c>
      <c r="F540">
        <v>400</v>
      </c>
      <c r="G540" t="b">
        <v>1</v>
      </c>
      <c r="H540">
        <v>1</v>
      </c>
      <c r="I540">
        <v>1</v>
      </c>
      <c r="J540">
        <v>0.5</v>
      </c>
      <c r="K540" s="55">
        <f>VLOOKUP(VLOOKUP(Q540&amp;"_"&amp;R540,活动关卡!$A$60:$Z$83,2+5*S540,FALSE),'⚪设计'!$B$85:$H$114,7,FALSE)</f>
        <v>1</v>
      </c>
      <c r="L540" s="57" t="s">
        <v>2232</v>
      </c>
      <c r="M540" t="s">
        <v>468</v>
      </c>
      <c r="N540" t="s">
        <v>469</v>
      </c>
      <c r="O540" t="s">
        <v>470</v>
      </c>
      <c r="P540" s="57" t="str">
        <f>IF(VLOOKUP(D540,'⚪设计'!$C$85:$I$113,7,FALSE)="","",VLOOKUP(D540,'⚪设计'!$C$85:$I$113,7,FALSE))</f>
        <v/>
      </c>
      <c r="Q540" s="110" t="str">
        <f t="shared" si="22"/>
        <v>1</v>
      </c>
      <c r="R540" s="110" t="str">
        <f t="shared" si="23"/>
        <v>2</v>
      </c>
      <c r="S540" s="110" t="str">
        <f t="shared" si="24"/>
        <v>1</v>
      </c>
    </row>
    <row r="541" spans="2:19" x14ac:dyDescent="0.2">
      <c r="B541" s="57" t="s">
        <v>2525</v>
      </c>
      <c r="C541" s="57" t="s">
        <v>2817</v>
      </c>
      <c r="D541" s="55" t="str">
        <f>VLOOKUP(VLOOKUP(Q541&amp;"_"&amp;R541,活动关卡!$A$60:$Z$83,2+5*S541,FALSE),'⚪设计'!$B$85:$H$114,2,FALSE)</f>
        <v>ResUnit_XueRen1</v>
      </c>
      <c r="E541" s="55">
        <f>VLOOKUP(VLOOKUP(Q541&amp;"_"&amp;R541,活动关卡!$A$60:$Z$83,2+5*S541,FALSE),'⚪设计'!$B$85:$H$114,6,FALSE)*VLOOKUP(Q541&amp;"_"&amp;R541,活动关卡!$A$60:$Z$83,5,FALSE)</f>
        <v>2</v>
      </c>
      <c r="F541">
        <v>400</v>
      </c>
      <c r="G541" t="b">
        <v>1</v>
      </c>
      <c r="H541">
        <v>1</v>
      </c>
      <c r="I541">
        <v>1</v>
      </c>
      <c r="J541">
        <v>0.5</v>
      </c>
      <c r="K541" s="55">
        <f>VLOOKUP(VLOOKUP(Q541&amp;"_"&amp;R541,活动关卡!$A$60:$Z$83,2+5*S541,FALSE),'⚪设计'!$B$85:$H$114,7,FALSE)</f>
        <v>1</v>
      </c>
      <c r="L541" s="57" t="s">
        <v>2233</v>
      </c>
      <c r="M541" t="s">
        <v>468</v>
      </c>
      <c r="N541" t="s">
        <v>469</v>
      </c>
      <c r="O541" t="s">
        <v>470</v>
      </c>
      <c r="P541" s="57" t="str">
        <f>IF(VLOOKUP(D541,'⚪设计'!$C$85:$I$113,7,FALSE)="","",VLOOKUP(D541,'⚪设计'!$C$85:$I$113,7,FALSE))</f>
        <v>Skill_Monster_XueRen1,NormalAttack</v>
      </c>
      <c r="Q541" s="110" t="str">
        <f t="shared" si="22"/>
        <v>1</v>
      </c>
      <c r="R541" s="110" t="str">
        <f t="shared" si="23"/>
        <v>2</v>
      </c>
      <c r="S541" s="110" t="str">
        <f t="shared" si="24"/>
        <v>2</v>
      </c>
    </row>
    <row r="542" spans="2:19" x14ac:dyDescent="0.2">
      <c r="B542" s="57" t="s">
        <v>2526</v>
      </c>
      <c r="C542" s="57" t="s">
        <v>2818</v>
      </c>
      <c r="D542" s="55" t="str">
        <f>VLOOKUP(VLOOKUP(Q542&amp;"_"&amp;R542,活动关卡!$A$60:$Z$83,2+5*S542,FALSE),'⚪设计'!$B$85:$H$114,2,FALSE)</f>
        <v>ResUnit_MiFeng1</v>
      </c>
      <c r="E542" s="55">
        <f>VLOOKUP(VLOOKUP(Q542&amp;"_"&amp;R542,活动关卡!$A$60:$Z$83,2+5*S542,FALSE),'⚪设计'!$B$85:$H$114,6,FALSE)*VLOOKUP(Q542&amp;"_"&amp;R542,活动关卡!$A$60:$Z$83,5,FALSE)</f>
        <v>2</v>
      </c>
      <c r="F542">
        <v>400</v>
      </c>
      <c r="G542" t="b">
        <v>1</v>
      </c>
      <c r="H542">
        <v>1</v>
      </c>
      <c r="I542">
        <v>1</v>
      </c>
      <c r="J542">
        <v>0.5</v>
      </c>
      <c r="K542" s="55">
        <f>VLOOKUP(VLOOKUP(Q542&amp;"_"&amp;R542,活动关卡!$A$60:$Z$83,2+5*S542,FALSE),'⚪设计'!$B$85:$H$114,7,FALSE)</f>
        <v>1</v>
      </c>
      <c r="L542" s="57" t="s">
        <v>2234</v>
      </c>
      <c r="M542" t="s">
        <v>468</v>
      </c>
      <c r="N542" t="s">
        <v>469</v>
      </c>
      <c r="O542" t="s">
        <v>470</v>
      </c>
      <c r="P542" s="57" t="str">
        <f>IF(VLOOKUP(D542,'⚪设计'!$C$85:$I$113,7,FALSE)="","",VLOOKUP(D542,'⚪设计'!$C$85:$I$113,7,FALSE))</f>
        <v/>
      </c>
      <c r="Q542" s="110" t="str">
        <f t="shared" si="22"/>
        <v>1</v>
      </c>
      <c r="R542" s="110" t="str">
        <f t="shared" si="23"/>
        <v>3</v>
      </c>
      <c r="S542" s="110" t="str">
        <f t="shared" si="24"/>
        <v>1</v>
      </c>
    </row>
    <row r="543" spans="2:19" x14ac:dyDescent="0.2">
      <c r="B543" s="57" t="s">
        <v>2527</v>
      </c>
      <c r="C543" s="57" t="s">
        <v>2819</v>
      </c>
      <c r="D543" s="55" t="str">
        <f>VLOOKUP(VLOOKUP(Q543&amp;"_"&amp;R543,活动关卡!$A$60:$Z$83,2+5*S543,FALSE),'⚪设计'!$B$85:$H$114,2,FALSE)</f>
        <v>ResUnit_MiFeng2</v>
      </c>
      <c r="E543" s="55">
        <f>VLOOKUP(VLOOKUP(Q543&amp;"_"&amp;R543,活动关卡!$A$60:$Z$83,2+5*S543,FALSE),'⚪设计'!$B$85:$H$114,6,FALSE)*VLOOKUP(Q543&amp;"_"&amp;R543,活动关卡!$A$60:$Z$83,5,FALSE)</f>
        <v>2</v>
      </c>
      <c r="F543">
        <v>400</v>
      </c>
      <c r="G543" t="b">
        <v>1</v>
      </c>
      <c r="H543">
        <v>1</v>
      </c>
      <c r="I543">
        <v>1</v>
      </c>
      <c r="J543">
        <v>0.5</v>
      </c>
      <c r="K543" s="55">
        <f>VLOOKUP(VLOOKUP(Q543&amp;"_"&amp;R543,活动关卡!$A$60:$Z$83,2+5*S543,FALSE),'⚪设计'!$B$85:$H$114,7,FALSE)</f>
        <v>1.5</v>
      </c>
      <c r="L543" s="57" t="s">
        <v>2235</v>
      </c>
      <c r="M543" t="s">
        <v>468</v>
      </c>
      <c r="N543" t="s">
        <v>469</v>
      </c>
      <c r="O543" t="s">
        <v>470</v>
      </c>
      <c r="P543" s="57" t="str">
        <f>IF(VLOOKUP(D543,'⚪设计'!$C$85:$I$113,7,FALSE)="","",VLOOKUP(D543,'⚪设计'!$C$85:$I$113,7,FALSE))</f>
        <v/>
      </c>
      <c r="Q543" s="110" t="str">
        <f t="shared" si="22"/>
        <v>1</v>
      </c>
      <c r="R543" s="110" t="str">
        <f t="shared" si="23"/>
        <v>3</v>
      </c>
      <c r="S543" s="110" t="str">
        <f t="shared" si="24"/>
        <v>2</v>
      </c>
    </row>
    <row r="544" spans="2:19" x14ac:dyDescent="0.2">
      <c r="B544" s="57" t="s">
        <v>2528</v>
      </c>
      <c r="C544" s="57" t="s">
        <v>2820</v>
      </c>
      <c r="D544" s="55" t="str">
        <f>VLOOKUP(VLOOKUP(Q544&amp;"_"&amp;R544,活动关卡!$A$60:$Z$83,2+5*S544,FALSE),'⚪设计'!$B$85:$H$114,2,FALSE)</f>
        <v>ResUnit_XueRen1</v>
      </c>
      <c r="E544" s="55">
        <f>VLOOKUP(VLOOKUP(Q544&amp;"_"&amp;R544,活动关卡!$A$60:$Z$83,2+5*S544,FALSE),'⚪设计'!$B$85:$H$114,6,FALSE)*VLOOKUP(Q544&amp;"_"&amp;R544,活动关卡!$A$60:$Z$83,5,FALSE)</f>
        <v>2</v>
      </c>
      <c r="F544">
        <v>400</v>
      </c>
      <c r="G544" t="b">
        <v>1</v>
      </c>
      <c r="H544">
        <v>1</v>
      </c>
      <c r="I544">
        <v>1</v>
      </c>
      <c r="J544">
        <v>0.5</v>
      </c>
      <c r="K544" s="55">
        <f>VLOOKUP(VLOOKUP(Q544&amp;"_"&amp;R544,活动关卡!$A$60:$Z$83,2+5*S544,FALSE),'⚪设计'!$B$85:$H$114,7,FALSE)</f>
        <v>1</v>
      </c>
      <c r="L544" s="57" t="s">
        <v>2236</v>
      </c>
      <c r="M544" t="s">
        <v>468</v>
      </c>
      <c r="N544" t="s">
        <v>469</v>
      </c>
      <c r="O544" t="s">
        <v>470</v>
      </c>
      <c r="P544" s="57" t="str">
        <f>IF(VLOOKUP(D544,'⚪设计'!$C$85:$I$113,7,FALSE)="","",VLOOKUP(D544,'⚪设计'!$C$85:$I$113,7,FALSE))</f>
        <v>Skill_Monster_XueRen1,NormalAttack</v>
      </c>
      <c r="Q544" s="110" t="str">
        <f t="shared" si="22"/>
        <v>1</v>
      </c>
      <c r="R544" s="110" t="str">
        <f t="shared" si="23"/>
        <v>3</v>
      </c>
      <c r="S544" s="110" t="str">
        <f t="shared" si="24"/>
        <v>3</v>
      </c>
    </row>
    <row r="545" spans="2:19" x14ac:dyDescent="0.2">
      <c r="B545" s="57" t="s">
        <v>2529</v>
      </c>
      <c r="C545" s="57" t="s">
        <v>2821</v>
      </c>
      <c r="D545" s="55" t="str">
        <f>VLOOKUP(VLOOKUP(Q545&amp;"_"&amp;R545,活动关卡!$A$60:$Z$83,2+5*S545,FALSE),'⚪设计'!$B$85:$H$114,2,FALSE)</f>
        <v>ResUnit_ZhiZhu1</v>
      </c>
      <c r="E545" s="55">
        <f>VLOOKUP(VLOOKUP(Q545&amp;"_"&amp;R545,活动关卡!$A$60:$Z$83,2+5*S545,FALSE),'⚪设计'!$B$85:$H$114,6,FALSE)*VLOOKUP(Q545&amp;"_"&amp;R545,活动关卡!$A$60:$Z$83,5,FALSE)</f>
        <v>3</v>
      </c>
      <c r="F545">
        <v>400</v>
      </c>
      <c r="G545" t="b">
        <v>1</v>
      </c>
      <c r="H545">
        <v>1</v>
      </c>
      <c r="I545">
        <v>1</v>
      </c>
      <c r="J545">
        <v>0.5</v>
      </c>
      <c r="K545" s="55">
        <f>VLOOKUP(VLOOKUP(Q545&amp;"_"&amp;R545,活动关卡!$A$60:$Z$83,2+5*S545,FALSE),'⚪设计'!$B$85:$H$114,7,FALSE)</f>
        <v>1</v>
      </c>
      <c r="L545" s="57" t="s">
        <v>2237</v>
      </c>
      <c r="M545" t="s">
        <v>468</v>
      </c>
      <c r="N545" t="s">
        <v>469</v>
      </c>
      <c r="O545" t="s">
        <v>470</v>
      </c>
      <c r="P545" s="57" t="str">
        <f>IF(VLOOKUP(D545,'⚪设计'!$C$85:$I$113,7,FALSE)="","",VLOOKUP(D545,'⚪设计'!$C$85:$I$113,7,FALSE))</f>
        <v/>
      </c>
      <c r="Q545" s="110" t="str">
        <f t="shared" si="22"/>
        <v>2</v>
      </c>
      <c r="R545" s="110" t="str">
        <f t="shared" si="23"/>
        <v>1</v>
      </c>
      <c r="S545" s="110" t="str">
        <f t="shared" si="24"/>
        <v>1</v>
      </c>
    </row>
    <row r="546" spans="2:19" x14ac:dyDescent="0.2">
      <c r="B546" s="57" t="s">
        <v>2530</v>
      </c>
      <c r="C546" s="57" t="s">
        <v>2822</v>
      </c>
      <c r="D546" s="55" t="str">
        <f>VLOOKUP(VLOOKUP(Q546&amp;"_"&amp;R546,活动关卡!$A$60:$Z$83,2+5*S546,FALSE),'⚪设计'!$B$85:$H$114,2,FALSE)</f>
        <v>ResUnit_XueRen1</v>
      </c>
      <c r="E546" s="55">
        <f>VLOOKUP(VLOOKUP(Q546&amp;"_"&amp;R546,活动关卡!$A$60:$Z$83,2+5*S546,FALSE),'⚪设计'!$B$85:$H$114,6,FALSE)*VLOOKUP(Q546&amp;"_"&amp;R546,活动关卡!$A$60:$Z$83,5,FALSE)</f>
        <v>2</v>
      </c>
      <c r="F546">
        <v>400</v>
      </c>
      <c r="G546" t="b">
        <v>1</v>
      </c>
      <c r="H546">
        <v>1</v>
      </c>
      <c r="I546">
        <v>1</v>
      </c>
      <c r="J546">
        <v>0.5</v>
      </c>
      <c r="K546" s="55">
        <f>VLOOKUP(VLOOKUP(Q546&amp;"_"&amp;R546,活动关卡!$A$60:$Z$83,2+5*S546,FALSE),'⚪设计'!$B$85:$H$114,7,FALSE)</f>
        <v>1</v>
      </c>
      <c r="L546" s="57" t="s">
        <v>2238</v>
      </c>
      <c r="M546" t="s">
        <v>468</v>
      </c>
      <c r="N546" t="s">
        <v>469</v>
      </c>
      <c r="O546" t="s">
        <v>470</v>
      </c>
      <c r="P546" s="57" t="str">
        <f>IF(VLOOKUP(D546,'⚪设计'!$C$85:$I$113,7,FALSE)="","",VLOOKUP(D546,'⚪设计'!$C$85:$I$113,7,FALSE))</f>
        <v>Skill_Monster_XueRen1,NormalAttack</v>
      </c>
      <c r="Q546" s="110" t="str">
        <f t="shared" si="22"/>
        <v>2</v>
      </c>
      <c r="R546" s="110" t="str">
        <f t="shared" si="23"/>
        <v>1</v>
      </c>
      <c r="S546" s="110" t="str">
        <f t="shared" si="24"/>
        <v>2</v>
      </c>
    </row>
    <row r="547" spans="2:19" x14ac:dyDescent="0.2">
      <c r="B547" s="57" t="s">
        <v>2531</v>
      </c>
      <c r="C547" s="57" t="s">
        <v>2823</v>
      </c>
      <c r="D547" s="55" t="str">
        <f>VLOOKUP(VLOOKUP(Q547&amp;"_"&amp;R547,活动关卡!$A$60:$Z$83,2+5*S547,FALSE),'⚪设计'!$B$85:$H$114,2,FALSE)</f>
        <v>ResUnit_ZhiZhu1</v>
      </c>
      <c r="E547" s="55">
        <f>VLOOKUP(VLOOKUP(Q547&amp;"_"&amp;R547,活动关卡!$A$60:$Z$83,2+5*S547,FALSE),'⚪设计'!$B$85:$H$114,6,FALSE)*VLOOKUP(Q547&amp;"_"&amp;R547,活动关卡!$A$60:$Z$83,5,FALSE)</f>
        <v>3</v>
      </c>
      <c r="F547">
        <v>400</v>
      </c>
      <c r="G547" t="b">
        <v>1</v>
      </c>
      <c r="H547">
        <v>1</v>
      </c>
      <c r="I547">
        <v>1</v>
      </c>
      <c r="J547">
        <v>0.5</v>
      </c>
      <c r="K547" s="55">
        <f>VLOOKUP(VLOOKUP(Q547&amp;"_"&amp;R547,活动关卡!$A$60:$Z$83,2+5*S547,FALSE),'⚪设计'!$B$85:$H$114,7,FALSE)</f>
        <v>1</v>
      </c>
      <c r="L547" s="57" t="s">
        <v>2239</v>
      </c>
      <c r="M547" t="s">
        <v>468</v>
      </c>
      <c r="N547" t="s">
        <v>469</v>
      </c>
      <c r="O547" t="s">
        <v>470</v>
      </c>
      <c r="P547" s="57" t="str">
        <f>IF(VLOOKUP(D547,'⚪设计'!$C$85:$I$113,7,FALSE)="","",VLOOKUP(D547,'⚪设计'!$C$85:$I$113,7,FALSE))</f>
        <v/>
      </c>
      <c r="Q547" s="110" t="str">
        <f t="shared" si="22"/>
        <v>2</v>
      </c>
      <c r="R547" s="110" t="str">
        <f t="shared" si="23"/>
        <v>2</v>
      </c>
      <c r="S547" s="110" t="str">
        <f t="shared" si="24"/>
        <v>1</v>
      </c>
    </row>
    <row r="548" spans="2:19" x14ac:dyDescent="0.2">
      <c r="B548" s="57" t="s">
        <v>2532</v>
      </c>
      <c r="C548" s="57" t="s">
        <v>2824</v>
      </c>
      <c r="D548" s="55" t="str">
        <f>VLOOKUP(VLOOKUP(Q548&amp;"_"&amp;R548,活动关卡!$A$60:$Z$83,2+5*S548,FALSE),'⚪设计'!$B$85:$H$114,2,FALSE)</f>
        <v>ResUnit_MiFeng2</v>
      </c>
      <c r="E548" s="55">
        <f>VLOOKUP(VLOOKUP(Q548&amp;"_"&amp;R548,活动关卡!$A$60:$Z$83,2+5*S548,FALSE),'⚪设计'!$B$85:$H$114,6,FALSE)*VLOOKUP(Q548&amp;"_"&amp;R548,活动关卡!$A$60:$Z$83,5,FALSE)</f>
        <v>2</v>
      </c>
      <c r="F548">
        <v>400</v>
      </c>
      <c r="G548" t="b">
        <v>1</v>
      </c>
      <c r="H548">
        <v>1</v>
      </c>
      <c r="I548">
        <v>1</v>
      </c>
      <c r="J548">
        <v>0.5</v>
      </c>
      <c r="K548" s="55">
        <f>VLOOKUP(VLOOKUP(Q548&amp;"_"&amp;R548,活动关卡!$A$60:$Z$83,2+5*S548,FALSE),'⚪设计'!$B$85:$H$114,7,FALSE)</f>
        <v>1.5</v>
      </c>
      <c r="L548" s="57" t="s">
        <v>2240</v>
      </c>
      <c r="M548" t="s">
        <v>468</v>
      </c>
      <c r="N548" t="s">
        <v>469</v>
      </c>
      <c r="O548" t="s">
        <v>470</v>
      </c>
      <c r="P548" s="57" t="str">
        <f>IF(VLOOKUP(D548,'⚪设计'!$C$85:$I$113,7,FALSE)="","",VLOOKUP(D548,'⚪设计'!$C$85:$I$113,7,FALSE))</f>
        <v/>
      </c>
      <c r="Q548" s="110" t="str">
        <f t="shared" si="22"/>
        <v>2</v>
      </c>
      <c r="R548" s="110" t="str">
        <f t="shared" si="23"/>
        <v>2</v>
      </c>
      <c r="S548" s="110" t="str">
        <f t="shared" si="24"/>
        <v>2</v>
      </c>
    </row>
    <row r="549" spans="2:19" x14ac:dyDescent="0.2">
      <c r="B549" s="57" t="s">
        <v>2533</v>
      </c>
      <c r="C549" s="57" t="s">
        <v>2825</v>
      </c>
      <c r="D549" s="55" t="str">
        <f>VLOOKUP(VLOOKUP(Q549&amp;"_"&amp;R549,活动关卡!$A$60:$Z$83,2+5*S549,FALSE),'⚪设计'!$B$85:$H$114,2,FALSE)</f>
        <v>ResUnit_XueRen1</v>
      </c>
      <c r="E549" s="55">
        <f>VLOOKUP(VLOOKUP(Q549&amp;"_"&amp;R549,活动关卡!$A$60:$Z$83,2+5*S549,FALSE),'⚪设计'!$B$85:$H$114,6,FALSE)*VLOOKUP(Q549&amp;"_"&amp;R549,活动关卡!$A$60:$Z$83,5,FALSE)</f>
        <v>2</v>
      </c>
      <c r="F549">
        <v>400</v>
      </c>
      <c r="G549" t="b">
        <v>1</v>
      </c>
      <c r="H549">
        <v>1</v>
      </c>
      <c r="I549">
        <v>1</v>
      </c>
      <c r="J549">
        <v>0.5</v>
      </c>
      <c r="K549" s="55">
        <f>VLOOKUP(VLOOKUP(Q549&amp;"_"&amp;R549,活动关卡!$A$60:$Z$83,2+5*S549,FALSE),'⚪设计'!$B$85:$H$114,7,FALSE)</f>
        <v>1</v>
      </c>
      <c r="L549" s="57" t="s">
        <v>2241</v>
      </c>
      <c r="M549" t="s">
        <v>468</v>
      </c>
      <c r="N549" t="s">
        <v>469</v>
      </c>
      <c r="O549" t="s">
        <v>470</v>
      </c>
      <c r="P549" s="57" t="str">
        <f>IF(VLOOKUP(D549,'⚪设计'!$C$85:$I$113,7,FALSE)="","",VLOOKUP(D549,'⚪设计'!$C$85:$I$113,7,FALSE))</f>
        <v>Skill_Monster_XueRen1,NormalAttack</v>
      </c>
      <c r="Q549" s="110" t="str">
        <f t="shared" si="22"/>
        <v>2</v>
      </c>
      <c r="R549" s="110" t="str">
        <f t="shared" si="23"/>
        <v>2</v>
      </c>
      <c r="S549" s="110" t="str">
        <f t="shared" si="24"/>
        <v>3</v>
      </c>
    </row>
    <row r="550" spans="2:19" x14ac:dyDescent="0.2">
      <c r="B550" s="57" t="s">
        <v>2534</v>
      </c>
      <c r="C550" s="57" t="s">
        <v>2826</v>
      </c>
      <c r="D550" s="55" t="str">
        <f>VLOOKUP(VLOOKUP(Q550&amp;"_"&amp;R550,活动关卡!$A$60:$Z$83,2+5*S550,FALSE),'⚪设计'!$B$85:$H$114,2,FALSE)</f>
        <v>ResUnit_ZhiZhu1</v>
      </c>
      <c r="E550" s="55">
        <f>VLOOKUP(VLOOKUP(Q550&amp;"_"&amp;R550,活动关卡!$A$60:$Z$83,2+5*S550,FALSE),'⚪设计'!$B$85:$H$114,6,FALSE)*VLOOKUP(Q550&amp;"_"&amp;R550,活动关卡!$A$60:$Z$83,5,FALSE)</f>
        <v>3</v>
      </c>
      <c r="F550">
        <v>400</v>
      </c>
      <c r="G550" t="b">
        <v>1</v>
      </c>
      <c r="H550">
        <v>1</v>
      </c>
      <c r="I550">
        <v>1</v>
      </c>
      <c r="J550">
        <v>0.5</v>
      </c>
      <c r="K550" s="55">
        <f>VLOOKUP(VLOOKUP(Q550&amp;"_"&amp;R550,活动关卡!$A$60:$Z$83,2+5*S550,FALSE),'⚪设计'!$B$85:$H$114,7,FALSE)</f>
        <v>1</v>
      </c>
      <c r="L550" s="57" t="s">
        <v>2242</v>
      </c>
      <c r="M550" t="s">
        <v>468</v>
      </c>
      <c r="N550" t="s">
        <v>469</v>
      </c>
      <c r="O550" t="s">
        <v>470</v>
      </c>
      <c r="P550" s="57" t="str">
        <f>IF(VLOOKUP(D550,'⚪设计'!$C$85:$I$113,7,FALSE)="","",VLOOKUP(D550,'⚪设计'!$C$85:$I$113,7,FALSE))</f>
        <v/>
      </c>
      <c r="Q550" s="110" t="str">
        <f t="shared" si="22"/>
        <v>2</v>
      </c>
      <c r="R550" s="110" t="str">
        <f t="shared" si="23"/>
        <v>3</v>
      </c>
      <c r="S550" s="110" t="str">
        <f t="shared" si="24"/>
        <v>1</v>
      </c>
    </row>
    <row r="551" spans="2:19" x14ac:dyDescent="0.2">
      <c r="B551" s="57" t="s">
        <v>2535</v>
      </c>
      <c r="C551" s="57" t="s">
        <v>2827</v>
      </c>
      <c r="D551" s="55" t="str">
        <f>VLOOKUP(VLOOKUP(Q551&amp;"_"&amp;R551,活动关卡!$A$60:$Z$83,2+5*S551,FALSE),'⚪设计'!$B$85:$H$114,2,FALSE)</f>
        <v>ResUnit_BianFu1</v>
      </c>
      <c r="E551" s="55">
        <f>VLOOKUP(VLOOKUP(Q551&amp;"_"&amp;R551,活动关卡!$A$60:$Z$83,2+5*S551,FALSE),'⚪设计'!$B$85:$H$114,6,FALSE)*VLOOKUP(Q551&amp;"_"&amp;R551,活动关卡!$A$60:$Z$83,5,FALSE)</f>
        <v>2</v>
      </c>
      <c r="F551">
        <v>400</v>
      </c>
      <c r="G551" t="b">
        <v>1</v>
      </c>
      <c r="H551">
        <v>1</v>
      </c>
      <c r="I551">
        <v>1</v>
      </c>
      <c r="J551">
        <v>0.5</v>
      </c>
      <c r="K551" s="55">
        <f>VLOOKUP(VLOOKUP(Q551&amp;"_"&amp;R551,活动关卡!$A$60:$Z$83,2+5*S551,FALSE),'⚪设计'!$B$85:$H$114,7,FALSE)</f>
        <v>1</v>
      </c>
      <c r="L551" s="57" t="s">
        <v>2243</v>
      </c>
      <c r="M551" t="s">
        <v>468</v>
      </c>
      <c r="N551" t="s">
        <v>469</v>
      </c>
      <c r="O551" t="s">
        <v>470</v>
      </c>
      <c r="P551" s="57" t="str">
        <f>IF(VLOOKUP(D551,'⚪设计'!$C$85:$I$113,7,FALSE)="","",VLOOKUP(D551,'⚪设计'!$C$85:$I$113,7,FALSE))</f>
        <v/>
      </c>
      <c r="Q551" s="110" t="str">
        <f t="shared" si="22"/>
        <v>2</v>
      </c>
      <c r="R551" s="110" t="str">
        <f t="shared" si="23"/>
        <v>3</v>
      </c>
      <c r="S551" s="110" t="str">
        <f t="shared" si="24"/>
        <v>2</v>
      </c>
    </row>
    <row r="552" spans="2:19" x14ac:dyDescent="0.2">
      <c r="B552" s="57" t="s">
        <v>2536</v>
      </c>
      <c r="C552" s="57" t="s">
        <v>2828</v>
      </c>
      <c r="D552" s="55" t="str">
        <f>VLOOKUP(VLOOKUP(Q552&amp;"_"&amp;R552,活动关卡!$A$60:$Z$83,2+5*S552,FALSE),'⚪设计'!$B$85:$H$114,2,FALSE)</f>
        <v>ResUnit_XueRen1</v>
      </c>
      <c r="E552" s="55">
        <f>VLOOKUP(VLOOKUP(Q552&amp;"_"&amp;R552,活动关卡!$A$60:$Z$83,2+5*S552,FALSE),'⚪设计'!$B$85:$H$114,6,FALSE)*VLOOKUP(Q552&amp;"_"&amp;R552,活动关卡!$A$60:$Z$83,5,FALSE)</f>
        <v>2</v>
      </c>
      <c r="F552">
        <v>400</v>
      </c>
      <c r="G552" t="b">
        <v>1</v>
      </c>
      <c r="H552">
        <v>1</v>
      </c>
      <c r="I552">
        <v>1</v>
      </c>
      <c r="J552">
        <v>0.5</v>
      </c>
      <c r="K552" s="55">
        <f>VLOOKUP(VLOOKUP(Q552&amp;"_"&amp;R552,活动关卡!$A$60:$Z$83,2+5*S552,FALSE),'⚪设计'!$B$85:$H$114,7,FALSE)</f>
        <v>1</v>
      </c>
      <c r="L552" s="57" t="s">
        <v>2244</v>
      </c>
      <c r="M552" t="s">
        <v>468</v>
      </c>
      <c r="N552" t="s">
        <v>469</v>
      </c>
      <c r="O552" t="s">
        <v>470</v>
      </c>
      <c r="P552" s="57" t="str">
        <f>IF(VLOOKUP(D552,'⚪设计'!$C$85:$I$113,7,FALSE)="","",VLOOKUP(D552,'⚪设计'!$C$85:$I$113,7,FALSE))</f>
        <v>Skill_Monster_XueRen1,NormalAttack</v>
      </c>
      <c r="Q552" s="110" t="str">
        <f t="shared" si="22"/>
        <v>2</v>
      </c>
      <c r="R552" s="110" t="str">
        <f t="shared" si="23"/>
        <v>3</v>
      </c>
      <c r="S552" s="110" t="str">
        <f t="shared" si="24"/>
        <v>3</v>
      </c>
    </row>
    <row r="553" spans="2:19" x14ac:dyDescent="0.2">
      <c r="B553" s="57" t="s">
        <v>2537</v>
      </c>
      <c r="C553" s="57" t="s">
        <v>2829</v>
      </c>
      <c r="D553" s="55" t="str">
        <f>VLOOKUP(VLOOKUP(Q553&amp;"_"&amp;R553,活动关卡!$A$60:$Z$83,2+5*S553,FALSE),'⚪设计'!$B$85:$H$114,2,FALSE)</f>
        <v>ResUnit_ZhiZhu1</v>
      </c>
      <c r="E553" s="55">
        <f>VLOOKUP(VLOOKUP(Q553&amp;"_"&amp;R553,活动关卡!$A$60:$Z$83,2+5*S553,FALSE),'⚪设计'!$B$85:$H$114,6,FALSE)*VLOOKUP(Q553&amp;"_"&amp;R553,活动关卡!$A$60:$Z$83,5,FALSE)</f>
        <v>3</v>
      </c>
      <c r="F553">
        <v>400</v>
      </c>
      <c r="G553" t="b">
        <v>1</v>
      </c>
      <c r="H553">
        <v>1</v>
      </c>
      <c r="I553">
        <v>1</v>
      </c>
      <c r="J553">
        <v>0.5</v>
      </c>
      <c r="K553" s="55">
        <f>VLOOKUP(VLOOKUP(Q553&amp;"_"&amp;R553,活动关卡!$A$60:$Z$83,2+5*S553,FALSE),'⚪设计'!$B$85:$H$114,7,FALSE)</f>
        <v>1</v>
      </c>
      <c r="L553" s="57" t="s">
        <v>2245</v>
      </c>
      <c r="M553" t="s">
        <v>468</v>
      </c>
      <c r="N553" t="s">
        <v>469</v>
      </c>
      <c r="O553" t="s">
        <v>470</v>
      </c>
      <c r="P553" s="57" t="str">
        <f>IF(VLOOKUP(D553,'⚪设计'!$C$85:$I$113,7,FALSE)="","",VLOOKUP(D553,'⚪设计'!$C$85:$I$113,7,FALSE))</f>
        <v/>
      </c>
      <c r="Q553" s="110" t="str">
        <f t="shared" si="22"/>
        <v>2</v>
      </c>
      <c r="R553" s="110" t="str">
        <f t="shared" si="23"/>
        <v>4</v>
      </c>
      <c r="S553" s="110" t="str">
        <f t="shared" si="24"/>
        <v>1</v>
      </c>
    </row>
    <row r="554" spans="2:19" x14ac:dyDescent="0.2">
      <c r="B554" s="57" t="s">
        <v>2538</v>
      </c>
      <c r="C554" s="57" t="s">
        <v>2830</v>
      </c>
      <c r="D554" s="55" t="str">
        <f>VLOOKUP(VLOOKUP(Q554&amp;"_"&amp;R554,活动关卡!$A$60:$Z$83,2+5*S554,FALSE),'⚪设计'!$B$85:$H$114,2,FALSE)</f>
        <v>ResUnit_BianFu1</v>
      </c>
      <c r="E554" s="55">
        <f>VLOOKUP(VLOOKUP(Q554&amp;"_"&amp;R554,活动关卡!$A$60:$Z$83,2+5*S554,FALSE),'⚪设计'!$B$85:$H$114,6,FALSE)*VLOOKUP(Q554&amp;"_"&amp;R554,活动关卡!$A$60:$Z$83,5,FALSE)</f>
        <v>2</v>
      </c>
      <c r="F554">
        <v>400</v>
      </c>
      <c r="G554" t="b">
        <v>1</v>
      </c>
      <c r="H554">
        <v>1</v>
      </c>
      <c r="I554">
        <v>1</v>
      </c>
      <c r="J554">
        <v>0.5</v>
      </c>
      <c r="K554" s="55">
        <f>VLOOKUP(VLOOKUP(Q554&amp;"_"&amp;R554,活动关卡!$A$60:$Z$83,2+5*S554,FALSE),'⚪设计'!$B$85:$H$114,7,FALSE)</f>
        <v>1</v>
      </c>
      <c r="L554" s="57" t="s">
        <v>2246</v>
      </c>
      <c r="M554" t="s">
        <v>468</v>
      </c>
      <c r="N554" t="s">
        <v>469</v>
      </c>
      <c r="O554" t="s">
        <v>470</v>
      </c>
      <c r="P554" s="57" t="str">
        <f>IF(VLOOKUP(D554,'⚪设计'!$C$85:$I$113,7,FALSE)="","",VLOOKUP(D554,'⚪设计'!$C$85:$I$113,7,FALSE))</f>
        <v/>
      </c>
      <c r="Q554" s="110" t="str">
        <f t="shared" si="22"/>
        <v>2</v>
      </c>
      <c r="R554" s="110" t="str">
        <f t="shared" si="23"/>
        <v>4</v>
      </c>
      <c r="S554" s="110" t="str">
        <f t="shared" si="24"/>
        <v>2</v>
      </c>
    </row>
    <row r="555" spans="2:19" x14ac:dyDescent="0.2">
      <c r="B555" s="57" t="s">
        <v>2539</v>
      </c>
      <c r="C555" s="57" t="s">
        <v>2831</v>
      </c>
      <c r="D555" s="55" t="str">
        <f>VLOOKUP(VLOOKUP(Q555&amp;"_"&amp;R555,活动关卡!$A$60:$Z$83,2+5*S555,FALSE),'⚪设计'!$B$85:$H$114,2,FALSE)</f>
        <v>ResUnit_MiFeng2</v>
      </c>
      <c r="E555" s="55">
        <f>VLOOKUP(VLOOKUP(Q555&amp;"_"&amp;R555,活动关卡!$A$60:$Z$83,2+5*S555,FALSE),'⚪设计'!$B$85:$H$114,6,FALSE)*VLOOKUP(Q555&amp;"_"&amp;R555,活动关卡!$A$60:$Z$83,5,FALSE)</f>
        <v>2</v>
      </c>
      <c r="F555">
        <v>400</v>
      </c>
      <c r="G555" t="b">
        <v>1</v>
      </c>
      <c r="H555">
        <v>1</v>
      </c>
      <c r="I555">
        <v>1</v>
      </c>
      <c r="J555">
        <v>0.5</v>
      </c>
      <c r="K555" s="55">
        <f>VLOOKUP(VLOOKUP(Q555&amp;"_"&amp;R555,活动关卡!$A$60:$Z$83,2+5*S555,FALSE),'⚪设计'!$B$85:$H$114,7,FALSE)</f>
        <v>1.5</v>
      </c>
      <c r="L555" s="57" t="s">
        <v>2247</v>
      </c>
      <c r="M555" t="s">
        <v>468</v>
      </c>
      <c r="N555" t="s">
        <v>469</v>
      </c>
      <c r="O555" t="s">
        <v>470</v>
      </c>
      <c r="P555" s="57" t="str">
        <f>IF(VLOOKUP(D555,'⚪设计'!$C$85:$I$113,7,FALSE)="","",VLOOKUP(D555,'⚪设计'!$C$85:$I$113,7,FALSE))</f>
        <v/>
      </c>
      <c r="Q555" s="110" t="str">
        <f t="shared" si="22"/>
        <v>2</v>
      </c>
      <c r="R555" s="110" t="str">
        <f t="shared" si="23"/>
        <v>4</v>
      </c>
      <c r="S555" s="110" t="str">
        <f t="shared" si="24"/>
        <v>3</v>
      </c>
    </row>
    <row r="556" spans="2:19" x14ac:dyDescent="0.2">
      <c r="B556" s="57" t="s">
        <v>2540</v>
      </c>
      <c r="C556" s="57" t="s">
        <v>2832</v>
      </c>
      <c r="D556" s="55" t="str">
        <f>VLOOKUP(VLOOKUP(Q556&amp;"_"&amp;R556,活动关卡!$A$60:$Z$83,2+5*S556,FALSE),'⚪设计'!$B$85:$H$114,2,FALSE)</f>
        <v>ResUnit_XueRen1</v>
      </c>
      <c r="E556" s="55">
        <f>VLOOKUP(VLOOKUP(Q556&amp;"_"&amp;R556,活动关卡!$A$60:$Z$83,2+5*S556,FALSE),'⚪设计'!$B$85:$H$114,6,FALSE)*VLOOKUP(Q556&amp;"_"&amp;R556,活动关卡!$A$60:$Z$83,5,FALSE)</f>
        <v>2</v>
      </c>
      <c r="F556">
        <v>400</v>
      </c>
      <c r="G556" t="b">
        <v>1</v>
      </c>
      <c r="H556">
        <v>1</v>
      </c>
      <c r="I556">
        <v>1</v>
      </c>
      <c r="J556">
        <v>0.5</v>
      </c>
      <c r="K556" s="55">
        <f>VLOOKUP(VLOOKUP(Q556&amp;"_"&amp;R556,活动关卡!$A$60:$Z$83,2+5*S556,FALSE),'⚪设计'!$B$85:$H$114,7,FALSE)</f>
        <v>1</v>
      </c>
      <c r="L556" s="57" t="s">
        <v>2248</v>
      </c>
      <c r="M556" t="s">
        <v>468</v>
      </c>
      <c r="N556" t="s">
        <v>469</v>
      </c>
      <c r="O556" t="s">
        <v>470</v>
      </c>
      <c r="P556" s="57" t="str">
        <f>IF(VLOOKUP(D556,'⚪设计'!$C$85:$I$113,7,FALSE)="","",VLOOKUP(D556,'⚪设计'!$C$85:$I$113,7,FALSE))</f>
        <v>Skill_Monster_XueRen1,NormalAttack</v>
      </c>
      <c r="Q556" s="110" t="str">
        <f t="shared" si="22"/>
        <v>2</v>
      </c>
      <c r="R556" s="110" t="str">
        <f t="shared" si="23"/>
        <v>4</v>
      </c>
      <c r="S556" s="110" t="str">
        <f t="shared" si="24"/>
        <v>4</v>
      </c>
    </row>
    <row r="557" spans="2:19" x14ac:dyDescent="0.2">
      <c r="B557" s="57" t="s">
        <v>2541</v>
      </c>
      <c r="C557" s="57" t="s">
        <v>2833</v>
      </c>
      <c r="D557" s="55" t="str">
        <f>VLOOKUP(VLOOKUP(Q557&amp;"_"&amp;R557,活动关卡!$A$60:$Z$83,2+5*S557,FALSE),'⚪设计'!$B$85:$H$114,2,FALSE)</f>
        <v>ResUnit_ZhiZhu1</v>
      </c>
      <c r="E557" s="55">
        <f>VLOOKUP(VLOOKUP(Q557&amp;"_"&amp;R557,活动关卡!$A$60:$Z$83,2+5*S557,FALSE),'⚪设计'!$B$85:$H$114,6,FALSE)*VLOOKUP(Q557&amp;"_"&amp;R557,活动关卡!$A$60:$Z$83,5,FALSE)</f>
        <v>3</v>
      </c>
      <c r="F557">
        <v>400</v>
      </c>
      <c r="G557" t="b">
        <v>1</v>
      </c>
      <c r="H557">
        <v>1</v>
      </c>
      <c r="I557">
        <v>1</v>
      </c>
      <c r="J557">
        <v>0.5</v>
      </c>
      <c r="K557" s="55">
        <f>VLOOKUP(VLOOKUP(Q557&amp;"_"&amp;R557,活动关卡!$A$60:$Z$83,2+5*S557,FALSE),'⚪设计'!$B$85:$H$114,7,FALSE)</f>
        <v>1</v>
      </c>
      <c r="L557" s="57" t="s">
        <v>2249</v>
      </c>
      <c r="M557" t="s">
        <v>468</v>
      </c>
      <c r="N557" t="s">
        <v>469</v>
      </c>
      <c r="O557" t="s">
        <v>470</v>
      </c>
      <c r="P557" s="57" t="str">
        <f>IF(VLOOKUP(D557,'⚪设计'!$C$85:$I$113,7,FALSE)="","",VLOOKUP(D557,'⚪设计'!$C$85:$I$113,7,FALSE))</f>
        <v/>
      </c>
      <c r="Q557" s="110" t="str">
        <f t="shared" si="22"/>
        <v>2</v>
      </c>
      <c r="R557" s="110" t="str">
        <f t="shared" si="23"/>
        <v>5</v>
      </c>
      <c r="S557" s="110" t="str">
        <f t="shared" si="24"/>
        <v>1</v>
      </c>
    </row>
    <row r="558" spans="2:19" x14ac:dyDescent="0.2">
      <c r="B558" s="57" t="s">
        <v>2542</v>
      </c>
      <c r="C558" s="57" t="s">
        <v>2834</v>
      </c>
      <c r="D558" s="55" t="str">
        <f>VLOOKUP(VLOOKUP(Q558&amp;"_"&amp;R558,活动关卡!$A$60:$Z$83,2+5*S558,FALSE),'⚪设计'!$B$85:$H$114,2,FALSE)</f>
        <v>ResUnit_BianFu1</v>
      </c>
      <c r="E558" s="55">
        <f>VLOOKUP(VLOOKUP(Q558&amp;"_"&amp;R558,活动关卡!$A$60:$Z$83,2+5*S558,FALSE),'⚪设计'!$B$85:$H$114,6,FALSE)*VLOOKUP(Q558&amp;"_"&amp;R558,活动关卡!$A$60:$Z$83,5,FALSE)</f>
        <v>2</v>
      </c>
      <c r="F558">
        <v>400</v>
      </c>
      <c r="G558" t="b">
        <v>1</v>
      </c>
      <c r="H558">
        <v>1</v>
      </c>
      <c r="I558">
        <v>1</v>
      </c>
      <c r="J558">
        <v>0.5</v>
      </c>
      <c r="K558" s="55">
        <f>VLOOKUP(VLOOKUP(Q558&amp;"_"&amp;R558,活动关卡!$A$60:$Z$83,2+5*S558,FALSE),'⚪设计'!$B$85:$H$114,7,FALSE)</f>
        <v>1</v>
      </c>
      <c r="L558" s="57" t="s">
        <v>2250</v>
      </c>
      <c r="M558" t="s">
        <v>468</v>
      </c>
      <c r="N558" t="s">
        <v>469</v>
      </c>
      <c r="O558" t="s">
        <v>470</v>
      </c>
      <c r="P558" s="57" t="str">
        <f>IF(VLOOKUP(D558,'⚪设计'!$C$85:$I$113,7,FALSE)="","",VLOOKUP(D558,'⚪设计'!$C$85:$I$113,7,FALSE))</f>
        <v/>
      </c>
      <c r="Q558" s="110" t="str">
        <f t="shared" si="22"/>
        <v>2</v>
      </c>
      <c r="R558" s="110" t="str">
        <f t="shared" si="23"/>
        <v>5</v>
      </c>
      <c r="S558" s="110" t="str">
        <f t="shared" si="24"/>
        <v>2</v>
      </c>
    </row>
    <row r="559" spans="2:19" x14ac:dyDescent="0.2">
      <c r="B559" s="57" t="s">
        <v>2543</v>
      </c>
      <c r="C559" s="57" t="s">
        <v>2835</v>
      </c>
      <c r="D559" s="55" t="str">
        <f>VLOOKUP(VLOOKUP(Q559&amp;"_"&amp;R559,活动关卡!$A$60:$Z$83,2+5*S559,FALSE),'⚪设计'!$B$85:$H$114,2,FALSE)</f>
        <v>ResUnit_MiFeng2</v>
      </c>
      <c r="E559" s="55">
        <f>VLOOKUP(VLOOKUP(Q559&amp;"_"&amp;R559,活动关卡!$A$60:$Z$83,2+5*S559,FALSE),'⚪设计'!$B$85:$H$114,6,FALSE)*VLOOKUP(Q559&amp;"_"&amp;R559,活动关卡!$A$60:$Z$83,5,FALSE)</f>
        <v>2</v>
      </c>
      <c r="F559">
        <v>400</v>
      </c>
      <c r="G559" t="b">
        <v>1</v>
      </c>
      <c r="H559">
        <v>1</v>
      </c>
      <c r="I559">
        <v>1</v>
      </c>
      <c r="J559">
        <v>0.5</v>
      </c>
      <c r="K559" s="55">
        <f>VLOOKUP(VLOOKUP(Q559&amp;"_"&amp;R559,活动关卡!$A$60:$Z$83,2+5*S559,FALSE),'⚪设计'!$B$85:$H$114,7,FALSE)</f>
        <v>1.5</v>
      </c>
      <c r="L559" s="57" t="s">
        <v>2251</v>
      </c>
      <c r="M559" t="s">
        <v>468</v>
      </c>
      <c r="N559" t="s">
        <v>469</v>
      </c>
      <c r="O559" t="s">
        <v>470</v>
      </c>
      <c r="P559" s="57" t="str">
        <f>IF(VLOOKUP(D559,'⚪设计'!$C$85:$I$113,7,FALSE)="","",VLOOKUP(D559,'⚪设计'!$C$85:$I$113,7,FALSE))</f>
        <v/>
      </c>
      <c r="Q559" s="110" t="str">
        <f t="shared" si="22"/>
        <v>2</v>
      </c>
      <c r="R559" s="110" t="str">
        <f t="shared" si="23"/>
        <v>5</v>
      </c>
      <c r="S559" s="110" t="str">
        <f t="shared" si="24"/>
        <v>3</v>
      </c>
    </row>
    <row r="560" spans="2:19" x14ac:dyDescent="0.2">
      <c r="B560" s="57" t="s">
        <v>2544</v>
      </c>
      <c r="C560" s="57" t="s">
        <v>2836</v>
      </c>
      <c r="D560" s="55" t="str">
        <f>VLOOKUP(VLOOKUP(Q560&amp;"_"&amp;R560,活动关卡!$A$60:$Z$83,2+5*S560,FALSE),'⚪设计'!$B$85:$H$114,2,FALSE)</f>
        <v>ResUnit_XueRen1</v>
      </c>
      <c r="E560" s="55">
        <f>VLOOKUP(VLOOKUP(Q560&amp;"_"&amp;R560,活动关卡!$A$60:$Z$83,2+5*S560,FALSE),'⚪设计'!$B$85:$H$114,6,FALSE)*VLOOKUP(Q560&amp;"_"&amp;R560,活动关卡!$A$60:$Z$83,5,FALSE)</f>
        <v>2</v>
      </c>
      <c r="F560">
        <v>400</v>
      </c>
      <c r="G560" t="b">
        <v>1</v>
      </c>
      <c r="H560">
        <v>1</v>
      </c>
      <c r="I560">
        <v>1</v>
      </c>
      <c r="J560">
        <v>0.5</v>
      </c>
      <c r="K560" s="55">
        <f>VLOOKUP(VLOOKUP(Q560&amp;"_"&amp;R560,活动关卡!$A$60:$Z$83,2+5*S560,FALSE),'⚪设计'!$B$85:$H$114,7,FALSE)</f>
        <v>1</v>
      </c>
      <c r="L560" s="57" t="s">
        <v>2252</v>
      </c>
      <c r="M560" t="s">
        <v>468</v>
      </c>
      <c r="N560" t="s">
        <v>469</v>
      </c>
      <c r="O560" t="s">
        <v>470</v>
      </c>
      <c r="P560" s="57" t="str">
        <f>IF(VLOOKUP(D560,'⚪设计'!$C$85:$I$113,7,FALSE)="","",VLOOKUP(D560,'⚪设计'!$C$85:$I$113,7,FALSE))</f>
        <v>Skill_Monster_XueRen1,NormalAttack</v>
      </c>
      <c r="Q560" s="110" t="str">
        <f t="shared" si="22"/>
        <v>2</v>
      </c>
      <c r="R560" s="110" t="str">
        <f t="shared" si="23"/>
        <v>5</v>
      </c>
      <c r="S560" s="110" t="str">
        <f t="shared" si="24"/>
        <v>4</v>
      </c>
    </row>
    <row r="561" spans="2:19" x14ac:dyDescent="0.2">
      <c r="B561" s="57" t="s">
        <v>2545</v>
      </c>
      <c r="C561" s="57" t="s">
        <v>2837</v>
      </c>
      <c r="D561" s="55" t="str">
        <f>VLOOKUP(VLOOKUP(Q561&amp;"_"&amp;R561,活动关卡!$A$60:$Z$83,2+5*S561,FALSE),'⚪设计'!$B$85:$H$114,2,FALSE)</f>
        <v>ResUnit_ZhongZi1</v>
      </c>
      <c r="E561" s="55">
        <f>VLOOKUP(VLOOKUP(Q561&amp;"_"&amp;R561,活动关卡!$A$60:$Z$83,2+5*S561,FALSE),'⚪设计'!$B$85:$H$114,6,FALSE)*VLOOKUP(Q561&amp;"_"&amp;R561,活动关卡!$A$60:$Z$83,5,FALSE)</f>
        <v>2</v>
      </c>
      <c r="F561">
        <v>400</v>
      </c>
      <c r="G561" t="b">
        <v>1</v>
      </c>
      <c r="H561">
        <v>1</v>
      </c>
      <c r="I561">
        <v>1</v>
      </c>
      <c r="J561">
        <v>0.5</v>
      </c>
      <c r="K561" s="55">
        <f>VLOOKUP(VLOOKUP(Q561&amp;"_"&amp;R561,活动关卡!$A$60:$Z$83,2+5*S561,FALSE),'⚪设计'!$B$85:$H$114,7,FALSE)</f>
        <v>1</v>
      </c>
      <c r="L561" s="57" t="s">
        <v>2253</v>
      </c>
      <c r="M561" t="s">
        <v>468</v>
      </c>
      <c r="N561" t="s">
        <v>469</v>
      </c>
      <c r="O561" t="s">
        <v>470</v>
      </c>
      <c r="P561" s="57" t="str">
        <f>IF(VLOOKUP(D561,'⚪设计'!$C$85:$I$113,7,FALSE)="","",VLOOKUP(D561,'⚪设计'!$C$85:$I$113,7,FALSE))</f>
        <v>Skill_Monster_Heal,NormalAttack</v>
      </c>
      <c r="Q561" s="110" t="str">
        <f t="shared" si="22"/>
        <v>3</v>
      </c>
      <c r="R561" s="110" t="str">
        <f t="shared" si="23"/>
        <v>1</v>
      </c>
      <c r="S561" s="110" t="str">
        <f t="shared" si="24"/>
        <v>1</v>
      </c>
    </row>
    <row r="562" spans="2:19" x14ac:dyDescent="0.2">
      <c r="B562" s="57" t="s">
        <v>2546</v>
      </c>
      <c r="C562" s="57" t="s">
        <v>2838</v>
      </c>
      <c r="D562" s="55" t="str">
        <f>VLOOKUP(VLOOKUP(Q562&amp;"_"&amp;R562,活动关卡!$A$60:$Z$83,2+5*S562,FALSE),'⚪设计'!$B$85:$H$114,2,FALSE)</f>
        <v>ResUnit_XueRen2</v>
      </c>
      <c r="E562" s="55">
        <f>VLOOKUP(VLOOKUP(Q562&amp;"_"&amp;R562,活动关卡!$A$60:$Z$83,2+5*S562,FALSE),'⚪设计'!$B$85:$H$114,6,FALSE)*VLOOKUP(Q562&amp;"_"&amp;R562,活动关卡!$A$60:$Z$83,5,FALSE)</f>
        <v>2</v>
      </c>
      <c r="F562">
        <v>400</v>
      </c>
      <c r="G562" t="b">
        <v>1</v>
      </c>
      <c r="H562">
        <v>1</v>
      </c>
      <c r="I562">
        <v>1</v>
      </c>
      <c r="J562">
        <v>0.5</v>
      </c>
      <c r="K562" s="55">
        <f>VLOOKUP(VLOOKUP(Q562&amp;"_"&amp;R562,活动关卡!$A$60:$Z$83,2+5*S562,FALSE),'⚪设计'!$B$85:$H$114,7,FALSE)</f>
        <v>1.5</v>
      </c>
      <c r="L562" s="57" t="s">
        <v>2254</v>
      </c>
      <c r="M562" t="s">
        <v>468</v>
      </c>
      <c r="N562" t="s">
        <v>469</v>
      </c>
      <c r="O562" t="s">
        <v>470</v>
      </c>
      <c r="P562" s="57" t="str">
        <f>IF(VLOOKUP(D562,'⚪设计'!$C$85:$I$113,7,FALSE)="","",VLOOKUP(D562,'⚪设计'!$C$85:$I$113,7,FALSE))</f>
        <v>Skill_Monster_XueRen2,NormalAttack</v>
      </c>
      <c r="Q562" s="110" t="str">
        <f t="shared" si="22"/>
        <v>3</v>
      </c>
      <c r="R562" s="110" t="str">
        <f t="shared" si="23"/>
        <v>1</v>
      </c>
      <c r="S562" s="110" t="str">
        <f t="shared" si="24"/>
        <v>2</v>
      </c>
    </row>
    <row r="563" spans="2:19" x14ac:dyDescent="0.2">
      <c r="B563" s="57" t="s">
        <v>2547</v>
      </c>
      <c r="C563" s="57" t="s">
        <v>2839</v>
      </c>
      <c r="D563" s="55" t="str">
        <f>VLOOKUP(VLOOKUP(Q563&amp;"_"&amp;R563,活动关卡!$A$60:$Z$83,2+5*S563,FALSE),'⚪设计'!$B$85:$H$114,2,FALSE)</f>
        <v>ResUnit_ZhongZi1</v>
      </c>
      <c r="E563" s="55">
        <f>VLOOKUP(VLOOKUP(Q563&amp;"_"&amp;R563,活动关卡!$A$60:$Z$83,2+5*S563,FALSE),'⚪设计'!$B$85:$H$114,6,FALSE)*VLOOKUP(Q563&amp;"_"&amp;R563,活动关卡!$A$60:$Z$83,5,FALSE)</f>
        <v>2</v>
      </c>
      <c r="F563">
        <v>400</v>
      </c>
      <c r="G563" t="b">
        <v>1</v>
      </c>
      <c r="H563">
        <v>1</v>
      </c>
      <c r="I563">
        <v>1</v>
      </c>
      <c r="J563">
        <v>0.5</v>
      </c>
      <c r="K563" s="55">
        <f>VLOOKUP(VLOOKUP(Q563&amp;"_"&amp;R563,活动关卡!$A$60:$Z$83,2+5*S563,FALSE),'⚪设计'!$B$85:$H$114,7,FALSE)</f>
        <v>1</v>
      </c>
      <c r="L563" s="57" t="s">
        <v>2255</v>
      </c>
      <c r="M563" t="s">
        <v>468</v>
      </c>
      <c r="N563" t="s">
        <v>469</v>
      </c>
      <c r="O563" t="s">
        <v>470</v>
      </c>
      <c r="P563" s="57" t="str">
        <f>IF(VLOOKUP(D563,'⚪设计'!$C$85:$I$113,7,FALSE)="","",VLOOKUP(D563,'⚪设计'!$C$85:$I$113,7,FALSE))</f>
        <v>Skill_Monster_Heal,NormalAttack</v>
      </c>
      <c r="Q563" s="110" t="str">
        <f t="shared" si="22"/>
        <v>3</v>
      </c>
      <c r="R563" s="110" t="str">
        <f t="shared" si="23"/>
        <v>2</v>
      </c>
      <c r="S563" s="110" t="str">
        <f t="shared" si="24"/>
        <v>1</v>
      </c>
    </row>
    <row r="564" spans="2:19" x14ac:dyDescent="0.2">
      <c r="B564" s="57" t="s">
        <v>2548</v>
      </c>
      <c r="C564" s="57" t="s">
        <v>2840</v>
      </c>
      <c r="D564" s="55" t="str">
        <f>VLOOKUP(VLOOKUP(Q564&amp;"_"&amp;R564,活动关卡!$A$60:$Z$83,2+5*S564,FALSE),'⚪设计'!$B$85:$H$114,2,FALSE)</f>
        <v>ResUnit_MiFeng2</v>
      </c>
      <c r="E564" s="55">
        <f>VLOOKUP(VLOOKUP(Q564&amp;"_"&amp;R564,活动关卡!$A$60:$Z$83,2+5*S564,FALSE),'⚪设计'!$B$85:$H$114,6,FALSE)*VLOOKUP(Q564&amp;"_"&amp;R564,活动关卡!$A$60:$Z$83,5,FALSE)</f>
        <v>2</v>
      </c>
      <c r="F564">
        <v>400</v>
      </c>
      <c r="G564" t="b">
        <v>1</v>
      </c>
      <c r="H564">
        <v>1</v>
      </c>
      <c r="I564">
        <v>1</v>
      </c>
      <c r="J564">
        <v>0.5</v>
      </c>
      <c r="K564" s="55">
        <f>VLOOKUP(VLOOKUP(Q564&amp;"_"&amp;R564,活动关卡!$A$60:$Z$83,2+5*S564,FALSE),'⚪设计'!$B$85:$H$114,7,FALSE)</f>
        <v>1.5</v>
      </c>
      <c r="L564" s="57" t="s">
        <v>2256</v>
      </c>
      <c r="M564" t="s">
        <v>468</v>
      </c>
      <c r="N564" t="s">
        <v>469</v>
      </c>
      <c r="O564" t="s">
        <v>470</v>
      </c>
      <c r="P564" s="57" t="str">
        <f>IF(VLOOKUP(D564,'⚪设计'!$C$85:$I$113,7,FALSE)="","",VLOOKUP(D564,'⚪设计'!$C$85:$I$113,7,FALSE))</f>
        <v/>
      </c>
      <c r="Q564" s="110" t="str">
        <f t="shared" si="22"/>
        <v>3</v>
      </c>
      <c r="R564" s="110" t="str">
        <f t="shared" si="23"/>
        <v>2</v>
      </c>
      <c r="S564" s="110" t="str">
        <f t="shared" si="24"/>
        <v>2</v>
      </c>
    </row>
    <row r="565" spans="2:19" x14ac:dyDescent="0.2">
      <c r="B565" s="57" t="s">
        <v>2549</v>
      </c>
      <c r="C565" s="57" t="s">
        <v>2841</v>
      </c>
      <c r="D565" s="55" t="str">
        <f>VLOOKUP(VLOOKUP(Q565&amp;"_"&amp;R565,活动关卡!$A$60:$Z$83,2+5*S565,FALSE),'⚪设计'!$B$85:$H$114,2,FALSE)</f>
        <v>ResUnit_XueRen2</v>
      </c>
      <c r="E565" s="55">
        <f>VLOOKUP(VLOOKUP(Q565&amp;"_"&amp;R565,活动关卡!$A$60:$Z$83,2+5*S565,FALSE),'⚪设计'!$B$85:$H$114,6,FALSE)*VLOOKUP(Q565&amp;"_"&amp;R565,活动关卡!$A$60:$Z$83,5,FALSE)</f>
        <v>2</v>
      </c>
      <c r="F565">
        <v>400</v>
      </c>
      <c r="G565" t="b">
        <v>1</v>
      </c>
      <c r="H565">
        <v>1</v>
      </c>
      <c r="I565">
        <v>1</v>
      </c>
      <c r="J565">
        <v>0.5</v>
      </c>
      <c r="K565" s="55">
        <f>VLOOKUP(VLOOKUP(Q565&amp;"_"&amp;R565,活动关卡!$A$60:$Z$83,2+5*S565,FALSE),'⚪设计'!$B$85:$H$114,7,FALSE)</f>
        <v>1.5</v>
      </c>
      <c r="L565" s="57" t="s">
        <v>2257</v>
      </c>
      <c r="M565" t="s">
        <v>468</v>
      </c>
      <c r="N565" t="s">
        <v>469</v>
      </c>
      <c r="O565" t="s">
        <v>470</v>
      </c>
      <c r="P565" s="57" t="str">
        <f>IF(VLOOKUP(D565,'⚪设计'!$C$85:$I$113,7,FALSE)="","",VLOOKUP(D565,'⚪设计'!$C$85:$I$113,7,FALSE))</f>
        <v>Skill_Monster_XueRen2,NormalAttack</v>
      </c>
      <c r="Q565" s="110" t="str">
        <f t="shared" si="22"/>
        <v>3</v>
      </c>
      <c r="R565" s="110" t="str">
        <f t="shared" si="23"/>
        <v>2</v>
      </c>
      <c r="S565" s="110" t="str">
        <f t="shared" si="24"/>
        <v>3</v>
      </c>
    </row>
    <row r="566" spans="2:19" x14ac:dyDescent="0.2">
      <c r="B566" s="57" t="s">
        <v>2550</v>
      </c>
      <c r="C566" s="57" t="s">
        <v>2842</v>
      </c>
      <c r="D566" s="55" t="str">
        <f>VLOOKUP(VLOOKUP(Q566&amp;"_"&amp;R566,活动关卡!$A$60:$Z$83,2+5*S566,FALSE),'⚪设计'!$B$85:$H$114,2,FALSE)</f>
        <v>ResUnit_ZhongZi1</v>
      </c>
      <c r="E566" s="55">
        <f>VLOOKUP(VLOOKUP(Q566&amp;"_"&amp;R566,活动关卡!$A$60:$Z$83,2+5*S566,FALSE),'⚪设计'!$B$85:$H$114,6,FALSE)*VLOOKUP(Q566&amp;"_"&amp;R566,活动关卡!$A$60:$Z$83,5,FALSE)</f>
        <v>2</v>
      </c>
      <c r="F566">
        <v>400</v>
      </c>
      <c r="G566" t="b">
        <v>1</v>
      </c>
      <c r="H566">
        <v>1</v>
      </c>
      <c r="I566">
        <v>1</v>
      </c>
      <c r="J566">
        <v>0.5</v>
      </c>
      <c r="K566" s="55">
        <f>VLOOKUP(VLOOKUP(Q566&amp;"_"&amp;R566,活动关卡!$A$60:$Z$83,2+5*S566,FALSE),'⚪设计'!$B$85:$H$114,7,FALSE)</f>
        <v>1</v>
      </c>
      <c r="L566" s="57" t="s">
        <v>2258</v>
      </c>
      <c r="M566" t="s">
        <v>468</v>
      </c>
      <c r="N566" t="s">
        <v>469</v>
      </c>
      <c r="O566" t="s">
        <v>470</v>
      </c>
      <c r="P566" s="57" t="str">
        <f>IF(VLOOKUP(D566,'⚪设计'!$C$85:$I$113,7,FALSE)="","",VLOOKUP(D566,'⚪设计'!$C$85:$I$113,7,FALSE))</f>
        <v>Skill_Monster_Heal,NormalAttack</v>
      </c>
      <c r="Q566" s="110" t="str">
        <f t="shared" si="22"/>
        <v>3</v>
      </c>
      <c r="R566" s="110" t="str">
        <f t="shared" si="23"/>
        <v>3</v>
      </c>
      <c r="S566" s="110" t="str">
        <f t="shared" si="24"/>
        <v>1</v>
      </c>
    </row>
    <row r="567" spans="2:19" x14ac:dyDescent="0.2">
      <c r="B567" s="57" t="s">
        <v>2551</v>
      </c>
      <c r="C567" s="57" t="s">
        <v>2843</v>
      </c>
      <c r="D567" s="55" t="str">
        <f>VLOOKUP(VLOOKUP(Q567&amp;"_"&amp;R567,活动关卡!$A$60:$Z$83,2+5*S567,FALSE),'⚪设计'!$B$85:$H$114,2,FALSE)</f>
        <v>ResUnit_BianFu1</v>
      </c>
      <c r="E567" s="55">
        <f>VLOOKUP(VLOOKUP(Q567&amp;"_"&amp;R567,活动关卡!$A$60:$Z$83,2+5*S567,FALSE),'⚪设计'!$B$85:$H$114,6,FALSE)*VLOOKUP(Q567&amp;"_"&amp;R567,活动关卡!$A$60:$Z$83,5,FALSE)</f>
        <v>2</v>
      </c>
      <c r="F567">
        <v>400</v>
      </c>
      <c r="G567" t="b">
        <v>1</v>
      </c>
      <c r="H567">
        <v>1</v>
      </c>
      <c r="I567">
        <v>1</v>
      </c>
      <c r="J567">
        <v>0.5</v>
      </c>
      <c r="K567" s="55">
        <f>VLOOKUP(VLOOKUP(Q567&amp;"_"&amp;R567,活动关卡!$A$60:$Z$83,2+5*S567,FALSE),'⚪设计'!$B$85:$H$114,7,FALSE)</f>
        <v>1</v>
      </c>
      <c r="L567" s="57" t="s">
        <v>2259</v>
      </c>
      <c r="M567" t="s">
        <v>468</v>
      </c>
      <c r="N567" t="s">
        <v>469</v>
      </c>
      <c r="O567" t="s">
        <v>470</v>
      </c>
      <c r="P567" s="57" t="str">
        <f>IF(VLOOKUP(D567,'⚪设计'!$C$85:$I$113,7,FALSE)="","",VLOOKUP(D567,'⚪设计'!$C$85:$I$113,7,FALSE))</f>
        <v/>
      </c>
      <c r="Q567" s="110" t="str">
        <f t="shared" si="22"/>
        <v>3</v>
      </c>
      <c r="R567" s="110" t="str">
        <f t="shared" si="23"/>
        <v>3</v>
      </c>
      <c r="S567" s="110" t="str">
        <f t="shared" si="24"/>
        <v>2</v>
      </c>
    </row>
    <row r="568" spans="2:19" x14ac:dyDescent="0.2">
      <c r="B568" s="57" t="s">
        <v>2552</v>
      </c>
      <c r="C568" s="57" t="s">
        <v>2844</v>
      </c>
      <c r="D568" s="55" t="str">
        <f>VLOOKUP(VLOOKUP(Q568&amp;"_"&amp;R568,活动关卡!$A$60:$Z$83,2+5*S568,FALSE),'⚪设计'!$B$85:$H$114,2,FALSE)</f>
        <v>ResUnit_XueRen2</v>
      </c>
      <c r="E568" s="55">
        <f>VLOOKUP(VLOOKUP(Q568&amp;"_"&amp;R568,活动关卡!$A$60:$Z$83,2+5*S568,FALSE),'⚪设计'!$B$85:$H$114,6,FALSE)*VLOOKUP(Q568&amp;"_"&amp;R568,活动关卡!$A$60:$Z$83,5,FALSE)</f>
        <v>2</v>
      </c>
      <c r="F568">
        <v>400</v>
      </c>
      <c r="G568" t="b">
        <v>1</v>
      </c>
      <c r="H568">
        <v>1</v>
      </c>
      <c r="I568">
        <v>1</v>
      </c>
      <c r="J568">
        <v>0.5</v>
      </c>
      <c r="K568" s="55">
        <f>VLOOKUP(VLOOKUP(Q568&amp;"_"&amp;R568,活动关卡!$A$60:$Z$83,2+5*S568,FALSE),'⚪设计'!$B$85:$H$114,7,FALSE)</f>
        <v>1.5</v>
      </c>
      <c r="L568" s="57" t="s">
        <v>2260</v>
      </c>
      <c r="M568" t="s">
        <v>468</v>
      </c>
      <c r="N568" t="s">
        <v>469</v>
      </c>
      <c r="O568" t="s">
        <v>470</v>
      </c>
      <c r="P568" s="57" t="str">
        <f>IF(VLOOKUP(D568,'⚪设计'!$C$85:$I$113,7,FALSE)="","",VLOOKUP(D568,'⚪设计'!$C$85:$I$113,7,FALSE))</f>
        <v>Skill_Monster_XueRen2,NormalAttack</v>
      </c>
      <c r="Q568" s="110" t="str">
        <f t="shared" si="22"/>
        <v>3</v>
      </c>
      <c r="R568" s="110" t="str">
        <f t="shared" si="23"/>
        <v>3</v>
      </c>
      <c r="S568" s="110" t="str">
        <f t="shared" si="24"/>
        <v>3</v>
      </c>
    </row>
    <row r="569" spans="2:19" x14ac:dyDescent="0.2">
      <c r="B569" s="57" t="s">
        <v>2553</v>
      </c>
      <c r="C569" s="57" t="s">
        <v>2845</v>
      </c>
      <c r="D569" s="55" t="str">
        <f>VLOOKUP(VLOOKUP(Q569&amp;"_"&amp;R569,活动关卡!$A$60:$Z$83,2+5*S569,FALSE),'⚪设计'!$B$85:$H$114,2,FALSE)</f>
        <v>ResUnit_Gui1</v>
      </c>
      <c r="E569" s="55">
        <f>VLOOKUP(VLOOKUP(Q569&amp;"_"&amp;R569,活动关卡!$A$60:$Z$83,2+5*S569,FALSE),'⚪设计'!$B$85:$H$114,6,FALSE)*VLOOKUP(Q569&amp;"_"&amp;R569,活动关卡!$A$60:$Z$83,5,FALSE)</f>
        <v>2</v>
      </c>
      <c r="F569">
        <v>400</v>
      </c>
      <c r="G569" t="b">
        <v>1</v>
      </c>
      <c r="H569">
        <v>1</v>
      </c>
      <c r="I569">
        <v>1</v>
      </c>
      <c r="J569">
        <v>0.5</v>
      </c>
      <c r="K569" s="55">
        <f>VLOOKUP(VLOOKUP(Q569&amp;"_"&amp;R569,活动关卡!$A$60:$Z$83,2+5*S569,FALSE),'⚪设计'!$B$85:$H$114,7,FALSE)</f>
        <v>1</v>
      </c>
      <c r="L569" s="57" t="s">
        <v>2261</v>
      </c>
      <c r="M569" t="s">
        <v>468</v>
      </c>
      <c r="N569" t="s">
        <v>469</v>
      </c>
      <c r="O569" t="s">
        <v>470</v>
      </c>
      <c r="P569" s="57" t="str">
        <f>IF(VLOOKUP(D569,'⚪设计'!$C$85:$I$113,7,FALSE)="","",VLOOKUP(D569,'⚪设计'!$C$85:$I$113,7,FALSE))</f>
        <v>Skill_Monster_Invisible,NormalAttack</v>
      </c>
      <c r="Q569" s="110" t="str">
        <f t="shared" si="22"/>
        <v>4</v>
      </c>
      <c r="R569" s="110" t="str">
        <f t="shared" si="23"/>
        <v>1</v>
      </c>
      <c r="S569" s="110" t="str">
        <f t="shared" si="24"/>
        <v>1</v>
      </c>
    </row>
    <row r="570" spans="2:19" x14ac:dyDescent="0.2">
      <c r="B570" s="57" t="s">
        <v>2554</v>
      </c>
      <c r="C570" s="57" t="s">
        <v>2846</v>
      </c>
      <c r="D570" s="55" t="str">
        <f>VLOOKUP(VLOOKUP(Q570&amp;"_"&amp;R570,活动关卡!$A$60:$Z$83,2+5*S570,FALSE),'⚪设计'!$B$85:$H$114,2,FALSE)</f>
        <v>ResUnit_XueRen2</v>
      </c>
      <c r="E570" s="55">
        <f>VLOOKUP(VLOOKUP(Q570&amp;"_"&amp;R570,活动关卡!$A$60:$Z$83,2+5*S570,FALSE),'⚪设计'!$B$85:$H$114,6,FALSE)*VLOOKUP(Q570&amp;"_"&amp;R570,活动关卡!$A$60:$Z$83,5,FALSE)</f>
        <v>2</v>
      </c>
      <c r="F570">
        <v>400</v>
      </c>
      <c r="G570" t="b">
        <v>1</v>
      </c>
      <c r="H570">
        <v>1</v>
      </c>
      <c r="I570">
        <v>1</v>
      </c>
      <c r="J570">
        <v>0.5</v>
      </c>
      <c r="K570" s="55">
        <f>VLOOKUP(VLOOKUP(Q570&amp;"_"&amp;R570,活动关卡!$A$60:$Z$83,2+5*S570,FALSE),'⚪设计'!$B$85:$H$114,7,FALSE)</f>
        <v>1.5</v>
      </c>
      <c r="L570" s="57" t="s">
        <v>2262</v>
      </c>
      <c r="M570" t="s">
        <v>468</v>
      </c>
      <c r="N570" t="s">
        <v>469</v>
      </c>
      <c r="O570" t="s">
        <v>470</v>
      </c>
      <c r="P570" s="57" t="str">
        <f>IF(VLOOKUP(D570,'⚪设计'!$C$85:$I$113,7,FALSE)="","",VLOOKUP(D570,'⚪设计'!$C$85:$I$113,7,FALSE))</f>
        <v>Skill_Monster_XueRen2,NormalAttack</v>
      </c>
      <c r="Q570" s="110" t="str">
        <f t="shared" si="22"/>
        <v>4</v>
      </c>
      <c r="R570" s="110" t="str">
        <f t="shared" si="23"/>
        <v>1</v>
      </c>
      <c r="S570" s="110" t="str">
        <f t="shared" si="24"/>
        <v>2</v>
      </c>
    </row>
    <row r="571" spans="2:19" x14ac:dyDescent="0.2">
      <c r="B571" s="57" t="s">
        <v>2555</v>
      </c>
      <c r="C571" s="57" t="s">
        <v>2847</v>
      </c>
      <c r="D571" s="55" t="str">
        <f>VLOOKUP(VLOOKUP(Q571&amp;"_"&amp;R571,活动关卡!$A$60:$Z$83,2+5*S571,FALSE),'⚪设计'!$B$85:$H$114,2,FALSE)</f>
        <v>ResUnit_Gui1</v>
      </c>
      <c r="E571" s="55">
        <f>VLOOKUP(VLOOKUP(Q571&amp;"_"&amp;R571,活动关卡!$A$60:$Z$83,2+5*S571,FALSE),'⚪设计'!$B$85:$H$114,6,FALSE)*VLOOKUP(Q571&amp;"_"&amp;R571,活动关卡!$A$60:$Z$83,5,FALSE)</f>
        <v>2</v>
      </c>
      <c r="F571">
        <v>400</v>
      </c>
      <c r="G571" t="b">
        <v>1</v>
      </c>
      <c r="H571">
        <v>1</v>
      </c>
      <c r="I571">
        <v>1</v>
      </c>
      <c r="J571">
        <v>0.5</v>
      </c>
      <c r="K571" s="55">
        <f>VLOOKUP(VLOOKUP(Q571&amp;"_"&amp;R571,活动关卡!$A$60:$Z$83,2+5*S571,FALSE),'⚪设计'!$B$85:$H$114,7,FALSE)</f>
        <v>1</v>
      </c>
      <c r="L571" s="57" t="s">
        <v>2263</v>
      </c>
      <c r="M571" t="s">
        <v>468</v>
      </c>
      <c r="N571" t="s">
        <v>469</v>
      </c>
      <c r="O571" t="s">
        <v>470</v>
      </c>
      <c r="P571" s="57" t="str">
        <f>IF(VLOOKUP(D571,'⚪设计'!$C$85:$I$113,7,FALSE)="","",VLOOKUP(D571,'⚪设计'!$C$85:$I$113,7,FALSE))</f>
        <v>Skill_Monster_Invisible,NormalAttack</v>
      </c>
      <c r="Q571" s="110" t="str">
        <f t="shared" si="22"/>
        <v>4</v>
      </c>
      <c r="R571" s="110" t="str">
        <f t="shared" si="23"/>
        <v>2</v>
      </c>
      <c r="S571" s="110" t="str">
        <f t="shared" si="24"/>
        <v>1</v>
      </c>
    </row>
    <row r="572" spans="2:19" x14ac:dyDescent="0.2">
      <c r="B572" s="57" t="s">
        <v>2556</v>
      </c>
      <c r="C572" s="57" t="s">
        <v>2848</v>
      </c>
      <c r="D572" s="55" t="str">
        <f>VLOOKUP(VLOOKUP(Q572&amp;"_"&amp;R572,活动关卡!$A$60:$Z$83,2+5*S572,FALSE),'⚪设计'!$B$85:$H$114,2,FALSE)</f>
        <v>ResUnit_MiFeng2</v>
      </c>
      <c r="E572" s="55">
        <f>VLOOKUP(VLOOKUP(Q572&amp;"_"&amp;R572,活动关卡!$A$60:$Z$83,2+5*S572,FALSE),'⚪设计'!$B$85:$H$114,6,FALSE)*VLOOKUP(Q572&amp;"_"&amp;R572,活动关卡!$A$60:$Z$83,5,FALSE)</f>
        <v>2</v>
      </c>
      <c r="F572">
        <v>400</v>
      </c>
      <c r="G572" t="b">
        <v>1</v>
      </c>
      <c r="H572">
        <v>1</v>
      </c>
      <c r="I572">
        <v>1</v>
      </c>
      <c r="J572">
        <v>0.5</v>
      </c>
      <c r="K572" s="55">
        <f>VLOOKUP(VLOOKUP(Q572&amp;"_"&amp;R572,活动关卡!$A$60:$Z$83,2+5*S572,FALSE),'⚪设计'!$B$85:$H$114,7,FALSE)</f>
        <v>1.5</v>
      </c>
      <c r="L572" s="57" t="s">
        <v>2264</v>
      </c>
      <c r="M572" t="s">
        <v>468</v>
      </c>
      <c r="N572" t="s">
        <v>469</v>
      </c>
      <c r="O572" t="s">
        <v>470</v>
      </c>
      <c r="P572" s="57" t="str">
        <f>IF(VLOOKUP(D572,'⚪设计'!$C$85:$I$113,7,FALSE)="","",VLOOKUP(D572,'⚪设计'!$C$85:$I$113,7,FALSE))</f>
        <v/>
      </c>
      <c r="Q572" s="110" t="str">
        <f t="shared" si="22"/>
        <v>4</v>
      </c>
      <c r="R572" s="110" t="str">
        <f t="shared" si="23"/>
        <v>2</v>
      </c>
      <c r="S572" s="110" t="str">
        <f t="shared" si="24"/>
        <v>2</v>
      </c>
    </row>
    <row r="573" spans="2:19" x14ac:dyDescent="0.2">
      <c r="B573" s="57" t="s">
        <v>2557</v>
      </c>
      <c r="C573" s="57" t="s">
        <v>2849</v>
      </c>
      <c r="D573" s="55" t="str">
        <f>VLOOKUP(VLOOKUP(Q573&amp;"_"&amp;R573,活动关卡!$A$60:$Z$83,2+5*S573,FALSE),'⚪设计'!$B$85:$H$114,2,FALSE)</f>
        <v>ResUnit_XueRen2</v>
      </c>
      <c r="E573" s="55">
        <f>VLOOKUP(VLOOKUP(Q573&amp;"_"&amp;R573,活动关卡!$A$60:$Z$83,2+5*S573,FALSE),'⚪设计'!$B$85:$H$114,6,FALSE)*VLOOKUP(Q573&amp;"_"&amp;R573,活动关卡!$A$60:$Z$83,5,FALSE)</f>
        <v>2</v>
      </c>
      <c r="F573">
        <v>400</v>
      </c>
      <c r="G573" t="b">
        <v>1</v>
      </c>
      <c r="H573">
        <v>1</v>
      </c>
      <c r="I573">
        <v>1</v>
      </c>
      <c r="J573">
        <v>0.5</v>
      </c>
      <c r="K573" s="55">
        <f>VLOOKUP(VLOOKUP(Q573&amp;"_"&amp;R573,活动关卡!$A$60:$Z$83,2+5*S573,FALSE),'⚪设计'!$B$85:$H$114,7,FALSE)</f>
        <v>1.5</v>
      </c>
      <c r="L573" s="57" t="s">
        <v>2265</v>
      </c>
      <c r="M573" t="s">
        <v>468</v>
      </c>
      <c r="N573" t="s">
        <v>469</v>
      </c>
      <c r="O573" t="s">
        <v>470</v>
      </c>
      <c r="P573" s="57" t="str">
        <f>IF(VLOOKUP(D573,'⚪设计'!$C$85:$I$113,7,FALSE)="","",VLOOKUP(D573,'⚪设计'!$C$85:$I$113,7,FALSE))</f>
        <v>Skill_Monster_XueRen2,NormalAttack</v>
      </c>
      <c r="Q573" s="110" t="str">
        <f t="shared" si="22"/>
        <v>4</v>
      </c>
      <c r="R573" s="110" t="str">
        <f t="shared" si="23"/>
        <v>2</v>
      </c>
      <c r="S573" s="110" t="str">
        <f t="shared" si="24"/>
        <v>3</v>
      </c>
    </row>
    <row r="574" spans="2:19" x14ac:dyDescent="0.2">
      <c r="B574" s="57" t="s">
        <v>2558</v>
      </c>
      <c r="C574" s="57" t="s">
        <v>2850</v>
      </c>
      <c r="D574" s="55" t="str">
        <f>VLOOKUP(VLOOKUP(Q574&amp;"_"&amp;R574,活动关卡!$A$60:$Z$83,2+5*S574,FALSE),'⚪设计'!$B$85:$H$114,2,FALSE)</f>
        <v>ResUnit_Gui1</v>
      </c>
      <c r="E574" s="55">
        <f>VLOOKUP(VLOOKUP(Q574&amp;"_"&amp;R574,活动关卡!$A$60:$Z$83,2+5*S574,FALSE),'⚪设计'!$B$85:$H$114,6,FALSE)*VLOOKUP(Q574&amp;"_"&amp;R574,活动关卡!$A$60:$Z$83,5,FALSE)</f>
        <v>2</v>
      </c>
      <c r="F574">
        <v>400</v>
      </c>
      <c r="G574" t="b">
        <v>1</v>
      </c>
      <c r="H574">
        <v>1</v>
      </c>
      <c r="I574">
        <v>1</v>
      </c>
      <c r="J574">
        <v>0.5</v>
      </c>
      <c r="K574" s="55">
        <f>VLOOKUP(VLOOKUP(Q574&amp;"_"&amp;R574,活动关卡!$A$60:$Z$83,2+5*S574,FALSE),'⚪设计'!$B$85:$H$114,7,FALSE)</f>
        <v>1</v>
      </c>
      <c r="L574" s="57" t="s">
        <v>2266</v>
      </c>
      <c r="M574" t="s">
        <v>468</v>
      </c>
      <c r="N574" t="s">
        <v>469</v>
      </c>
      <c r="O574" t="s">
        <v>470</v>
      </c>
      <c r="P574" s="57" t="str">
        <f>IF(VLOOKUP(D574,'⚪设计'!$C$85:$I$113,7,FALSE)="","",VLOOKUP(D574,'⚪设计'!$C$85:$I$113,7,FALSE))</f>
        <v>Skill_Monster_Invisible,NormalAttack</v>
      </c>
      <c r="Q574" s="110" t="str">
        <f t="shared" si="22"/>
        <v>4</v>
      </c>
      <c r="R574" s="110" t="str">
        <f t="shared" si="23"/>
        <v>3</v>
      </c>
      <c r="S574" s="110" t="str">
        <f t="shared" si="24"/>
        <v>1</v>
      </c>
    </row>
    <row r="575" spans="2:19" x14ac:dyDescent="0.2">
      <c r="B575" s="57" t="s">
        <v>2559</v>
      </c>
      <c r="C575" s="57" t="s">
        <v>2851</v>
      </c>
      <c r="D575" s="55" t="str">
        <f>VLOOKUP(VLOOKUP(Q575&amp;"_"&amp;R575,活动关卡!$A$60:$Z$83,2+5*S575,FALSE),'⚪设计'!$B$85:$H$114,2,FALSE)</f>
        <v>ResUnit_BianFu1</v>
      </c>
      <c r="E575" s="55">
        <f>VLOOKUP(VLOOKUP(Q575&amp;"_"&amp;R575,活动关卡!$A$60:$Z$83,2+5*S575,FALSE),'⚪设计'!$B$85:$H$114,6,FALSE)*VLOOKUP(Q575&amp;"_"&amp;R575,活动关卡!$A$60:$Z$83,5,FALSE)</f>
        <v>2</v>
      </c>
      <c r="F575">
        <v>400</v>
      </c>
      <c r="G575" t="b">
        <v>1</v>
      </c>
      <c r="H575">
        <v>1</v>
      </c>
      <c r="I575">
        <v>1</v>
      </c>
      <c r="J575">
        <v>0.5</v>
      </c>
      <c r="K575" s="55">
        <f>VLOOKUP(VLOOKUP(Q575&amp;"_"&amp;R575,活动关卡!$A$60:$Z$83,2+5*S575,FALSE),'⚪设计'!$B$85:$H$114,7,FALSE)</f>
        <v>1</v>
      </c>
      <c r="L575" s="57" t="s">
        <v>2267</v>
      </c>
      <c r="M575" t="s">
        <v>468</v>
      </c>
      <c r="N575" t="s">
        <v>469</v>
      </c>
      <c r="O575" t="s">
        <v>470</v>
      </c>
      <c r="P575" s="57" t="str">
        <f>IF(VLOOKUP(D575,'⚪设计'!$C$85:$I$113,7,FALSE)="","",VLOOKUP(D575,'⚪设计'!$C$85:$I$113,7,FALSE))</f>
        <v/>
      </c>
      <c r="Q575" s="110" t="str">
        <f t="shared" si="22"/>
        <v>4</v>
      </c>
      <c r="R575" s="110" t="str">
        <f t="shared" si="23"/>
        <v>3</v>
      </c>
      <c r="S575" s="110" t="str">
        <f t="shared" si="24"/>
        <v>2</v>
      </c>
    </row>
    <row r="576" spans="2:19" x14ac:dyDescent="0.2">
      <c r="B576" s="57" t="s">
        <v>2560</v>
      </c>
      <c r="C576" s="57" t="s">
        <v>2852</v>
      </c>
      <c r="D576" s="55" t="str">
        <f>VLOOKUP(VLOOKUP(Q576&amp;"_"&amp;R576,活动关卡!$A$60:$Z$83,2+5*S576,FALSE),'⚪设计'!$B$85:$H$114,2,FALSE)</f>
        <v>ResUnit_XueRen2</v>
      </c>
      <c r="E576" s="55">
        <f>VLOOKUP(VLOOKUP(Q576&amp;"_"&amp;R576,活动关卡!$A$60:$Z$83,2+5*S576,FALSE),'⚪设计'!$B$85:$H$114,6,FALSE)*VLOOKUP(Q576&amp;"_"&amp;R576,活动关卡!$A$60:$Z$83,5,FALSE)</f>
        <v>2</v>
      </c>
      <c r="F576">
        <v>400</v>
      </c>
      <c r="G576" t="b">
        <v>1</v>
      </c>
      <c r="H576">
        <v>1</v>
      </c>
      <c r="I576">
        <v>1</v>
      </c>
      <c r="J576">
        <v>0.5</v>
      </c>
      <c r="K576" s="55">
        <f>VLOOKUP(VLOOKUP(Q576&amp;"_"&amp;R576,活动关卡!$A$60:$Z$83,2+5*S576,FALSE),'⚪设计'!$B$85:$H$114,7,FALSE)</f>
        <v>1.5</v>
      </c>
      <c r="L576" s="57" t="s">
        <v>2268</v>
      </c>
      <c r="M576" t="s">
        <v>468</v>
      </c>
      <c r="N576" t="s">
        <v>469</v>
      </c>
      <c r="O576" t="s">
        <v>470</v>
      </c>
      <c r="P576" s="57" t="str">
        <f>IF(VLOOKUP(D576,'⚪设计'!$C$85:$I$113,7,FALSE)="","",VLOOKUP(D576,'⚪设计'!$C$85:$I$113,7,FALSE))</f>
        <v>Skill_Monster_XueRen2,NormalAttack</v>
      </c>
      <c r="Q576" s="110" t="str">
        <f t="shared" si="22"/>
        <v>4</v>
      </c>
      <c r="R576" s="110" t="str">
        <f t="shared" si="23"/>
        <v>3</v>
      </c>
      <c r="S576" s="110" t="str">
        <f t="shared" si="24"/>
        <v>3</v>
      </c>
    </row>
    <row r="577" spans="2:19" x14ac:dyDescent="0.2">
      <c r="B577" s="57" t="s">
        <v>2561</v>
      </c>
      <c r="C577" s="57" t="s">
        <v>2853</v>
      </c>
      <c r="D577" s="55" t="str">
        <f>VLOOKUP(VLOOKUP(Q577&amp;"_"&amp;R577,活动关卡!$A$60:$Z$83,2+5*S577,FALSE),'⚪设计'!$B$85:$H$114,2,FALSE)</f>
        <v>ResUnit_Gui1</v>
      </c>
      <c r="E577" s="55">
        <f>VLOOKUP(VLOOKUP(Q577&amp;"_"&amp;R577,活动关卡!$A$60:$Z$83,2+5*S577,FALSE),'⚪设计'!$B$85:$H$114,6,FALSE)*VLOOKUP(Q577&amp;"_"&amp;R577,活动关卡!$A$60:$Z$83,5,FALSE)</f>
        <v>2</v>
      </c>
      <c r="F577">
        <v>400</v>
      </c>
      <c r="G577" t="b">
        <v>1</v>
      </c>
      <c r="H577">
        <v>1</v>
      </c>
      <c r="I577">
        <v>1</v>
      </c>
      <c r="J577">
        <v>0.5</v>
      </c>
      <c r="K577" s="55">
        <f>VLOOKUP(VLOOKUP(Q577&amp;"_"&amp;R577,活动关卡!$A$60:$Z$83,2+5*S577,FALSE),'⚪设计'!$B$85:$H$114,7,FALSE)</f>
        <v>1</v>
      </c>
      <c r="L577" s="57" t="s">
        <v>2269</v>
      </c>
      <c r="M577" t="s">
        <v>468</v>
      </c>
      <c r="N577" t="s">
        <v>469</v>
      </c>
      <c r="O577" t="s">
        <v>470</v>
      </c>
      <c r="P577" s="57" t="str">
        <f>IF(VLOOKUP(D577,'⚪设计'!$C$85:$I$113,7,FALSE)="","",VLOOKUP(D577,'⚪设计'!$C$85:$I$113,7,FALSE))</f>
        <v>Skill_Monster_Invisible,NormalAttack</v>
      </c>
      <c r="Q577" s="110" t="str">
        <f t="shared" si="22"/>
        <v>4</v>
      </c>
      <c r="R577" s="110" t="str">
        <f t="shared" si="23"/>
        <v>4</v>
      </c>
      <c r="S577" s="110" t="str">
        <f t="shared" si="24"/>
        <v>1</v>
      </c>
    </row>
    <row r="578" spans="2:19" x14ac:dyDescent="0.2">
      <c r="B578" s="57" t="s">
        <v>2562</v>
      </c>
      <c r="C578" s="57" t="s">
        <v>2854</v>
      </c>
      <c r="D578" s="55" t="str">
        <f>VLOOKUP(VLOOKUP(Q578&amp;"_"&amp;R578,活动关卡!$A$60:$Z$83,2+5*S578,FALSE),'⚪设计'!$B$85:$H$114,2,FALSE)</f>
        <v>ResUnit_ZhiZhu1</v>
      </c>
      <c r="E578" s="55">
        <f>VLOOKUP(VLOOKUP(Q578&amp;"_"&amp;R578,活动关卡!$A$60:$Z$83,2+5*S578,FALSE),'⚪设计'!$B$85:$H$114,6,FALSE)*VLOOKUP(Q578&amp;"_"&amp;R578,活动关卡!$A$60:$Z$83,5,FALSE)</f>
        <v>3</v>
      </c>
      <c r="F578">
        <v>400</v>
      </c>
      <c r="G578" t="b">
        <v>1</v>
      </c>
      <c r="H578">
        <v>1</v>
      </c>
      <c r="I578">
        <v>1</v>
      </c>
      <c r="J578">
        <v>0.5</v>
      </c>
      <c r="K578" s="55">
        <f>VLOOKUP(VLOOKUP(Q578&amp;"_"&amp;R578,活动关卡!$A$60:$Z$83,2+5*S578,FALSE),'⚪设计'!$B$85:$H$114,7,FALSE)</f>
        <v>1</v>
      </c>
      <c r="L578" s="57" t="s">
        <v>2270</v>
      </c>
      <c r="M578" t="s">
        <v>468</v>
      </c>
      <c r="N578" t="s">
        <v>469</v>
      </c>
      <c r="O578" t="s">
        <v>470</v>
      </c>
      <c r="P578" s="57" t="str">
        <f>IF(VLOOKUP(D578,'⚪设计'!$C$85:$I$113,7,FALSE)="","",VLOOKUP(D578,'⚪设计'!$C$85:$I$113,7,FALSE))</f>
        <v/>
      </c>
      <c r="Q578" s="110" t="str">
        <f t="shared" si="22"/>
        <v>4</v>
      </c>
      <c r="R578" s="110" t="str">
        <f t="shared" si="23"/>
        <v>4</v>
      </c>
      <c r="S578" s="110" t="str">
        <f t="shared" si="24"/>
        <v>2</v>
      </c>
    </row>
    <row r="579" spans="2:19" x14ac:dyDescent="0.2">
      <c r="B579" s="57" t="s">
        <v>2563</v>
      </c>
      <c r="C579" s="57" t="s">
        <v>2855</v>
      </c>
      <c r="D579" s="55" t="str">
        <f>VLOOKUP(VLOOKUP(Q579&amp;"_"&amp;R579,活动关卡!$A$60:$Z$83,2+5*S579,FALSE),'⚪设计'!$B$85:$H$114,2,FALSE)</f>
        <v>ResUnit_XueRen2</v>
      </c>
      <c r="E579" s="55">
        <f>VLOOKUP(VLOOKUP(Q579&amp;"_"&amp;R579,活动关卡!$A$60:$Z$83,2+5*S579,FALSE),'⚪设计'!$B$85:$H$114,6,FALSE)*VLOOKUP(Q579&amp;"_"&amp;R579,活动关卡!$A$60:$Z$83,5,FALSE)</f>
        <v>2</v>
      </c>
      <c r="F579">
        <v>400</v>
      </c>
      <c r="G579" t="b">
        <v>1</v>
      </c>
      <c r="H579">
        <v>1</v>
      </c>
      <c r="I579">
        <v>1</v>
      </c>
      <c r="J579">
        <v>0.5</v>
      </c>
      <c r="K579" s="55">
        <f>VLOOKUP(VLOOKUP(Q579&amp;"_"&amp;R579,活动关卡!$A$60:$Z$83,2+5*S579,FALSE),'⚪设计'!$B$85:$H$114,7,FALSE)</f>
        <v>1.5</v>
      </c>
      <c r="L579" s="57" t="s">
        <v>2271</v>
      </c>
      <c r="M579" t="s">
        <v>468</v>
      </c>
      <c r="N579" t="s">
        <v>469</v>
      </c>
      <c r="O579" t="s">
        <v>470</v>
      </c>
      <c r="P579" s="57" t="str">
        <f>IF(VLOOKUP(D579,'⚪设计'!$C$85:$I$113,7,FALSE)="","",VLOOKUP(D579,'⚪设计'!$C$85:$I$113,7,FALSE))</f>
        <v>Skill_Monster_XueRen2,NormalAttack</v>
      </c>
      <c r="Q579" s="110" t="str">
        <f t="shared" si="22"/>
        <v>4</v>
      </c>
      <c r="R579" s="110" t="str">
        <f t="shared" si="23"/>
        <v>4</v>
      </c>
      <c r="S579" s="110" t="str">
        <f t="shared" si="24"/>
        <v>3</v>
      </c>
    </row>
    <row r="580" spans="2:19" x14ac:dyDescent="0.2">
      <c r="B580" s="57" t="s">
        <v>2564</v>
      </c>
      <c r="C580" s="57" t="s">
        <v>2856</v>
      </c>
      <c r="D580" s="55" t="str">
        <f>VLOOKUP(VLOOKUP(Q580&amp;"_"&amp;R580,活动关卡!$A$60:$Z$83,2+5*S580,FALSE),'⚪设计'!$B$85:$H$114,2,FALSE)</f>
        <v>ResUnit_Gui1</v>
      </c>
      <c r="E580" s="55">
        <f>VLOOKUP(VLOOKUP(Q580&amp;"_"&amp;R580,活动关卡!$A$60:$Z$83,2+5*S580,FALSE),'⚪设计'!$B$85:$H$114,6,FALSE)*VLOOKUP(Q580&amp;"_"&amp;R580,活动关卡!$A$60:$Z$83,5,FALSE)</f>
        <v>2</v>
      </c>
      <c r="F580">
        <v>400</v>
      </c>
      <c r="G580" t="b">
        <v>1</v>
      </c>
      <c r="H580">
        <v>1</v>
      </c>
      <c r="I580">
        <v>1</v>
      </c>
      <c r="J580">
        <v>0.5</v>
      </c>
      <c r="K580" s="55">
        <f>VLOOKUP(VLOOKUP(Q580&amp;"_"&amp;R580,活动关卡!$A$60:$Z$83,2+5*S580,FALSE),'⚪设计'!$B$85:$H$114,7,FALSE)</f>
        <v>1</v>
      </c>
      <c r="L580" s="57" t="s">
        <v>2272</v>
      </c>
      <c r="M580" t="s">
        <v>468</v>
      </c>
      <c r="N580" t="s">
        <v>469</v>
      </c>
      <c r="O580" t="s">
        <v>470</v>
      </c>
      <c r="P580" s="57" t="str">
        <f>IF(VLOOKUP(D580,'⚪设计'!$C$85:$I$113,7,FALSE)="","",VLOOKUP(D580,'⚪设计'!$C$85:$I$113,7,FALSE))</f>
        <v>Skill_Monster_Invisible,NormalAttack</v>
      </c>
      <c r="Q580" s="110" t="str">
        <f t="shared" si="22"/>
        <v>4</v>
      </c>
      <c r="R580" s="110" t="str">
        <f t="shared" si="23"/>
        <v>5</v>
      </c>
      <c r="S580" s="110" t="str">
        <f t="shared" si="24"/>
        <v>1</v>
      </c>
    </row>
    <row r="581" spans="2:19" x14ac:dyDescent="0.2">
      <c r="B581" s="57" t="s">
        <v>2565</v>
      </c>
      <c r="C581" s="57" t="s">
        <v>2857</v>
      </c>
      <c r="D581" s="55" t="str">
        <f>VLOOKUP(VLOOKUP(Q581&amp;"_"&amp;R581,活动关卡!$A$60:$Z$83,2+5*S581,FALSE),'⚪设计'!$B$85:$H$114,2,FALSE)</f>
        <v>ResUnit_ZhongZi1</v>
      </c>
      <c r="E581" s="55">
        <f>VLOOKUP(VLOOKUP(Q581&amp;"_"&amp;R581,活动关卡!$A$60:$Z$83,2+5*S581,FALSE),'⚪设计'!$B$85:$H$114,6,FALSE)*VLOOKUP(Q581&amp;"_"&amp;R581,活动关卡!$A$60:$Z$83,5,FALSE)</f>
        <v>2</v>
      </c>
      <c r="F581">
        <v>400</v>
      </c>
      <c r="G581" t="b">
        <v>1</v>
      </c>
      <c r="H581">
        <v>1</v>
      </c>
      <c r="I581">
        <v>1</v>
      </c>
      <c r="J581">
        <v>0.5</v>
      </c>
      <c r="K581" s="55">
        <f>VLOOKUP(VLOOKUP(Q581&amp;"_"&amp;R581,活动关卡!$A$60:$Z$83,2+5*S581,FALSE),'⚪设计'!$B$85:$H$114,7,FALSE)</f>
        <v>1</v>
      </c>
      <c r="L581" s="57" t="s">
        <v>2273</v>
      </c>
      <c r="M581" t="s">
        <v>468</v>
      </c>
      <c r="N581" t="s">
        <v>469</v>
      </c>
      <c r="O581" t="s">
        <v>470</v>
      </c>
      <c r="P581" s="57" t="str">
        <f>IF(VLOOKUP(D581,'⚪设计'!$C$85:$I$113,7,FALSE)="","",VLOOKUP(D581,'⚪设计'!$C$85:$I$113,7,FALSE))</f>
        <v>Skill_Monster_Heal,NormalAttack</v>
      </c>
      <c r="Q581" s="110" t="str">
        <f t="shared" si="22"/>
        <v>4</v>
      </c>
      <c r="R581" s="110" t="str">
        <f t="shared" si="23"/>
        <v>5</v>
      </c>
      <c r="S581" s="110" t="str">
        <f t="shared" si="24"/>
        <v>2</v>
      </c>
    </row>
    <row r="582" spans="2:19" x14ac:dyDescent="0.2">
      <c r="B582" s="57" t="s">
        <v>2566</v>
      </c>
      <c r="C582" s="57" t="s">
        <v>2858</v>
      </c>
      <c r="D582" s="55" t="str">
        <f>VLOOKUP(VLOOKUP(Q582&amp;"_"&amp;R582,活动关卡!$A$60:$Z$83,2+5*S582,FALSE),'⚪设计'!$B$85:$H$114,2,FALSE)</f>
        <v>ResUnit_XueRen2</v>
      </c>
      <c r="E582" s="55">
        <f>VLOOKUP(VLOOKUP(Q582&amp;"_"&amp;R582,活动关卡!$A$60:$Z$83,2+5*S582,FALSE),'⚪设计'!$B$85:$H$114,6,FALSE)*VLOOKUP(Q582&amp;"_"&amp;R582,活动关卡!$A$60:$Z$83,5,FALSE)</f>
        <v>2</v>
      </c>
      <c r="F582">
        <v>400</v>
      </c>
      <c r="G582" t="b">
        <v>1</v>
      </c>
      <c r="H582">
        <v>1</v>
      </c>
      <c r="I582">
        <v>1</v>
      </c>
      <c r="J582">
        <v>0.5</v>
      </c>
      <c r="K582" s="55">
        <f>VLOOKUP(VLOOKUP(Q582&amp;"_"&amp;R582,活动关卡!$A$60:$Z$83,2+5*S582,FALSE),'⚪设计'!$B$85:$H$114,7,FALSE)</f>
        <v>1.5</v>
      </c>
      <c r="L582" s="57" t="s">
        <v>2274</v>
      </c>
      <c r="M582" t="s">
        <v>468</v>
      </c>
      <c r="N582" t="s">
        <v>469</v>
      </c>
      <c r="O582" t="s">
        <v>470</v>
      </c>
      <c r="P582" s="57" t="str">
        <f>IF(VLOOKUP(D582,'⚪设计'!$C$85:$I$113,7,FALSE)="","",VLOOKUP(D582,'⚪设计'!$C$85:$I$113,7,FALSE))</f>
        <v>Skill_Monster_XueRen2,NormalAttack</v>
      </c>
      <c r="Q582" s="110" t="str">
        <f t="shared" si="22"/>
        <v>4</v>
      </c>
      <c r="R582" s="110" t="str">
        <f t="shared" si="23"/>
        <v>5</v>
      </c>
      <c r="S582" s="110" t="str">
        <f t="shared" si="24"/>
        <v>3</v>
      </c>
    </row>
    <row r="583" spans="2:19" x14ac:dyDescent="0.2">
      <c r="B583" s="57" t="s">
        <v>2567</v>
      </c>
      <c r="C583" s="57" t="s">
        <v>2859</v>
      </c>
      <c r="D583" s="55" t="str">
        <f>VLOOKUP(VLOOKUP(Q583&amp;"_"&amp;R583,活动关卡!$A$60:$Z$83,2+5*S583,FALSE),'⚪设计'!$B$85:$H$114,2,FALSE)</f>
        <v>ResUnit_Dan2</v>
      </c>
      <c r="E583" s="55">
        <f>VLOOKUP(VLOOKUP(Q583&amp;"_"&amp;R583,活动关卡!$A$60:$Z$83,2+5*S583,FALSE),'⚪设计'!$B$85:$H$114,6,FALSE)*VLOOKUP(Q583&amp;"_"&amp;R583,活动关卡!$A$60:$Z$83,5,FALSE)</f>
        <v>2</v>
      </c>
      <c r="F583">
        <v>400</v>
      </c>
      <c r="G583" t="b">
        <v>1</v>
      </c>
      <c r="H583">
        <v>1</v>
      </c>
      <c r="I583">
        <v>1</v>
      </c>
      <c r="J583">
        <v>0.5</v>
      </c>
      <c r="K583" s="55">
        <f>VLOOKUP(VLOOKUP(Q583&amp;"_"&amp;R583,活动关卡!$A$60:$Z$83,2+5*S583,FALSE),'⚪设计'!$B$85:$H$114,7,FALSE)</f>
        <v>1.5</v>
      </c>
      <c r="L583" s="57" t="s">
        <v>2275</v>
      </c>
      <c r="M583" t="s">
        <v>468</v>
      </c>
      <c r="N583" t="s">
        <v>469</v>
      </c>
      <c r="O583" t="s">
        <v>470</v>
      </c>
      <c r="P583" s="57" t="str">
        <f>IF(VLOOKUP(D583,'⚪设计'!$C$85:$I$113,7,FALSE)="","",VLOOKUP(D583,'⚪设计'!$C$85:$I$113,7,FALSE))</f>
        <v>Skill_Monster_Weaken,NormalAttack</v>
      </c>
      <c r="Q583" s="110" t="str">
        <f t="shared" ref="Q583:Q646" si="25">LEFT(RIGHT(C583,5),1)</f>
        <v>5</v>
      </c>
      <c r="R583" s="110" t="str">
        <f t="shared" ref="R583:R646" si="26">LEFT(RIGHT(C583,3),1)</f>
        <v>1</v>
      </c>
      <c r="S583" s="110" t="str">
        <f t="shared" ref="S583:S646" si="27">RIGHT(C583,1)</f>
        <v>1</v>
      </c>
    </row>
    <row r="584" spans="2:19" x14ac:dyDescent="0.2">
      <c r="B584" s="57" t="s">
        <v>2568</v>
      </c>
      <c r="C584" s="57" t="s">
        <v>2860</v>
      </c>
      <c r="D584" s="55" t="str">
        <f>VLOOKUP(VLOOKUP(Q584&amp;"_"&amp;R584,活动关卡!$A$60:$Z$83,2+5*S584,FALSE),'⚪设计'!$B$85:$H$114,2,FALSE)</f>
        <v>ResUnit_XueRen2</v>
      </c>
      <c r="E584" s="55">
        <f>VLOOKUP(VLOOKUP(Q584&amp;"_"&amp;R584,活动关卡!$A$60:$Z$83,2+5*S584,FALSE),'⚪设计'!$B$85:$H$114,6,FALSE)*VLOOKUP(Q584&amp;"_"&amp;R584,活动关卡!$A$60:$Z$83,5,FALSE)</f>
        <v>2</v>
      </c>
      <c r="F584">
        <v>400</v>
      </c>
      <c r="G584" t="b">
        <v>1</v>
      </c>
      <c r="H584">
        <v>1</v>
      </c>
      <c r="I584">
        <v>1</v>
      </c>
      <c r="J584">
        <v>0.5</v>
      </c>
      <c r="K584" s="55">
        <f>VLOOKUP(VLOOKUP(Q584&amp;"_"&amp;R584,活动关卡!$A$60:$Z$83,2+5*S584,FALSE),'⚪设计'!$B$85:$H$114,7,FALSE)</f>
        <v>1.5</v>
      </c>
      <c r="L584" s="57" t="s">
        <v>2276</v>
      </c>
      <c r="M584" t="s">
        <v>468</v>
      </c>
      <c r="N584" t="s">
        <v>469</v>
      </c>
      <c r="O584" t="s">
        <v>470</v>
      </c>
      <c r="P584" s="57" t="str">
        <f>IF(VLOOKUP(D584,'⚪设计'!$C$85:$I$113,7,FALSE)="","",VLOOKUP(D584,'⚪设计'!$C$85:$I$113,7,FALSE))</f>
        <v>Skill_Monster_XueRen2,NormalAttack</v>
      </c>
      <c r="Q584" s="110" t="str">
        <f t="shared" si="25"/>
        <v>5</v>
      </c>
      <c r="R584" s="110" t="str">
        <f t="shared" si="26"/>
        <v>1</v>
      </c>
      <c r="S584" s="110" t="str">
        <f t="shared" si="27"/>
        <v>2</v>
      </c>
    </row>
    <row r="585" spans="2:19" x14ac:dyDescent="0.2">
      <c r="B585" s="57" t="s">
        <v>2569</v>
      </c>
      <c r="C585" s="57" t="s">
        <v>2861</v>
      </c>
      <c r="D585" s="55" t="str">
        <f>VLOOKUP(VLOOKUP(Q585&amp;"_"&amp;R585,活动关卡!$A$60:$Z$83,2+5*S585,FALSE),'⚪设计'!$B$85:$H$114,2,FALSE)</f>
        <v>ResUnit_Dan2</v>
      </c>
      <c r="E585" s="55">
        <f>VLOOKUP(VLOOKUP(Q585&amp;"_"&amp;R585,活动关卡!$A$60:$Z$83,2+5*S585,FALSE),'⚪设计'!$B$85:$H$114,6,FALSE)*VLOOKUP(Q585&amp;"_"&amp;R585,活动关卡!$A$60:$Z$83,5,FALSE)</f>
        <v>2</v>
      </c>
      <c r="F585">
        <v>400</v>
      </c>
      <c r="G585" t="b">
        <v>1</v>
      </c>
      <c r="H585">
        <v>1</v>
      </c>
      <c r="I585">
        <v>1</v>
      </c>
      <c r="J585">
        <v>0.5</v>
      </c>
      <c r="K585" s="55">
        <f>VLOOKUP(VLOOKUP(Q585&amp;"_"&amp;R585,活动关卡!$A$60:$Z$83,2+5*S585,FALSE),'⚪设计'!$B$85:$H$114,7,FALSE)</f>
        <v>1.5</v>
      </c>
      <c r="L585" s="57" t="s">
        <v>2277</v>
      </c>
      <c r="M585" t="s">
        <v>468</v>
      </c>
      <c r="N585" t="s">
        <v>469</v>
      </c>
      <c r="O585" t="s">
        <v>470</v>
      </c>
      <c r="P585" s="57" t="str">
        <f>IF(VLOOKUP(D585,'⚪设计'!$C$85:$I$113,7,FALSE)="","",VLOOKUP(D585,'⚪设计'!$C$85:$I$113,7,FALSE))</f>
        <v>Skill_Monster_Weaken,NormalAttack</v>
      </c>
      <c r="Q585" s="110" t="str">
        <f t="shared" si="25"/>
        <v>5</v>
      </c>
      <c r="R585" s="110" t="str">
        <f t="shared" si="26"/>
        <v>2</v>
      </c>
      <c r="S585" s="110" t="str">
        <f t="shared" si="27"/>
        <v>1</v>
      </c>
    </row>
    <row r="586" spans="2:19" x14ac:dyDescent="0.2">
      <c r="B586" s="57" t="s">
        <v>2570</v>
      </c>
      <c r="C586" s="57" t="s">
        <v>2862</v>
      </c>
      <c r="D586" s="55" t="str">
        <f>VLOOKUP(VLOOKUP(Q586&amp;"_"&amp;R586,活动关卡!$A$60:$Z$83,2+5*S586,FALSE),'⚪设计'!$B$85:$H$114,2,FALSE)</f>
        <v>ResUnit_BianFu1</v>
      </c>
      <c r="E586" s="55">
        <f>VLOOKUP(VLOOKUP(Q586&amp;"_"&amp;R586,活动关卡!$A$60:$Z$83,2+5*S586,FALSE),'⚪设计'!$B$85:$H$114,6,FALSE)*VLOOKUP(Q586&amp;"_"&amp;R586,活动关卡!$A$60:$Z$83,5,FALSE)</f>
        <v>2</v>
      </c>
      <c r="F586">
        <v>400</v>
      </c>
      <c r="G586" t="b">
        <v>1</v>
      </c>
      <c r="H586">
        <v>1</v>
      </c>
      <c r="I586">
        <v>1</v>
      </c>
      <c r="J586">
        <v>0.5</v>
      </c>
      <c r="K586" s="55">
        <f>VLOOKUP(VLOOKUP(Q586&amp;"_"&amp;R586,活动关卡!$A$60:$Z$83,2+5*S586,FALSE),'⚪设计'!$B$85:$H$114,7,FALSE)</f>
        <v>1</v>
      </c>
      <c r="L586" s="57" t="s">
        <v>2278</v>
      </c>
      <c r="M586" t="s">
        <v>468</v>
      </c>
      <c r="N586" t="s">
        <v>469</v>
      </c>
      <c r="O586" t="s">
        <v>470</v>
      </c>
      <c r="P586" s="57" t="str">
        <f>IF(VLOOKUP(D586,'⚪设计'!$C$85:$I$113,7,FALSE)="","",VLOOKUP(D586,'⚪设计'!$C$85:$I$113,7,FALSE))</f>
        <v/>
      </c>
      <c r="Q586" s="110" t="str">
        <f t="shared" si="25"/>
        <v>5</v>
      </c>
      <c r="R586" s="110" t="str">
        <f t="shared" si="26"/>
        <v>2</v>
      </c>
      <c r="S586" s="110" t="str">
        <f t="shared" si="27"/>
        <v>2</v>
      </c>
    </row>
    <row r="587" spans="2:19" x14ac:dyDescent="0.2">
      <c r="B587" s="57" t="s">
        <v>2571</v>
      </c>
      <c r="C587" s="57" t="s">
        <v>2863</v>
      </c>
      <c r="D587" s="55" t="str">
        <f>VLOOKUP(VLOOKUP(Q587&amp;"_"&amp;R587,活动关卡!$A$60:$Z$83,2+5*S587,FALSE),'⚪设计'!$B$85:$H$114,2,FALSE)</f>
        <v>ResUnit_XueRen2</v>
      </c>
      <c r="E587" s="55">
        <f>VLOOKUP(VLOOKUP(Q587&amp;"_"&amp;R587,活动关卡!$A$60:$Z$83,2+5*S587,FALSE),'⚪设计'!$B$85:$H$114,6,FALSE)*VLOOKUP(Q587&amp;"_"&amp;R587,活动关卡!$A$60:$Z$83,5,FALSE)</f>
        <v>2</v>
      </c>
      <c r="F587">
        <v>400</v>
      </c>
      <c r="G587" t="b">
        <v>1</v>
      </c>
      <c r="H587">
        <v>1</v>
      </c>
      <c r="I587">
        <v>1</v>
      </c>
      <c r="J587">
        <v>0.5</v>
      </c>
      <c r="K587" s="55">
        <f>VLOOKUP(VLOOKUP(Q587&amp;"_"&amp;R587,活动关卡!$A$60:$Z$83,2+5*S587,FALSE),'⚪设计'!$B$85:$H$114,7,FALSE)</f>
        <v>1.5</v>
      </c>
      <c r="L587" s="57" t="s">
        <v>2279</v>
      </c>
      <c r="M587" t="s">
        <v>468</v>
      </c>
      <c r="N587" t="s">
        <v>469</v>
      </c>
      <c r="O587" t="s">
        <v>470</v>
      </c>
      <c r="P587" s="57" t="str">
        <f>IF(VLOOKUP(D587,'⚪设计'!$C$85:$I$113,7,FALSE)="","",VLOOKUP(D587,'⚪设计'!$C$85:$I$113,7,FALSE))</f>
        <v>Skill_Monster_XueRen2,NormalAttack</v>
      </c>
      <c r="Q587" s="110" t="str">
        <f t="shared" si="25"/>
        <v>5</v>
      </c>
      <c r="R587" s="110" t="str">
        <f t="shared" si="26"/>
        <v>2</v>
      </c>
      <c r="S587" s="110" t="str">
        <f t="shared" si="27"/>
        <v>3</v>
      </c>
    </row>
    <row r="588" spans="2:19" x14ac:dyDescent="0.2">
      <c r="B588" s="57" t="s">
        <v>2572</v>
      </c>
      <c r="C588" s="57" t="s">
        <v>2864</v>
      </c>
      <c r="D588" s="55" t="str">
        <f>VLOOKUP(VLOOKUP(Q588&amp;"_"&amp;R588,活动关卡!$A$60:$Z$83,2+5*S588,FALSE),'⚪设计'!$B$85:$H$114,2,FALSE)</f>
        <v>ResUnit_Dan2</v>
      </c>
      <c r="E588" s="55">
        <f>VLOOKUP(VLOOKUP(Q588&amp;"_"&amp;R588,活动关卡!$A$60:$Z$83,2+5*S588,FALSE),'⚪设计'!$B$85:$H$114,6,FALSE)*VLOOKUP(Q588&amp;"_"&amp;R588,活动关卡!$A$60:$Z$83,5,FALSE)</f>
        <v>2</v>
      </c>
      <c r="F588">
        <v>400</v>
      </c>
      <c r="G588" t="b">
        <v>1</v>
      </c>
      <c r="H588">
        <v>1</v>
      </c>
      <c r="I588">
        <v>1</v>
      </c>
      <c r="J588">
        <v>0.5</v>
      </c>
      <c r="K588" s="55">
        <f>VLOOKUP(VLOOKUP(Q588&amp;"_"&amp;R588,活动关卡!$A$60:$Z$83,2+5*S588,FALSE),'⚪设计'!$B$85:$H$114,7,FALSE)</f>
        <v>1.5</v>
      </c>
      <c r="L588" s="57" t="s">
        <v>2280</v>
      </c>
      <c r="M588" t="s">
        <v>468</v>
      </c>
      <c r="N588" t="s">
        <v>469</v>
      </c>
      <c r="O588" t="s">
        <v>470</v>
      </c>
      <c r="P588" s="57" t="str">
        <f>IF(VLOOKUP(D588,'⚪设计'!$C$85:$I$113,7,FALSE)="","",VLOOKUP(D588,'⚪设计'!$C$85:$I$113,7,FALSE))</f>
        <v>Skill_Monster_Weaken,NormalAttack</v>
      </c>
      <c r="Q588" s="110" t="str">
        <f t="shared" si="25"/>
        <v>5</v>
      </c>
      <c r="R588" s="110" t="str">
        <f t="shared" si="26"/>
        <v>3</v>
      </c>
      <c r="S588" s="110" t="str">
        <f t="shared" si="27"/>
        <v>1</v>
      </c>
    </row>
    <row r="589" spans="2:19" x14ac:dyDescent="0.2">
      <c r="B589" s="57" t="s">
        <v>2573</v>
      </c>
      <c r="C589" s="57" t="s">
        <v>2865</v>
      </c>
      <c r="D589" s="55" t="str">
        <f>VLOOKUP(VLOOKUP(Q589&amp;"_"&amp;R589,活动关卡!$A$60:$Z$83,2+5*S589,FALSE),'⚪设计'!$B$85:$H$114,2,FALSE)</f>
        <v>ResUnit_ZhiZhu1</v>
      </c>
      <c r="E589" s="55">
        <f>VLOOKUP(VLOOKUP(Q589&amp;"_"&amp;R589,活动关卡!$A$60:$Z$83,2+5*S589,FALSE),'⚪设计'!$B$85:$H$114,6,FALSE)*VLOOKUP(Q589&amp;"_"&amp;R589,活动关卡!$A$60:$Z$83,5,FALSE)</f>
        <v>3</v>
      </c>
      <c r="F589">
        <v>400</v>
      </c>
      <c r="G589" t="b">
        <v>1</v>
      </c>
      <c r="H589">
        <v>1</v>
      </c>
      <c r="I589">
        <v>1</v>
      </c>
      <c r="J589">
        <v>0.5</v>
      </c>
      <c r="K589" s="55">
        <f>VLOOKUP(VLOOKUP(Q589&amp;"_"&amp;R589,活动关卡!$A$60:$Z$83,2+5*S589,FALSE),'⚪设计'!$B$85:$H$114,7,FALSE)</f>
        <v>1</v>
      </c>
      <c r="L589" s="57" t="s">
        <v>2281</v>
      </c>
      <c r="M589" t="s">
        <v>468</v>
      </c>
      <c r="N589" t="s">
        <v>469</v>
      </c>
      <c r="O589" t="s">
        <v>470</v>
      </c>
      <c r="P589" s="57" t="str">
        <f>IF(VLOOKUP(D589,'⚪设计'!$C$85:$I$113,7,FALSE)="","",VLOOKUP(D589,'⚪设计'!$C$85:$I$113,7,FALSE))</f>
        <v/>
      </c>
      <c r="Q589" s="110" t="str">
        <f t="shared" si="25"/>
        <v>5</v>
      </c>
      <c r="R589" s="110" t="str">
        <f t="shared" si="26"/>
        <v>3</v>
      </c>
      <c r="S589" s="110" t="str">
        <f t="shared" si="27"/>
        <v>2</v>
      </c>
    </row>
    <row r="590" spans="2:19" x14ac:dyDescent="0.2">
      <c r="B590" s="57" t="s">
        <v>2574</v>
      </c>
      <c r="C590" s="57" t="s">
        <v>2866</v>
      </c>
      <c r="D590" s="55" t="str">
        <f>VLOOKUP(VLOOKUP(Q590&amp;"_"&amp;R590,活动关卡!$A$60:$Z$83,2+5*S590,FALSE),'⚪设计'!$B$85:$H$114,2,FALSE)</f>
        <v>ResUnit_Gui1</v>
      </c>
      <c r="E590" s="55">
        <f>VLOOKUP(VLOOKUP(Q590&amp;"_"&amp;R590,活动关卡!$A$60:$Z$83,2+5*S590,FALSE),'⚪设计'!$B$85:$H$114,6,FALSE)*VLOOKUP(Q590&amp;"_"&amp;R590,活动关卡!$A$60:$Z$83,5,FALSE)</f>
        <v>2</v>
      </c>
      <c r="F590">
        <v>400</v>
      </c>
      <c r="G590" t="b">
        <v>1</v>
      </c>
      <c r="H590">
        <v>1</v>
      </c>
      <c r="I590">
        <v>1</v>
      </c>
      <c r="J590">
        <v>0.5</v>
      </c>
      <c r="K590" s="55">
        <f>VLOOKUP(VLOOKUP(Q590&amp;"_"&amp;R590,活动关卡!$A$60:$Z$83,2+5*S590,FALSE),'⚪设计'!$B$85:$H$114,7,FALSE)</f>
        <v>1</v>
      </c>
      <c r="L590" s="57" t="s">
        <v>2282</v>
      </c>
      <c r="M590" t="s">
        <v>468</v>
      </c>
      <c r="N590" t="s">
        <v>469</v>
      </c>
      <c r="O590" t="s">
        <v>470</v>
      </c>
      <c r="P590" s="57" t="str">
        <f>IF(VLOOKUP(D590,'⚪设计'!$C$85:$I$113,7,FALSE)="","",VLOOKUP(D590,'⚪设计'!$C$85:$I$113,7,FALSE))</f>
        <v>Skill_Monster_Invisible,NormalAttack</v>
      </c>
      <c r="Q590" s="110" t="str">
        <f t="shared" si="25"/>
        <v>5</v>
      </c>
      <c r="R590" s="110" t="str">
        <f t="shared" si="26"/>
        <v>3</v>
      </c>
      <c r="S590" s="110" t="str">
        <f t="shared" si="27"/>
        <v>3</v>
      </c>
    </row>
    <row r="591" spans="2:19" x14ac:dyDescent="0.2">
      <c r="B591" s="57" t="s">
        <v>2575</v>
      </c>
      <c r="C591" s="57" t="s">
        <v>2867</v>
      </c>
      <c r="D591" s="55" t="str">
        <f>VLOOKUP(VLOOKUP(Q591&amp;"_"&amp;R591,活动关卡!$A$60:$Z$83,2+5*S591,FALSE),'⚪设计'!$B$85:$H$114,2,FALSE)</f>
        <v>ResUnit_XueRen2</v>
      </c>
      <c r="E591" s="55">
        <f>VLOOKUP(VLOOKUP(Q591&amp;"_"&amp;R591,活动关卡!$A$60:$Z$83,2+5*S591,FALSE),'⚪设计'!$B$85:$H$114,6,FALSE)*VLOOKUP(Q591&amp;"_"&amp;R591,活动关卡!$A$60:$Z$83,5,FALSE)</f>
        <v>2</v>
      </c>
      <c r="F591">
        <v>400</v>
      </c>
      <c r="G591" t="b">
        <v>1</v>
      </c>
      <c r="H591">
        <v>1</v>
      </c>
      <c r="I591">
        <v>1</v>
      </c>
      <c r="J591">
        <v>0.5</v>
      </c>
      <c r="K591" s="55">
        <f>VLOOKUP(VLOOKUP(Q591&amp;"_"&amp;R591,活动关卡!$A$60:$Z$83,2+5*S591,FALSE),'⚪设计'!$B$85:$H$114,7,FALSE)</f>
        <v>1.5</v>
      </c>
      <c r="L591" s="57" t="s">
        <v>2283</v>
      </c>
      <c r="M591" t="s">
        <v>468</v>
      </c>
      <c r="N591" t="s">
        <v>469</v>
      </c>
      <c r="O591" t="s">
        <v>470</v>
      </c>
      <c r="P591" s="57" t="str">
        <f>IF(VLOOKUP(D591,'⚪设计'!$C$85:$I$113,7,FALSE)="","",VLOOKUP(D591,'⚪设计'!$C$85:$I$113,7,FALSE))</f>
        <v>Skill_Monster_XueRen2,NormalAttack</v>
      </c>
      <c r="Q591" s="110" t="str">
        <f t="shared" si="25"/>
        <v>5</v>
      </c>
      <c r="R591" s="110" t="str">
        <f t="shared" si="26"/>
        <v>3</v>
      </c>
      <c r="S591" s="110" t="str">
        <f t="shared" si="27"/>
        <v>4</v>
      </c>
    </row>
    <row r="592" spans="2:19" x14ac:dyDescent="0.2">
      <c r="B592" s="57" t="s">
        <v>2576</v>
      </c>
      <c r="C592" s="57" t="s">
        <v>2868</v>
      </c>
      <c r="D592" s="55" t="str">
        <f>VLOOKUP(VLOOKUP(Q592&amp;"_"&amp;R592,活动关卡!$A$60:$Z$83,2+5*S592,FALSE),'⚪设计'!$B$85:$H$114,2,FALSE)</f>
        <v>ResUnit_Dan2</v>
      </c>
      <c r="E592" s="55">
        <f>VLOOKUP(VLOOKUP(Q592&amp;"_"&amp;R592,活动关卡!$A$60:$Z$83,2+5*S592,FALSE),'⚪设计'!$B$85:$H$114,6,FALSE)*VLOOKUP(Q592&amp;"_"&amp;R592,活动关卡!$A$60:$Z$83,5,FALSE)</f>
        <v>2</v>
      </c>
      <c r="F592">
        <v>400</v>
      </c>
      <c r="G592" t="b">
        <v>1</v>
      </c>
      <c r="H592">
        <v>1</v>
      </c>
      <c r="I592">
        <v>1</v>
      </c>
      <c r="J592">
        <v>0.5</v>
      </c>
      <c r="K592" s="55">
        <f>VLOOKUP(VLOOKUP(Q592&amp;"_"&amp;R592,活动关卡!$A$60:$Z$83,2+5*S592,FALSE),'⚪设计'!$B$85:$H$114,7,FALSE)</f>
        <v>1.5</v>
      </c>
      <c r="L592" s="57" t="s">
        <v>2284</v>
      </c>
      <c r="M592" t="s">
        <v>468</v>
      </c>
      <c r="N592" t="s">
        <v>469</v>
      </c>
      <c r="O592" t="s">
        <v>470</v>
      </c>
      <c r="P592" s="57" t="str">
        <f>IF(VLOOKUP(D592,'⚪设计'!$C$85:$I$113,7,FALSE)="","",VLOOKUP(D592,'⚪设计'!$C$85:$I$113,7,FALSE))</f>
        <v>Skill_Monster_Weaken,NormalAttack</v>
      </c>
      <c r="Q592" s="110" t="str">
        <f t="shared" si="25"/>
        <v>5</v>
      </c>
      <c r="R592" s="110" t="str">
        <f t="shared" si="26"/>
        <v>4</v>
      </c>
      <c r="S592" s="110" t="str">
        <f t="shared" si="27"/>
        <v>1</v>
      </c>
    </row>
    <row r="593" spans="2:19" x14ac:dyDescent="0.2">
      <c r="B593" s="57" t="s">
        <v>2577</v>
      </c>
      <c r="C593" s="57" t="s">
        <v>2869</v>
      </c>
      <c r="D593" s="55" t="str">
        <f>VLOOKUP(VLOOKUP(Q593&amp;"_"&amp;R593,活动关卡!$A$60:$Z$83,2+5*S593,FALSE),'⚪设计'!$B$85:$H$114,2,FALSE)</f>
        <v>ResUnit_Gui1</v>
      </c>
      <c r="E593" s="55">
        <f>VLOOKUP(VLOOKUP(Q593&amp;"_"&amp;R593,活动关卡!$A$60:$Z$83,2+5*S593,FALSE),'⚪设计'!$B$85:$H$114,6,FALSE)*VLOOKUP(Q593&amp;"_"&amp;R593,活动关卡!$A$60:$Z$83,5,FALSE)</f>
        <v>2</v>
      </c>
      <c r="F593">
        <v>400</v>
      </c>
      <c r="G593" t="b">
        <v>1</v>
      </c>
      <c r="H593">
        <v>1</v>
      </c>
      <c r="I593">
        <v>1</v>
      </c>
      <c r="J593">
        <v>0.5</v>
      </c>
      <c r="K593" s="55">
        <f>VLOOKUP(VLOOKUP(Q593&amp;"_"&amp;R593,活动关卡!$A$60:$Z$83,2+5*S593,FALSE),'⚪设计'!$B$85:$H$114,7,FALSE)</f>
        <v>1</v>
      </c>
      <c r="L593" s="57" t="s">
        <v>2285</v>
      </c>
      <c r="M593" t="s">
        <v>468</v>
      </c>
      <c r="N593" t="s">
        <v>469</v>
      </c>
      <c r="O593" t="s">
        <v>470</v>
      </c>
      <c r="P593" s="57" t="str">
        <f>IF(VLOOKUP(D593,'⚪设计'!$C$85:$I$113,7,FALSE)="","",VLOOKUP(D593,'⚪设计'!$C$85:$I$113,7,FALSE))</f>
        <v>Skill_Monster_Invisible,NormalAttack</v>
      </c>
      <c r="Q593" s="110" t="str">
        <f t="shared" si="25"/>
        <v>5</v>
      </c>
      <c r="R593" s="110" t="str">
        <f t="shared" si="26"/>
        <v>4</v>
      </c>
      <c r="S593" s="110" t="str">
        <f t="shared" si="27"/>
        <v>2</v>
      </c>
    </row>
    <row r="594" spans="2:19" x14ac:dyDescent="0.2">
      <c r="B594" s="57" t="s">
        <v>2578</v>
      </c>
      <c r="C594" s="57" t="s">
        <v>2870</v>
      </c>
      <c r="D594" s="55" t="str">
        <f>VLOOKUP(VLOOKUP(Q594&amp;"_"&amp;R594,活动关卡!$A$60:$Z$83,2+5*S594,FALSE),'⚪设计'!$B$85:$H$114,2,FALSE)</f>
        <v>ResUnit_XueRen2</v>
      </c>
      <c r="E594" s="55">
        <f>VLOOKUP(VLOOKUP(Q594&amp;"_"&amp;R594,活动关卡!$A$60:$Z$83,2+5*S594,FALSE),'⚪设计'!$B$85:$H$114,6,FALSE)*VLOOKUP(Q594&amp;"_"&amp;R594,活动关卡!$A$60:$Z$83,5,FALSE)</f>
        <v>2</v>
      </c>
      <c r="F594">
        <v>400</v>
      </c>
      <c r="G594" t="b">
        <v>1</v>
      </c>
      <c r="H594">
        <v>1</v>
      </c>
      <c r="I594">
        <v>1</v>
      </c>
      <c r="J594">
        <v>0.5</v>
      </c>
      <c r="K594" s="55">
        <f>VLOOKUP(VLOOKUP(Q594&amp;"_"&amp;R594,活动关卡!$A$60:$Z$83,2+5*S594,FALSE),'⚪设计'!$B$85:$H$114,7,FALSE)</f>
        <v>1.5</v>
      </c>
      <c r="L594" s="57" t="s">
        <v>2286</v>
      </c>
      <c r="M594" t="s">
        <v>468</v>
      </c>
      <c r="N594" t="s">
        <v>469</v>
      </c>
      <c r="O594" t="s">
        <v>470</v>
      </c>
      <c r="P594" s="57" t="str">
        <f>IF(VLOOKUP(D594,'⚪设计'!$C$85:$I$113,7,FALSE)="","",VLOOKUP(D594,'⚪设计'!$C$85:$I$113,7,FALSE))</f>
        <v>Skill_Monster_XueRen2,NormalAttack</v>
      </c>
      <c r="Q594" s="110" t="str">
        <f t="shared" si="25"/>
        <v>5</v>
      </c>
      <c r="R594" s="110" t="str">
        <f t="shared" si="26"/>
        <v>4</v>
      </c>
      <c r="S594" s="110" t="str">
        <f t="shared" si="27"/>
        <v>3</v>
      </c>
    </row>
    <row r="595" spans="2:19" x14ac:dyDescent="0.2">
      <c r="B595" s="57" t="s">
        <v>2579</v>
      </c>
      <c r="C595" s="57" t="s">
        <v>2871</v>
      </c>
      <c r="D595" s="55" t="str">
        <f>VLOOKUP(VLOOKUP(Q595&amp;"_"&amp;R595,活动关卡!$A$60:$Z$83,2+5*S595,FALSE),'⚪设计'!$B$85:$H$114,2,FALSE)</f>
        <v>ResUnit_Dan2</v>
      </c>
      <c r="E595" s="55">
        <f>VLOOKUP(VLOOKUP(Q595&amp;"_"&amp;R595,活动关卡!$A$60:$Z$83,2+5*S595,FALSE),'⚪设计'!$B$85:$H$114,6,FALSE)*VLOOKUP(Q595&amp;"_"&amp;R595,活动关卡!$A$60:$Z$83,5,FALSE)</f>
        <v>2</v>
      </c>
      <c r="F595">
        <v>400</v>
      </c>
      <c r="G595" t="b">
        <v>1</v>
      </c>
      <c r="H595">
        <v>1</v>
      </c>
      <c r="I595">
        <v>1</v>
      </c>
      <c r="J595">
        <v>0.5</v>
      </c>
      <c r="K595" s="55">
        <f>VLOOKUP(VLOOKUP(Q595&amp;"_"&amp;R595,活动关卡!$A$60:$Z$83,2+5*S595,FALSE),'⚪设计'!$B$85:$H$114,7,FALSE)</f>
        <v>1.5</v>
      </c>
      <c r="L595" s="57" t="s">
        <v>2287</v>
      </c>
      <c r="M595" t="s">
        <v>468</v>
      </c>
      <c r="N595" t="s">
        <v>469</v>
      </c>
      <c r="O595" t="s">
        <v>470</v>
      </c>
      <c r="P595" s="57" t="str">
        <f>IF(VLOOKUP(D595,'⚪设计'!$C$85:$I$113,7,FALSE)="","",VLOOKUP(D595,'⚪设计'!$C$85:$I$113,7,FALSE))</f>
        <v>Skill_Monster_Weaken,NormalAttack</v>
      </c>
      <c r="Q595" s="110" t="str">
        <f t="shared" si="25"/>
        <v>5</v>
      </c>
      <c r="R595" s="110" t="str">
        <f t="shared" si="26"/>
        <v>5</v>
      </c>
      <c r="S595" s="110" t="str">
        <f t="shared" si="27"/>
        <v>1</v>
      </c>
    </row>
    <row r="596" spans="2:19" x14ac:dyDescent="0.2">
      <c r="B596" s="57" t="s">
        <v>2580</v>
      </c>
      <c r="C596" s="57" t="s">
        <v>2872</v>
      </c>
      <c r="D596" s="55" t="str">
        <f>VLOOKUP(VLOOKUP(Q596&amp;"_"&amp;R596,活动关卡!$A$60:$Z$83,2+5*S596,FALSE),'⚪设计'!$B$85:$H$114,2,FALSE)</f>
        <v>ResUnit_Gui1</v>
      </c>
      <c r="E596" s="55">
        <f>VLOOKUP(VLOOKUP(Q596&amp;"_"&amp;R596,活动关卡!$A$60:$Z$83,2+5*S596,FALSE),'⚪设计'!$B$85:$H$114,6,FALSE)*VLOOKUP(Q596&amp;"_"&amp;R596,活动关卡!$A$60:$Z$83,5,FALSE)</f>
        <v>2</v>
      </c>
      <c r="F596">
        <v>400</v>
      </c>
      <c r="G596" t="b">
        <v>1</v>
      </c>
      <c r="H596">
        <v>1</v>
      </c>
      <c r="I596">
        <v>1</v>
      </c>
      <c r="J596">
        <v>0.5</v>
      </c>
      <c r="K596" s="55">
        <f>VLOOKUP(VLOOKUP(Q596&amp;"_"&amp;R596,活动关卡!$A$60:$Z$83,2+5*S596,FALSE),'⚪设计'!$B$85:$H$114,7,FALSE)</f>
        <v>1</v>
      </c>
      <c r="L596" s="57" t="s">
        <v>2288</v>
      </c>
      <c r="M596" t="s">
        <v>468</v>
      </c>
      <c r="N596" t="s">
        <v>469</v>
      </c>
      <c r="O596" t="s">
        <v>470</v>
      </c>
      <c r="P596" s="57" t="str">
        <f>IF(VLOOKUP(D596,'⚪设计'!$C$85:$I$113,7,FALSE)="","",VLOOKUP(D596,'⚪设计'!$C$85:$I$113,7,FALSE))</f>
        <v>Skill_Monster_Invisible,NormalAttack</v>
      </c>
      <c r="Q596" s="110" t="str">
        <f t="shared" si="25"/>
        <v>5</v>
      </c>
      <c r="R596" s="110" t="str">
        <f t="shared" si="26"/>
        <v>5</v>
      </c>
      <c r="S596" s="110" t="str">
        <f t="shared" si="27"/>
        <v>2</v>
      </c>
    </row>
    <row r="597" spans="2:19" x14ac:dyDescent="0.2">
      <c r="B597" s="57" t="s">
        <v>2581</v>
      </c>
      <c r="C597" s="57" t="s">
        <v>2873</v>
      </c>
      <c r="D597" s="55" t="str">
        <f>VLOOKUP(VLOOKUP(Q597&amp;"_"&amp;R597,活动关卡!$A$60:$Z$83,2+5*S597,FALSE),'⚪设计'!$B$85:$H$114,2,FALSE)</f>
        <v>ResUnit_ZhongZi1</v>
      </c>
      <c r="E597" s="55">
        <f>VLOOKUP(VLOOKUP(Q597&amp;"_"&amp;R597,活动关卡!$A$60:$Z$83,2+5*S597,FALSE),'⚪设计'!$B$85:$H$114,6,FALSE)*VLOOKUP(Q597&amp;"_"&amp;R597,活动关卡!$A$60:$Z$83,5,FALSE)</f>
        <v>2</v>
      </c>
      <c r="F597">
        <v>400</v>
      </c>
      <c r="G597" t="b">
        <v>1</v>
      </c>
      <c r="H597">
        <v>1</v>
      </c>
      <c r="I597">
        <v>1</v>
      </c>
      <c r="J597">
        <v>0.5</v>
      </c>
      <c r="K597" s="55">
        <f>VLOOKUP(VLOOKUP(Q597&amp;"_"&amp;R597,活动关卡!$A$60:$Z$83,2+5*S597,FALSE),'⚪设计'!$B$85:$H$114,7,FALSE)</f>
        <v>1</v>
      </c>
      <c r="L597" s="57" t="s">
        <v>2289</v>
      </c>
      <c r="M597" t="s">
        <v>468</v>
      </c>
      <c r="N597" t="s">
        <v>469</v>
      </c>
      <c r="O597" t="s">
        <v>470</v>
      </c>
      <c r="P597" s="57" t="str">
        <f>IF(VLOOKUP(D597,'⚪设计'!$C$85:$I$113,7,FALSE)="","",VLOOKUP(D597,'⚪设计'!$C$85:$I$113,7,FALSE))</f>
        <v>Skill_Monster_Heal,NormalAttack</v>
      </c>
      <c r="Q597" s="110" t="str">
        <f t="shared" si="25"/>
        <v>5</v>
      </c>
      <c r="R597" s="110" t="str">
        <f t="shared" si="26"/>
        <v>5</v>
      </c>
      <c r="S597" s="110" t="str">
        <f t="shared" si="27"/>
        <v>3</v>
      </c>
    </row>
    <row r="598" spans="2:19" x14ac:dyDescent="0.2">
      <c r="B598" s="57" t="s">
        <v>2582</v>
      </c>
      <c r="C598" s="57" t="s">
        <v>2874</v>
      </c>
      <c r="D598" s="55" t="str">
        <f>VLOOKUP(VLOOKUP(Q598&amp;"_"&amp;R598,活动关卡!$A$60:$Z$83,2+5*S598,FALSE),'⚪设计'!$B$85:$H$114,2,FALSE)</f>
        <v>ResUnit_XueRen2</v>
      </c>
      <c r="E598" s="55">
        <f>VLOOKUP(VLOOKUP(Q598&amp;"_"&amp;R598,活动关卡!$A$60:$Z$83,2+5*S598,FALSE),'⚪设计'!$B$85:$H$114,6,FALSE)*VLOOKUP(Q598&amp;"_"&amp;R598,活动关卡!$A$60:$Z$83,5,FALSE)</f>
        <v>2</v>
      </c>
      <c r="F598">
        <v>400</v>
      </c>
      <c r="G598" t="b">
        <v>1</v>
      </c>
      <c r="H598">
        <v>1</v>
      </c>
      <c r="I598">
        <v>1</v>
      </c>
      <c r="J598">
        <v>0.5</v>
      </c>
      <c r="K598" s="55">
        <f>VLOOKUP(VLOOKUP(Q598&amp;"_"&amp;R598,活动关卡!$A$60:$Z$83,2+5*S598,FALSE),'⚪设计'!$B$85:$H$114,7,FALSE)</f>
        <v>1.5</v>
      </c>
      <c r="L598" s="57" t="s">
        <v>2290</v>
      </c>
      <c r="M598" t="s">
        <v>468</v>
      </c>
      <c r="N598" t="s">
        <v>469</v>
      </c>
      <c r="O598" t="s">
        <v>470</v>
      </c>
      <c r="P598" s="57" t="str">
        <f>IF(VLOOKUP(D598,'⚪设计'!$C$85:$I$113,7,FALSE)="","",VLOOKUP(D598,'⚪设计'!$C$85:$I$113,7,FALSE))</f>
        <v>Skill_Monster_XueRen2,NormalAttack</v>
      </c>
      <c r="Q598" s="110" t="str">
        <f t="shared" si="25"/>
        <v>5</v>
      </c>
      <c r="R598" s="110" t="str">
        <f t="shared" si="26"/>
        <v>5</v>
      </c>
      <c r="S598" s="110" t="str">
        <f t="shared" si="27"/>
        <v>4</v>
      </c>
    </row>
    <row r="599" spans="2:19" x14ac:dyDescent="0.2">
      <c r="B599" s="57" t="s">
        <v>2583</v>
      </c>
      <c r="C599" s="57" t="s">
        <v>2875</v>
      </c>
      <c r="D599" s="55" t="str">
        <f>VLOOKUP(VLOOKUP(Q599&amp;"_"&amp;R599,活动关卡!$A$60:$Z$83,2+5*S599,FALSE),'⚪设计'!$B$85:$H$114,2,FALSE)</f>
        <v>ResUnit_Dan2</v>
      </c>
      <c r="E599" s="55">
        <f>VLOOKUP(VLOOKUP(Q599&amp;"_"&amp;R599,活动关卡!$A$60:$Z$83,2+5*S599,FALSE),'⚪设计'!$B$85:$H$114,6,FALSE)*VLOOKUP(Q599&amp;"_"&amp;R599,活动关卡!$A$60:$Z$83,5,FALSE)</f>
        <v>2</v>
      </c>
      <c r="F599">
        <v>400</v>
      </c>
      <c r="G599" t="b">
        <v>1</v>
      </c>
      <c r="H599">
        <v>1</v>
      </c>
      <c r="I599">
        <v>1</v>
      </c>
      <c r="J599">
        <v>0.5</v>
      </c>
      <c r="K599" s="55">
        <f>VLOOKUP(VLOOKUP(Q599&amp;"_"&amp;R599,活动关卡!$A$60:$Z$83,2+5*S599,FALSE),'⚪设计'!$B$85:$H$114,7,FALSE)</f>
        <v>1.5</v>
      </c>
      <c r="L599" s="57" t="s">
        <v>2291</v>
      </c>
      <c r="M599" t="s">
        <v>468</v>
      </c>
      <c r="N599" t="s">
        <v>469</v>
      </c>
      <c r="O599" t="s">
        <v>470</v>
      </c>
      <c r="P599" s="57" t="str">
        <f>IF(VLOOKUP(D599,'⚪设计'!$C$85:$I$113,7,FALSE)="","",VLOOKUP(D599,'⚪设计'!$C$85:$I$113,7,FALSE))</f>
        <v>Skill_Monster_Weaken,NormalAttack</v>
      </c>
      <c r="Q599" s="110" t="str">
        <f t="shared" si="25"/>
        <v>5</v>
      </c>
      <c r="R599" s="110" t="str">
        <f t="shared" si="26"/>
        <v>6</v>
      </c>
      <c r="S599" s="110" t="str">
        <f t="shared" si="27"/>
        <v>1</v>
      </c>
    </row>
    <row r="600" spans="2:19" x14ac:dyDescent="0.2">
      <c r="B600" s="57" t="s">
        <v>2584</v>
      </c>
      <c r="C600" s="57" t="s">
        <v>2876</v>
      </c>
      <c r="D600" s="55" t="str">
        <f>VLOOKUP(VLOOKUP(Q600&amp;"_"&amp;R600,活动关卡!$A$60:$Z$83,2+5*S600,FALSE),'⚪设计'!$B$85:$H$114,2,FALSE)</f>
        <v>ResUnit_ZhongZi2</v>
      </c>
      <c r="E600" s="55">
        <f>VLOOKUP(VLOOKUP(Q600&amp;"_"&amp;R600,活动关卡!$A$60:$Z$83,2+5*S600,FALSE),'⚪设计'!$B$85:$H$114,6,FALSE)*VLOOKUP(Q600&amp;"_"&amp;R600,活动关卡!$A$60:$Z$83,5,FALSE)</f>
        <v>2</v>
      </c>
      <c r="F600">
        <v>400</v>
      </c>
      <c r="G600" t="b">
        <v>1</v>
      </c>
      <c r="H600">
        <v>1</v>
      </c>
      <c r="I600">
        <v>1</v>
      </c>
      <c r="J600">
        <v>0.5</v>
      </c>
      <c r="K600" s="55">
        <f>VLOOKUP(VLOOKUP(Q600&amp;"_"&amp;R600,活动关卡!$A$60:$Z$83,2+5*S600,FALSE),'⚪设计'!$B$85:$H$114,7,FALSE)</f>
        <v>1.5</v>
      </c>
      <c r="L600" s="57" t="s">
        <v>2292</v>
      </c>
      <c r="M600" t="s">
        <v>468</v>
      </c>
      <c r="N600" t="s">
        <v>469</v>
      </c>
      <c r="O600" t="s">
        <v>470</v>
      </c>
      <c r="P600" s="57" t="str">
        <f>IF(VLOOKUP(D600,'⚪设计'!$C$85:$I$113,7,FALSE)="","",VLOOKUP(D600,'⚪设计'!$C$85:$I$113,7,FALSE))</f>
        <v>Skill_Monster_Heal,NormalAttack</v>
      </c>
      <c r="Q600" s="110" t="str">
        <f t="shared" si="25"/>
        <v>5</v>
      </c>
      <c r="R600" s="110" t="str">
        <f t="shared" si="26"/>
        <v>6</v>
      </c>
      <c r="S600" s="110" t="str">
        <f t="shared" si="27"/>
        <v>2</v>
      </c>
    </row>
    <row r="601" spans="2:19" x14ac:dyDescent="0.2">
      <c r="B601" s="57" t="s">
        <v>2585</v>
      </c>
      <c r="C601" s="57" t="s">
        <v>2877</v>
      </c>
      <c r="D601" s="55" t="str">
        <f>VLOOKUP(VLOOKUP(Q601&amp;"_"&amp;R601,活动关卡!$A$60:$Z$83,2+5*S601,FALSE),'⚪设计'!$B$85:$H$114,2,FALSE)</f>
        <v>ResUnit_ZhiZhu2</v>
      </c>
      <c r="E601" s="55">
        <f>VLOOKUP(VLOOKUP(Q601&amp;"_"&amp;R601,活动关卡!$A$60:$Z$83,2+5*S601,FALSE),'⚪设计'!$B$85:$H$114,6,FALSE)*VLOOKUP(Q601&amp;"_"&amp;R601,活动关卡!$A$60:$Z$83,5,FALSE)</f>
        <v>3</v>
      </c>
      <c r="F601">
        <v>400</v>
      </c>
      <c r="G601" t="b">
        <v>1</v>
      </c>
      <c r="H601">
        <v>1</v>
      </c>
      <c r="I601">
        <v>1</v>
      </c>
      <c r="J601">
        <v>0.5</v>
      </c>
      <c r="K601" s="55">
        <f>VLOOKUP(VLOOKUP(Q601&amp;"_"&amp;R601,活动关卡!$A$60:$Z$83,2+5*S601,FALSE),'⚪设计'!$B$85:$H$114,7,FALSE)</f>
        <v>1.5</v>
      </c>
      <c r="L601" s="57" t="s">
        <v>2293</v>
      </c>
      <c r="M601" t="s">
        <v>468</v>
      </c>
      <c r="N601" t="s">
        <v>469</v>
      </c>
      <c r="O601" t="s">
        <v>470</v>
      </c>
      <c r="P601" s="57" t="str">
        <f>IF(VLOOKUP(D601,'⚪设计'!$C$85:$I$113,7,FALSE)="","",VLOOKUP(D601,'⚪设计'!$C$85:$I$113,7,FALSE))</f>
        <v/>
      </c>
      <c r="Q601" s="110" t="str">
        <f t="shared" si="25"/>
        <v>5</v>
      </c>
      <c r="R601" s="110" t="str">
        <f t="shared" si="26"/>
        <v>6</v>
      </c>
      <c r="S601" s="110" t="str">
        <f t="shared" si="27"/>
        <v>3</v>
      </c>
    </row>
    <row r="602" spans="2:19" x14ac:dyDescent="0.2">
      <c r="B602" s="57" t="s">
        <v>2586</v>
      </c>
      <c r="C602" s="57" t="s">
        <v>2878</v>
      </c>
      <c r="D602" s="55" t="str">
        <f>VLOOKUP(VLOOKUP(Q602&amp;"_"&amp;R602,活动关卡!$A$60:$Z$83,2+5*S602,FALSE),'⚪设计'!$B$85:$H$114,2,FALSE)</f>
        <v>ResUnit_XueRen2</v>
      </c>
      <c r="E602" s="55">
        <f>VLOOKUP(VLOOKUP(Q602&amp;"_"&amp;R602,活动关卡!$A$60:$Z$83,2+5*S602,FALSE),'⚪设计'!$B$85:$H$114,6,FALSE)*VLOOKUP(Q602&amp;"_"&amp;R602,活动关卡!$A$60:$Z$83,5,FALSE)</f>
        <v>2</v>
      </c>
      <c r="F602">
        <v>400</v>
      </c>
      <c r="G602" t="b">
        <v>1</v>
      </c>
      <c r="H602">
        <v>1</v>
      </c>
      <c r="I602">
        <v>1</v>
      </c>
      <c r="J602">
        <v>0.5</v>
      </c>
      <c r="K602" s="55">
        <f>VLOOKUP(VLOOKUP(Q602&amp;"_"&amp;R602,活动关卡!$A$60:$Z$83,2+5*S602,FALSE),'⚪设计'!$B$85:$H$114,7,FALSE)</f>
        <v>1.5</v>
      </c>
      <c r="L602" s="57" t="s">
        <v>2294</v>
      </c>
      <c r="M602" t="s">
        <v>468</v>
      </c>
      <c r="N602" t="s">
        <v>469</v>
      </c>
      <c r="O602" t="s">
        <v>470</v>
      </c>
      <c r="P602" s="57" t="str">
        <f>IF(VLOOKUP(D602,'⚪设计'!$C$85:$I$113,7,FALSE)="","",VLOOKUP(D602,'⚪设计'!$C$85:$I$113,7,FALSE))</f>
        <v>Skill_Monster_XueRen2,NormalAttack</v>
      </c>
      <c r="Q602" s="110" t="str">
        <f t="shared" si="25"/>
        <v>5</v>
      </c>
      <c r="R602" s="110" t="str">
        <f t="shared" si="26"/>
        <v>6</v>
      </c>
      <c r="S602" s="110" t="str">
        <f t="shared" si="27"/>
        <v>4</v>
      </c>
    </row>
    <row r="603" spans="2:19" x14ac:dyDescent="0.2">
      <c r="B603" s="57" t="s">
        <v>2587</v>
      </c>
      <c r="C603" s="57" t="s">
        <v>2879</v>
      </c>
      <c r="D603" s="55" t="str">
        <f>VLOOKUP(VLOOKUP(Q603&amp;"_"&amp;R603,活动关卡!$A$60:$Z$83,2+5*S603,FALSE),'⚪设计'!$B$85:$H$114,2,FALSE)</f>
        <v>ResUnit_Dan2</v>
      </c>
      <c r="E603" s="55">
        <f>VLOOKUP(VLOOKUP(Q603&amp;"_"&amp;R603,活动关卡!$A$60:$Z$83,2+5*S603,FALSE),'⚪设计'!$B$85:$H$114,6,FALSE)*VLOOKUP(Q603&amp;"_"&amp;R603,活动关卡!$A$60:$Z$83,5,FALSE)</f>
        <v>2</v>
      </c>
      <c r="F603">
        <v>400</v>
      </c>
      <c r="G603" t="b">
        <v>1</v>
      </c>
      <c r="H603">
        <v>1</v>
      </c>
      <c r="I603">
        <v>1</v>
      </c>
      <c r="J603">
        <v>0.5</v>
      </c>
      <c r="K603" s="55">
        <f>VLOOKUP(VLOOKUP(Q603&amp;"_"&amp;R603,活动关卡!$A$60:$Z$83,2+5*S603,FALSE),'⚪设计'!$B$85:$H$114,7,FALSE)</f>
        <v>1.5</v>
      </c>
      <c r="L603" s="57" t="s">
        <v>2295</v>
      </c>
      <c r="M603" t="s">
        <v>468</v>
      </c>
      <c r="N603" t="s">
        <v>469</v>
      </c>
      <c r="O603" t="s">
        <v>470</v>
      </c>
      <c r="P603" s="57" t="str">
        <f>IF(VLOOKUP(D603,'⚪设计'!$C$85:$I$113,7,FALSE)="","",VLOOKUP(D603,'⚪设计'!$C$85:$I$113,7,FALSE))</f>
        <v>Skill_Monster_Weaken,NormalAttack</v>
      </c>
      <c r="Q603" s="110" t="str">
        <f t="shared" si="25"/>
        <v>5</v>
      </c>
      <c r="R603" s="110" t="str">
        <f t="shared" si="26"/>
        <v>7</v>
      </c>
      <c r="S603" s="110" t="str">
        <f t="shared" si="27"/>
        <v>1</v>
      </c>
    </row>
    <row r="604" spans="2:19" x14ac:dyDescent="0.2">
      <c r="B604" s="57" t="s">
        <v>2588</v>
      </c>
      <c r="C604" s="57" t="s">
        <v>2880</v>
      </c>
      <c r="D604" s="55" t="str">
        <f>VLOOKUP(VLOOKUP(Q604&amp;"_"&amp;R604,活动关卡!$A$60:$Z$83,2+5*S604,FALSE),'⚪设计'!$B$85:$H$114,2,FALSE)</f>
        <v>ResUnit_Gui2</v>
      </c>
      <c r="E604" s="55">
        <f>VLOOKUP(VLOOKUP(Q604&amp;"_"&amp;R604,活动关卡!$A$60:$Z$83,2+5*S604,FALSE),'⚪设计'!$B$85:$H$114,6,FALSE)*VLOOKUP(Q604&amp;"_"&amp;R604,活动关卡!$A$60:$Z$83,5,FALSE)</f>
        <v>2</v>
      </c>
      <c r="F604">
        <v>400</v>
      </c>
      <c r="G604" t="b">
        <v>1</v>
      </c>
      <c r="H604">
        <v>1</v>
      </c>
      <c r="I604">
        <v>1</v>
      </c>
      <c r="J604">
        <v>0.5</v>
      </c>
      <c r="K604" s="55">
        <f>VLOOKUP(VLOOKUP(Q604&amp;"_"&amp;R604,活动关卡!$A$60:$Z$83,2+5*S604,FALSE),'⚪设计'!$B$85:$H$114,7,FALSE)</f>
        <v>1.5</v>
      </c>
      <c r="L604" s="57" t="s">
        <v>2296</v>
      </c>
      <c r="M604" t="s">
        <v>468</v>
      </c>
      <c r="N604" t="s">
        <v>469</v>
      </c>
      <c r="O604" t="s">
        <v>470</v>
      </c>
      <c r="P604" s="57" t="str">
        <f>IF(VLOOKUP(D604,'⚪设计'!$C$85:$I$113,7,FALSE)="","",VLOOKUP(D604,'⚪设计'!$C$85:$I$113,7,FALSE))</f>
        <v>Skill_Monster_Invisible,NormalAttack</v>
      </c>
      <c r="Q604" s="110" t="str">
        <f t="shared" si="25"/>
        <v>5</v>
      </c>
      <c r="R604" s="110" t="str">
        <f t="shared" si="26"/>
        <v>7</v>
      </c>
      <c r="S604" s="110" t="str">
        <f t="shared" si="27"/>
        <v>2</v>
      </c>
    </row>
    <row r="605" spans="2:19" x14ac:dyDescent="0.2">
      <c r="B605" s="57" t="s">
        <v>2589</v>
      </c>
      <c r="C605" s="57" t="s">
        <v>2881</v>
      </c>
      <c r="D605" s="55" t="str">
        <f>VLOOKUP(VLOOKUP(Q605&amp;"_"&amp;R605,活动关卡!$A$60:$Z$83,2+5*S605,FALSE),'⚪设计'!$B$85:$H$114,2,FALSE)</f>
        <v>ResUnit_BianFu2</v>
      </c>
      <c r="E605" s="55">
        <f>VLOOKUP(VLOOKUP(Q605&amp;"_"&amp;R605,活动关卡!$A$60:$Z$83,2+5*S605,FALSE),'⚪设计'!$B$85:$H$114,6,FALSE)*VLOOKUP(Q605&amp;"_"&amp;R605,活动关卡!$A$60:$Z$83,5,FALSE)</f>
        <v>2</v>
      </c>
      <c r="F605">
        <v>400</v>
      </c>
      <c r="G605" t="b">
        <v>1</v>
      </c>
      <c r="H605">
        <v>1</v>
      </c>
      <c r="I605">
        <v>1</v>
      </c>
      <c r="J605">
        <v>0.5</v>
      </c>
      <c r="K605" s="55">
        <f>VLOOKUP(VLOOKUP(Q605&amp;"_"&amp;R605,活动关卡!$A$60:$Z$83,2+5*S605,FALSE),'⚪设计'!$B$85:$H$114,7,FALSE)</f>
        <v>1.5</v>
      </c>
      <c r="L605" s="57" t="s">
        <v>2297</v>
      </c>
      <c r="M605" t="s">
        <v>468</v>
      </c>
      <c r="N605" t="s">
        <v>469</v>
      </c>
      <c r="O605" t="s">
        <v>470</v>
      </c>
      <c r="P605" s="57" t="str">
        <f>IF(VLOOKUP(D605,'⚪设计'!$C$85:$I$113,7,FALSE)="","",VLOOKUP(D605,'⚪设计'!$C$85:$I$113,7,FALSE))</f>
        <v/>
      </c>
      <c r="Q605" s="110" t="str">
        <f t="shared" si="25"/>
        <v>5</v>
      </c>
      <c r="R605" s="110" t="str">
        <f t="shared" si="26"/>
        <v>7</v>
      </c>
      <c r="S605" s="110" t="str">
        <f t="shared" si="27"/>
        <v>3</v>
      </c>
    </row>
    <row r="606" spans="2:19" x14ac:dyDescent="0.2">
      <c r="B606" s="57" t="s">
        <v>2590</v>
      </c>
      <c r="C606" s="57" t="s">
        <v>2882</v>
      </c>
      <c r="D606" s="55" t="str">
        <f>VLOOKUP(VLOOKUP(Q606&amp;"_"&amp;R606,活动关卡!$A$60:$Z$83,2+5*S606,FALSE),'⚪设计'!$B$85:$H$114,2,FALSE)</f>
        <v>ResUnit_XueRen2</v>
      </c>
      <c r="E606" s="55">
        <f>VLOOKUP(VLOOKUP(Q606&amp;"_"&amp;R606,活动关卡!$A$60:$Z$83,2+5*S606,FALSE),'⚪设计'!$B$85:$H$114,6,FALSE)*VLOOKUP(Q606&amp;"_"&amp;R606,活动关卡!$A$60:$Z$83,5,FALSE)</f>
        <v>2</v>
      </c>
      <c r="F606">
        <v>400</v>
      </c>
      <c r="G606" t="b">
        <v>1</v>
      </c>
      <c r="H606">
        <v>1</v>
      </c>
      <c r="I606">
        <v>1</v>
      </c>
      <c r="J606">
        <v>0.5</v>
      </c>
      <c r="K606" s="55">
        <f>VLOOKUP(VLOOKUP(Q606&amp;"_"&amp;R606,活动关卡!$A$60:$Z$83,2+5*S606,FALSE),'⚪设计'!$B$85:$H$114,7,FALSE)</f>
        <v>1.5</v>
      </c>
      <c r="L606" s="57" t="s">
        <v>2298</v>
      </c>
      <c r="M606" t="s">
        <v>468</v>
      </c>
      <c r="N606" t="s">
        <v>469</v>
      </c>
      <c r="O606" t="s">
        <v>470</v>
      </c>
      <c r="P606" s="57" t="str">
        <f>IF(VLOOKUP(D606,'⚪设计'!$C$85:$I$113,7,FALSE)="","",VLOOKUP(D606,'⚪设计'!$C$85:$I$113,7,FALSE))</f>
        <v>Skill_Monster_XueRen2,NormalAttack</v>
      </c>
      <c r="Q606" s="110" t="str">
        <f t="shared" si="25"/>
        <v>5</v>
      </c>
      <c r="R606" s="110" t="str">
        <f t="shared" si="26"/>
        <v>7</v>
      </c>
      <c r="S606" s="110" t="str">
        <f t="shared" si="27"/>
        <v>4</v>
      </c>
    </row>
    <row r="607" spans="2:19" x14ac:dyDescent="0.2">
      <c r="B607" s="57" t="s">
        <v>2591</v>
      </c>
      <c r="C607" s="57" t="s">
        <v>2883</v>
      </c>
      <c r="D607" s="55" t="str">
        <f>VLOOKUP(VLOOKUP(Q607&amp;"_"&amp;R607,活动关卡!$A$60:$Z$83,2+5*S607,FALSE),'⚪设计'!$B$85:$H$114,2,FALSE)</f>
        <v>ResUnit_Dan3</v>
      </c>
      <c r="E607" s="55">
        <f>VLOOKUP(VLOOKUP(Q607&amp;"_"&amp;R607,活动关卡!$A$60:$Z$83,2+5*S607,FALSE),'⚪设计'!$B$85:$H$114,6,FALSE)*VLOOKUP(Q607&amp;"_"&amp;R607,活动关卡!$A$60:$Z$83,5,FALSE)</f>
        <v>1.25</v>
      </c>
      <c r="F607">
        <v>400</v>
      </c>
      <c r="G607" t="b">
        <v>1</v>
      </c>
      <c r="H607">
        <v>1</v>
      </c>
      <c r="I607">
        <v>1</v>
      </c>
      <c r="J607">
        <v>0.5</v>
      </c>
      <c r="K607" s="55">
        <f>VLOOKUP(VLOOKUP(Q607&amp;"_"&amp;R607,活动关卡!$A$60:$Z$83,2+5*S607,FALSE),'⚪设计'!$B$85:$H$114,7,FALSE)</f>
        <v>2.5</v>
      </c>
      <c r="L607" s="57" t="s">
        <v>2299</v>
      </c>
      <c r="M607" t="s">
        <v>468</v>
      </c>
      <c r="N607" t="s">
        <v>469</v>
      </c>
      <c r="O607" t="s">
        <v>470</v>
      </c>
      <c r="P607" s="57" t="str">
        <f>IF(VLOOKUP(D607,'⚪设计'!$C$85:$I$113,7,FALSE)="","",VLOOKUP(D607,'⚪设计'!$C$85:$I$113,7,FALSE))</f>
        <v>Skill_Monster_Weaken,NormalAttack</v>
      </c>
      <c r="Q607" s="110" t="str">
        <f t="shared" si="25"/>
        <v>5</v>
      </c>
      <c r="R607" s="110" t="str">
        <f t="shared" si="26"/>
        <v>8</v>
      </c>
      <c r="S607" s="110" t="str">
        <f t="shared" si="27"/>
        <v>1</v>
      </c>
    </row>
    <row r="608" spans="2:19" x14ac:dyDescent="0.2">
      <c r="B608" s="57" t="s">
        <v>2592</v>
      </c>
      <c r="C608" s="57" t="s">
        <v>2884</v>
      </c>
      <c r="D608" s="55" t="str">
        <f>VLOOKUP(VLOOKUP(Q608&amp;"_"&amp;R608,活动关卡!$A$60:$Z$83,2+5*S608,FALSE),'⚪设计'!$B$85:$H$114,2,FALSE)</f>
        <v>ResUnit_Gui2</v>
      </c>
      <c r="E608" s="55">
        <f>VLOOKUP(VLOOKUP(Q608&amp;"_"&amp;R608,活动关卡!$A$60:$Z$83,2+5*S608,FALSE),'⚪设计'!$B$85:$H$114,6,FALSE)*VLOOKUP(Q608&amp;"_"&amp;R608,活动关卡!$A$60:$Z$83,5,FALSE)</f>
        <v>2</v>
      </c>
      <c r="F608">
        <v>400</v>
      </c>
      <c r="G608" t="b">
        <v>1</v>
      </c>
      <c r="H608">
        <v>1</v>
      </c>
      <c r="I608">
        <v>1</v>
      </c>
      <c r="J608">
        <v>0.5</v>
      </c>
      <c r="K608" s="55">
        <f>VLOOKUP(VLOOKUP(Q608&amp;"_"&amp;R608,活动关卡!$A$60:$Z$83,2+5*S608,FALSE),'⚪设计'!$B$85:$H$114,7,FALSE)</f>
        <v>1.5</v>
      </c>
      <c r="L608" s="57" t="s">
        <v>2300</v>
      </c>
      <c r="M608" t="s">
        <v>468</v>
      </c>
      <c r="N608" t="s">
        <v>469</v>
      </c>
      <c r="O608" t="s">
        <v>470</v>
      </c>
      <c r="P608" s="57" t="str">
        <f>IF(VLOOKUP(D608,'⚪设计'!$C$85:$I$113,7,FALSE)="","",VLOOKUP(D608,'⚪设计'!$C$85:$I$113,7,FALSE))</f>
        <v>Skill_Monster_Invisible,NormalAttack</v>
      </c>
      <c r="Q608" s="110" t="str">
        <f t="shared" si="25"/>
        <v>5</v>
      </c>
      <c r="R608" s="110" t="str">
        <f t="shared" si="26"/>
        <v>8</v>
      </c>
      <c r="S608" s="110" t="str">
        <f t="shared" si="27"/>
        <v>2</v>
      </c>
    </row>
    <row r="609" spans="2:19" x14ac:dyDescent="0.2">
      <c r="B609" s="57" t="s">
        <v>2593</v>
      </c>
      <c r="C609" s="57" t="s">
        <v>2885</v>
      </c>
      <c r="D609" s="55" t="str">
        <f>VLOOKUP(VLOOKUP(Q609&amp;"_"&amp;R609,活动关卡!$A$60:$Z$83,2+5*S609,FALSE),'⚪设计'!$B$85:$H$114,2,FALSE)</f>
        <v>ResUnit_ZhongZi2</v>
      </c>
      <c r="E609" s="55">
        <f>VLOOKUP(VLOOKUP(Q609&amp;"_"&amp;R609,活动关卡!$A$60:$Z$83,2+5*S609,FALSE),'⚪设计'!$B$85:$H$114,6,FALSE)*VLOOKUP(Q609&amp;"_"&amp;R609,活动关卡!$A$60:$Z$83,5,FALSE)</f>
        <v>2</v>
      </c>
      <c r="F609">
        <v>400</v>
      </c>
      <c r="G609" t="b">
        <v>1</v>
      </c>
      <c r="H609">
        <v>1</v>
      </c>
      <c r="I609">
        <v>1</v>
      </c>
      <c r="J609">
        <v>0.5</v>
      </c>
      <c r="K609" s="55">
        <f>VLOOKUP(VLOOKUP(Q609&amp;"_"&amp;R609,活动关卡!$A$60:$Z$83,2+5*S609,FALSE),'⚪设计'!$B$85:$H$114,7,FALSE)</f>
        <v>1.5</v>
      </c>
      <c r="L609" s="57" t="s">
        <v>2301</v>
      </c>
      <c r="M609" t="s">
        <v>468</v>
      </c>
      <c r="N609" t="s">
        <v>469</v>
      </c>
      <c r="O609" t="s">
        <v>470</v>
      </c>
      <c r="P609" s="57" t="str">
        <f>IF(VLOOKUP(D609,'⚪设计'!$C$85:$I$113,7,FALSE)="","",VLOOKUP(D609,'⚪设计'!$C$85:$I$113,7,FALSE))</f>
        <v>Skill_Monster_Heal,NormalAttack</v>
      </c>
      <c r="Q609" s="110" t="str">
        <f t="shared" si="25"/>
        <v>5</v>
      </c>
      <c r="R609" s="110" t="str">
        <f t="shared" si="26"/>
        <v>8</v>
      </c>
      <c r="S609" s="110" t="str">
        <f t="shared" si="27"/>
        <v>3</v>
      </c>
    </row>
    <row r="610" spans="2:19" x14ac:dyDescent="0.2">
      <c r="B610" s="57" t="s">
        <v>2594</v>
      </c>
      <c r="C610" s="57" t="s">
        <v>2886</v>
      </c>
      <c r="D610" s="55" t="str">
        <f>VLOOKUP(VLOOKUP(Q610&amp;"_"&amp;R610,活动关卡!$A$60:$Z$83,2+5*S610,FALSE),'⚪设计'!$B$85:$H$114,2,FALSE)</f>
        <v>ResUnit_XueRen3</v>
      </c>
      <c r="E610" s="55">
        <f>VLOOKUP(VLOOKUP(Q610&amp;"_"&amp;R610,活动关卡!$A$60:$Z$83,2+5*S610,FALSE),'⚪设计'!$B$85:$H$114,6,FALSE)*VLOOKUP(Q610&amp;"_"&amp;R610,活动关卡!$A$60:$Z$83,5,FALSE)</f>
        <v>2</v>
      </c>
      <c r="F610">
        <v>400</v>
      </c>
      <c r="G610" t="b">
        <v>1</v>
      </c>
      <c r="H610">
        <v>1</v>
      </c>
      <c r="I610">
        <v>1</v>
      </c>
      <c r="J610">
        <v>0.5</v>
      </c>
      <c r="K610" s="55">
        <f>VLOOKUP(VLOOKUP(Q610&amp;"_"&amp;R610,活动关卡!$A$60:$Z$83,2+5*S610,FALSE),'⚪设计'!$B$85:$H$114,7,FALSE)</f>
        <v>2.5</v>
      </c>
      <c r="L610" s="57" t="s">
        <v>2302</v>
      </c>
      <c r="M610" t="s">
        <v>468</v>
      </c>
      <c r="N610" t="s">
        <v>469</v>
      </c>
      <c r="O610" t="s">
        <v>470</v>
      </c>
      <c r="P610" s="57" t="str">
        <f>IF(VLOOKUP(D610,'⚪设计'!$C$85:$I$113,7,FALSE)="","",VLOOKUP(D610,'⚪设计'!$C$85:$I$113,7,FALSE))</f>
        <v>Skill_Monster_XueRen3,NormalAttack</v>
      </c>
      <c r="Q610" s="110" t="str">
        <f t="shared" si="25"/>
        <v>5</v>
      </c>
      <c r="R610" s="110" t="str">
        <f t="shared" si="26"/>
        <v>8</v>
      </c>
      <c r="S610" s="110" t="str">
        <f t="shared" si="27"/>
        <v>4</v>
      </c>
    </row>
    <row r="611" spans="2:19" x14ac:dyDescent="0.2">
      <c r="B611" s="57"/>
      <c r="C611" s="57"/>
      <c r="D611" s="55"/>
      <c r="E611" s="55"/>
      <c r="K611" s="55"/>
      <c r="L611" s="57"/>
      <c r="P611" s="57"/>
      <c r="Q611" s="110"/>
      <c r="R611" s="110"/>
      <c r="S611" s="110"/>
    </row>
    <row r="612" spans="2:19" x14ac:dyDescent="0.2">
      <c r="B612" s="57" t="s">
        <v>2595</v>
      </c>
      <c r="C612" s="57" t="s">
        <v>2887</v>
      </c>
      <c r="D612" s="55" t="str">
        <f>VLOOKUP(VLOOKUP(Q612&amp;"_"&amp;R612,活动关卡!$A$88:$Z$111,2+5*S612,FALSE),'⚪设计'!$B$85:$H$114,2,FALSE)</f>
        <v>ResUnit_MiFeng1</v>
      </c>
      <c r="E612" s="55">
        <f>VLOOKUP(VLOOKUP(Q612&amp;"_"&amp;R612,活动关卡!$A$88:$Z$111,2+5*S612,FALSE),'⚪设计'!$B$85:$H$114,6,FALSE)*VLOOKUP(Q612&amp;"_"&amp;R612,活动关卡!$A$88:$Z$111,5,FALSE)</f>
        <v>2</v>
      </c>
      <c r="F612">
        <v>400</v>
      </c>
      <c r="G612" t="b">
        <v>1</v>
      </c>
      <c r="H612">
        <v>1</v>
      </c>
      <c r="I612">
        <v>1</v>
      </c>
      <c r="J612">
        <v>0.5</v>
      </c>
      <c r="K612" s="55">
        <f>VLOOKUP(VLOOKUP(Q612&amp;"_"&amp;R612,活动关卡!$A$88:$Z$111,2+5*S612,FALSE),'⚪设计'!$B$85:$H$114,7,FALSE)</f>
        <v>1</v>
      </c>
      <c r="L612" s="57" t="s">
        <v>2303</v>
      </c>
      <c r="M612" t="s">
        <v>468</v>
      </c>
      <c r="N612" t="s">
        <v>469</v>
      </c>
      <c r="O612" t="s">
        <v>470</v>
      </c>
      <c r="P612" s="57" t="str">
        <f>IF(VLOOKUP(D612,'⚪设计'!$C$85:$I$113,7,FALSE)="","",VLOOKUP(D612,'⚪设计'!$C$85:$I$113,7,FALSE))</f>
        <v/>
      </c>
      <c r="Q612" s="110" t="str">
        <f t="shared" si="25"/>
        <v>1</v>
      </c>
      <c r="R612" s="110" t="str">
        <f t="shared" si="26"/>
        <v>1</v>
      </c>
      <c r="S612" s="110" t="str">
        <f t="shared" si="27"/>
        <v>1</v>
      </c>
    </row>
    <row r="613" spans="2:19" x14ac:dyDescent="0.2">
      <c r="B613" s="57" t="s">
        <v>2596</v>
      </c>
      <c r="C613" s="57" t="s">
        <v>2888</v>
      </c>
      <c r="D613" s="55" t="str">
        <f>VLOOKUP(VLOOKUP(Q613&amp;"_"&amp;R613,活动关卡!$A$88:$Z$111,2+5*S613,FALSE),'⚪设计'!$B$85:$H$114,2,FALSE)</f>
        <v>ResUnit_WuGui1</v>
      </c>
      <c r="E613" s="55">
        <f>VLOOKUP(VLOOKUP(Q613&amp;"_"&amp;R613,活动关卡!$A$88:$Z$111,2+5*S613,FALSE),'⚪设计'!$B$85:$H$114,6,FALSE)*VLOOKUP(Q613&amp;"_"&amp;R613,活动关卡!$A$88:$Z$111,5,FALSE)</f>
        <v>2</v>
      </c>
      <c r="F613">
        <v>400</v>
      </c>
      <c r="G613" t="b">
        <v>1</v>
      </c>
      <c r="H613">
        <v>1</v>
      </c>
      <c r="I613">
        <v>1</v>
      </c>
      <c r="J613">
        <v>0.5</v>
      </c>
      <c r="K613" s="55">
        <f>VLOOKUP(VLOOKUP(Q613&amp;"_"&amp;R613,活动关卡!$A$88:$Z$111,2+5*S613,FALSE),'⚪设计'!$B$85:$H$114,7,FALSE)</f>
        <v>1</v>
      </c>
      <c r="L613" s="57" t="s">
        <v>2304</v>
      </c>
      <c r="M613" t="s">
        <v>468</v>
      </c>
      <c r="N613" t="s">
        <v>469</v>
      </c>
      <c r="O613" t="s">
        <v>470</v>
      </c>
      <c r="P613" s="57" t="str">
        <f>IF(VLOOKUP(D613,'⚪设计'!$C$85:$I$113,7,FALSE)="","",VLOOKUP(D613,'⚪设计'!$C$85:$I$113,7,FALSE))</f>
        <v>Skill_Monster_WuGui1,NormalAttack</v>
      </c>
      <c r="Q613" s="110" t="str">
        <f t="shared" si="25"/>
        <v>1</v>
      </c>
      <c r="R613" s="110" t="str">
        <f t="shared" si="26"/>
        <v>1</v>
      </c>
      <c r="S613" s="110" t="str">
        <f t="shared" si="27"/>
        <v>2</v>
      </c>
    </row>
    <row r="614" spans="2:19" x14ac:dyDescent="0.2">
      <c r="B614" s="57" t="s">
        <v>2597</v>
      </c>
      <c r="C614" s="57" t="s">
        <v>2889</v>
      </c>
      <c r="D614" s="55" t="str">
        <f>VLOOKUP(VLOOKUP(Q614&amp;"_"&amp;R614,活动关卡!$A$88:$Z$111,2+5*S614,FALSE),'⚪设计'!$B$85:$H$114,2,FALSE)</f>
        <v>ResUnit_MiFeng1</v>
      </c>
      <c r="E614" s="55">
        <f>VLOOKUP(VLOOKUP(Q614&amp;"_"&amp;R614,活动关卡!$A$88:$Z$111,2+5*S614,FALSE),'⚪设计'!$B$85:$H$114,6,FALSE)*VLOOKUP(Q614&amp;"_"&amp;R614,活动关卡!$A$88:$Z$111,5,FALSE)</f>
        <v>2</v>
      </c>
      <c r="F614">
        <v>400</v>
      </c>
      <c r="G614" t="b">
        <v>1</v>
      </c>
      <c r="H614">
        <v>1</v>
      </c>
      <c r="I614">
        <v>1</v>
      </c>
      <c r="J614">
        <v>0.5</v>
      </c>
      <c r="K614" s="55">
        <f>VLOOKUP(VLOOKUP(Q614&amp;"_"&amp;R614,活动关卡!$A$88:$Z$111,2+5*S614,FALSE),'⚪设计'!$B$85:$H$114,7,FALSE)</f>
        <v>1</v>
      </c>
      <c r="L614" s="57" t="s">
        <v>2305</v>
      </c>
      <c r="M614" t="s">
        <v>468</v>
      </c>
      <c r="N614" t="s">
        <v>469</v>
      </c>
      <c r="O614" t="s">
        <v>470</v>
      </c>
      <c r="P614" s="57" t="str">
        <f>IF(VLOOKUP(D614,'⚪设计'!$C$85:$I$113,7,FALSE)="","",VLOOKUP(D614,'⚪设计'!$C$85:$I$113,7,FALSE))</f>
        <v/>
      </c>
      <c r="Q614" s="110" t="str">
        <f t="shared" si="25"/>
        <v>1</v>
      </c>
      <c r="R614" s="110" t="str">
        <f t="shared" si="26"/>
        <v>2</v>
      </c>
      <c r="S614" s="110" t="str">
        <f t="shared" si="27"/>
        <v>1</v>
      </c>
    </row>
    <row r="615" spans="2:19" x14ac:dyDescent="0.2">
      <c r="B615" s="57" t="s">
        <v>2598</v>
      </c>
      <c r="C615" s="57" t="s">
        <v>2890</v>
      </c>
      <c r="D615" s="55" t="str">
        <f>VLOOKUP(VLOOKUP(Q615&amp;"_"&amp;R615,活动关卡!$A$88:$Z$111,2+5*S615,FALSE),'⚪设计'!$B$85:$H$114,2,FALSE)</f>
        <v>ResUnit_WuGui1</v>
      </c>
      <c r="E615" s="55">
        <f>VLOOKUP(VLOOKUP(Q615&amp;"_"&amp;R615,活动关卡!$A$88:$Z$111,2+5*S615,FALSE),'⚪设计'!$B$85:$H$114,6,FALSE)*VLOOKUP(Q615&amp;"_"&amp;R615,活动关卡!$A$88:$Z$111,5,FALSE)</f>
        <v>2</v>
      </c>
      <c r="F615">
        <v>400</v>
      </c>
      <c r="G615" t="b">
        <v>1</v>
      </c>
      <c r="H615">
        <v>1</v>
      </c>
      <c r="I615">
        <v>1</v>
      </c>
      <c r="J615">
        <v>0.5</v>
      </c>
      <c r="K615" s="55">
        <f>VLOOKUP(VLOOKUP(Q615&amp;"_"&amp;R615,活动关卡!$A$88:$Z$111,2+5*S615,FALSE),'⚪设计'!$B$85:$H$114,7,FALSE)</f>
        <v>1</v>
      </c>
      <c r="L615" s="57" t="s">
        <v>2306</v>
      </c>
      <c r="M615" t="s">
        <v>468</v>
      </c>
      <c r="N615" t="s">
        <v>469</v>
      </c>
      <c r="O615" t="s">
        <v>470</v>
      </c>
      <c r="P615" s="57" t="str">
        <f>IF(VLOOKUP(D615,'⚪设计'!$C$85:$I$113,7,FALSE)="","",VLOOKUP(D615,'⚪设计'!$C$85:$I$113,7,FALSE))</f>
        <v>Skill_Monster_WuGui1,NormalAttack</v>
      </c>
      <c r="Q615" s="110" t="str">
        <f t="shared" si="25"/>
        <v>1</v>
      </c>
      <c r="R615" s="110" t="str">
        <f t="shared" si="26"/>
        <v>2</v>
      </c>
      <c r="S615" s="110" t="str">
        <f t="shared" si="27"/>
        <v>2</v>
      </c>
    </row>
    <row r="616" spans="2:19" x14ac:dyDescent="0.2">
      <c r="B616" s="57" t="s">
        <v>2599</v>
      </c>
      <c r="C616" s="57" t="s">
        <v>2891</v>
      </c>
      <c r="D616" s="55" t="str">
        <f>VLOOKUP(VLOOKUP(Q616&amp;"_"&amp;R616,活动关卡!$A$88:$Z$111,2+5*S616,FALSE),'⚪设计'!$B$85:$H$114,2,FALSE)</f>
        <v>ResUnit_MiFeng1</v>
      </c>
      <c r="E616" s="55">
        <f>VLOOKUP(VLOOKUP(Q616&amp;"_"&amp;R616,活动关卡!$A$88:$Z$111,2+5*S616,FALSE),'⚪设计'!$B$85:$H$114,6,FALSE)*VLOOKUP(Q616&amp;"_"&amp;R616,活动关卡!$A$88:$Z$111,5,FALSE)</f>
        <v>2</v>
      </c>
      <c r="F616">
        <v>400</v>
      </c>
      <c r="G616" t="b">
        <v>1</v>
      </c>
      <c r="H616">
        <v>1</v>
      </c>
      <c r="I616">
        <v>1</v>
      </c>
      <c r="J616">
        <v>0.5</v>
      </c>
      <c r="K616" s="55">
        <f>VLOOKUP(VLOOKUP(Q616&amp;"_"&amp;R616,活动关卡!$A$88:$Z$111,2+5*S616,FALSE),'⚪设计'!$B$85:$H$114,7,FALSE)</f>
        <v>1</v>
      </c>
      <c r="L616" s="57" t="s">
        <v>2307</v>
      </c>
      <c r="M616" t="s">
        <v>468</v>
      </c>
      <c r="N616" t="s">
        <v>469</v>
      </c>
      <c r="O616" t="s">
        <v>470</v>
      </c>
      <c r="P616" s="57" t="str">
        <f>IF(VLOOKUP(D616,'⚪设计'!$C$85:$I$113,7,FALSE)="","",VLOOKUP(D616,'⚪设计'!$C$85:$I$113,7,FALSE))</f>
        <v/>
      </c>
      <c r="Q616" s="110" t="str">
        <f t="shared" si="25"/>
        <v>1</v>
      </c>
      <c r="R616" s="110" t="str">
        <f t="shared" si="26"/>
        <v>3</v>
      </c>
      <c r="S616" s="110" t="str">
        <f t="shared" si="27"/>
        <v>1</v>
      </c>
    </row>
    <row r="617" spans="2:19" x14ac:dyDescent="0.2">
      <c r="B617" s="57" t="s">
        <v>2600</v>
      </c>
      <c r="C617" s="57" t="s">
        <v>2892</v>
      </c>
      <c r="D617" s="55" t="str">
        <f>VLOOKUP(VLOOKUP(Q617&amp;"_"&amp;R617,活动关卡!$A$88:$Z$111,2+5*S617,FALSE),'⚪设计'!$B$85:$H$114,2,FALSE)</f>
        <v>ResUnit_MiFeng2</v>
      </c>
      <c r="E617" s="55">
        <f>VLOOKUP(VLOOKUP(Q617&amp;"_"&amp;R617,活动关卡!$A$88:$Z$111,2+5*S617,FALSE),'⚪设计'!$B$85:$H$114,6,FALSE)*VLOOKUP(Q617&amp;"_"&amp;R617,活动关卡!$A$88:$Z$111,5,FALSE)</f>
        <v>2</v>
      </c>
      <c r="F617">
        <v>400</v>
      </c>
      <c r="G617" t="b">
        <v>1</v>
      </c>
      <c r="H617">
        <v>1</v>
      </c>
      <c r="I617">
        <v>1</v>
      </c>
      <c r="J617">
        <v>0.5</v>
      </c>
      <c r="K617" s="55">
        <f>VLOOKUP(VLOOKUP(Q617&amp;"_"&amp;R617,活动关卡!$A$88:$Z$111,2+5*S617,FALSE),'⚪设计'!$B$85:$H$114,7,FALSE)</f>
        <v>1.5</v>
      </c>
      <c r="L617" s="57" t="s">
        <v>2308</v>
      </c>
      <c r="M617" t="s">
        <v>468</v>
      </c>
      <c r="N617" t="s">
        <v>469</v>
      </c>
      <c r="O617" t="s">
        <v>470</v>
      </c>
      <c r="P617" s="57" t="str">
        <f>IF(VLOOKUP(D617,'⚪设计'!$C$85:$I$113,7,FALSE)="","",VLOOKUP(D617,'⚪设计'!$C$85:$I$113,7,FALSE))</f>
        <v/>
      </c>
      <c r="Q617" s="110" t="str">
        <f t="shared" si="25"/>
        <v>1</v>
      </c>
      <c r="R617" s="110" t="str">
        <f t="shared" si="26"/>
        <v>3</v>
      </c>
      <c r="S617" s="110" t="str">
        <f t="shared" si="27"/>
        <v>2</v>
      </c>
    </row>
    <row r="618" spans="2:19" x14ac:dyDescent="0.2">
      <c r="B618" s="57" t="s">
        <v>2601</v>
      </c>
      <c r="C618" s="57" t="s">
        <v>2893</v>
      </c>
      <c r="D618" s="55" t="str">
        <f>VLOOKUP(VLOOKUP(Q618&amp;"_"&amp;R618,活动关卡!$A$88:$Z$111,2+5*S618,FALSE),'⚪设计'!$B$85:$H$114,2,FALSE)</f>
        <v>ResUnit_WuGui1</v>
      </c>
      <c r="E618" s="55">
        <f>VLOOKUP(VLOOKUP(Q618&amp;"_"&amp;R618,活动关卡!$A$88:$Z$111,2+5*S618,FALSE),'⚪设计'!$B$85:$H$114,6,FALSE)*VLOOKUP(Q618&amp;"_"&amp;R618,活动关卡!$A$88:$Z$111,5,FALSE)</f>
        <v>2</v>
      </c>
      <c r="F618">
        <v>400</v>
      </c>
      <c r="G618" t="b">
        <v>1</v>
      </c>
      <c r="H618">
        <v>1</v>
      </c>
      <c r="I618">
        <v>1</v>
      </c>
      <c r="J618">
        <v>0.5</v>
      </c>
      <c r="K618" s="55">
        <f>VLOOKUP(VLOOKUP(Q618&amp;"_"&amp;R618,活动关卡!$A$88:$Z$111,2+5*S618,FALSE),'⚪设计'!$B$85:$H$114,7,FALSE)</f>
        <v>1</v>
      </c>
      <c r="L618" s="57" t="s">
        <v>2309</v>
      </c>
      <c r="M618" t="s">
        <v>468</v>
      </c>
      <c r="N618" t="s">
        <v>469</v>
      </c>
      <c r="O618" t="s">
        <v>470</v>
      </c>
      <c r="P618" s="57" t="str">
        <f>IF(VLOOKUP(D618,'⚪设计'!$C$85:$I$113,7,FALSE)="","",VLOOKUP(D618,'⚪设计'!$C$85:$I$113,7,FALSE))</f>
        <v>Skill_Monster_WuGui1,NormalAttack</v>
      </c>
      <c r="Q618" s="110" t="str">
        <f t="shared" si="25"/>
        <v>1</v>
      </c>
      <c r="R618" s="110" t="str">
        <f t="shared" si="26"/>
        <v>3</v>
      </c>
      <c r="S618" s="110" t="str">
        <f t="shared" si="27"/>
        <v>3</v>
      </c>
    </row>
    <row r="619" spans="2:19" x14ac:dyDescent="0.2">
      <c r="B619" s="57" t="s">
        <v>2602</v>
      </c>
      <c r="C619" s="57" t="s">
        <v>2894</v>
      </c>
      <c r="D619" s="55" t="str">
        <f>VLOOKUP(VLOOKUP(Q619&amp;"_"&amp;R619,活动关卡!$A$88:$Z$111,2+5*S619,FALSE),'⚪设计'!$B$85:$H$114,2,FALSE)</f>
        <v>ResUnit_ZhiZhu1</v>
      </c>
      <c r="E619" s="55">
        <f>VLOOKUP(VLOOKUP(Q619&amp;"_"&amp;R619,活动关卡!$A$88:$Z$111,2+5*S619,FALSE),'⚪设计'!$B$85:$H$114,6,FALSE)*VLOOKUP(Q619&amp;"_"&amp;R619,活动关卡!$A$88:$Z$111,5,FALSE)</f>
        <v>3</v>
      </c>
      <c r="F619">
        <v>400</v>
      </c>
      <c r="G619" t="b">
        <v>1</v>
      </c>
      <c r="H619">
        <v>1</v>
      </c>
      <c r="I619">
        <v>1</v>
      </c>
      <c r="J619">
        <v>0.5</v>
      </c>
      <c r="K619" s="55">
        <f>VLOOKUP(VLOOKUP(Q619&amp;"_"&amp;R619,活动关卡!$A$88:$Z$111,2+5*S619,FALSE),'⚪设计'!$B$85:$H$114,7,FALSE)</f>
        <v>1</v>
      </c>
      <c r="L619" s="57" t="s">
        <v>2310</v>
      </c>
      <c r="M619" t="s">
        <v>468</v>
      </c>
      <c r="N619" t="s">
        <v>469</v>
      </c>
      <c r="O619" t="s">
        <v>470</v>
      </c>
      <c r="P619" s="57" t="str">
        <f>IF(VLOOKUP(D619,'⚪设计'!$C$85:$I$113,7,FALSE)="","",VLOOKUP(D619,'⚪设计'!$C$85:$I$113,7,FALSE))</f>
        <v/>
      </c>
      <c r="Q619" s="110" t="str">
        <f t="shared" si="25"/>
        <v>2</v>
      </c>
      <c r="R619" s="110" t="str">
        <f t="shared" si="26"/>
        <v>1</v>
      </c>
      <c r="S619" s="110" t="str">
        <f t="shared" si="27"/>
        <v>1</v>
      </c>
    </row>
    <row r="620" spans="2:19" x14ac:dyDescent="0.2">
      <c r="B620" s="57" t="s">
        <v>2603</v>
      </c>
      <c r="C620" s="57" t="s">
        <v>2895</v>
      </c>
      <c r="D620" s="55" t="str">
        <f>VLOOKUP(VLOOKUP(Q620&amp;"_"&amp;R620,活动关卡!$A$88:$Z$111,2+5*S620,FALSE),'⚪设计'!$B$85:$H$114,2,FALSE)</f>
        <v>ResUnit_WuGui1</v>
      </c>
      <c r="E620" s="55">
        <f>VLOOKUP(VLOOKUP(Q620&amp;"_"&amp;R620,活动关卡!$A$88:$Z$111,2+5*S620,FALSE),'⚪设计'!$B$85:$H$114,6,FALSE)*VLOOKUP(Q620&amp;"_"&amp;R620,活动关卡!$A$88:$Z$111,5,FALSE)</f>
        <v>2</v>
      </c>
      <c r="F620">
        <v>400</v>
      </c>
      <c r="G620" t="b">
        <v>1</v>
      </c>
      <c r="H620">
        <v>1</v>
      </c>
      <c r="I620">
        <v>1</v>
      </c>
      <c r="J620">
        <v>0.5</v>
      </c>
      <c r="K620" s="55">
        <f>VLOOKUP(VLOOKUP(Q620&amp;"_"&amp;R620,活动关卡!$A$88:$Z$111,2+5*S620,FALSE),'⚪设计'!$B$85:$H$114,7,FALSE)</f>
        <v>1</v>
      </c>
      <c r="L620" s="57" t="s">
        <v>2311</v>
      </c>
      <c r="M620" t="s">
        <v>468</v>
      </c>
      <c r="N620" t="s">
        <v>469</v>
      </c>
      <c r="O620" t="s">
        <v>470</v>
      </c>
      <c r="P620" s="57" t="str">
        <f>IF(VLOOKUP(D620,'⚪设计'!$C$85:$I$113,7,FALSE)="","",VLOOKUP(D620,'⚪设计'!$C$85:$I$113,7,FALSE))</f>
        <v>Skill_Monster_WuGui1,NormalAttack</v>
      </c>
      <c r="Q620" s="110" t="str">
        <f t="shared" si="25"/>
        <v>2</v>
      </c>
      <c r="R620" s="110" t="str">
        <f t="shared" si="26"/>
        <v>1</v>
      </c>
      <c r="S620" s="110" t="str">
        <f t="shared" si="27"/>
        <v>2</v>
      </c>
    </row>
    <row r="621" spans="2:19" x14ac:dyDescent="0.2">
      <c r="B621" s="57" t="s">
        <v>2604</v>
      </c>
      <c r="C621" s="57" t="s">
        <v>2896</v>
      </c>
      <c r="D621" s="55" t="str">
        <f>VLOOKUP(VLOOKUP(Q621&amp;"_"&amp;R621,活动关卡!$A$88:$Z$111,2+5*S621,FALSE),'⚪设计'!$B$85:$H$114,2,FALSE)</f>
        <v>ResUnit_ZhiZhu1</v>
      </c>
      <c r="E621" s="55">
        <f>VLOOKUP(VLOOKUP(Q621&amp;"_"&amp;R621,活动关卡!$A$88:$Z$111,2+5*S621,FALSE),'⚪设计'!$B$85:$H$114,6,FALSE)*VLOOKUP(Q621&amp;"_"&amp;R621,活动关卡!$A$88:$Z$111,5,FALSE)</f>
        <v>3</v>
      </c>
      <c r="F621">
        <v>400</v>
      </c>
      <c r="G621" t="b">
        <v>1</v>
      </c>
      <c r="H621">
        <v>1</v>
      </c>
      <c r="I621">
        <v>1</v>
      </c>
      <c r="J621">
        <v>0.5</v>
      </c>
      <c r="K621" s="55">
        <f>VLOOKUP(VLOOKUP(Q621&amp;"_"&amp;R621,活动关卡!$A$88:$Z$111,2+5*S621,FALSE),'⚪设计'!$B$85:$H$114,7,FALSE)</f>
        <v>1</v>
      </c>
      <c r="L621" s="57" t="s">
        <v>2312</v>
      </c>
      <c r="M621" t="s">
        <v>468</v>
      </c>
      <c r="N621" t="s">
        <v>469</v>
      </c>
      <c r="O621" t="s">
        <v>470</v>
      </c>
      <c r="P621" s="57" t="str">
        <f>IF(VLOOKUP(D621,'⚪设计'!$C$85:$I$113,7,FALSE)="","",VLOOKUP(D621,'⚪设计'!$C$85:$I$113,7,FALSE))</f>
        <v/>
      </c>
      <c r="Q621" s="110" t="str">
        <f t="shared" si="25"/>
        <v>2</v>
      </c>
      <c r="R621" s="110" t="str">
        <f t="shared" si="26"/>
        <v>2</v>
      </c>
      <c r="S621" s="110" t="str">
        <f t="shared" si="27"/>
        <v>1</v>
      </c>
    </row>
    <row r="622" spans="2:19" x14ac:dyDescent="0.2">
      <c r="B622" s="57" t="s">
        <v>2605</v>
      </c>
      <c r="C622" s="57" t="s">
        <v>2897</v>
      </c>
      <c r="D622" s="55" t="str">
        <f>VLOOKUP(VLOOKUP(Q622&amp;"_"&amp;R622,活动关卡!$A$88:$Z$111,2+5*S622,FALSE),'⚪设计'!$B$85:$H$114,2,FALSE)</f>
        <v>ResUnit_MiFeng2</v>
      </c>
      <c r="E622" s="55">
        <f>VLOOKUP(VLOOKUP(Q622&amp;"_"&amp;R622,活动关卡!$A$88:$Z$111,2+5*S622,FALSE),'⚪设计'!$B$85:$H$114,6,FALSE)*VLOOKUP(Q622&amp;"_"&amp;R622,活动关卡!$A$88:$Z$111,5,FALSE)</f>
        <v>2</v>
      </c>
      <c r="F622">
        <v>400</v>
      </c>
      <c r="G622" t="b">
        <v>1</v>
      </c>
      <c r="H622">
        <v>1</v>
      </c>
      <c r="I622">
        <v>1</v>
      </c>
      <c r="J622">
        <v>0.5</v>
      </c>
      <c r="K622" s="55">
        <f>VLOOKUP(VLOOKUP(Q622&amp;"_"&amp;R622,活动关卡!$A$88:$Z$111,2+5*S622,FALSE),'⚪设计'!$B$85:$H$114,7,FALSE)</f>
        <v>1.5</v>
      </c>
      <c r="L622" s="57" t="s">
        <v>2313</v>
      </c>
      <c r="M622" t="s">
        <v>468</v>
      </c>
      <c r="N622" t="s">
        <v>469</v>
      </c>
      <c r="O622" t="s">
        <v>470</v>
      </c>
      <c r="P622" s="57" t="str">
        <f>IF(VLOOKUP(D622,'⚪设计'!$C$85:$I$113,7,FALSE)="","",VLOOKUP(D622,'⚪设计'!$C$85:$I$113,7,FALSE))</f>
        <v/>
      </c>
      <c r="Q622" s="110" t="str">
        <f t="shared" si="25"/>
        <v>2</v>
      </c>
      <c r="R622" s="110" t="str">
        <f t="shared" si="26"/>
        <v>2</v>
      </c>
      <c r="S622" s="110" t="str">
        <f t="shared" si="27"/>
        <v>2</v>
      </c>
    </row>
    <row r="623" spans="2:19" x14ac:dyDescent="0.2">
      <c r="B623" s="57" t="s">
        <v>2606</v>
      </c>
      <c r="C623" s="57" t="s">
        <v>2898</v>
      </c>
      <c r="D623" s="55" t="str">
        <f>VLOOKUP(VLOOKUP(Q623&amp;"_"&amp;R623,活动关卡!$A$88:$Z$111,2+5*S623,FALSE),'⚪设计'!$B$85:$H$114,2,FALSE)</f>
        <v>ResUnit_WuGui1</v>
      </c>
      <c r="E623" s="55">
        <f>VLOOKUP(VLOOKUP(Q623&amp;"_"&amp;R623,活动关卡!$A$88:$Z$111,2+5*S623,FALSE),'⚪设计'!$B$85:$H$114,6,FALSE)*VLOOKUP(Q623&amp;"_"&amp;R623,活动关卡!$A$88:$Z$111,5,FALSE)</f>
        <v>2</v>
      </c>
      <c r="F623">
        <v>400</v>
      </c>
      <c r="G623" t="b">
        <v>1</v>
      </c>
      <c r="H623">
        <v>1</v>
      </c>
      <c r="I623">
        <v>1</v>
      </c>
      <c r="J623">
        <v>0.5</v>
      </c>
      <c r="K623" s="55">
        <f>VLOOKUP(VLOOKUP(Q623&amp;"_"&amp;R623,活动关卡!$A$88:$Z$111,2+5*S623,FALSE),'⚪设计'!$B$85:$H$114,7,FALSE)</f>
        <v>1</v>
      </c>
      <c r="L623" s="57" t="s">
        <v>2314</v>
      </c>
      <c r="M623" t="s">
        <v>468</v>
      </c>
      <c r="N623" t="s">
        <v>469</v>
      </c>
      <c r="O623" t="s">
        <v>470</v>
      </c>
      <c r="P623" s="57" t="str">
        <f>IF(VLOOKUP(D623,'⚪设计'!$C$85:$I$113,7,FALSE)="","",VLOOKUP(D623,'⚪设计'!$C$85:$I$113,7,FALSE))</f>
        <v>Skill_Monster_WuGui1,NormalAttack</v>
      </c>
      <c r="Q623" s="110" t="str">
        <f t="shared" si="25"/>
        <v>2</v>
      </c>
      <c r="R623" s="110" t="str">
        <f t="shared" si="26"/>
        <v>2</v>
      </c>
      <c r="S623" s="110" t="str">
        <f t="shared" si="27"/>
        <v>3</v>
      </c>
    </row>
    <row r="624" spans="2:19" x14ac:dyDescent="0.2">
      <c r="B624" s="57" t="s">
        <v>2607</v>
      </c>
      <c r="C624" s="57" t="s">
        <v>2899</v>
      </c>
      <c r="D624" s="55" t="str">
        <f>VLOOKUP(VLOOKUP(Q624&amp;"_"&amp;R624,活动关卡!$A$88:$Z$111,2+5*S624,FALSE),'⚪设计'!$B$85:$H$114,2,FALSE)</f>
        <v>ResUnit_ZhiZhu1</v>
      </c>
      <c r="E624" s="55">
        <f>VLOOKUP(VLOOKUP(Q624&amp;"_"&amp;R624,活动关卡!$A$88:$Z$111,2+5*S624,FALSE),'⚪设计'!$B$85:$H$114,6,FALSE)*VLOOKUP(Q624&amp;"_"&amp;R624,活动关卡!$A$88:$Z$111,5,FALSE)</f>
        <v>3</v>
      </c>
      <c r="F624">
        <v>400</v>
      </c>
      <c r="G624" t="b">
        <v>1</v>
      </c>
      <c r="H624">
        <v>1</v>
      </c>
      <c r="I624">
        <v>1</v>
      </c>
      <c r="J624">
        <v>0.5</v>
      </c>
      <c r="K624" s="55">
        <f>VLOOKUP(VLOOKUP(Q624&amp;"_"&amp;R624,活动关卡!$A$88:$Z$111,2+5*S624,FALSE),'⚪设计'!$B$85:$H$114,7,FALSE)</f>
        <v>1</v>
      </c>
      <c r="L624" s="57" t="s">
        <v>2315</v>
      </c>
      <c r="M624" t="s">
        <v>468</v>
      </c>
      <c r="N624" t="s">
        <v>469</v>
      </c>
      <c r="O624" t="s">
        <v>470</v>
      </c>
      <c r="P624" s="57" t="str">
        <f>IF(VLOOKUP(D624,'⚪设计'!$C$85:$I$113,7,FALSE)="","",VLOOKUP(D624,'⚪设计'!$C$85:$I$113,7,FALSE))</f>
        <v/>
      </c>
      <c r="Q624" s="110" t="str">
        <f t="shared" si="25"/>
        <v>2</v>
      </c>
      <c r="R624" s="110" t="str">
        <f t="shared" si="26"/>
        <v>3</v>
      </c>
      <c r="S624" s="110" t="str">
        <f t="shared" si="27"/>
        <v>1</v>
      </c>
    </row>
    <row r="625" spans="2:19" x14ac:dyDescent="0.2">
      <c r="B625" s="57" t="s">
        <v>2608</v>
      </c>
      <c r="C625" s="57" t="s">
        <v>2900</v>
      </c>
      <c r="D625" s="55" t="str">
        <f>VLOOKUP(VLOOKUP(Q625&amp;"_"&amp;R625,活动关卡!$A$88:$Z$111,2+5*S625,FALSE),'⚪设计'!$B$85:$H$114,2,FALSE)</f>
        <v>ResUnit_BianFu1</v>
      </c>
      <c r="E625" s="55">
        <f>VLOOKUP(VLOOKUP(Q625&amp;"_"&amp;R625,活动关卡!$A$88:$Z$111,2+5*S625,FALSE),'⚪设计'!$B$85:$H$114,6,FALSE)*VLOOKUP(Q625&amp;"_"&amp;R625,活动关卡!$A$88:$Z$111,5,FALSE)</f>
        <v>2</v>
      </c>
      <c r="F625">
        <v>400</v>
      </c>
      <c r="G625" t="b">
        <v>1</v>
      </c>
      <c r="H625">
        <v>1</v>
      </c>
      <c r="I625">
        <v>1</v>
      </c>
      <c r="J625">
        <v>0.5</v>
      </c>
      <c r="K625" s="55">
        <f>VLOOKUP(VLOOKUP(Q625&amp;"_"&amp;R625,活动关卡!$A$88:$Z$111,2+5*S625,FALSE),'⚪设计'!$B$85:$H$114,7,FALSE)</f>
        <v>1</v>
      </c>
      <c r="L625" s="57" t="s">
        <v>2316</v>
      </c>
      <c r="M625" t="s">
        <v>468</v>
      </c>
      <c r="N625" t="s">
        <v>469</v>
      </c>
      <c r="O625" t="s">
        <v>470</v>
      </c>
      <c r="P625" s="57" t="str">
        <f>IF(VLOOKUP(D625,'⚪设计'!$C$85:$I$113,7,FALSE)="","",VLOOKUP(D625,'⚪设计'!$C$85:$I$113,7,FALSE))</f>
        <v/>
      </c>
      <c r="Q625" s="110" t="str">
        <f t="shared" si="25"/>
        <v>2</v>
      </c>
      <c r="R625" s="110" t="str">
        <f t="shared" si="26"/>
        <v>3</v>
      </c>
      <c r="S625" s="110" t="str">
        <f t="shared" si="27"/>
        <v>2</v>
      </c>
    </row>
    <row r="626" spans="2:19" x14ac:dyDescent="0.2">
      <c r="B626" s="57" t="s">
        <v>2609</v>
      </c>
      <c r="C626" s="57" t="s">
        <v>2901</v>
      </c>
      <c r="D626" s="55" t="str">
        <f>VLOOKUP(VLOOKUP(Q626&amp;"_"&amp;R626,活动关卡!$A$88:$Z$111,2+5*S626,FALSE),'⚪设计'!$B$85:$H$114,2,FALSE)</f>
        <v>ResUnit_WuGui1</v>
      </c>
      <c r="E626" s="55">
        <f>VLOOKUP(VLOOKUP(Q626&amp;"_"&amp;R626,活动关卡!$A$88:$Z$111,2+5*S626,FALSE),'⚪设计'!$B$85:$H$114,6,FALSE)*VLOOKUP(Q626&amp;"_"&amp;R626,活动关卡!$A$88:$Z$111,5,FALSE)</f>
        <v>2</v>
      </c>
      <c r="F626">
        <v>400</v>
      </c>
      <c r="G626" t="b">
        <v>1</v>
      </c>
      <c r="H626">
        <v>1</v>
      </c>
      <c r="I626">
        <v>1</v>
      </c>
      <c r="J626">
        <v>0.5</v>
      </c>
      <c r="K626" s="55">
        <f>VLOOKUP(VLOOKUP(Q626&amp;"_"&amp;R626,活动关卡!$A$88:$Z$111,2+5*S626,FALSE),'⚪设计'!$B$85:$H$114,7,FALSE)</f>
        <v>1</v>
      </c>
      <c r="L626" s="57" t="s">
        <v>2317</v>
      </c>
      <c r="M626" t="s">
        <v>468</v>
      </c>
      <c r="N626" t="s">
        <v>469</v>
      </c>
      <c r="O626" t="s">
        <v>470</v>
      </c>
      <c r="P626" s="57" t="str">
        <f>IF(VLOOKUP(D626,'⚪设计'!$C$85:$I$113,7,FALSE)="","",VLOOKUP(D626,'⚪设计'!$C$85:$I$113,7,FALSE))</f>
        <v>Skill_Monster_WuGui1,NormalAttack</v>
      </c>
      <c r="Q626" s="110" t="str">
        <f t="shared" si="25"/>
        <v>2</v>
      </c>
      <c r="R626" s="110" t="str">
        <f t="shared" si="26"/>
        <v>3</v>
      </c>
      <c r="S626" s="110" t="str">
        <f t="shared" si="27"/>
        <v>3</v>
      </c>
    </row>
    <row r="627" spans="2:19" x14ac:dyDescent="0.2">
      <c r="B627" s="57" t="s">
        <v>2610</v>
      </c>
      <c r="C627" s="57" t="s">
        <v>2902</v>
      </c>
      <c r="D627" s="55" t="str">
        <f>VLOOKUP(VLOOKUP(Q627&amp;"_"&amp;R627,活动关卡!$A$88:$Z$111,2+5*S627,FALSE),'⚪设计'!$B$85:$H$114,2,FALSE)</f>
        <v>ResUnit_ZhiZhu1</v>
      </c>
      <c r="E627" s="55">
        <f>VLOOKUP(VLOOKUP(Q627&amp;"_"&amp;R627,活动关卡!$A$88:$Z$111,2+5*S627,FALSE),'⚪设计'!$B$85:$H$114,6,FALSE)*VLOOKUP(Q627&amp;"_"&amp;R627,活动关卡!$A$88:$Z$111,5,FALSE)</f>
        <v>3</v>
      </c>
      <c r="F627">
        <v>400</v>
      </c>
      <c r="G627" t="b">
        <v>1</v>
      </c>
      <c r="H627">
        <v>1</v>
      </c>
      <c r="I627">
        <v>1</v>
      </c>
      <c r="J627">
        <v>0.5</v>
      </c>
      <c r="K627" s="55">
        <f>VLOOKUP(VLOOKUP(Q627&amp;"_"&amp;R627,活动关卡!$A$88:$Z$111,2+5*S627,FALSE),'⚪设计'!$B$85:$H$114,7,FALSE)</f>
        <v>1</v>
      </c>
      <c r="L627" s="57" t="s">
        <v>2318</v>
      </c>
      <c r="M627" t="s">
        <v>468</v>
      </c>
      <c r="N627" t="s">
        <v>469</v>
      </c>
      <c r="O627" t="s">
        <v>470</v>
      </c>
      <c r="P627" s="57" t="str">
        <f>IF(VLOOKUP(D627,'⚪设计'!$C$85:$I$113,7,FALSE)="","",VLOOKUP(D627,'⚪设计'!$C$85:$I$113,7,FALSE))</f>
        <v/>
      </c>
      <c r="Q627" s="110" t="str">
        <f t="shared" si="25"/>
        <v>2</v>
      </c>
      <c r="R627" s="110" t="str">
        <f t="shared" si="26"/>
        <v>4</v>
      </c>
      <c r="S627" s="110" t="str">
        <f t="shared" si="27"/>
        <v>1</v>
      </c>
    </row>
    <row r="628" spans="2:19" x14ac:dyDescent="0.2">
      <c r="B628" s="57" t="s">
        <v>2611</v>
      </c>
      <c r="C628" s="57" t="s">
        <v>2903</v>
      </c>
      <c r="D628" s="55" t="str">
        <f>VLOOKUP(VLOOKUP(Q628&amp;"_"&amp;R628,活动关卡!$A$88:$Z$111,2+5*S628,FALSE),'⚪设计'!$B$85:$H$114,2,FALSE)</f>
        <v>ResUnit_BianFu1</v>
      </c>
      <c r="E628" s="55">
        <f>VLOOKUP(VLOOKUP(Q628&amp;"_"&amp;R628,活动关卡!$A$88:$Z$111,2+5*S628,FALSE),'⚪设计'!$B$85:$H$114,6,FALSE)*VLOOKUP(Q628&amp;"_"&amp;R628,活动关卡!$A$88:$Z$111,5,FALSE)</f>
        <v>2</v>
      </c>
      <c r="F628">
        <v>400</v>
      </c>
      <c r="G628" t="b">
        <v>1</v>
      </c>
      <c r="H628">
        <v>1</v>
      </c>
      <c r="I628">
        <v>1</v>
      </c>
      <c r="J628">
        <v>0.5</v>
      </c>
      <c r="K628" s="55">
        <f>VLOOKUP(VLOOKUP(Q628&amp;"_"&amp;R628,活动关卡!$A$88:$Z$111,2+5*S628,FALSE),'⚪设计'!$B$85:$H$114,7,FALSE)</f>
        <v>1</v>
      </c>
      <c r="L628" s="57" t="s">
        <v>2319</v>
      </c>
      <c r="M628" t="s">
        <v>468</v>
      </c>
      <c r="N628" t="s">
        <v>469</v>
      </c>
      <c r="O628" t="s">
        <v>470</v>
      </c>
      <c r="P628" s="57" t="str">
        <f>IF(VLOOKUP(D628,'⚪设计'!$C$85:$I$113,7,FALSE)="","",VLOOKUP(D628,'⚪设计'!$C$85:$I$113,7,FALSE))</f>
        <v/>
      </c>
      <c r="Q628" s="110" t="str">
        <f t="shared" si="25"/>
        <v>2</v>
      </c>
      <c r="R628" s="110" t="str">
        <f t="shared" si="26"/>
        <v>4</v>
      </c>
      <c r="S628" s="110" t="str">
        <f t="shared" si="27"/>
        <v>2</v>
      </c>
    </row>
    <row r="629" spans="2:19" x14ac:dyDescent="0.2">
      <c r="B629" s="57" t="s">
        <v>2612</v>
      </c>
      <c r="C629" s="57" t="s">
        <v>2904</v>
      </c>
      <c r="D629" s="55" t="str">
        <f>VLOOKUP(VLOOKUP(Q629&amp;"_"&amp;R629,活动关卡!$A$88:$Z$111,2+5*S629,FALSE),'⚪设计'!$B$85:$H$114,2,FALSE)</f>
        <v>ResUnit_MiFeng2</v>
      </c>
      <c r="E629" s="55">
        <f>VLOOKUP(VLOOKUP(Q629&amp;"_"&amp;R629,活动关卡!$A$88:$Z$111,2+5*S629,FALSE),'⚪设计'!$B$85:$H$114,6,FALSE)*VLOOKUP(Q629&amp;"_"&amp;R629,活动关卡!$A$88:$Z$111,5,FALSE)</f>
        <v>2</v>
      </c>
      <c r="F629">
        <v>400</v>
      </c>
      <c r="G629" t="b">
        <v>1</v>
      </c>
      <c r="H629">
        <v>1</v>
      </c>
      <c r="I629">
        <v>1</v>
      </c>
      <c r="J629">
        <v>0.5</v>
      </c>
      <c r="K629" s="55">
        <f>VLOOKUP(VLOOKUP(Q629&amp;"_"&amp;R629,活动关卡!$A$88:$Z$111,2+5*S629,FALSE),'⚪设计'!$B$85:$H$114,7,FALSE)</f>
        <v>1.5</v>
      </c>
      <c r="L629" s="57" t="s">
        <v>2320</v>
      </c>
      <c r="M629" t="s">
        <v>468</v>
      </c>
      <c r="N629" t="s">
        <v>469</v>
      </c>
      <c r="O629" t="s">
        <v>470</v>
      </c>
      <c r="P629" s="57" t="str">
        <f>IF(VLOOKUP(D629,'⚪设计'!$C$85:$I$113,7,FALSE)="","",VLOOKUP(D629,'⚪设计'!$C$85:$I$113,7,FALSE))</f>
        <v/>
      </c>
      <c r="Q629" s="110" t="str">
        <f t="shared" si="25"/>
        <v>2</v>
      </c>
      <c r="R629" s="110" t="str">
        <f t="shared" si="26"/>
        <v>4</v>
      </c>
      <c r="S629" s="110" t="str">
        <f t="shared" si="27"/>
        <v>3</v>
      </c>
    </row>
    <row r="630" spans="2:19" x14ac:dyDescent="0.2">
      <c r="B630" s="57" t="s">
        <v>2613</v>
      </c>
      <c r="C630" s="57" t="s">
        <v>2905</v>
      </c>
      <c r="D630" s="55" t="str">
        <f>VLOOKUP(VLOOKUP(Q630&amp;"_"&amp;R630,活动关卡!$A$88:$Z$111,2+5*S630,FALSE),'⚪设计'!$B$85:$H$114,2,FALSE)</f>
        <v>ResUnit_WuGui1</v>
      </c>
      <c r="E630" s="55">
        <f>VLOOKUP(VLOOKUP(Q630&amp;"_"&amp;R630,活动关卡!$A$88:$Z$111,2+5*S630,FALSE),'⚪设计'!$B$85:$H$114,6,FALSE)*VLOOKUP(Q630&amp;"_"&amp;R630,活动关卡!$A$88:$Z$111,5,FALSE)</f>
        <v>2</v>
      </c>
      <c r="F630">
        <v>400</v>
      </c>
      <c r="G630" t="b">
        <v>1</v>
      </c>
      <c r="H630">
        <v>1</v>
      </c>
      <c r="I630">
        <v>1</v>
      </c>
      <c r="J630">
        <v>0.5</v>
      </c>
      <c r="K630" s="55">
        <f>VLOOKUP(VLOOKUP(Q630&amp;"_"&amp;R630,活动关卡!$A$88:$Z$111,2+5*S630,FALSE),'⚪设计'!$B$85:$H$114,7,FALSE)</f>
        <v>1</v>
      </c>
      <c r="L630" s="57" t="s">
        <v>2321</v>
      </c>
      <c r="M630" t="s">
        <v>468</v>
      </c>
      <c r="N630" t="s">
        <v>469</v>
      </c>
      <c r="O630" t="s">
        <v>470</v>
      </c>
      <c r="P630" s="57" t="str">
        <f>IF(VLOOKUP(D630,'⚪设计'!$C$85:$I$113,7,FALSE)="","",VLOOKUP(D630,'⚪设计'!$C$85:$I$113,7,FALSE))</f>
        <v>Skill_Monster_WuGui1,NormalAttack</v>
      </c>
      <c r="Q630" s="110" t="str">
        <f t="shared" si="25"/>
        <v>2</v>
      </c>
      <c r="R630" s="110" t="str">
        <f t="shared" si="26"/>
        <v>4</v>
      </c>
      <c r="S630" s="110" t="str">
        <f t="shared" si="27"/>
        <v>4</v>
      </c>
    </row>
    <row r="631" spans="2:19" x14ac:dyDescent="0.2">
      <c r="B631" s="57" t="s">
        <v>2614</v>
      </c>
      <c r="C631" s="57" t="s">
        <v>2906</v>
      </c>
      <c r="D631" s="55" t="str">
        <f>VLOOKUP(VLOOKUP(Q631&amp;"_"&amp;R631,活动关卡!$A$88:$Z$111,2+5*S631,FALSE),'⚪设计'!$B$85:$H$114,2,FALSE)</f>
        <v>ResUnit_ZhiZhu1</v>
      </c>
      <c r="E631" s="55">
        <f>VLOOKUP(VLOOKUP(Q631&amp;"_"&amp;R631,活动关卡!$A$88:$Z$111,2+5*S631,FALSE),'⚪设计'!$B$85:$H$114,6,FALSE)*VLOOKUP(Q631&amp;"_"&amp;R631,活动关卡!$A$88:$Z$111,5,FALSE)</f>
        <v>3</v>
      </c>
      <c r="F631">
        <v>400</v>
      </c>
      <c r="G631" t="b">
        <v>1</v>
      </c>
      <c r="H631">
        <v>1</v>
      </c>
      <c r="I631">
        <v>1</v>
      </c>
      <c r="J631">
        <v>0.5</v>
      </c>
      <c r="K631" s="55">
        <f>VLOOKUP(VLOOKUP(Q631&amp;"_"&amp;R631,活动关卡!$A$88:$Z$111,2+5*S631,FALSE),'⚪设计'!$B$85:$H$114,7,FALSE)</f>
        <v>1</v>
      </c>
      <c r="L631" s="57" t="s">
        <v>2322</v>
      </c>
      <c r="M631" t="s">
        <v>468</v>
      </c>
      <c r="N631" t="s">
        <v>469</v>
      </c>
      <c r="O631" t="s">
        <v>470</v>
      </c>
      <c r="P631" s="57" t="str">
        <f>IF(VLOOKUP(D631,'⚪设计'!$C$85:$I$113,7,FALSE)="","",VLOOKUP(D631,'⚪设计'!$C$85:$I$113,7,FALSE))</f>
        <v/>
      </c>
      <c r="Q631" s="110" t="str">
        <f t="shared" si="25"/>
        <v>2</v>
      </c>
      <c r="R631" s="110" t="str">
        <f t="shared" si="26"/>
        <v>5</v>
      </c>
      <c r="S631" s="110" t="str">
        <f t="shared" si="27"/>
        <v>1</v>
      </c>
    </row>
    <row r="632" spans="2:19" x14ac:dyDescent="0.2">
      <c r="B632" s="57" t="s">
        <v>2615</v>
      </c>
      <c r="C632" s="57" t="s">
        <v>2907</v>
      </c>
      <c r="D632" s="55" t="str">
        <f>VLOOKUP(VLOOKUP(Q632&amp;"_"&amp;R632,活动关卡!$A$88:$Z$111,2+5*S632,FALSE),'⚪设计'!$B$85:$H$114,2,FALSE)</f>
        <v>ResUnit_BianFu1</v>
      </c>
      <c r="E632" s="55">
        <f>VLOOKUP(VLOOKUP(Q632&amp;"_"&amp;R632,活动关卡!$A$88:$Z$111,2+5*S632,FALSE),'⚪设计'!$B$85:$H$114,6,FALSE)*VLOOKUP(Q632&amp;"_"&amp;R632,活动关卡!$A$88:$Z$111,5,FALSE)</f>
        <v>2</v>
      </c>
      <c r="F632">
        <v>400</v>
      </c>
      <c r="G632" t="b">
        <v>1</v>
      </c>
      <c r="H632">
        <v>1</v>
      </c>
      <c r="I632">
        <v>1</v>
      </c>
      <c r="J632">
        <v>0.5</v>
      </c>
      <c r="K632" s="55">
        <f>VLOOKUP(VLOOKUP(Q632&amp;"_"&amp;R632,活动关卡!$A$88:$Z$111,2+5*S632,FALSE),'⚪设计'!$B$85:$H$114,7,FALSE)</f>
        <v>1</v>
      </c>
      <c r="L632" s="57" t="s">
        <v>2323</v>
      </c>
      <c r="M632" t="s">
        <v>468</v>
      </c>
      <c r="N632" t="s">
        <v>469</v>
      </c>
      <c r="O632" t="s">
        <v>470</v>
      </c>
      <c r="P632" s="57" t="str">
        <f>IF(VLOOKUP(D632,'⚪设计'!$C$85:$I$113,7,FALSE)="","",VLOOKUP(D632,'⚪设计'!$C$85:$I$113,7,FALSE))</f>
        <v/>
      </c>
      <c r="Q632" s="110" t="str">
        <f t="shared" si="25"/>
        <v>2</v>
      </c>
      <c r="R632" s="110" t="str">
        <f t="shared" si="26"/>
        <v>5</v>
      </c>
      <c r="S632" s="110" t="str">
        <f t="shared" si="27"/>
        <v>2</v>
      </c>
    </row>
    <row r="633" spans="2:19" x14ac:dyDescent="0.2">
      <c r="B633" s="57" t="s">
        <v>2616</v>
      </c>
      <c r="C633" s="57" t="s">
        <v>2908</v>
      </c>
      <c r="D633" s="55" t="str">
        <f>VLOOKUP(VLOOKUP(Q633&amp;"_"&amp;R633,活动关卡!$A$88:$Z$111,2+5*S633,FALSE),'⚪设计'!$B$85:$H$114,2,FALSE)</f>
        <v>ResUnit_MiFeng2</v>
      </c>
      <c r="E633" s="55">
        <f>VLOOKUP(VLOOKUP(Q633&amp;"_"&amp;R633,活动关卡!$A$88:$Z$111,2+5*S633,FALSE),'⚪设计'!$B$85:$H$114,6,FALSE)*VLOOKUP(Q633&amp;"_"&amp;R633,活动关卡!$A$88:$Z$111,5,FALSE)</f>
        <v>2</v>
      </c>
      <c r="F633">
        <v>400</v>
      </c>
      <c r="G633" t="b">
        <v>1</v>
      </c>
      <c r="H633">
        <v>1</v>
      </c>
      <c r="I633">
        <v>1</v>
      </c>
      <c r="J633">
        <v>0.5</v>
      </c>
      <c r="K633" s="55">
        <f>VLOOKUP(VLOOKUP(Q633&amp;"_"&amp;R633,活动关卡!$A$88:$Z$111,2+5*S633,FALSE),'⚪设计'!$B$85:$H$114,7,FALSE)</f>
        <v>1.5</v>
      </c>
      <c r="L633" s="57" t="s">
        <v>2324</v>
      </c>
      <c r="M633" t="s">
        <v>468</v>
      </c>
      <c r="N633" t="s">
        <v>469</v>
      </c>
      <c r="O633" t="s">
        <v>470</v>
      </c>
      <c r="P633" s="57" t="str">
        <f>IF(VLOOKUP(D633,'⚪设计'!$C$85:$I$113,7,FALSE)="","",VLOOKUP(D633,'⚪设计'!$C$85:$I$113,7,FALSE))</f>
        <v/>
      </c>
      <c r="Q633" s="110" t="str">
        <f t="shared" si="25"/>
        <v>2</v>
      </c>
      <c r="R633" s="110" t="str">
        <f t="shared" si="26"/>
        <v>5</v>
      </c>
      <c r="S633" s="110" t="str">
        <f t="shared" si="27"/>
        <v>3</v>
      </c>
    </row>
    <row r="634" spans="2:19" x14ac:dyDescent="0.2">
      <c r="B634" s="57" t="s">
        <v>2617</v>
      </c>
      <c r="C634" s="57" t="s">
        <v>2909</v>
      </c>
      <c r="D634" s="55" t="str">
        <f>VLOOKUP(VLOOKUP(Q634&amp;"_"&amp;R634,活动关卡!$A$88:$Z$111,2+5*S634,FALSE),'⚪设计'!$B$85:$H$114,2,FALSE)</f>
        <v>ResUnit_WuGui1</v>
      </c>
      <c r="E634" s="55">
        <f>VLOOKUP(VLOOKUP(Q634&amp;"_"&amp;R634,活动关卡!$A$88:$Z$111,2+5*S634,FALSE),'⚪设计'!$B$85:$H$114,6,FALSE)*VLOOKUP(Q634&amp;"_"&amp;R634,活动关卡!$A$88:$Z$111,5,FALSE)</f>
        <v>2</v>
      </c>
      <c r="F634">
        <v>400</v>
      </c>
      <c r="G634" t="b">
        <v>1</v>
      </c>
      <c r="H634">
        <v>1</v>
      </c>
      <c r="I634">
        <v>1</v>
      </c>
      <c r="J634">
        <v>0.5</v>
      </c>
      <c r="K634" s="55">
        <f>VLOOKUP(VLOOKUP(Q634&amp;"_"&amp;R634,活动关卡!$A$88:$Z$111,2+5*S634,FALSE),'⚪设计'!$B$85:$H$114,7,FALSE)</f>
        <v>1</v>
      </c>
      <c r="L634" s="57" t="s">
        <v>2325</v>
      </c>
      <c r="M634" t="s">
        <v>468</v>
      </c>
      <c r="N634" t="s">
        <v>469</v>
      </c>
      <c r="O634" t="s">
        <v>470</v>
      </c>
      <c r="P634" s="57" t="str">
        <f>IF(VLOOKUP(D634,'⚪设计'!$C$85:$I$113,7,FALSE)="","",VLOOKUP(D634,'⚪设计'!$C$85:$I$113,7,FALSE))</f>
        <v>Skill_Monster_WuGui1,NormalAttack</v>
      </c>
      <c r="Q634" s="110" t="str">
        <f t="shared" si="25"/>
        <v>2</v>
      </c>
      <c r="R634" s="110" t="str">
        <f t="shared" si="26"/>
        <v>5</v>
      </c>
      <c r="S634" s="110" t="str">
        <f t="shared" si="27"/>
        <v>4</v>
      </c>
    </row>
    <row r="635" spans="2:19" x14ac:dyDescent="0.2">
      <c r="B635" s="57" t="s">
        <v>2618</v>
      </c>
      <c r="C635" s="57" t="s">
        <v>2910</v>
      </c>
      <c r="D635" s="55" t="str">
        <f>VLOOKUP(VLOOKUP(Q635&amp;"_"&amp;R635,活动关卡!$A$88:$Z$111,2+5*S635,FALSE),'⚪设计'!$B$85:$H$114,2,FALSE)</f>
        <v>ResUnit_ZhongZi1</v>
      </c>
      <c r="E635" s="55">
        <f>VLOOKUP(VLOOKUP(Q635&amp;"_"&amp;R635,活动关卡!$A$88:$Z$111,2+5*S635,FALSE),'⚪设计'!$B$85:$H$114,6,FALSE)*VLOOKUP(Q635&amp;"_"&amp;R635,活动关卡!$A$88:$Z$111,5,FALSE)</f>
        <v>2</v>
      </c>
      <c r="F635">
        <v>400</v>
      </c>
      <c r="G635" t="b">
        <v>1</v>
      </c>
      <c r="H635">
        <v>1</v>
      </c>
      <c r="I635">
        <v>1</v>
      </c>
      <c r="J635">
        <v>0.5</v>
      </c>
      <c r="K635" s="55">
        <f>VLOOKUP(VLOOKUP(Q635&amp;"_"&amp;R635,活动关卡!$A$88:$Z$111,2+5*S635,FALSE),'⚪设计'!$B$85:$H$114,7,FALSE)</f>
        <v>1</v>
      </c>
      <c r="L635" s="57" t="s">
        <v>2326</v>
      </c>
      <c r="M635" t="s">
        <v>468</v>
      </c>
      <c r="N635" t="s">
        <v>469</v>
      </c>
      <c r="O635" t="s">
        <v>470</v>
      </c>
      <c r="P635" s="57" t="str">
        <f>IF(VLOOKUP(D635,'⚪设计'!$C$85:$I$113,7,FALSE)="","",VLOOKUP(D635,'⚪设计'!$C$85:$I$113,7,FALSE))</f>
        <v>Skill_Monster_Heal,NormalAttack</v>
      </c>
      <c r="Q635" s="110" t="str">
        <f t="shared" si="25"/>
        <v>3</v>
      </c>
      <c r="R635" s="110" t="str">
        <f t="shared" si="26"/>
        <v>1</v>
      </c>
      <c r="S635" s="110" t="str">
        <f t="shared" si="27"/>
        <v>1</v>
      </c>
    </row>
    <row r="636" spans="2:19" x14ac:dyDescent="0.2">
      <c r="B636" s="57" t="s">
        <v>2619</v>
      </c>
      <c r="C636" s="57" t="s">
        <v>2911</v>
      </c>
      <c r="D636" s="55" t="str">
        <f>VLOOKUP(VLOOKUP(Q636&amp;"_"&amp;R636,活动关卡!$A$88:$Z$111,2+5*S636,FALSE),'⚪设计'!$B$85:$H$114,2,FALSE)</f>
        <v>ResUnit_WuGui2</v>
      </c>
      <c r="E636" s="55">
        <f>VLOOKUP(VLOOKUP(Q636&amp;"_"&amp;R636,活动关卡!$A$88:$Z$111,2+5*S636,FALSE),'⚪设计'!$B$85:$H$114,6,FALSE)*VLOOKUP(Q636&amp;"_"&amp;R636,活动关卡!$A$88:$Z$111,5,FALSE)</f>
        <v>2</v>
      </c>
      <c r="F636">
        <v>400</v>
      </c>
      <c r="G636" t="b">
        <v>1</v>
      </c>
      <c r="H636">
        <v>1</v>
      </c>
      <c r="I636">
        <v>1</v>
      </c>
      <c r="J636">
        <v>0.5</v>
      </c>
      <c r="K636" s="55">
        <f>VLOOKUP(VLOOKUP(Q636&amp;"_"&amp;R636,活动关卡!$A$88:$Z$111,2+5*S636,FALSE),'⚪设计'!$B$85:$H$114,7,FALSE)</f>
        <v>1.5</v>
      </c>
      <c r="L636" s="57" t="s">
        <v>2327</v>
      </c>
      <c r="M636" t="s">
        <v>468</v>
      </c>
      <c r="N636" t="s">
        <v>469</v>
      </c>
      <c r="O636" t="s">
        <v>470</v>
      </c>
      <c r="P636" s="57" t="str">
        <f>IF(VLOOKUP(D636,'⚪设计'!$C$85:$I$113,7,FALSE)="","",VLOOKUP(D636,'⚪设计'!$C$85:$I$113,7,FALSE))</f>
        <v>Skill_Monster_WuGui2,NormalAttack</v>
      </c>
      <c r="Q636" s="110" t="str">
        <f t="shared" si="25"/>
        <v>3</v>
      </c>
      <c r="R636" s="110" t="str">
        <f t="shared" si="26"/>
        <v>1</v>
      </c>
      <c r="S636" s="110" t="str">
        <f t="shared" si="27"/>
        <v>2</v>
      </c>
    </row>
    <row r="637" spans="2:19" x14ac:dyDescent="0.2">
      <c r="B637" s="57" t="s">
        <v>2620</v>
      </c>
      <c r="C637" s="57" t="s">
        <v>2912</v>
      </c>
      <c r="D637" s="55" t="str">
        <f>VLOOKUP(VLOOKUP(Q637&amp;"_"&amp;R637,活动关卡!$A$88:$Z$111,2+5*S637,FALSE),'⚪设计'!$B$85:$H$114,2,FALSE)</f>
        <v>ResUnit_ZhongZi1</v>
      </c>
      <c r="E637" s="55">
        <f>VLOOKUP(VLOOKUP(Q637&amp;"_"&amp;R637,活动关卡!$A$88:$Z$111,2+5*S637,FALSE),'⚪设计'!$B$85:$H$114,6,FALSE)*VLOOKUP(Q637&amp;"_"&amp;R637,活动关卡!$A$88:$Z$111,5,FALSE)</f>
        <v>2</v>
      </c>
      <c r="F637">
        <v>400</v>
      </c>
      <c r="G637" t="b">
        <v>1</v>
      </c>
      <c r="H637">
        <v>1</v>
      </c>
      <c r="I637">
        <v>1</v>
      </c>
      <c r="J637">
        <v>0.5</v>
      </c>
      <c r="K637" s="55">
        <f>VLOOKUP(VLOOKUP(Q637&amp;"_"&amp;R637,活动关卡!$A$88:$Z$111,2+5*S637,FALSE),'⚪设计'!$B$85:$H$114,7,FALSE)</f>
        <v>1</v>
      </c>
      <c r="L637" s="57" t="s">
        <v>2328</v>
      </c>
      <c r="M637" t="s">
        <v>468</v>
      </c>
      <c r="N637" t="s">
        <v>469</v>
      </c>
      <c r="O637" t="s">
        <v>470</v>
      </c>
      <c r="P637" s="57" t="str">
        <f>IF(VLOOKUP(D637,'⚪设计'!$C$85:$I$113,7,FALSE)="","",VLOOKUP(D637,'⚪设计'!$C$85:$I$113,7,FALSE))</f>
        <v>Skill_Monster_Heal,NormalAttack</v>
      </c>
      <c r="Q637" s="110" t="str">
        <f t="shared" si="25"/>
        <v>3</v>
      </c>
      <c r="R637" s="110" t="str">
        <f t="shared" si="26"/>
        <v>2</v>
      </c>
      <c r="S637" s="110" t="str">
        <f t="shared" si="27"/>
        <v>1</v>
      </c>
    </row>
    <row r="638" spans="2:19" x14ac:dyDescent="0.2">
      <c r="B638" s="57" t="s">
        <v>2621</v>
      </c>
      <c r="C638" s="57" t="s">
        <v>2913</v>
      </c>
      <c r="D638" s="55" t="str">
        <f>VLOOKUP(VLOOKUP(Q638&amp;"_"&amp;R638,活动关卡!$A$88:$Z$111,2+5*S638,FALSE),'⚪设计'!$B$85:$H$114,2,FALSE)</f>
        <v>ResUnit_MiFeng2</v>
      </c>
      <c r="E638" s="55">
        <f>VLOOKUP(VLOOKUP(Q638&amp;"_"&amp;R638,活动关卡!$A$88:$Z$111,2+5*S638,FALSE),'⚪设计'!$B$85:$H$114,6,FALSE)*VLOOKUP(Q638&amp;"_"&amp;R638,活动关卡!$A$88:$Z$111,5,FALSE)</f>
        <v>2</v>
      </c>
      <c r="F638">
        <v>400</v>
      </c>
      <c r="G638" t="b">
        <v>1</v>
      </c>
      <c r="H638">
        <v>1</v>
      </c>
      <c r="I638">
        <v>1</v>
      </c>
      <c r="J638">
        <v>0.5</v>
      </c>
      <c r="K638" s="55">
        <f>VLOOKUP(VLOOKUP(Q638&amp;"_"&amp;R638,活动关卡!$A$88:$Z$111,2+5*S638,FALSE),'⚪设计'!$B$85:$H$114,7,FALSE)</f>
        <v>1.5</v>
      </c>
      <c r="L638" s="57" t="s">
        <v>2329</v>
      </c>
      <c r="M638" t="s">
        <v>468</v>
      </c>
      <c r="N638" t="s">
        <v>469</v>
      </c>
      <c r="O638" t="s">
        <v>470</v>
      </c>
      <c r="P638" s="57" t="str">
        <f>IF(VLOOKUP(D638,'⚪设计'!$C$85:$I$113,7,FALSE)="","",VLOOKUP(D638,'⚪设计'!$C$85:$I$113,7,FALSE))</f>
        <v/>
      </c>
      <c r="Q638" s="110" t="str">
        <f t="shared" si="25"/>
        <v>3</v>
      </c>
      <c r="R638" s="110" t="str">
        <f t="shared" si="26"/>
        <v>2</v>
      </c>
      <c r="S638" s="110" t="str">
        <f t="shared" si="27"/>
        <v>2</v>
      </c>
    </row>
    <row r="639" spans="2:19" x14ac:dyDescent="0.2">
      <c r="B639" s="57" t="s">
        <v>2622</v>
      </c>
      <c r="C639" s="57" t="s">
        <v>2914</v>
      </c>
      <c r="D639" s="55" t="str">
        <f>VLOOKUP(VLOOKUP(Q639&amp;"_"&amp;R639,活动关卡!$A$88:$Z$111,2+5*S639,FALSE),'⚪设计'!$B$85:$H$114,2,FALSE)</f>
        <v>ResUnit_WuGui2</v>
      </c>
      <c r="E639" s="55">
        <f>VLOOKUP(VLOOKUP(Q639&amp;"_"&amp;R639,活动关卡!$A$88:$Z$111,2+5*S639,FALSE),'⚪设计'!$B$85:$H$114,6,FALSE)*VLOOKUP(Q639&amp;"_"&amp;R639,活动关卡!$A$88:$Z$111,5,FALSE)</f>
        <v>2</v>
      </c>
      <c r="F639">
        <v>400</v>
      </c>
      <c r="G639" t="b">
        <v>1</v>
      </c>
      <c r="H639">
        <v>1</v>
      </c>
      <c r="I639">
        <v>1</v>
      </c>
      <c r="J639">
        <v>0.5</v>
      </c>
      <c r="K639" s="55">
        <f>VLOOKUP(VLOOKUP(Q639&amp;"_"&amp;R639,活动关卡!$A$88:$Z$111,2+5*S639,FALSE),'⚪设计'!$B$85:$H$114,7,FALSE)</f>
        <v>1.5</v>
      </c>
      <c r="L639" s="57" t="s">
        <v>2330</v>
      </c>
      <c r="M639" t="s">
        <v>468</v>
      </c>
      <c r="N639" t="s">
        <v>469</v>
      </c>
      <c r="O639" t="s">
        <v>470</v>
      </c>
      <c r="P639" s="57" t="str">
        <f>IF(VLOOKUP(D639,'⚪设计'!$C$85:$I$113,7,FALSE)="","",VLOOKUP(D639,'⚪设计'!$C$85:$I$113,7,FALSE))</f>
        <v>Skill_Monster_WuGui2,NormalAttack</v>
      </c>
      <c r="Q639" s="110" t="str">
        <f t="shared" si="25"/>
        <v>3</v>
      </c>
      <c r="R639" s="110" t="str">
        <f t="shared" si="26"/>
        <v>2</v>
      </c>
      <c r="S639" s="110" t="str">
        <f t="shared" si="27"/>
        <v>3</v>
      </c>
    </row>
    <row r="640" spans="2:19" x14ac:dyDescent="0.2">
      <c r="B640" s="57" t="s">
        <v>2623</v>
      </c>
      <c r="C640" s="57" t="s">
        <v>2915</v>
      </c>
      <c r="D640" s="55" t="str">
        <f>VLOOKUP(VLOOKUP(Q640&amp;"_"&amp;R640,活动关卡!$A$88:$Z$111,2+5*S640,FALSE),'⚪设计'!$B$85:$H$114,2,FALSE)</f>
        <v>ResUnit_ZhongZi1</v>
      </c>
      <c r="E640" s="55">
        <f>VLOOKUP(VLOOKUP(Q640&amp;"_"&amp;R640,活动关卡!$A$88:$Z$111,2+5*S640,FALSE),'⚪设计'!$B$85:$H$114,6,FALSE)*VLOOKUP(Q640&amp;"_"&amp;R640,活动关卡!$A$88:$Z$111,5,FALSE)</f>
        <v>2</v>
      </c>
      <c r="F640">
        <v>400</v>
      </c>
      <c r="G640" t="b">
        <v>1</v>
      </c>
      <c r="H640">
        <v>1</v>
      </c>
      <c r="I640">
        <v>1</v>
      </c>
      <c r="J640">
        <v>0.5</v>
      </c>
      <c r="K640" s="55">
        <f>VLOOKUP(VLOOKUP(Q640&amp;"_"&amp;R640,活动关卡!$A$88:$Z$111,2+5*S640,FALSE),'⚪设计'!$B$85:$H$114,7,FALSE)</f>
        <v>1</v>
      </c>
      <c r="L640" s="57" t="s">
        <v>2331</v>
      </c>
      <c r="M640" t="s">
        <v>468</v>
      </c>
      <c r="N640" t="s">
        <v>469</v>
      </c>
      <c r="O640" t="s">
        <v>470</v>
      </c>
      <c r="P640" s="57" t="str">
        <f>IF(VLOOKUP(D640,'⚪设计'!$C$85:$I$113,7,FALSE)="","",VLOOKUP(D640,'⚪设计'!$C$85:$I$113,7,FALSE))</f>
        <v>Skill_Monster_Heal,NormalAttack</v>
      </c>
      <c r="Q640" s="110" t="str">
        <f t="shared" si="25"/>
        <v>3</v>
      </c>
      <c r="R640" s="110" t="str">
        <f t="shared" si="26"/>
        <v>3</v>
      </c>
      <c r="S640" s="110" t="str">
        <f t="shared" si="27"/>
        <v>1</v>
      </c>
    </row>
    <row r="641" spans="2:19" x14ac:dyDescent="0.2">
      <c r="B641" s="57" t="s">
        <v>2624</v>
      </c>
      <c r="C641" s="57" t="s">
        <v>2916</v>
      </c>
      <c r="D641" s="55" t="str">
        <f>VLOOKUP(VLOOKUP(Q641&amp;"_"&amp;R641,活动关卡!$A$88:$Z$111,2+5*S641,FALSE),'⚪设计'!$B$85:$H$114,2,FALSE)</f>
        <v>ResUnit_BianFu1</v>
      </c>
      <c r="E641" s="55">
        <f>VLOOKUP(VLOOKUP(Q641&amp;"_"&amp;R641,活动关卡!$A$88:$Z$111,2+5*S641,FALSE),'⚪设计'!$B$85:$H$114,6,FALSE)*VLOOKUP(Q641&amp;"_"&amp;R641,活动关卡!$A$88:$Z$111,5,FALSE)</f>
        <v>2</v>
      </c>
      <c r="F641">
        <v>400</v>
      </c>
      <c r="G641" t="b">
        <v>1</v>
      </c>
      <c r="H641">
        <v>1</v>
      </c>
      <c r="I641">
        <v>1</v>
      </c>
      <c r="J641">
        <v>0.5</v>
      </c>
      <c r="K641" s="55">
        <f>VLOOKUP(VLOOKUP(Q641&amp;"_"&amp;R641,活动关卡!$A$88:$Z$111,2+5*S641,FALSE),'⚪设计'!$B$85:$H$114,7,FALSE)</f>
        <v>1</v>
      </c>
      <c r="L641" s="57" t="s">
        <v>2332</v>
      </c>
      <c r="M641" t="s">
        <v>468</v>
      </c>
      <c r="N641" t="s">
        <v>469</v>
      </c>
      <c r="O641" t="s">
        <v>470</v>
      </c>
      <c r="P641" s="57" t="str">
        <f>IF(VLOOKUP(D641,'⚪设计'!$C$85:$I$113,7,FALSE)="","",VLOOKUP(D641,'⚪设计'!$C$85:$I$113,7,FALSE))</f>
        <v/>
      </c>
      <c r="Q641" s="110" t="str">
        <f t="shared" si="25"/>
        <v>3</v>
      </c>
      <c r="R641" s="110" t="str">
        <f t="shared" si="26"/>
        <v>3</v>
      </c>
      <c r="S641" s="110" t="str">
        <f t="shared" si="27"/>
        <v>2</v>
      </c>
    </row>
    <row r="642" spans="2:19" x14ac:dyDescent="0.2">
      <c r="B642" s="57" t="s">
        <v>2625</v>
      </c>
      <c r="C642" s="57" t="s">
        <v>2917</v>
      </c>
      <c r="D642" s="55" t="str">
        <f>VLOOKUP(VLOOKUP(Q642&amp;"_"&amp;R642,活动关卡!$A$88:$Z$111,2+5*S642,FALSE),'⚪设计'!$B$85:$H$114,2,FALSE)</f>
        <v>ResUnit_WuGui2</v>
      </c>
      <c r="E642" s="55">
        <f>VLOOKUP(VLOOKUP(Q642&amp;"_"&amp;R642,活动关卡!$A$88:$Z$111,2+5*S642,FALSE),'⚪设计'!$B$85:$H$114,6,FALSE)*VLOOKUP(Q642&amp;"_"&amp;R642,活动关卡!$A$88:$Z$111,5,FALSE)</f>
        <v>2</v>
      </c>
      <c r="F642">
        <v>400</v>
      </c>
      <c r="G642" t="b">
        <v>1</v>
      </c>
      <c r="H642">
        <v>1</v>
      </c>
      <c r="I642">
        <v>1</v>
      </c>
      <c r="J642">
        <v>0.5</v>
      </c>
      <c r="K642" s="55">
        <f>VLOOKUP(VLOOKUP(Q642&amp;"_"&amp;R642,活动关卡!$A$88:$Z$111,2+5*S642,FALSE),'⚪设计'!$B$85:$H$114,7,FALSE)</f>
        <v>1.5</v>
      </c>
      <c r="L642" s="57" t="s">
        <v>2333</v>
      </c>
      <c r="M642" t="s">
        <v>468</v>
      </c>
      <c r="N642" t="s">
        <v>469</v>
      </c>
      <c r="O642" t="s">
        <v>470</v>
      </c>
      <c r="P642" s="57" t="str">
        <f>IF(VLOOKUP(D642,'⚪设计'!$C$85:$I$113,7,FALSE)="","",VLOOKUP(D642,'⚪设计'!$C$85:$I$113,7,FALSE))</f>
        <v>Skill_Monster_WuGui2,NormalAttack</v>
      </c>
      <c r="Q642" s="110" t="str">
        <f t="shared" si="25"/>
        <v>3</v>
      </c>
      <c r="R642" s="110" t="str">
        <f t="shared" si="26"/>
        <v>3</v>
      </c>
      <c r="S642" s="110" t="str">
        <f t="shared" si="27"/>
        <v>3</v>
      </c>
    </row>
    <row r="643" spans="2:19" x14ac:dyDescent="0.2">
      <c r="B643" s="57" t="s">
        <v>2626</v>
      </c>
      <c r="C643" s="57" t="s">
        <v>2918</v>
      </c>
      <c r="D643" s="55" t="str">
        <f>VLOOKUP(VLOOKUP(Q643&amp;"_"&amp;R643,活动关卡!$A$88:$Z$111,2+5*S643,FALSE),'⚪设计'!$B$85:$H$114,2,FALSE)</f>
        <v>ResUnit_Gui1</v>
      </c>
      <c r="E643" s="55">
        <f>VLOOKUP(VLOOKUP(Q643&amp;"_"&amp;R643,活动关卡!$A$88:$Z$111,2+5*S643,FALSE),'⚪设计'!$B$85:$H$114,6,FALSE)*VLOOKUP(Q643&amp;"_"&amp;R643,活动关卡!$A$88:$Z$111,5,FALSE)</f>
        <v>2</v>
      </c>
      <c r="F643">
        <v>400</v>
      </c>
      <c r="G643" t="b">
        <v>1</v>
      </c>
      <c r="H643">
        <v>1</v>
      </c>
      <c r="I643">
        <v>1</v>
      </c>
      <c r="J643">
        <v>0.5</v>
      </c>
      <c r="K643" s="55">
        <f>VLOOKUP(VLOOKUP(Q643&amp;"_"&amp;R643,活动关卡!$A$88:$Z$111,2+5*S643,FALSE),'⚪设计'!$B$85:$H$114,7,FALSE)</f>
        <v>1</v>
      </c>
      <c r="L643" s="57" t="s">
        <v>2334</v>
      </c>
      <c r="M643" t="s">
        <v>468</v>
      </c>
      <c r="N643" t="s">
        <v>469</v>
      </c>
      <c r="O643" t="s">
        <v>470</v>
      </c>
      <c r="P643" s="57" t="str">
        <f>IF(VLOOKUP(D643,'⚪设计'!$C$85:$I$113,7,FALSE)="","",VLOOKUP(D643,'⚪设计'!$C$85:$I$113,7,FALSE))</f>
        <v>Skill_Monster_Invisible,NormalAttack</v>
      </c>
      <c r="Q643" s="110" t="str">
        <f t="shared" si="25"/>
        <v>4</v>
      </c>
      <c r="R643" s="110" t="str">
        <f t="shared" si="26"/>
        <v>1</v>
      </c>
      <c r="S643" s="110" t="str">
        <f t="shared" si="27"/>
        <v>1</v>
      </c>
    </row>
    <row r="644" spans="2:19" x14ac:dyDescent="0.2">
      <c r="B644" s="57" t="s">
        <v>2627</v>
      </c>
      <c r="C644" s="57" t="s">
        <v>2919</v>
      </c>
      <c r="D644" s="55" t="str">
        <f>VLOOKUP(VLOOKUP(Q644&amp;"_"&amp;R644,活动关卡!$A$88:$Z$111,2+5*S644,FALSE),'⚪设计'!$B$85:$H$114,2,FALSE)</f>
        <v>ResUnit_WuGui2</v>
      </c>
      <c r="E644" s="55">
        <f>VLOOKUP(VLOOKUP(Q644&amp;"_"&amp;R644,活动关卡!$A$88:$Z$111,2+5*S644,FALSE),'⚪设计'!$B$85:$H$114,6,FALSE)*VLOOKUP(Q644&amp;"_"&amp;R644,活动关卡!$A$88:$Z$111,5,FALSE)</f>
        <v>2</v>
      </c>
      <c r="F644">
        <v>400</v>
      </c>
      <c r="G644" t="b">
        <v>1</v>
      </c>
      <c r="H644">
        <v>1</v>
      </c>
      <c r="I644">
        <v>1</v>
      </c>
      <c r="J644">
        <v>0.5</v>
      </c>
      <c r="K644" s="55">
        <f>VLOOKUP(VLOOKUP(Q644&amp;"_"&amp;R644,活动关卡!$A$88:$Z$111,2+5*S644,FALSE),'⚪设计'!$B$85:$H$114,7,FALSE)</f>
        <v>1.5</v>
      </c>
      <c r="L644" s="57" t="s">
        <v>2335</v>
      </c>
      <c r="M644" t="s">
        <v>468</v>
      </c>
      <c r="N644" t="s">
        <v>469</v>
      </c>
      <c r="O644" t="s">
        <v>470</v>
      </c>
      <c r="P644" s="57" t="str">
        <f>IF(VLOOKUP(D644,'⚪设计'!$C$85:$I$113,7,FALSE)="","",VLOOKUP(D644,'⚪设计'!$C$85:$I$113,7,FALSE))</f>
        <v>Skill_Monster_WuGui2,NormalAttack</v>
      </c>
      <c r="Q644" s="110" t="str">
        <f t="shared" si="25"/>
        <v>4</v>
      </c>
      <c r="R644" s="110" t="str">
        <f t="shared" si="26"/>
        <v>1</v>
      </c>
      <c r="S644" s="110" t="str">
        <f t="shared" si="27"/>
        <v>2</v>
      </c>
    </row>
    <row r="645" spans="2:19" x14ac:dyDescent="0.2">
      <c r="B645" s="57" t="s">
        <v>2628</v>
      </c>
      <c r="C645" s="57" t="s">
        <v>2920</v>
      </c>
      <c r="D645" s="55" t="str">
        <f>VLOOKUP(VLOOKUP(Q645&amp;"_"&amp;R645,活动关卡!$A$88:$Z$111,2+5*S645,FALSE),'⚪设计'!$B$85:$H$114,2,FALSE)</f>
        <v>ResUnit_Gui1</v>
      </c>
      <c r="E645" s="55">
        <f>VLOOKUP(VLOOKUP(Q645&amp;"_"&amp;R645,活动关卡!$A$88:$Z$111,2+5*S645,FALSE),'⚪设计'!$B$85:$H$114,6,FALSE)*VLOOKUP(Q645&amp;"_"&amp;R645,活动关卡!$A$88:$Z$111,5,FALSE)</f>
        <v>2</v>
      </c>
      <c r="F645">
        <v>400</v>
      </c>
      <c r="G645" t="b">
        <v>1</v>
      </c>
      <c r="H645">
        <v>1</v>
      </c>
      <c r="I645">
        <v>1</v>
      </c>
      <c r="J645">
        <v>0.5</v>
      </c>
      <c r="K645" s="55">
        <f>VLOOKUP(VLOOKUP(Q645&amp;"_"&amp;R645,活动关卡!$A$88:$Z$111,2+5*S645,FALSE),'⚪设计'!$B$85:$H$114,7,FALSE)</f>
        <v>1</v>
      </c>
      <c r="L645" s="57" t="s">
        <v>2336</v>
      </c>
      <c r="M645" t="s">
        <v>468</v>
      </c>
      <c r="N645" t="s">
        <v>469</v>
      </c>
      <c r="O645" t="s">
        <v>470</v>
      </c>
      <c r="P645" s="57" t="str">
        <f>IF(VLOOKUP(D645,'⚪设计'!$C$85:$I$113,7,FALSE)="","",VLOOKUP(D645,'⚪设计'!$C$85:$I$113,7,FALSE))</f>
        <v>Skill_Monster_Invisible,NormalAttack</v>
      </c>
      <c r="Q645" s="110" t="str">
        <f t="shared" si="25"/>
        <v>4</v>
      </c>
      <c r="R645" s="110" t="str">
        <f t="shared" si="26"/>
        <v>2</v>
      </c>
      <c r="S645" s="110" t="str">
        <f t="shared" si="27"/>
        <v>1</v>
      </c>
    </row>
    <row r="646" spans="2:19" x14ac:dyDescent="0.2">
      <c r="B646" s="57" t="s">
        <v>2629</v>
      </c>
      <c r="C646" s="57" t="s">
        <v>2921</v>
      </c>
      <c r="D646" s="55" t="str">
        <f>VLOOKUP(VLOOKUP(Q646&amp;"_"&amp;R646,活动关卡!$A$88:$Z$111,2+5*S646,FALSE),'⚪设计'!$B$85:$H$114,2,FALSE)</f>
        <v>ResUnit_MiFeng2</v>
      </c>
      <c r="E646" s="55">
        <f>VLOOKUP(VLOOKUP(Q646&amp;"_"&amp;R646,活动关卡!$A$88:$Z$111,2+5*S646,FALSE),'⚪设计'!$B$85:$H$114,6,FALSE)*VLOOKUP(Q646&amp;"_"&amp;R646,活动关卡!$A$88:$Z$111,5,FALSE)</f>
        <v>2</v>
      </c>
      <c r="F646">
        <v>400</v>
      </c>
      <c r="G646" t="b">
        <v>1</v>
      </c>
      <c r="H646">
        <v>1</v>
      </c>
      <c r="I646">
        <v>1</v>
      </c>
      <c r="J646">
        <v>0.5</v>
      </c>
      <c r="K646" s="55">
        <f>VLOOKUP(VLOOKUP(Q646&amp;"_"&amp;R646,活动关卡!$A$88:$Z$111,2+5*S646,FALSE),'⚪设计'!$B$85:$H$114,7,FALSE)</f>
        <v>1.5</v>
      </c>
      <c r="L646" s="57" t="s">
        <v>2337</v>
      </c>
      <c r="M646" t="s">
        <v>468</v>
      </c>
      <c r="N646" t="s">
        <v>469</v>
      </c>
      <c r="O646" t="s">
        <v>470</v>
      </c>
      <c r="P646" s="57" t="str">
        <f>IF(VLOOKUP(D646,'⚪设计'!$C$85:$I$113,7,FALSE)="","",VLOOKUP(D646,'⚪设计'!$C$85:$I$113,7,FALSE))</f>
        <v/>
      </c>
      <c r="Q646" s="110" t="str">
        <f t="shared" si="25"/>
        <v>4</v>
      </c>
      <c r="R646" s="110" t="str">
        <f t="shared" si="26"/>
        <v>2</v>
      </c>
      <c r="S646" s="110" t="str">
        <f t="shared" si="27"/>
        <v>2</v>
      </c>
    </row>
    <row r="647" spans="2:19" x14ac:dyDescent="0.2">
      <c r="B647" s="57" t="s">
        <v>2630</v>
      </c>
      <c r="C647" s="57" t="s">
        <v>2922</v>
      </c>
      <c r="D647" s="55" t="str">
        <f>VLOOKUP(VLOOKUP(Q647&amp;"_"&amp;R647,活动关卡!$A$88:$Z$111,2+5*S647,FALSE),'⚪设计'!$B$85:$H$114,2,FALSE)</f>
        <v>ResUnit_WuGui2</v>
      </c>
      <c r="E647" s="55">
        <f>VLOOKUP(VLOOKUP(Q647&amp;"_"&amp;R647,活动关卡!$A$88:$Z$111,2+5*S647,FALSE),'⚪设计'!$B$85:$H$114,6,FALSE)*VLOOKUP(Q647&amp;"_"&amp;R647,活动关卡!$A$88:$Z$111,5,FALSE)</f>
        <v>2</v>
      </c>
      <c r="F647">
        <v>400</v>
      </c>
      <c r="G647" t="b">
        <v>1</v>
      </c>
      <c r="H647">
        <v>1</v>
      </c>
      <c r="I647">
        <v>1</v>
      </c>
      <c r="J647">
        <v>0.5</v>
      </c>
      <c r="K647" s="55">
        <f>VLOOKUP(VLOOKUP(Q647&amp;"_"&amp;R647,活动关卡!$A$88:$Z$111,2+5*S647,FALSE),'⚪设计'!$B$85:$H$114,7,FALSE)</f>
        <v>1.5</v>
      </c>
      <c r="L647" s="57" t="s">
        <v>2338</v>
      </c>
      <c r="M647" t="s">
        <v>468</v>
      </c>
      <c r="N647" t="s">
        <v>469</v>
      </c>
      <c r="O647" t="s">
        <v>470</v>
      </c>
      <c r="P647" s="57" t="str">
        <f>IF(VLOOKUP(D647,'⚪设计'!$C$85:$I$113,7,FALSE)="","",VLOOKUP(D647,'⚪设计'!$C$85:$I$113,7,FALSE))</f>
        <v>Skill_Monster_WuGui2,NormalAttack</v>
      </c>
      <c r="Q647" s="110" t="str">
        <f t="shared" ref="Q647:Q684" si="28">LEFT(RIGHT(C647,5),1)</f>
        <v>4</v>
      </c>
      <c r="R647" s="110" t="str">
        <f t="shared" ref="R647:R684" si="29">LEFT(RIGHT(C647,3),1)</f>
        <v>2</v>
      </c>
      <c r="S647" s="110" t="str">
        <f t="shared" ref="S647:S684" si="30">RIGHT(C647,1)</f>
        <v>3</v>
      </c>
    </row>
    <row r="648" spans="2:19" x14ac:dyDescent="0.2">
      <c r="B648" s="57" t="s">
        <v>2631</v>
      </c>
      <c r="C648" s="57" t="s">
        <v>2923</v>
      </c>
      <c r="D648" s="55" t="str">
        <f>VLOOKUP(VLOOKUP(Q648&amp;"_"&amp;R648,活动关卡!$A$88:$Z$111,2+5*S648,FALSE),'⚪设计'!$B$85:$H$114,2,FALSE)</f>
        <v>ResUnit_Gui1</v>
      </c>
      <c r="E648" s="55">
        <f>VLOOKUP(VLOOKUP(Q648&amp;"_"&amp;R648,活动关卡!$A$88:$Z$111,2+5*S648,FALSE),'⚪设计'!$B$85:$H$114,6,FALSE)*VLOOKUP(Q648&amp;"_"&amp;R648,活动关卡!$A$88:$Z$111,5,FALSE)</f>
        <v>2</v>
      </c>
      <c r="F648">
        <v>400</v>
      </c>
      <c r="G648" t="b">
        <v>1</v>
      </c>
      <c r="H648">
        <v>1</v>
      </c>
      <c r="I648">
        <v>1</v>
      </c>
      <c r="J648">
        <v>0.5</v>
      </c>
      <c r="K648" s="55">
        <f>VLOOKUP(VLOOKUP(Q648&amp;"_"&amp;R648,活动关卡!$A$88:$Z$111,2+5*S648,FALSE),'⚪设计'!$B$85:$H$114,7,FALSE)</f>
        <v>1</v>
      </c>
      <c r="L648" s="57" t="s">
        <v>2339</v>
      </c>
      <c r="M648" t="s">
        <v>468</v>
      </c>
      <c r="N648" t="s">
        <v>469</v>
      </c>
      <c r="O648" t="s">
        <v>470</v>
      </c>
      <c r="P648" s="57" t="str">
        <f>IF(VLOOKUP(D648,'⚪设计'!$C$85:$I$113,7,FALSE)="","",VLOOKUP(D648,'⚪设计'!$C$85:$I$113,7,FALSE))</f>
        <v>Skill_Monster_Invisible,NormalAttack</v>
      </c>
      <c r="Q648" s="110" t="str">
        <f t="shared" si="28"/>
        <v>4</v>
      </c>
      <c r="R648" s="110" t="str">
        <f t="shared" si="29"/>
        <v>3</v>
      </c>
      <c r="S648" s="110" t="str">
        <f t="shared" si="30"/>
        <v>1</v>
      </c>
    </row>
    <row r="649" spans="2:19" x14ac:dyDescent="0.2">
      <c r="B649" s="57" t="s">
        <v>2632</v>
      </c>
      <c r="C649" s="57" t="s">
        <v>2924</v>
      </c>
      <c r="D649" s="55" t="str">
        <f>VLOOKUP(VLOOKUP(Q649&amp;"_"&amp;R649,活动关卡!$A$88:$Z$111,2+5*S649,FALSE),'⚪设计'!$B$85:$H$114,2,FALSE)</f>
        <v>ResUnit_BianFu1</v>
      </c>
      <c r="E649" s="55">
        <f>VLOOKUP(VLOOKUP(Q649&amp;"_"&amp;R649,活动关卡!$A$88:$Z$111,2+5*S649,FALSE),'⚪设计'!$B$85:$H$114,6,FALSE)*VLOOKUP(Q649&amp;"_"&amp;R649,活动关卡!$A$88:$Z$111,5,FALSE)</f>
        <v>2</v>
      </c>
      <c r="F649">
        <v>400</v>
      </c>
      <c r="G649" t="b">
        <v>1</v>
      </c>
      <c r="H649">
        <v>1</v>
      </c>
      <c r="I649">
        <v>1</v>
      </c>
      <c r="J649">
        <v>0.5</v>
      </c>
      <c r="K649" s="55">
        <f>VLOOKUP(VLOOKUP(Q649&amp;"_"&amp;R649,活动关卡!$A$88:$Z$111,2+5*S649,FALSE),'⚪设计'!$B$85:$H$114,7,FALSE)</f>
        <v>1</v>
      </c>
      <c r="L649" s="57" t="s">
        <v>2340</v>
      </c>
      <c r="M649" t="s">
        <v>468</v>
      </c>
      <c r="N649" t="s">
        <v>469</v>
      </c>
      <c r="O649" t="s">
        <v>470</v>
      </c>
      <c r="P649" s="57" t="str">
        <f>IF(VLOOKUP(D649,'⚪设计'!$C$85:$I$113,7,FALSE)="","",VLOOKUP(D649,'⚪设计'!$C$85:$I$113,7,FALSE))</f>
        <v/>
      </c>
      <c r="Q649" s="110" t="str">
        <f t="shared" si="28"/>
        <v>4</v>
      </c>
      <c r="R649" s="110" t="str">
        <f t="shared" si="29"/>
        <v>3</v>
      </c>
      <c r="S649" s="110" t="str">
        <f t="shared" si="30"/>
        <v>2</v>
      </c>
    </row>
    <row r="650" spans="2:19" x14ac:dyDescent="0.2">
      <c r="B650" s="57" t="s">
        <v>2633</v>
      </c>
      <c r="C650" s="57" t="s">
        <v>2925</v>
      </c>
      <c r="D650" s="55" t="str">
        <f>VLOOKUP(VLOOKUP(Q650&amp;"_"&amp;R650,活动关卡!$A$88:$Z$111,2+5*S650,FALSE),'⚪设计'!$B$85:$H$114,2,FALSE)</f>
        <v>ResUnit_WuGui2</v>
      </c>
      <c r="E650" s="55">
        <f>VLOOKUP(VLOOKUP(Q650&amp;"_"&amp;R650,活动关卡!$A$88:$Z$111,2+5*S650,FALSE),'⚪设计'!$B$85:$H$114,6,FALSE)*VLOOKUP(Q650&amp;"_"&amp;R650,活动关卡!$A$88:$Z$111,5,FALSE)</f>
        <v>2</v>
      </c>
      <c r="F650">
        <v>400</v>
      </c>
      <c r="G650" t="b">
        <v>1</v>
      </c>
      <c r="H650">
        <v>1</v>
      </c>
      <c r="I650">
        <v>1</v>
      </c>
      <c r="J650">
        <v>0.5</v>
      </c>
      <c r="K650" s="55">
        <f>VLOOKUP(VLOOKUP(Q650&amp;"_"&amp;R650,活动关卡!$A$88:$Z$111,2+5*S650,FALSE),'⚪设计'!$B$85:$H$114,7,FALSE)</f>
        <v>1.5</v>
      </c>
      <c r="L650" s="57" t="s">
        <v>2341</v>
      </c>
      <c r="M650" t="s">
        <v>468</v>
      </c>
      <c r="N650" t="s">
        <v>469</v>
      </c>
      <c r="O650" t="s">
        <v>470</v>
      </c>
      <c r="P650" s="57" t="str">
        <f>IF(VLOOKUP(D650,'⚪设计'!$C$85:$I$113,7,FALSE)="","",VLOOKUP(D650,'⚪设计'!$C$85:$I$113,7,FALSE))</f>
        <v>Skill_Monster_WuGui2,NormalAttack</v>
      </c>
      <c r="Q650" s="110" t="str">
        <f t="shared" si="28"/>
        <v>4</v>
      </c>
      <c r="R650" s="110" t="str">
        <f t="shared" si="29"/>
        <v>3</v>
      </c>
      <c r="S650" s="110" t="str">
        <f t="shared" si="30"/>
        <v>3</v>
      </c>
    </row>
    <row r="651" spans="2:19" x14ac:dyDescent="0.2">
      <c r="B651" s="57" t="s">
        <v>2634</v>
      </c>
      <c r="C651" s="57" t="s">
        <v>2926</v>
      </c>
      <c r="D651" s="55" t="str">
        <f>VLOOKUP(VLOOKUP(Q651&amp;"_"&amp;R651,活动关卡!$A$88:$Z$111,2+5*S651,FALSE),'⚪设计'!$B$85:$H$114,2,FALSE)</f>
        <v>ResUnit_Gui1</v>
      </c>
      <c r="E651" s="55">
        <f>VLOOKUP(VLOOKUP(Q651&amp;"_"&amp;R651,活动关卡!$A$88:$Z$111,2+5*S651,FALSE),'⚪设计'!$B$85:$H$114,6,FALSE)*VLOOKUP(Q651&amp;"_"&amp;R651,活动关卡!$A$88:$Z$111,5,FALSE)</f>
        <v>2</v>
      </c>
      <c r="F651">
        <v>400</v>
      </c>
      <c r="G651" t="b">
        <v>1</v>
      </c>
      <c r="H651">
        <v>1</v>
      </c>
      <c r="I651">
        <v>1</v>
      </c>
      <c r="J651">
        <v>0.5</v>
      </c>
      <c r="K651" s="55">
        <f>VLOOKUP(VLOOKUP(Q651&amp;"_"&amp;R651,活动关卡!$A$88:$Z$111,2+5*S651,FALSE),'⚪设计'!$B$85:$H$114,7,FALSE)</f>
        <v>1</v>
      </c>
      <c r="L651" s="57" t="s">
        <v>2342</v>
      </c>
      <c r="M651" t="s">
        <v>468</v>
      </c>
      <c r="N651" t="s">
        <v>469</v>
      </c>
      <c r="O651" t="s">
        <v>470</v>
      </c>
      <c r="P651" s="57" t="str">
        <f>IF(VLOOKUP(D651,'⚪设计'!$C$85:$I$113,7,FALSE)="","",VLOOKUP(D651,'⚪设计'!$C$85:$I$113,7,FALSE))</f>
        <v>Skill_Monster_Invisible,NormalAttack</v>
      </c>
      <c r="Q651" s="110" t="str">
        <f t="shared" si="28"/>
        <v>4</v>
      </c>
      <c r="R651" s="110" t="str">
        <f t="shared" si="29"/>
        <v>4</v>
      </c>
      <c r="S651" s="110" t="str">
        <f t="shared" si="30"/>
        <v>1</v>
      </c>
    </row>
    <row r="652" spans="2:19" x14ac:dyDescent="0.2">
      <c r="B652" s="57" t="s">
        <v>2635</v>
      </c>
      <c r="C652" s="57" t="s">
        <v>2927</v>
      </c>
      <c r="D652" s="55" t="str">
        <f>VLOOKUP(VLOOKUP(Q652&amp;"_"&amp;R652,活动关卡!$A$88:$Z$111,2+5*S652,FALSE),'⚪设计'!$B$85:$H$114,2,FALSE)</f>
        <v>ResUnit_ZhiZhu1</v>
      </c>
      <c r="E652" s="55">
        <f>VLOOKUP(VLOOKUP(Q652&amp;"_"&amp;R652,活动关卡!$A$88:$Z$111,2+5*S652,FALSE),'⚪设计'!$B$85:$H$114,6,FALSE)*VLOOKUP(Q652&amp;"_"&amp;R652,活动关卡!$A$88:$Z$111,5,FALSE)</f>
        <v>3</v>
      </c>
      <c r="F652">
        <v>400</v>
      </c>
      <c r="G652" t="b">
        <v>1</v>
      </c>
      <c r="H652">
        <v>1</v>
      </c>
      <c r="I652">
        <v>1</v>
      </c>
      <c r="J652">
        <v>0.5</v>
      </c>
      <c r="K652" s="55">
        <f>VLOOKUP(VLOOKUP(Q652&amp;"_"&amp;R652,活动关卡!$A$88:$Z$111,2+5*S652,FALSE),'⚪设计'!$B$85:$H$114,7,FALSE)</f>
        <v>1</v>
      </c>
      <c r="L652" s="57" t="s">
        <v>2343</v>
      </c>
      <c r="M652" t="s">
        <v>468</v>
      </c>
      <c r="N652" t="s">
        <v>469</v>
      </c>
      <c r="O652" t="s">
        <v>470</v>
      </c>
      <c r="P652" s="57" t="str">
        <f>IF(VLOOKUP(D652,'⚪设计'!$C$85:$I$113,7,FALSE)="","",VLOOKUP(D652,'⚪设计'!$C$85:$I$113,7,FALSE))</f>
        <v/>
      </c>
      <c r="Q652" s="110" t="str">
        <f t="shared" si="28"/>
        <v>4</v>
      </c>
      <c r="R652" s="110" t="str">
        <f t="shared" si="29"/>
        <v>4</v>
      </c>
      <c r="S652" s="110" t="str">
        <f t="shared" si="30"/>
        <v>2</v>
      </c>
    </row>
    <row r="653" spans="2:19" x14ac:dyDescent="0.2">
      <c r="B653" s="57" t="s">
        <v>2636</v>
      </c>
      <c r="C653" s="57" t="s">
        <v>2928</v>
      </c>
      <c r="D653" s="55" t="str">
        <f>VLOOKUP(VLOOKUP(Q653&amp;"_"&amp;R653,活动关卡!$A$88:$Z$111,2+5*S653,FALSE),'⚪设计'!$B$85:$H$114,2,FALSE)</f>
        <v>ResUnit_WuGui2</v>
      </c>
      <c r="E653" s="55">
        <f>VLOOKUP(VLOOKUP(Q653&amp;"_"&amp;R653,活动关卡!$A$88:$Z$111,2+5*S653,FALSE),'⚪设计'!$B$85:$H$114,6,FALSE)*VLOOKUP(Q653&amp;"_"&amp;R653,活动关卡!$A$88:$Z$111,5,FALSE)</f>
        <v>2</v>
      </c>
      <c r="F653">
        <v>400</v>
      </c>
      <c r="G653" t="b">
        <v>1</v>
      </c>
      <c r="H653">
        <v>1</v>
      </c>
      <c r="I653">
        <v>1</v>
      </c>
      <c r="J653">
        <v>0.5</v>
      </c>
      <c r="K653" s="55">
        <f>VLOOKUP(VLOOKUP(Q653&amp;"_"&amp;R653,活动关卡!$A$88:$Z$111,2+5*S653,FALSE),'⚪设计'!$B$85:$H$114,7,FALSE)</f>
        <v>1.5</v>
      </c>
      <c r="L653" s="57" t="s">
        <v>2344</v>
      </c>
      <c r="M653" t="s">
        <v>468</v>
      </c>
      <c r="N653" t="s">
        <v>469</v>
      </c>
      <c r="O653" t="s">
        <v>470</v>
      </c>
      <c r="P653" s="57" t="str">
        <f>IF(VLOOKUP(D653,'⚪设计'!$C$85:$I$113,7,FALSE)="","",VLOOKUP(D653,'⚪设计'!$C$85:$I$113,7,FALSE))</f>
        <v>Skill_Monster_WuGui2,NormalAttack</v>
      </c>
      <c r="Q653" s="110" t="str">
        <f t="shared" si="28"/>
        <v>4</v>
      </c>
      <c r="R653" s="110" t="str">
        <f t="shared" si="29"/>
        <v>4</v>
      </c>
      <c r="S653" s="110" t="str">
        <f t="shared" si="30"/>
        <v>3</v>
      </c>
    </row>
    <row r="654" spans="2:19" x14ac:dyDescent="0.2">
      <c r="B654" s="57" t="s">
        <v>2637</v>
      </c>
      <c r="C654" s="57" t="s">
        <v>2929</v>
      </c>
      <c r="D654" s="55" t="str">
        <f>VLOOKUP(VLOOKUP(Q654&amp;"_"&amp;R654,活动关卡!$A$88:$Z$111,2+5*S654,FALSE),'⚪设计'!$B$85:$H$114,2,FALSE)</f>
        <v>ResUnit_Gui1</v>
      </c>
      <c r="E654" s="55">
        <f>VLOOKUP(VLOOKUP(Q654&amp;"_"&amp;R654,活动关卡!$A$88:$Z$111,2+5*S654,FALSE),'⚪设计'!$B$85:$H$114,6,FALSE)*VLOOKUP(Q654&amp;"_"&amp;R654,活动关卡!$A$88:$Z$111,5,FALSE)</f>
        <v>2</v>
      </c>
      <c r="F654">
        <v>400</v>
      </c>
      <c r="G654" t="b">
        <v>1</v>
      </c>
      <c r="H654">
        <v>1</v>
      </c>
      <c r="I654">
        <v>1</v>
      </c>
      <c r="J654">
        <v>0.5</v>
      </c>
      <c r="K654" s="55">
        <f>VLOOKUP(VLOOKUP(Q654&amp;"_"&amp;R654,活动关卡!$A$88:$Z$111,2+5*S654,FALSE),'⚪设计'!$B$85:$H$114,7,FALSE)</f>
        <v>1</v>
      </c>
      <c r="L654" s="57" t="s">
        <v>2345</v>
      </c>
      <c r="M654" t="s">
        <v>468</v>
      </c>
      <c r="N654" t="s">
        <v>469</v>
      </c>
      <c r="O654" t="s">
        <v>470</v>
      </c>
      <c r="P654" s="57" t="str">
        <f>IF(VLOOKUP(D654,'⚪设计'!$C$85:$I$113,7,FALSE)="","",VLOOKUP(D654,'⚪设计'!$C$85:$I$113,7,FALSE))</f>
        <v>Skill_Monster_Invisible,NormalAttack</v>
      </c>
      <c r="Q654" s="110" t="str">
        <f t="shared" si="28"/>
        <v>4</v>
      </c>
      <c r="R654" s="110" t="str">
        <f t="shared" si="29"/>
        <v>5</v>
      </c>
      <c r="S654" s="110" t="str">
        <f t="shared" si="30"/>
        <v>1</v>
      </c>
    </row>
    <row r="655" spans="2:19" x14ac:dyDescent="0.2">
      <c r="B655" s="57" t="s">
        <v>2638</v>
      </c>
      <c r="C655" s="57" t="s">
        <v>2930</v>
      </c>
      <c r="D655" s="55" t="str">
        <f>VLOOKUP(VLOOKUP(Q655&amp;"_"&amp;R655,活动关卡!$A$88:$Z$111,2+5*S655,FALSE),'⚪设计'!$B$85:$H$114,2,FALSE)</f>
        <v>ResUnit_ZhongZi1</v>
      </c>
      <c r="E655" s="55">
        <f>VLOOKUP(VLOOKUP(Q655&amp;"_"&amp;R655,活动关卡!$A$88:$Z$111,2+5*S655,FALSE),'⚪设计'!$B$85:$H$114,6,FALSE)*VLOOKUP(Q655&amp;"_"&amp;R655,活动关卡!$A$88:$Z$111,5,FALSE)</f>
        <v>2</v>
      </c>
      <c r="F655">
        <v>400</v>
      </c>
      <c r="G655" t="b">
        <v>1</v>
      </c>
      <c r="H655">
        <v>1</v>
      </c>
      <c r="I655">
        <v>1</v>
      </c>
      <c r="J655">
        <v>0.5</v>
      </c>
      <c r="K655" s="55">
        <f>VLOOKUP(VLOOKUP(Q655&amp;"_"&amp;R655,活动关卡!$A$88:$Z$111,2+5*S655,FALSE),'⚪设计'!$B$85:$H$114,7,FALSE)</f>
        <v>1</v>
      </c>
      <c r="L655" s="57" t="s">
        <v>2346</v>
      </c>
      <c r="M655" t="s">
        <v>468</v>
      </c>
      <c r="N655" t="s">
        <v>469</v>
      </c>
      <c r="O655" t="s">
        <v>470</v>
      </c>
      <c r="P655" s="57" t="str">
        <f>IF(VLOOKUP(D655,'⚪设计'!$C$85:$I$113,7,FALSE)="","",VLOOKUP(D655,'⚪设计'!$C$85:$I$113,7,FALSE))</f>
        <v>Skill_Monster_Heal,NormalAttack</v>
      </c>
      <c r="Q655" s="110" t="str">
        <f t="shared" si="28"/>
        <v>4</v>
      </c>
      <c r="R655" s="110" t="str">
        <f t="shared" si="29"/>
        <v>5</v>
      </c>
      <c r="S655" s="110" t="str">
        <f t="shared" si="30"/>
        <v>2</v>
      </c>
    </row>
    <row r="656" spans="2:19" x14ac:dyDescent="0.2">
      <c r="B656" s="57" t="s">
        <v>2639</v>
      </c>
      <c r="C656" s="57" t="s">
        <v>2931</v>
      </c>
      <c r="D656" s="55" t="str">
        <f>VLOOKUP(VLOOKUP(Q656&amp;"_"&amp;R656,活动关卡!$A$88:$Z$111,2+5*S656,FALSE),'⚪设计'!$B$85:$H$114,2,FALSE)</f>
        <v>ResUnit_WuGui2</v>
      </c>
      <c r="E656" s="55">
        <f>VLOOKUP(VLOOKUP(Q656&amp;"_"&amp;R656,活动关卡!$A$88:$Z$111,2+5*S656,FALSE),'⚪设计'!$B$85:$H$114,6,FALSE)*VLOOKUP(Q656&amp;"_"&amp;R656,活动关卡!$A$88:$Z$111,5,FALSE)</f>
        <v>2</v>
      </c>
      <c r="F656">
        <v>400</v>
      </c>
      <c r="G656" t="b">
        <v>1</v>
      </c>
      <c r="H656">
        <v>1</v>
      </c>
      <c r="I656">
        <v>1</v>
      </c>
      <c r="J656">
        <v>0.5</v>
      </c>
      <c r="K656" s="55">
        <f>VLOOKUP(VLOOKUP(Q656&amp;"_"&amp;R656,活动关卡!$A$88:$Z$111,2+5*S656,FALSE),'⚪设计'!$B$85:$H$114,7,FALSE)</f>
        <v>1.5</v>
      </c>
      <c r="L656" s="57" t="s">
        <v>2347</v>
      </c>
      <c r="M656" t="s">
        <v>468</v>
      </c>
      <c r="N656" t="s">
        <v>469</v>
      </c>
      <c r="O656" t="s">
        <v>470</v>
      </c>
      <c r="P656" s="57" t="str">
        <f>IF(VLOOKUP(D656,'⚪设计'!$C$85:$I$113,7,FALSE)="","",VLOOKUP(D656,'⚪设计'!$C$85:$I$113,7,FALSE))</f>
        <v>Skill_Monster_WuGui2,NormalAttack</v>
      </c>
      <c r="Q656" s="110" t="str">
        <f t="shared" si="28"/>
        <v>4</v>
      </c>
      <c r="R656" s="110" t="str">
        <f t="shared" si="29"/>
        <v>5</v>
      </c>
      <c r="S656" s="110" t="str">
        <f t="shared" si="30"/>
        <v>3</v>
      </c>
    </row>
    <row r="657" spans="2:19" x14ac:dyDescent="0.2">
      <c r="B657" s="57" t="s">
        <v>2640</v>
      </c>
      <c r="C657" s="57" t="s">
        <v>2932</v>
      </c>
      <c r="D657" s="55" t="str">
        <f>VLOOKUP(VLOOKUP(Q657&amp;"_"&amp;R657,活动关卡!$A$88:$Z$111,2+5*S657,FALSE),'⚪设计'!$B$85:$H$114,2,FALSE)</f>
        <v>ResUnit_Dan2</v>
      </c>
      <c r="E657" s="55">
        <f>VLOOKUP(VLOOKUP(Q657&amp;"_"&amp;R657,活动关卡!$A$88:$Z$111,2+5*S657,FALSE),'⚪设计'!$B$85:$H$114,6,FALSE)*VLOOKUP(Q657&amp;"_"&amp;R657,活动关卡!$A$88:$Z$111,5,FALSE)</f>
        <v>2</v>
      </c>
      <c r="F657">
        <v>400</v>
      </c>
      <c r="G657" t="b">
        <v>1</v>
      </c>
      <c r="H657">
        <v>1</v>
      </c>
      <c r="I657">
        <v>1</v>
      </c>
      <c r="J657">
        <v>0.5</v>
      </c>
      <c r="K657" s="55">
        <f>VLOOKUP(VLOOKUP(Q657&amp;"_"&amp;R657,活动关卡!$A$88:$Z$111,2+5*S657,FALSE),'⚪设计'!$B$85:$H$114,7,FALSE)</f>
        <v>1.5</v>
      </c>
      <c r="L657" s="57" t="s">
        <v>2348</v>
      </c>
      <c r="M657" t="s">
        <v>468</v>
      </c>
      <c r="N657" t="s">
        <v>469</v>
      </c>
      <c r="O657" t="s">
        <v>470</v>
      </c>
      <c r="P657" s="57" t="str">
        <f>IF(VLOOKUP(D657,'⚪设计'!$C$85:$I$113,7,FALSE)="","",VLOOKUP(D657,'⚪设计'!$C$85:$I$113,7,FALSE))</f>
        <v>Skill_Monster_Weaken,NormalAttack</v>
      </c>
      <c r="Q657" s="110" t="str">
        <f t="shared" si="28"/>
        <v>5</v>
      </c>
      <c r="R657" s="110" t="str">
        <f t="shared" si="29"/>
        <v>1</v>
      </c>
      <c r="S657" s="110" t="str">
        <f t="shared" si="30"/>
        <v>1</v>
      </c>
    </row>
    <row r="658" spans="2:19" x14ac:dyDescent="0.2">
      <c r="B658" s="57" t="s">
        <v>2641</v>
      </c>
      <c r="C658" s="57" t="s">
        <v>2933</v>
      </c>
      <c r="D658" s="55" t="str">
        <f>VLOOKUP(VLOOKUP(Q658&amp;"_"&amp;R658,活动关卡!$A$88:$Z$111,2+5*S658,FALSE),'⚪设计'!$B$85:$H$114,2,FALSE)</f>
        <v>ResUnit_WuGui2</v>
      </c>
      <c r="E658" s="55">
        <f>VLOOKUP(VLOOKUP(Q658&amp;"_"&amp;R658,活动关卡!$A$88:$Z$111,2+5*S658,FALSE),'⚪设计'!$B$85:$H$114,6,FALSE)*VLOOKUP(Q658&amp;"_"&amp;R658,活动关卡!$A$88:$Z$111,5,FALSE)</f>
        <v>2</v>
      </c>
      <c r="F658">
        <v>400</v>
      </c>
      <c r="G658" t="b">
        <v>1</v>
      </c>
      <c r="H658">
        <v>1</v>
      </c>
      <c r="I658">
        <v>1</v>
      </c>
      <c r="J658">
        <v>0.5</v>
      </c>
      <c r="K658" s="55">
        <f>VLOOKUP(VLOOKUP(Q658&amp;"_"&amp;R658,活动关卡!$A$88:$Z$111,2+5*S658,FALSE),'⚪设计'!$B$85:$H$114,7,FALSE)</f>
        <v>1.5</v>
      </c>
      <c r="L658" s="57" t="s">
        <v>2349</v>
      </c>
      <c r="M658" t="s">
        <v>468</v>
      </c>
      <c r="N658" t="s">
        <v>469</v>
      </c>
      <c r="O658" t="s">
        <v>470</v>
      </c>
      <c r="P658" s="57" t="str">
        <f>IF(VLOOKUP(D658,'⚪设计'!$C$85:$I$113,7,FALSE)="","",VLOOKUP(D658,'⚪设计'!$C$85:$I$113,7,FALSE))</f>
        <v>Skill_Monster_WuGui2,NormalAttack</v>
      </c>
      <c r="Q658" s="110" t="str">
        <f t="shared" si="28"/>
        <v>5</v>
      </c>
      <c r="R658" s="110" t="str">
        <f t="shared" si="29"/>
        <v>1</v>
      </c>
      <c r="S658" s="110" t="str">
        <f t="shared" si="30"/>
        <v>2</v>
      </c>
    </row>
    <row r="659" spans="2:19" x14ac:dyDescent="0.2">
      <c r="B659" s="57" t="s">
        <v>2642</v>
      </c>
      <c r="C659" s="57" t="s">
        <v>2934</v>
      </c>
      <c r="D659" s="55" t="str">
        <f>VLOOKUP(VLOOKUP(Q659&amp;"_"&amp;R659,活动关卡!$A$88:$Z$111,2+5*S659,FALSE),'⚪设计'!$B$85:$H$114,2,FALSE)</f>
        <v>ResUnit_Dan2</v>
      </c>
      <c r="E659" s="55">
        <f>VLOOKUP(VLOOKUP(Q659&amp;"_"&amp;R659,活动关卡!$A$88:$Z$111,2+5*S659,FALSE),'⚪设计'!$B$85:$H$114,6,FALSE)*VLOOKUP(Q659&amp;"_"&amp;R659,活动关卡!$A$88:$Z$111,5,FALSE)</f>
        <v>2</v>
      </c>
      <c r="F659">
        <v>400</v>
      </c>
      <c r="G659" t="b">
        <v>1</v>
      </c>
      <c r="H659">
        <v>1</v>
      </c>
      <c r="I659">
        <v>1</v>
      </c>
      <c r="J659">
        <v>0.5</v>
      </c>
      <c r="K659" s="55">
        <f>VLOOKUP(VLOOKUP(Q659&amp;"_"&amp;R659,活动关卡!$A$88:$Z$111,2+5*S659,FALSE),'⚪设计'!$B$85:$H$114,7,FALSE)</f>
        <v>1.5</v>
      </c>
      <c r="L659" s="57" t="s">
        <v>2350</v>
      </c>
      <c r="M659" t="s">
        <v>468</v>
      </c>
      <c r="N659" t="s">
        <v>469</v>
      </c>
      <c r="O659" t="s">
        <v>470</v>
      </c>
      <c r="P659" s="57" t="str">
        <f>IF(VLOOKUP(D659,'⚪设计'!$C$85:$I$113,7,FALSE)="","",VLOOKUP(D659,'⚪设计'!$C$85:$I$113,7,FALSE))</f>
        <v>Skill_Monster_Weaken,NormalAttack</v>
      </c>
      <c r="Q659" s="110" t="str">
        <f t="shared" si="28"/>
        <v>5</v>
      </c>
      <c r="R659" s="110" t="str">
        <f t="shared" si="29"/>
        <v>2</v>
      </c>
      <c r="S659" s="110" t="str">
        <f t="shared" si="30"/>
        <v>1</v>
      </c>
    </row>
    <row r="660" spans="2:19" x14ac:dyDescent="0.2">
      <c r="B660" s="57" t="s">
        <v>2643</v>
      </c>
      <c r="C660" s="57" t="s">
        <v>2935</v>
      </c>
      <c r="D660" s="55" t="str">
        <f>VLOOKUP(VLOOKUP(Q660&amp;"_"&amp;R660,活动关卡!$A$88:$Z$111,2+5*S660,FALSE),'⚪设计'!$B$85:$H$114,2,FALSE)</f>
        <v>ResUnit_BianFu1</v>
      </c>
      <c r="E660" s="55">
        <f>VLOOKUP(VLOOKUP(Q660&amp;"_"&amp;R660,活动关卡!$A$88:$Z$111,2+5*S660,FALSE),'⚪设计'!$B$85:$H$114,6,FALSE)*VLOOKUP(Q660&amp;"_"&amp;R660,活动关卡!$A$88:$Z$111,5,FALSE)</f>
        <v>2</v>
      </c>
      <c r="F660">
        <v>400</v>
      </c>
      <c r="G660" t="b">
        <v>1</v>
      </c>
      <c r="H660">
        <v>1</v>
      </c>
      <c r="I660">
        <v>1</v>
      </c>
      <c r="J660">
        <v>0.5</v>
      </c>
      <c r="K660" s="55">
        <f>VLOOKUP(VLOOKUP(Q660&amp;"_"&amp;R660,活动关卡!$A$88:$Z$111,2+5*S660,FALSE),'⚪设计'!$B$85:$H$114,7,FALSE)</f>
        <v>1</v>
      </c>
      <c r="L660" s="57" t="s">
        <v>2351</v>
      </c>
      <c r="M660" t="s">
        <v>468</v>
      </c>
      <c r="N660" t="s">
        <v>469</v>
      </c>
      <c r="O660" t="s">
        <v>470</v>
      </c>
      <c r="P660" s="57" t="str">
        <f>IF(VLOOKUP(D660,'⚪设计'!$C$85:$I$113,7,FALSE)="","",VLOOKUP(D660,'⚪设计'!$C$85:$I$113,7,FALSE))</f>
        <v/>
      </c>
      <c r="Q660" s="110" t="str">
        <f t="shared" si="28"/>
        <v>5</v>
      </c>
      <c r="R660" s="110" t="str">
        <f t="shared" si="29"/>
        <v>2</v>
      </c>
      <c r="S660" s="110" t="str">
        <f t="shared" si="30"/>
        <v>2</v>
      </c>
    </row>
    <row r="661" spans="2:19" x14ac:dyDescent="0.2">
      <c r="B661" s="57" t="s">
        <v>2644</v>
      </c>
      <c r="C661" s="57" t="s">
        <v>2936</v>
      </c>
      <c r="D661" s="55" t="str">
        <f>VLOOKUP(VLOOKUP(Q661&amp;"_"&amp;R661,活动关卡!$A$88:$Z$111,2+5*S661,FALSE),'⚪设计'!$B$85:$H$114,2,FALSE)</f>
        <v>ResUnit_WuGui2</v>
      </c>
      <c r="E661" s="55">
        <f>VLOOKUP(VLOOKUP(Q661&amp;"_"&amp;R661,活动关卡!$A$88:$Z$111,2+5*S661,FALSE),'⚪设计'!$B$85:$H$114,6,FALSE)*VLOOKUP(Q661&amp;"_"&amp;R661,活动关卡!$A$88:$Z$111,5,FALSE)</f>
        <v>2</v>
      </c>
      <c r="F661">
        <v>400</v>
      </c>
      <c r="G661" t="b">
        <v>1</v>
      </c>
      <c r="H661">
        <v>1</v>
      </c>
      <c r="I661">
        <v>1</v>
      </c>
      <c r="J661">
        <v>0.5</v>
      </c>
      <c r="K661" s="55">
        <f>VLOOKUP(VLOOKUP(Q661&amp;"_"&amp;R661,活动关卡!$A$88:$Z$111,2+5*S661,FALSE),'⚪设计'!$B$85:$H$114,7,FALSE)</f>
        <v>1.5</v>
      </c>
      <c r="L661" s="57" t="s">
        <v>2352</v>
      </c>
      <c r="M661" t="s">
        <v>468</v>
      </c>
      <c r="N661" t="s">
        <v>469</v>
      </c>
      <c r="O661" t="s">
        <v>470</v>
      </c>
      <c r="P661" s="57" t="str">
        <f>IF(VLOOKUP(D661,'⚪设计'!$C$85:$I$113,7,FALSE)="","",VLOOKUP(D661,'⚪设计'!$C$85:$I$113,7,FALSE))</f>
        <v>Skill_Monster_WuGui2,NormalAttack</v>
      </c>
      <c r="Q661" s="110" t="str">
        <f t="shared" si="28"/>
        <v>5</v>
      </c>
      <c r="R661" s="110" t="str">
        <f t="shared" si="29"/>
        <v>2</v>
      </c>
      <c r="S661" s="110" t="str">
        <f t="shared" si="30"/>
        <v>3</v>
      </c>
    </row>
    <row r="662" spans="2:19" x14ac:dyDescent="0.2">
      <c r="B662" s="57" t="s">
        <v>2645</v>
      </c>
      <c r="C662" s="57" t="s">
        <v>2937</v>
      </c>
      <c r="D662" s="55" t="str">
        <f>VLOOKUP(VLOOKUP(Q662&amp;"_"&amp;R662,活动关卡!$A$88:$Z$111,2+5*S662,FALSE),'⚪设计'!$B$85:$H$114,2,FALSE)</f>
        <v>ResUnit_Dan2</v>
      </c>
      <c r="E662" s="55">
        <f>VLOOKUP(VLOOKUP(Q662&amp;"_"&amp;R662,活动关卡!$A$88:$Z$111,2+5*S662,FALSE),'⚪设计'!$B$85:$H$114,6,FALSE)*VLOOKUP(Q662&amp;"_"&amp;R662,活动关卡!$A$88:$Z$111,5,FALSE)</f>
        <v>2</v>
      </c>
      <c r="F662">
        <v>400</v>
      </c>
      <c r="G662" t="b">
        <v>1</v>
      </c>
      <c r="H662">
        <v>1</v>
      </c>
      <c r="I662">
        <v>1</v>
      </c>
      <c r="J662">
        <v>0.5</v>
      </c>
      <c r="K662" s="55">
        <f>VLOOKUP(VLOOKUP(Q662&amp;"_"&amp;R662,活动关卡!$A$88:$Z$111,2+5*S662,FALSE),'⚪设计'!$B$85:$H$114,7,FALSE)</f>
        <v>1.5</v>
      </c>
      <c r="L662" s="57" t="s">
        <v>2353</v>
      </c>
      <c r="M662" t="s">
        <v>468</v>
      </c>
      <c r="N662" t="s">
        <v>469</v>
      </c>
      <c r="O662" t="s">
        <v>470</v>
      </c>
      <c r="P662" s="57" t="str">
        <f>IF(VLOOKUP(D662,'⚪设计'!$C$85:$I$113,7,FALSE)="","",VLOOKUP(D662,'⚪设计'!$C$85:$I$113,7,FALSE))</f>
        <v>Skill_Monster_Weaken,NormalAttack</v>
      </c>
      <c r="Q662" s="110" t="str">
        <f t="shared" si="28"/>
        <v>5</v>
      </c>
      <c r="R662" s="110" t="str">
        <f t="shared" si="29"/>
        <v>3</v>
      </c>
      <c r="S662" s="110" t="str">
        <f t="shared" si="30"/>
        <v>1</v>
      </c>
    </row>
    <row r="663" spans="2:19" x14ac:dyDescent="0.2">
      <c r="B663" s="57" t="s">
        <v>2646</v>
      </c>
      <c r="C663" s="57" t="s">
        <v>2938</v>
      </c>
      <c r="D663" s="55" t="str">
        <f>VLOOKUP(VLOOKUP(Q663&amp;"_"&amp;R663,活动关卡!$A$88:$Z$111,2+5*S663,FALSE),'⚪设计'!$B$85:$H$114,2,FALSE)</f>
        <v>ResUnit_ZhiZhu1</v>
      </c>
      <c r="E663" s="55">
        <f>VLOOKUP(VLOOKUP(Q663&amp;"_"&amp;R663,活动关卡!$A$88:$Z$111,2+5*S663,FALSE),'⚪设计'!$B$85:$H$114,6,FALSE)*VLOOKUP(Q663&amp;"_"&amp;R663,活动关卡!$A$88:$Z$111,5,FALSE)</f>
        <v>3</v>
      </c>
      <c r="F663">
        <v>400</v>
      </c>
      <c r="G663" t="b">
        <v>1</v>
      </c>
      <c r="H663">
        <v>1</v>
      </c>
      <c r="I663">
        <v>1</v>
      </c>
      <c r="J663">
        <v>0.5</v>
      </c>
      <c r="K663" s="55">
        <f>VLOOKUP(VLOOKUP(Q663&amp;"_"&amp;R663,活动关卡!$A$88:$Z$111,2+5*S663,FALSE),'⚪设计'!$B$85:$H$114,7,FALSE)</f>
        <v>1</v>
      </c>
      <c r="L663" s="57" t="s">
        <v>2354</v>
      </c>
      <c r="M663" t="s">
        <v>468</v>
      </c>
      <c r="N663" t="s">
        <v>469</v>
      </c>
      <c r="O663" t="s">
        <v>470</v>
      </c>
      <c r="P663" s="57" t="str">
        <f>IF(VLOOKUP(D663,'⚪设计'!$C$85:$I$113,7,FALSE)="","",VLOOKUP(D663,'⚪设计'!$C$85:$I$113,7,FALSE))</f>
        <v/>
      </c>
      <c r="Q663" s="110" t="str">
        <f t="shared" si="28"/>
        <v>5</v>
      </c>
      <c r="R663" s="110" t="str">
        <f t="shared" si="29"/>
        <v>3</v>
      </c>
      <c r="S663" s="110" t="str">
        <f t="shared" si="30"/>
        <v>2</v>
      </c>
    </row>
    <row r="664" spans="2:19" x14ac:dyDescent="0.2">
      <c r="B664" s="57" t="s">
        <v>2647</v>
      </c>
      <c r="C664" s="57" t="s">
        <v>2939</v>
      </c>
      <c r="D664" s="55" t="str">
        <f>VLOOKUP(VLOOKUP(Q664&amp;"_"&amp;R664,活动关卡!$A$88:$Z$111,2+5*S664,FALSE),'⚪设计'!$B$85:$H$114,2,FALSE)</f>
        <v>ResUnit_Gui1</v>
      </c>
      <c r="E664" s="55">
        <f>VLOOKUP(VLOOKUP(Q664&amp;"_"&amp;R664,活动关卡!$A$88:$Z$111,2+5*S664,FALSE),'⚪设计'!$B$85:$H$114,6,FALSE)*VLOOKUP(Q664&amp;"_"&amp;R664,活动关卡!$A$88:$Z$111,5,FALSE)</f>
        <v>2</v>
      </c>
      <c r="F664">
        <v>400</v>
      </c>
      <c r="G664" t="b">
        <v>1</v>
      </c>
      <c r="H664">
        <v>1</v>
      </c>
      <c r="I664">
        <v>1</v>
      </c>
      <c r="J664">
        <v>0.5</v>
      </c>
      <c r="K664" s="55">
        <f>VLOOKUP(VLOOKUP(Q664&amp;"_"&amp;R664,活动关卡!$A$88:$Z$111,2+5*S664,FALSE),'⚪设计'!$B$85:$H$114,7,FALSE)</f>
        <v>1</v>
      </c>
      <c r="L664" s="57" t="s">
        <v>2355</v>
      </c>
      <c r="M664" t="s">
        <v>468</v>
      </c>
      <c r="N664" t="s">
        <v>469</v>
      </c>
      <c r="O664" t="s">
        <v>470</v>
      </c>
      <c r="P664" s="57" t="str">
        <f>IF(VLOOKUP(D664,'⚪设计'!$C$85:$I$113,7,FALSE)="","",VLOOKUP(D664,'⚪设计'!$C$85:$I$113,7,FALSE))</f>
        <v>Skill_Monster_Invisible,NormalAttack</v>
      </c>
      <c r="Q664" s="110" t="str">
        <f t="shared" si="28"/>
        <v>5</v>
      </c>
      <c r="R664" s="110" t="str">
        <f t="shared" si="29"/>
        <v>3</v>
      </c>
      <c r="S664" s="110" t="str">
        <f t="shared" si="30"/>
        <v>3</v>
      </c>
    </row>
    <row r="665" spans="2:19" x14ac:dyDescent="0.2">
      <c r="B665" s="57" t="s">
        <v>2648</v>
      </c>
      <c r="C665" s="57" t="s">
        <v>2940</v>
      </c>
      <c r="D665" s="55" t="str">
        <f>VLOOKUP(VLOOKUP(Q665&amp;"_"&amp;R665,活动关卡!$A$88:$Z$111,2+5*S665,FALSE),'⚪设计'!$B$85:$H$114,2,FALSE)</f>
        <v>ResUnit_WuGui2</v>
      </c>
      <c r="E665" s="55">
        <f>VLOOKUP(VLOOKUP(Q665&amp;"_"&amp;R665,活动关卡!$A$88:$Z$111,2+5*S665,FALSE),'⚪设计'!$B$85:$H$114,6,FALSE)*VLOOKUP(Q665&amp;"_"&amp;R665,活动关卡!$A$88:$Z$111,5,FALSE)</f>
        <v>2</v>
      </c>
      <c r="F665">
        <v>400</v>
      </c>
      <c r="G665" t="b">
        <v>1</v>
      </c>
      <c r="H665">
        <v>1</v>
      </c>
      <c r="I665">
        <v>1</v>
      </c>
      <c r="J665">
        <v>0.5</v>
      </c>
      <c r="K665" s="55">
        <f>VLOOKUP(VLOOKUP(Q665&amp;"_"&amp;R665,活动关卡!$A$88:$Z$111,2+5*S665,FALSE),'⚪设计'!$B$85:$H$114,7,FALSE)</f>
        <v>1.5</v>
      </c>
      <c r="L665" s="57" t="s">
        <v>2356</v>
      </c>
      <c r="M665" t="s">
        <v>468</v>
      </c>
      <c r="N665" t="s">
        <v>469</v>
      </c>
      <c r="O665" t="s">
        <v>470</v>
      </c>
      <c r="P665" s="57" t="str">
        <f>IF(VLOOKUP(D665,'⚪设计'!$C$85:$I$113,7,FALSE)="","",VLOOKUP(D665,'⚪设计'!$C$85:$I$113,7,FALSE))</f>
        <v>Skill_Monster_WuGui2,NormalAttack</v>
      </c>
      <c r="Q665" s="110" t="str">
        <f t="shared" si="28"/>
        <v>5</v>
      </c>
      <c r="R665" s="110" t="str">
        <f t="shared" si="29"/>
        <v>3</v>
      </c>
      <c r="S665" s="110" t="str">
        <f t="shared" si="30"/>
        <v>4</v>
      </c>
    </row>
    <row r="666" spans="2:19" x14ac:dyDescent="0.2">
      <c r="B666" s="57" t="s">
        <v>2649</v>
      </c>
      <c r="C666" s="57" t="s">
        <v>2941</v>
      </c>
      <c r="D666" s="55" t="str">
        <f>VLOOKUP(VLOOKUP(Q666&amp;"_"&amp;R666,活动关卡!$A$88:$Z$111,2+5*S666,FALSE),'⚪设计'!$B$85:$H$114,2,FALSE)</f>
        <v>ResUnit_Dan2</v>
      </c>
      <c r="E666" s="55">
        <f>VLOOKUP(VLOOKUP(Q666&amp;"_"&amp;R666,活动关卡!$A$88:$Z$111,2+5*S666,FALSE),'⚪设计'!$B$85:$H$114,6,FALSE)*VLOOKUP(Q666&amp;"_"&amp;R666,活动关卡!$A$88:$Z$111,5,FALSE)</f>
        <v>2</v>
      </c>
      <c r="F666">
        <v>400</v>
      </c>
      <c r="G666" t="b">
        <v>1</v>
      </c>
      <c r="H666">
        <v>1</v>
      </c>
      <c r="I666">
        <v>1</v>
      </c>
      <c r="J666">
        <v>0.5</v>
      </c>
      <c r="K666" s="55">
        <f>VLOOKUP(VLOOKUP(Q666&amp;"_"&amp;R666,活动关卡!$A$88:$Z$111,2+5*S666,FALSE),'⚪设计'!$B$85:$H$114,7,FALSE)</f>
        <v>1.5</v>
      </c>
      <c r="L666" s="57" t="s">
        <v>2357</v>
      </c>
      <c r="M666" t="s">
        <v>468</v>
      </c>
      <c r="N666" t="s">
        <v>469</v>
      </c>
      <c r="O666" t="s">
        <v>470</v>
      </c>
      <c r="P666" s="57" t="str">
        <f>IF(VLOOKUP(D666,'⚪设计'!$C$85:$I$113,7,FALSE)="","",VLOOKUP(D666,'⚪设计'!$C$85:$I$113,7,FALSE))</f>
        <v>Skill_Monster_Weaken,NormalAttack</v>
      </c>
      <c r="Q666" s="110" t="str">
        <f t="shared" si="28"/>
        <v>5</v>
      </c>
      <c r="R666" s="110" t="str">
        <f t="shared" si="29"/>
        <v>4</v>
      </c>
      <c r="S666" s="110" t="str">
        <f t="shared" si="30"/>
        <v>1</v>
      </c>
    </row>
    <row r="667" spans="2:19" x14ac:dyDescent="0.2">
      <c r="B667" s="57" t="s">
        <v>2650</v>
      </c>
      <c r="C667" s="57" t="s">
        <v>2942</v>
      </c>
      <c r="D667" s="55" t="str">
        <f>VLOOKUP(VLOOKUP(Q667&amp;"_"&amp;R667,活动关卡!$A$88:$Z$111,2+5*S667,FALSE),'⚪设计'!$B$85:$H$114,2,FALSE)</f>
        <v>ResUnit_Gui1</v>
      </c>
      <c r="E667" s="55">
        <f>VLOOKUP(VLOOKUP(Q667&amp;"_"&amp;R667,活动关卡!$A$88:$Z$111,2+5*S667,FALSE),'⚪设计'!$B$85:$H$114,6,FALSE)*VLOOKUP(Q667&amp;"_"&amp;R667,活动关卡!$A$88:$Z$111,5,FALSE)</f>
        <v>2</v>
      </c>
      <c r="F667">
        <v>400</v>
      </c>
      <c r="G667" t="b">
        <v>1</v>
      </c>
      <c r="H667">
        <v>1</v>
      </c>
      <c r="I667">
        <v>1</v>
      </c>
      <c r="J667">
        <v>0.5</v>
      </c>
      <c r="K667" s="55">
        <f>VLOOKUP(VLOOKUP(Q667&amp;"_"&amp;R667,活动关卡!$A$88:$Z$111,2+5*S667,FALSE),'⚪设计'!$B$85:$H$114,7,FALSE)</f>
        <v>1</v>
      </c>
      <c r="L667" s="57" t="s">
        <v>2358</v>
      </c>
      <c r="M667" t="s">
        <v>468</v>
      </c>
      <c r="N667" t="s">
        <v>469</v>
      </c>
      <c r="O667" t="s">
        <v>470</v>
      </c>
      <c r="P667" s="57" t="str">
        <f>IF(VLOOKUP(D667,'⚪设计'!$C$85:$I$113,7,FALSE)="","",VLOOKUP(D667,'⚪设计'!$C$85:$I$113,7,FALSE))</f>
        <v>Skill_Monster_Invisible,NormalAttack</v>
      </c>
      <c r="Q667" s="110" t="str">
        <f t="shared" si="28"/>
        <v>5</v>
      </c>
      <c r="R667" s="110" t="str">
        <f t="shared" si="29"/>
        <v>4</v>
      </c>
      <c r="S667" s="110" t="str">
        <f t="shared" si="30"/>
        <v>2</v>
      </c>
    </row>
    <row r="668" spans="2:19" x14ac:dyDescent="0.2">
      <c r="B668" s="57" t="s">
        <v>2651</v>
      </c>
      <c r="C668" s="57" t="s">
        <v>2943</v>
      </c>
      <c r="D668" s="55" t="str">
        <f>VLOOKUP(VLOOKUP(Q668&amp;"_"&amp;R668,活动关卡!$A$88:$Z$111,2+5*S668,FALSE),'⚪设计'!$B$85:$H$114,2,FALSE)</f>
        <v>ResUnit_WuGui2</v>
      </c>
      <c r="E668" s="55">
        <f>VLOOKUP(VLOOKUP(Q668&amp;"_"&amp;R668,活动关卡!$A$88:$Z$111,2+5*S668,FALSE),'⚪设计'!$B$85:$H$114,6,FALSE)*VLOOKUP(Q668&amp;"_"&amp;R668,活动关卡!$A$88:$Z$111,5,FALSE)</f>
        <v>2</v>
      </c>
      <c r="F668">
        <v>400</v>
      </c>
      <c r="G668" t="b">
        <v>1</v>
      </c>
      <c r="H668">
        <v>1</v>
      </c>
      <c r="I668">
        <v>1</v>
      </c>
      <c r="J668">
        <v>0.5</v>
      </c>
      <c r="K668" s="55">
        <f>VLOOKUP(VLOOKUP(Q668&amp;"_"&amp;R668,活动关卡!$A$88:$Z$111,2+5*S668,FALSE),'⚪设计'!$B$85:$H$114,7,FALSE)</f>
        <v>1.5</v>
      </c>
      <c r="L668" s="57" t="s">
        <v>2359</v>
      </c>
      <c r="M668" t="s">
        <v>468</v>
      </c>
      <c r="N668" t="s">
        <v>469</v>
      </c>
      <c r="O668" t="s">
        <v>470</v>
      </c>
      <c r="P668" s="57" t="str">
        <f>IF(VLOOKUP(D668,'⚪设计'!$C$85:$I$113,7,FALSE)="","",VLOOKUP(D668,'⚪设计'!$C$85:$I$113,7,FALSE))</f>
        <v>Skill_Monster_WuGui2,NormalAttack</v>
      </c>
      <c r="Q668" s="110" t="str">
        <f t="shared" si="28"/>
        <v>5</v>
      </c>
      <c r="R668" s="110" t="str">
        <f t="shared" si="29"/>
        <v>4</v>
      </c>
      <c r="S668" s="110" t="str">
        <f t="shared" si="30"/>
        <v>3</v>
      </c>
    </row>
    <row r="669" spans="2:19" x14ac:dyDescent="0.2">
      <c r="B669" s="57" t="s">
        <v>2652</v>
      </c>
      <c r="C669" s="57" t="s">
        <v>2944</v>
      </c>
      <c r="D669" s="55" t="str">
        <f>VLOOKUP(VLOOKUP(Q669&amp;"_"&amp;R669,活动关卡!$A$88:$Z$111,2+5*S669,FALSE),'⚪设计'!$B$85:$H$114,2,FALSE)</f>
        <v>ResUnit_Dan2</v>
      </c>
      <c r="E669" s="55">
        <f>VLOOKUP(VLOOKUP(Q669&amp;"_"&amp;R669,活动关卡!$A$88:$Z$111,2+5*S669,FALSE),'⚪设计'!$B$85:$H$114,6,FALSE)*VLOOKUP(Q669&amp;"_"&amp;R669,活动关卡!$A$88:$Z$111,5,FALSE)</f>
        <v>2</v>
      </c>
      <c r="F669">
        <v>400</v>
      </c>
      <c r="G669" t="b">
        <v>1</v>
      </c>
      <c r="H669">
        <v>1</v>
      </c>
      <c r="I669">
        <v>1</v>
      </c>
      <c r="J669">
        <v>0.5</v>
      </c>
      <c r="K669" s="55">
        <f>VLOOKUP(VLOOKUP(Q669&amp;"_"&amp;R669,活动关卡!$A$88:$Z$111,2+5*S669,FALSE),'⚪设计'!$B$85:$H$114,7,FALSE)</f>
        <v>1.5</v>
      </c>
      <c r="L669" s="57" t="s">
        <v>2360</v>
      </c>
      <c r="M669" t="s">
        <v>468</v>
      </c>
      <c r="N669" t="s">
        <v>469</v>
      </c>
      <c r="O669" t="s">
        <v>470</v>
      </c>
      <c r="P669" s="57" t="str">
        <f>IF(VLOOKUP(D669,'⚪设计'!$C$85:$I$113,7,FALSE)="","",VLOOKUP(D669,'⚪设计'!$C$85:$I$113,7,FALSE))</f>
        <v>Skill_Monster_Weaken,NormalAttack</v>
      </c>
      <c r="Q669" s="110" t="str">
        <f t="shared" si="28"/>
        <v>5</v>
      </c>
      <c r="R669" s="110" t="str">
        <f t="shared" si="29"/>
        <v>5</v>
      </c>
      <c r="S669" s="110" t="str">
        <f t="shared" si="30"/>
        <v>1</v>
      </c>
    </row>
    <row r="670" spans="2:19" x14ac:dyDescent="0.2">
      <c r="B670" s="57" t="s">
        <v>2653</v>
      </c>
      <c r="C670" s="57" t="s">
        <v>2945</v>
      </c>
      <c r="D670" s="55" t="str">
        <f>VLOOKUP(VLOOKUP(Q670&amp;"_"&amp;R670,活动关卡!$A$88:$Z$111,2+5*S670,FALSE),'⚪设计'!$B$85:$H$114,2,FALSE)</f>
        <v>ResUnit_Gui1</v>
      </c>
      <c r="E670" s="55">
        <f>VLOOKUP(VLOOKUP(Q670&amp;"_"&amp;R670,活动关卡!$A$88:$Z$111,2+5*S670,FALSE),'⚪设计'!$B$85:$H$114,6,FALSE)*VLOOKUP(Q670&amp;"_"&amp;R670,活动关卡!$A$88:$Z$111,5,FALSE)</f>
        <v>2</v>
      </c>
      <c r="F670">
        <v>400</v>
      </c>
      <c r="G670" t="b">
        <v>1</v>
      </c>
      <c r="H670">
        <v>1</v>
      </c>
      <c r="I670">
        <v>1</v>
      </c>
      <c r="J670">
        <v>0.5</v>
      </c>
      <c r="K670" s="55">
        <f>VLOOKUP(VLOOKUP(Q670&amp;"_"&amp;R670,活动关卡!$A$88:$Z$111,2+5*S670,FALSE),'⚪设计'!$B$85:$H$114,7,FALSE)</f>
        <v>1</v>
      </c>
      <c r="L670" s="57" t="s">
        <v>2361</v>
      </c>
      <c r="M670" t="s">
        <v>468</v>
      </c>
      <c r="N670" t="s">
        <v>469</v>
      </c>
      <c r="O670" t="s">
        <v>470</v>
      </c>
      <c r="P670" s="57" t="str">
        <f>IF(VLOOKUP(D670,'⚪设计'!$C$85:$I$113,7,FALSE)="","",VLOOKUP(D670,'⚪设计'!$C$85:$I$113,7,FALSE))</f>
        <v>Skill_Monster_Invisible,NormalAttack</v>
      </c>
      <c r="Q670" s="110" t="str">
        <f t="shared" si="28"/>
        <v>5</v>
      </c>
      <c r="R670" s="110" t="str">
        <f t="shared" si="29"/>
        <v>5</v>
      </c>
      <c r="S670" s="110" t="str">
        <f t="shared" si="30"/>
        <v>2</v>
      </c>
    </row>
    <row r="671" spans="2:19" x14ac:dyDescent="0.2">
      <c r="B671" s="57" t="s">
        <v>2654</v>
      </c>
      <c r="C671" s="57" t="s">
        <v>2946</v>
      </c>
      <c r="D671" s="55" t="str">
        <f>VLOOKUP(VLOOKUP(Q671&amp;"_"&amp;R671,活动关卡!$A$88:$Z$111,2+5*S671,FALSE),'⚪设计'!$B$85:$H$114,2,FALSE)</f>
        <v>ResUnit_ZhongZi1</v>
      </c>
      <c r="E671" s="55">
        <f>VLOOKUP(VLOOKUP(Q671&amp;"_"&amp;R671,活动关卡!$A$88:$Z$111,2+5*S671,FALSE),'⚪设计'!$B$85:$H$114,6,FALSE)*VLOOKUP(Q671&amp;"_"&amp;R671,活动关卡!$A$88:$Z$111,5,FALSE)</f>
        <v>2</v>
      </c>
      <c r="F671">
        <v>400</v>
      </c>
      <c r="G671" t="b">
        <v>1</v>
      </c>
      <c r="H671">
        <v>1</v>
      </c>
      <c r="I671">
        <v>1</v>
      </c>
      <c r="J671">
        <v>0.5</v>
      </c>
      <c r="K671" s="55">
        <f>VLOOKUP(VLOOKUP(Q671&amp;"_"&amp;R671,活动关卡!$A$88:$Z$111,2+5*S671,FALSE),'⚪设计'!$B$85:$H$114,7,FALSE)</f>
        <v>1</v>
      </c>
      <c r="L671" s="57" t="s">
        <v>2362</v>
      </c>
      <c r="M671" t="s">
        <v>468</v>
      </c>
      <c r="N671" t="s">
        <v>469</v>
      </c>
      <c r="O671" t="s">
        <v>470</v>
      </c>
      <c r="P671" s="57" t="str">
        <f>IF(VLOOKUP(D671,'⚪设计'!$C$85:$I$113,7,FALSE)="","",VLOOKUP(D671,'⚪设计'!$C$85:$I$113,7,FALSE))</f>
        <v>Skill_Monster_Heal,NormalAttack</v>
      </c>
      <c r="Q671" s="110" t="str">
        <f t="shared" si="28"/>
        <v>5</v>
      </c>
      <c r="R671" s="110" t="str">
        <f t="shared" si="29"/>
        <v>5</v>
      </c>
      <c r="S671" s="110" t="str">
        <f t="shared" si="30"/>
        <v>3</v>
      </c>
    </row>
    <row r="672" spans="2:19" x14ac:dyDescent="0.2">
      <c r="B672" s="57" t="s">
        <v>2655</v>
      </c>
      <c r="C672" s="57" t="s">
        <v>2947</v>
      </c>
      <c r="D672" s="55" t="str">
        <f>VLOOKUP(VLOOKUP(Q672&amp;"_"&amp;R672,活动关卡!$A$88:$Z$111,2+5*S672,FALSE),'⚪设计'!$B$85:$H$114,2,FALSE)</f>
        <v>ResUnit_WuGui2</v>
      </c>
      <c r="E672" s="55">
        <f>VLOOKUP(VLOOKUP(Q672&amp;"_"&amp;R672,活动关卡!$A$88:$Z$111,2+5*S672,FALSE),'⚪设计'!$B$85:$H$114,6,FALSE)*VLOOKUP(Q672&amp;"_"&amp;R672,活动关卡!$A$88:$Z$111,5,FALSE)</f>
        <v>2</v>
      </c>
      <c r="F672">
        <v>400</v>
      </c>
      <c r="G672" t="b">
        <v>1</v>
      </c>
      <c r="H672">
        <v>1</v>
      </c>
      <c r="I672">
        <v>1</v>
      </c>
      <c r="J672">
        <v>0.5</v>
      </c>
      <c r="K672" s="55">
        <f>VLOOKUP(VLOOKUP(Q672&amp;"_"&amp;R672,活动关卡!$A$88:$Z$111,2+5*S672,FALSE),'⚪设计'!$B$85:$H$114,7,FALSE)</f>
        <v>1.5</v>
      </c>
      <c r="L672" s="57" t="s">
        <v>2363</v>
      </c>
      <c r="M672" t="s">
        <v>468</v>
      </c>
      <c r="N672" t="s">
        <v>469</v>
      </c>
      <c r="O672" t="s">
        <v>470</v>
      </c>
      <c r="P672" s="57" t="str">
        <f>IF(VLOOKUP(D672,'⚪设计'!$C$85:$I$113,7,FALSE)="","",VLOOKUP(D672,'⚪设计'!$C$85:$I$113,7,FALSE))</f>
        <v>Skill_Monster_WuGui2,NormalAttack</v>
      </c>
      <c r="Q672" s="110" t="str">
        <f t="shared" si="28"/>
        <v>5</v>
      </c>
      <c r="R672" s="110" t="str">
        <f t="shared" si="29"/>
        <v>5</v>
      </c>
      <c r="S672" s="110" t="str">
        <f t="shared" si="30"/>
        <v>4</v>
      </c>
    </row>
    <row r="673" spans="2:19" x14ac:dyDescent="0.2">
      <c r="B673" s="57" t="s">
        <v>2656</v>
      </c>
      <c r="C673" s="57" t="s">
        <v>2948</v>
      </c>
      <c r="D673" s="55" t="str">
        <f>VLOOKUP(VLOOKUP(Q673&amp;"_"&amp;R673,活动关卡!$A$88:$Z$111,2+5*S673,FALSE),'⚪设计'!$B$85:$H$114,2,FALSE)</f>
        <v>ResUnit_Dan2</v>
      </c>
      <c r="E673" s="55">
        <f>VLOOKUP(VLOOKUP(Q673&amp;"_"&amp;R673,活动关卡!$A$88:$Z$111,2+5*S673,FALSE),'⚪设计'!$B$85:$H$114,6,FALSE)*VLOOKUP(Q673&amp;"_"&amp;R673,活动关卡!$A$88:$Z$111,5,FALSE)</f>
        <v>2</v>
      </c>
      <c r="F673">
        <v>400</v>
      </c>
      <c r="G673" t="b">
        <v>1</v>
      </c>
      <c r="H673">
        <v>1</v>
      </c>
      <c r="I673">
        <v>1</v>
      </c>
      <c r="J673">
        <v>0.5</v>
      </c>
      <c r="K673" s="55">
        <f>VLOOKUP(VLOOKUP(Q673&amp;"_"&amp;R673,活动关卡!$A$88:$Z$111,2+5*S673,FALSE),'⚪设计'!$B$85:$H$114,7,FALSE)</f>
        <v>1.5</v>
      </c>
      <c r="L673" s="57" t="s">
        <v>2364</v>
      </c>
      <c r="M673" t="s">
        <v>468</v>
      </c>
      <c r="N673" t="s">
        <v>469</v>
      </c>
      <c r="O673" t="s">
        <v>470</v>
      </c>
      <c r="P673" s="57" t="str">
        <f>IF(VLOOKUP(D673,'⚪设计'!$C$85:$I$113,7,FALSE)="","",VLOOKUP(D673,'⚪设计'!$C$85:$I$113,7,FALSE))</f>
        <v>Skill_Monster_Weaken,NormalAttack</v>
      </c>
      <c r="Q673" s="110" t="str">
        <f t="shared" si="28"/>
        <v>5</v>
      </c>
      <c r="R673" s="110" t="str">
        <f t="shared" si="29"/>
        <v>6</v>
      </c>
      <c r="S673" s="110" t="str">
        <f t="shared" si="30"/>
        <v>1</v>
      </c>
    </row>
    <row r="674" spans="2:19" x14ac:dyDescent="0.2">
      <c r="B674" s="57" t="s">
        <v>2657</v>
      </c>
      <c r="C674" s="57" t="s">
        <v>2949</v>
      </c>
      <c r="D674" s="55" t="str">
        <f>VLOOKUP(VLOOKUP(Q674&amp;"_"&amp;R674,活动关卡!$A$88:$Z$111,2+5*S674,FALSE),'⚪设计'!$B$85:$H$114,2,FALSE)</f>
        <v>ResUnit_ZhongZi2</v>
      </c>
      <c r="E674" s="55">
        <f>VLOOKUP(VLOOKUP(Q674&amp;"_"&amp;R674,活动关卡!$A$88:$Z$111,2+5*S674,FALSE),'⚪设计'!$B$85:$H$114,6,FALSE)*VLOOKUP(Q674&amp;"_"&amp;R674,活动关卡!$A$88:$Z$111,5,FALSE)</f>
        <v>2</v>
      </c>
      <c r="F674">
        <v>400</v>
      </c>
      <c r="G674" t="b">
        <v>1</v>
      </c>
      <c r="H674">
        <v>1</v>
      </c>
      <c r="I674">
        <v>1</v>
      </c>
      <c r="J674">
        <v>0.5</v>
      </c>
      <c r="K674" s="55">
        <f>VLOOKUP(VLOOKUP(Q674&amp;"_"&amp;R674,活动关卡!$A$88:$Z$111,2+5*S674,FALSE),'⚪设计'!$B$85:$H$114,7,FALSE)</f>
        <v>1.5</v>
      </c>
      <c r="L674" s="57" t="s">
        <v>2365</v>
      </c>
      <c r="M674" t="s">
        <v>468</v>
      </c>
      <c r="N674" t="s">
        <v>469</v>
      </c>
      <c r="O674" t="s">
        <v>470</v>
      </c>
      <c r="P674" s="57" t="str">
        <f>IF(VLOOKUP(D674,'⚪设计'!$C$85:$I$113,7,FALSE)="","",VLOOKUP(D674,'⚪设计'!$C$85:$I$113,7,FALSE))</f>
        <v>Skill_Monster_Heal,NormalAttack</v>
      </c>
      <c r="Q674" s="110" t="str">
        <f t="shared" si="28"/>
        <v>5</v>
      </c>
      <c r="R674" s="110" t="str">
        <f t="shared" si="29"/>
        <v>6</v>
      </c>
      <c r="S674" s="110" t="str">
        <f t="shared" si="30"/>
        <v>2</v>
      </c>
    </row>
    <row r="675" spans="2:19" x14ac:dyDescent="0.2">
      <c r="B675" s="57" t="s">
        <v>2658</v>
      </c>
      <c r="C675" s="57" t="s">
        <v>2950</v>
      </c>
      <c r="D675" s="55" t="str">
        <f>VLOOKUP(VLOOKUP(Q675&amp;"_"&amp;R675,活动关卡!$A$88:$Z$111,2+5*S675,FALSE),'⚪设计'!$B$85:$H$114,2,FALSE)</f>
        <v>ResUnit_ZhiZhu2</v>
      </c>
      <c r="E675" s="55">
        <f>VLOOKUP(VLOOKUP(Q675&amp;"_"&amp;R675,活动关卡!$A$88:$Z$111,2+5*S675,FALSE),'⚪设计'!$B$85:$H$114,6,FALSE)*VLOOKUP(Q675&amp;"_"&amp;R675,活动关卡!$A$88:$Z$111,5,FALSE)</f>
        <v>3</v>
      </c>
      <c r="F675">
        <v>400</v>
      </c>
      <c r="G675" t="b">
        <v>1</v>
      </c>
      <c r="H675">
        <v>1</v>
      </c>
      <c r="I675">
        <v>1</v>
      </c>
      <c r="J675">
        <v>0.5</v>
      </c>
      <c r="K675" s="55">
        <f>VLOOKUP(VLOOKUP(Q675&amp;"_"&amp;R675,活动关卡!$A$88:$Z$111,2+5*S675,FALSE),'⚪设计'!$B$85:$H$114,7,FALSE)</f>
        <v>1.5</v>
      </c>
      <c r="L675" s="57" t="s">
        <v>2366</v>
      </c>
      <c r="M675" t="s">
        <v>468</v>
      </c>
      <c r="N675" t="s">
        <v>469</v>
      </c>
      <c r="O675" t="s">
        <v>470</v>
      </c>
      <c r="P675" s="57" t="str">
        <f>IF(VLOOKUP(D675,'⚪设计'!$C$85:$I$113,7,FALSE)="","",VLOOKUP(D675,'⚪设计'!$C$85:$I$113,7,FALSE))</f>
        <v/>
      </c>
      <c r="Q675" s="110" t="str">
        <f t="shared" si="28"/>
        <v>5</v>
      </c>
      <c r="R675" s="110" t="str">
        <f t="shared" si="29"/>
        <v>6</v>
      </c>
      <c r="S675" s="110" t="str">
        <f t="shared" si="30"/>
        <v>3</v>
      </c>
    </row>
    <row r="676" spans="2:19" x14ac:dyDescent="0.2">
      <c r="B676" s="57" t="s">
        <v>2659</v>
      </c>
      <c r="C676" s="57" t="s">
        <v>2951</v>
      </c>
      <c r="D676" s="55" t="str">
        <f>VLOOKUP(VLOOKUP(Q676&amp;"_"&amp;R676,活动关卡!$A$88:$Z$111,2+5*S676,FALSE),'⚪设计'!$B$85:$H$114,2,FALSE)</f>
        <v>ResUnit_WuGui2</v>
      </c>
      <c r="E676" s="55">
        <f>VLOOKUP(VLOOKUP(Q676&amp;"_"&amp;R676,活动关卡!$A$88:$Z$111,2+5*S676,FALSE),'⚪设计'!$B$85:$H$114,6,FALSE)*VLOOKUP(Q676&amp;"_"&amp;R676,活动关卡!$A$88:$Z$111,5,FALSE)</f>
        <v>2</v>
      </c>
      <c r="F676">
        <v>400</v>
      </c>
      <c r="G676" t="b">
        <v>1</v>
      </c>
      <c r="H676">
        <v>1</v>
      </c>
      <c r="I676">
        <v>1</v>
      </c>
      <c r="J676">
        <v>0.5</v>
      </c>
      <c r="K676" s="55">
        <f>VLOOKUP(VLOOKUP(Q676&amp;"_"&amp;R676,活动关卡!$A$88:$Z$111,2+5*S676,FALSE),'⚪设计'!$B$85:$H$114,7,FALSE)</f>
        <v>1.5</v>
      </c>
      <c r="L676" s="57" t="s">
        <v>2367</v>
      </c>
      <c r="M676" t="s">
        <v>468</v>
      </c>
      <c r="N676" t="s">
        <v>469</v>
      </c>
      <c r="O676" t="s">
        <v>470</v>
      </c>
      <c r="P676" s="57" t="str">
        <f>IF(VLOOKUP(D676,'⚪设计'!$C$85:$I$113,7,FALSE)="","",VLOOKUP(D676,'⚪设计'!$C$85:$I$113,7,FALSE))</f>
        <v>Skill_Monster_WuGui2,NormalAttack</v>
      </c>
      <c r="Q676" s="110" t="str">
        <f t="shared" si="28"/>
        <v>5</v>
      </c>
      <c r="R676" s="110" t="str">
        <f t="shared" si="29"/>
        <v>6</v>
      </c>
      <c r="S676" s="110" t="str">
        <f t="shared" si="30"/>
        <v>4</v>
      </c>
    </row>
    <row r="677" spans="2:19" x14ac:dyDescent="0.2">
      <c r="B677" s="57" t="s">
        <v>2660</v>
      </c>
      <c r="C677" s="57" t="s">
        <v>2952</v>
      </c>
      <c r="D677" s="55" t="str">
        <f>VLOOKUP(VLOOKUP(Q677&amp;"_"&amp;R677,活动关卡!$A$88:$Z$111,2+5*S677,FALSE),'⚪设计'!$B$85:$H$114,2,FALSE)</f>
        <v>ResUnit_Dan2</v>
      </c>
      <c r="E677" s="55">
        <f>VLOOKUP(VLOOKUP(Q677&amp;"_"&amp;R677,活动关卡!$A$88:$Z$111,2+5*S677,FALSE),'⚪设计'!$B$85:$H$114,6,FALSE)*VLOOKUP(Q677&amp;"_"&amp;R677,活动关卡!$A$88:$Z$111,5,FALSE)</f>
        <v>2</v>
      </c>
      <c r="F677">
        <v>400</v>
      </c>
      <c r="G677" t="b">
        <v>1</v>
      </c>
      <c r="H677">
        <v>1</v>
      </c>
      <c r="I677">
        <v>1</v>
      </c>
      <c r="J677">
        <v>0.5</v>
      </c>
      <c r="K677" s="55">
        <f>VLOOKUP(VLOOKUP(Q677&amp;"_"&amp;R677,活动关卡!$A$88:$Z$111,2+5*S677,FALSE),'⚪设计'!$B$85:$H$114,7,FALSE)</f>
        <v>1.5</v>
      </c>
      <c r="L677" s="57" t="s">
        <v>2368</v>
      </c>
      <c r="M677" t="s">
        <v>468</v>
      </c>
      <c r="N677" t="s">
        <v>469</v>
      </c>
      <c r="O677" t="s">
        <v>470</v>
      </c>
      <c r="P677" s="57" t="str">
        <f>IF(VLOOKUP(D677,'⚪设计'!$C$85:$I$113,7,FALSE)="","",VLOOKUP(D677,'⚪设计'!$C$85:$I$113,7,FALSE))</f>
        <v>Skill_Monster_Weaken,NormalAttack</v>
      </c>
      <c r="Q677" s="110" t="str">
        <f t="shared" si="28"/>
        <v>5</v>
      </c>
      <c r="R677" s="110" t="str">
        <f t="shared" si="29"/>
        <v>7</v>
      </c>
      <c r="S677" s="110" t="str">
        <f t="shared" si="30"/>
        <v>1</v>
      </c>
    </row>
    <row r="678" spans="2:19" x14ac:dyDescent="0.2">
      <c r="B678" s="57" t="s">
        <v>2661</v>
      </c>
      <c r="C678" s="57" t="s">
        <v>2953</v>
      </c>
      <c r="D678" s="55" t="str">
        <f>VLOOKUP(VLOOKUP(Q678&amp;"_"&amp;R678,活动关卡!$A$88:$Z$111,2+5*S678,FALSE),'⚪设计'!$B$85:$H$114,2,FALSE)</f>
        <v>ResUnit_Gui2</v>
      </c>
      <c r="E678" s="55">
        <f>VLOOKUP(VLOOKUP(Q678&amp;"_"&amp;R678,活动关卡!$A$88:$Z$111,2+5*S678,FALSE),'⚪设计'!$B$85:$H$114,6,FALSE)*VLOOKUP(Q678&amp;"_"&amp;R678,活动关卡!$A$88:$Z$111,5,FALSE)</f>
        <v>2</v>
      </c>
      <c r="F678">
        <v>400</v>
      </c>
      <c r="G678" t="b">
        <v>1</v>
      </c>
      <c r="H678">
        <v>1</v>
      </c>
      <c r="I678">
        <v>1</v>
      </c>
      <c r="J678">
        <v>0.5</v>
      </c>
      <c r="K678" s="55">
        <f>VLOOKUP(VLOOKUP(Q678&amp;"_"&amp;R678,活动关卡!$A$88:$Z$111,2+5*S678,FALSE),'⚪设计'!$B$85:$H$114,7,FALSE)</f>
        <v>1.5</v>
      </c>
      <c r="L678" s="57" t="s">
        <v>2369</v>
      </c>
      <c r="M678" t="s">
        <v>468</v>
      </c>
      <c r="N678" t="s">
        <v>469</v>
      </c>
      <c r="O678" t="s">
        <v>470</v>
      </c>
      <c r="P678" s="57" t="str">
        <f>IF(VLOOKUP(D678,'⚪设计'!$C$85:$I$113,7,FALSE)="","",VLOOKUP(D678,'⚪设计'!$C$85:$I$113,7,FALSE))</f>
        <v>Skill_Monster_Invisible,NormalAttack</v>
      </c>
      <c r="Q678" s="110" t="str">
        <f t="shared" si="28"/>
        <v>5</v>
      </c>
      <c r="R678" s="110" t="str">
        <f t="shared" si="29"/>
        <v>7</v>
      </c>
      <c r="S678" s="110" t="str">
        <f t="shared" si="30"/>
        <v>2</v>
      </c>
    </row>
    <row r="679" spans="2:19" x14ac:dyDescent="0.2">
      <c r="B679" s="57" t="s">
        <v>2662</v>
      </c>
      <c r="C679" s="57" t="s">
        <v>2954</v>
      </c>
      <c r="D679" s="55" t="str">
        <f>VLOOKUP(VLOOKUP(Q679&amp;"_"&amp;R679,活动关卡!$A$88:$Z$111,2+5*S679,FALSE),'⚪设计'!$B$85:$H$114,2,FALSE)</f>
        <v>ResUnit_BianFu2</v>
      </c>
      <c r="E679" s="55">
        <f>VLOOKUP(VLOOKUP(Q679&amp;"_"&amp;R679,活动关卡!$A$88:$Z$111,2+5*S679,FALSE),'⚪设计'!$B$85:$H$114,6,FALSE)*VLOOKUP(Q679&amp;"_"&amp;R679,活动关卡!$A$88:$Z$111,5,FALSE)</f>
        <v>2</v>
      </c>
      <c r="F679">
        <v>400</v>
      </c>
      <c r="G679" t="b">
        <v>1</v>
      </c>
      <c r="H679">
        <v>1</v>
      </c>
      <c r="I679">
        <v>1</v>
      </c>
      <c r="J679">
        <v>0.5</v>
      </c>
      <c r="K679" s="55">
        <f>VLOOKUP(VLOOKUP(Q679&amp;"_"&amp;R679,活动关卡!$A$88:$Z$111,2+5*S679,FALSE),'⚪设计'!$B$85:$H$114,7,FALSE)</f>
        <v>1.5</v>
      </c>
      <c r="L679" s="57" t="s">
        <v>2370</v>
      </c>
      <c r="M679" t="s">
        <v>468</v>
      </c>
      <c r="N679" t="s">
        <v>469</v>
      </c>
      <c r="O679" t="s">
        <v>470</v>
      </c>
      <c r="P679" s="57" t="str">
        <f>IF(VLOOKUP(D679,'⚪设计'!$C$85:$I$113,7,FALSE)="","",VLOOKUP(D679,'⚪设计'!$C$85:$I$113,7,FALSE))</f>
        <v/>
      </c>
      <c r="Q679" s="110" t="str">
        <f t="shared" si="28"/>
        <v>5</v>
      </c>
      <c r="R679" s="110" t="str">
        <f t="shared" si="29"/>
        <v>7</v>
      </c>
      <c r="S679" s="110" t="str">
        <f t="shared" si="30"/>
        <v>3</v>
      </c>
    </row>
    <row r="680" spans="2:19" x14ac:dyDescent="0.2">
      <c r="B680" s="57" t="s">
        <v>2663</v>
      </c>
      <c r="C680" s="57" t="s">
        <v>2955</v>
      </c>
      <c r="D680" s="55" t="str">
        <f>VLOOKUP(VLOOKUP(Q680&amp;"_"&amp;R680,活动关卡!$A$88:$Z$111,2+5*S680,FALSE),'⚪设计'!$B$85:$H$114,2,FALSE)</f>
        <v>ResUnit_WuGui2</v>
      </c>
      <c r="E680" s="55">
        <f>VLOOKUP(VLOOKUP(Q680&amp;"_"&amp;R680,活动关卡!$A$88:$Z$111,2+5*S680,FALSE),'⚪设计'!$B$85:$H$114,6,FALSE)*VLOOKUP(Q680&amp;"_"&amp;R680,活动关卡!$A$88:$Z$111,5,FALSE)</f>
        <v>2</v>
      </c>
      <c r="F680">
        <v>400</v>
      </c>
      <c r="G680" t="b">
        <v>1</v>
      </c>
      <c r="H680">
        <v>1</v>
      </c>
      <c r="I680">
        <v>1</v>
      </c>
      <c r="J680">
        <v>0.5</v>
      </c>
      <c r="K680" s="55">
        <f>VLOOKUP(VLOOKUP(Q680&amp;"_"&amp;R680,活动关卡!$A$88:$Z$111,2+5*S680,FALSE),'⚪设计'!$B$85:$H$114,7,FALSE)</f>
        <v>1.5</v>
      </c>
      <c r="L680" s="57" t="s">
        <v>2371</v>
      </c>
      <c r="M680" t="s">
        <v>468</v>
      </c>
      <c r="N680" t="s">
        <v>469</v>
      </c>
      <c r="O680" t="s">
        <v>470</v>
      </c>
      <c r="P680" s="57" t="str">
        <f>IF(VLOOKUP(D680,'⚪设计'!$C$85:$I$113,7,FALSE)="","",VLOOKUP(D680,'⚪设计'!$C$85:$I$113,7,FALSE))</f>
        <v>Skill_Monster_WuGui2,NormalAttack</v>
      </c>
      <c r="Q680" s="110" t="str">
        <f t="shared" si="28"/>
        <v>5</v>
      </c>
      <c r="R680" s="110" t="str">
        <f t="shared" si="29"/>
        <v>7</v>
      </c>
      <c r="S680" s="110" t="str">
        <f t="shared" si="30"/>
        <v>4</v>
      </c>
    </row>
    <row r="681" spans="2:19" x14ac:dyDescent="0.2">
      <c r="B681" s="57" t="s">
        <v>2664</v>
      </c>
      <c r="C681" s="57" t="s">
        <v>2956</v>
      </c>
      <c r="D681" s="55" t="str">
        <f>VLOOKUP(VLOOKUP(Q681&amp;"_"&amp;R681,活动关卡!$A$88:$Z$111,2+5*S681,FALSE),'⚪设计'!$B$85:$H$114,2,FALSE)</f>
        <v>ResUnit_Dan3</v>
      </c>
      <c r="E681" s="55">
        <f>VLOOKUP(VLOOKUP(Q681&amp;"_"&amp;R681,活动关卡!$A$88:$Z$111,2+5*S681,FALSE),'⚪设计'!$B$85:$H$114,6,FALSE)*VLOOKUP(Q681&amp;"_"&amp;R681,活动关卡!$A$88:$Z$111,5,FALSE)</f>
        <v>1.25</v>
      </c>
      <c r="F681">
        <v>400</v>
      </c>
      <c r="G681" t="b">
        <v>1</v>
      </c>
      <c r="H681">
        <v>1</v>
      </c>
      <c r="I681">
        <v>1</v>
      </c>
      <c r="J681">
        <v>0.5</v>
      </c>
      <c r="K681" s="55">
        <f>VLOOKUP(VLOOKUP(Q681&amp;"_"&amp;R681,活动关卡!$A$88:$Z$111,2+5*S681,FALSE),'⚪设计'!$B$85:$H$114,7,FALSE)</f>
        <v>2.5</v>
      </c>
      <c r="L681" s="57" t="s">
        <v>2372</v>
      </c>
      <c r="M681" t="s">
        <v>468</v>
      </c>
      <c r="N681" t="s">
        <v>469</v>
      </c>
      <c r="O681" t="s">
        <v>470</v>
      </c>
      <c r="P681" s="57" t="str">
        <f>IF(VLOOKUP(D681,'⚪设计'!$C$85:$I$113,7,FALSE)="","",VLOOKUP(D681,'⚪设计'!$C$85:$I$113,7,FALSE))</f>
        <v>Skill_Monster_Weaken,NormalAttack</v>
      </c>
      <c r="Q681" s="110" t="str">
        <f t="shared" si="28"/>
        <v>5</v>
      </c>
      <c r="R681" s="110" t="str">
        <f t="shared" si="29"/>
        <v>8</v>
      </c>
      <c r="S681" s="110" t="str">
        <f t="shared" si="30"/>
        <v>1</v>
      </c>
    </row>
    <row r="682" spans="2:19" x14ac:dyDescent="0.2">
      <c r="B682" s="57" t="s">
        <v>2665</v>
      </c>
      <c r="C682" s="57" t="s">
        <v>2957</v>
      </c>
      <c r="D682" s="55" t="str">
        <f>VLOOKUP(VLOOKUP(Q682&amp;"_"&amp;R682,活动关卡!$A$88:$Z$111,2+5*S682,FALSE),'⚪设计'!$B$85:$H$114,2,FALSE)</f>
        <v>ResUnit_Gui2</v>
      </c>
      <c r="E682" s="55">
        <f>VLOOKUP(VLOOKUP(Q682&amp;"_"&amp;R682,活动关卡!$A$88:$Z$111,2+5*S682,FALSE),'⚪设计'!$B$85:$H$114,6,FALSE)*VLOOKUP(Q682&amp;"_"&amp;R682,活动关卡!$A$88:$Z$111,5,FALSE)</f>
        <v>2</v>
      </c>
      <c r="F682">
        <v>400</v>
      </c>
      <c r="G682" t="b">
        <v>1</v>
      </c>
      <c r="H682">
        <v>1</v>
      </c>
      <c r="I682">
        <v>1</v>
      </c>
      <c r="J682">
        <v>0.5</v>
      </c>
      <c r="K682" s="55">
        <f>VLOOKUP(VLOOKUP(Q682&amp;"_"&amp;R682,活动关卡!$A$88:$Z$111,2+5*S682,FALSE),'⚪设计'!$B$85:$H$114,7,FALSE)</f>
        <v>1.5</v>
      </c>
      <c r="L682" s="57" t="s">
        <v>2373</v>
      </c>
      <c r="M682" t="s">
        <v>468</v>
      </c>
      <c r="N682" t="s">
        <v>469</v>
      </c>
      <c r="O682" t="s">
        <v>470</v>
      </c>
      <c r="P682" s="57" t="str">
        <f>IF(VLOOKUP(D682,'⚪设计'!$C$85:$I$113,7,FALSE)="","",VLOOKUP(D682,'⚪设计'!$C$85:$I$113,7,FALSE))</f>
        <v>Skill_Monster_Invisible,NormalAttack</v>
      </c>
      <c r="Q682" s="110" t="str">
        <f t="shared" si="28"/>
        <v>5</v>
      </c>
      <c r="R682" s="110" t="str">
        <f t="shared" si="29"/>
        <v>8</v>
      </c>
      <c r="S682" s="110" t="str">
        <f t="shared" si="30"/>
        <v>2</v>
      </c>
    </row>
    <row r="683" spans="2:19" x14ac:dyDescent="0.2">
      <c r="B683" s="57" t="s">
        <v>2666</v>
      </c>
      <c r="C683" s="57" t="s">
        <v>2958</v>
      </c>
      <c r="D683" s="55" t="str">
        <f>VLOOKUP(VLOOKUP(Q683&amp;"_"&amp;R683,活动关卡!$A$88:$Z$111,2+5*S683,FALSE),'⚪设计'!$B$85:$H$114,2,FALSE)</f>
        <v>ResUnit_ZhongZi2</v>
      </c>
      <c r="E683" s="55">
        <f>VLOOKUP(VLOOKUP(Q683&amp;"_"&amp;R683,活动关卡!$A$88:$Z$111,2+5*S683,FALSE),'⚪设计'!$B$85:$H$114,6,FALSE)*VLOOKUP(Q683&amp;"_"&amp;R683,活动关卡!$A$88:$Z$111,5,FALSE)</f>
        <v>2</v>
      </c>
      <c r="F683">
        <v>400</v>
      </c>
      <c r="G683" t="b">
        <v>1</v>
      </c>
      <c r="H683">
        <v>1</v>
      </c>
      <c r="I683">
        <v>1</v>
      </c>
      <c r="J683">
        <v>0.5</v>
      </c>
      <c r="K683" s="55">
        <f>VLOOKUP(VLOOKUP(Q683&amp;"_"&amp;R683,活动关卡!$A$88:$Z$111,2+5*S683,FALSE),'⚪设计'!$B$85:$H$114,7,FALSE)</f>
        <v>1.5</v>
      </c>
      <c r="L683" s="57" t="s">
        <v>2374</v>
      </c>
      <c r="M683" t="s">
        <v>468</v>
      </c>
      <c r="N683" t="s">
        <v>469</v>
      </c>
      <c r="O683" t="s">
        <v>470</v>
      </c>
      <c r="P683" s="57" t="str">
        <f>IF(VLOOKUP(D683,'⚪设计'!$C$85:$I$113,7,FALSE)="","",VLOOKUP(D683,'⚪设计'!$C$85:$I$113,7,FALSE))</f>
        <v>Skill_Monster_Heal,NormalAttack</v>
      </c>
      <c r="Q683" s="110" t="str">
        <f t="shared" si="28"/>
        <v>5</v>
      </c>
      <c r="R683" s="110" t="str">
        <f t="shared" si="29"/>
        <v>8</v>
      </c>
      <c r="S683" s="110" t="str">
        <f t="shared" si="30"/>
        <v>3</v>
      </c>
    </row>
    <row r="684" spans="2:19" x14ac:dyDescent="0.2">
      <c r="B684" s="57" t="s">
        <v>2667</v>
      </c>
      <c r="C684" s="57" t="s">
        <v>2959</v>
      </c>
      <c r="D684" s="55" t="str">
        <f>VLOOKUP(VLOOKUP(Q684&amp;"_"&amp;R684,活动关卡!$A$88:$Z$111,2+5*S684,FALSE),'⚪设计'!$B$85:$H$114,2,FALSE)</f>
        <v>ResUnit_WuGui3</v>
      </c>
      <c r="E684" s="55">
        <f>VLOOKUP(VLOOKUP(Q684&amp;"_"&amp;R684,活动关卡!$A$88:$Z$111,2+5*S684,FALSE),'⚪设计'!$B$85:$H$114,6,FALSE)*VLOOKUP(Q684&amp;"_"&amp;R684,活动关卡!$A$88:$Z$111,5,FALSE)</f>
        <v>2</v>
      </c>
      <c r="F684">
        <v>400</v>
      </c>
      <c r="G684" t="b">
        <v>1</v>
      </c>
      <c r="H684">
        <v>1</v>
      </c>
      <c r="I684">
        <v>1</v>
      </c>
      <c r="J684">
        <v>0.5</v>
      </c>
      <c r="K684" s="55">
        <f>VLOOKUP(VLOOKUP(Q684&amp;"_"&amp;R684,活动关卡!$A$88:$Z$111,2+5*S684,FALSE),'⚪设计'!$B$85:$H$114,7,FALSE)</f>
        <v>2.5</v>
      </c>
      <c r="L684" s="57" t="s">
        <v>2375</v>
      </c>
      <c r="M684" t="s">
        <v>468</v>
      </c>
      <c r="N684" t="s">
        <v>469</v>
      </c>
      <c r="O684" t="s">
        <v>470</v>
      </c>
      <c r="P684" s="57" t="str">
        <f>IF(VLOOKUP(D684,'⚪设计'!$C$85:$I$113,7,FALSE)="","",VLOOKUP(D684,'⚪设计'!$C$85:$I$113,7,FALSE))</f>
        <v>Skill_Monster_WuGui3,NormalAttack</v>
      </c>
      <c r="Q684" s="110" t="str">
        <f t="shared" si="28"/>
        <v>5</v>
      </c>
      <c r="R684" s="110" t="str">
        <f t="shared" si="29"/>
        <v>8</v>
      </c>
      <c r="S684" s="110" t="str">
        <f t="shared" si="30"/>
        <v>4</v>
      </c>
    </row>
  </sheetData>
  <dataConsolidate/>
  <phoneticPr fontId="4" type="noConversion"/>
  <conditionalFormatting sqref="P377">
    <cfRule type="duplicateValues" dxfId="18" priority="4"/>
  </conditionalFormatting>
  <conditionalFormatting sqref="P378">
    <cfRule type="duplicateValues" dxfId="17" priority="3"/>
  </conditionalFormatting>
  <conditionalFormatting sqref="P380">
    <cfRule type="duplicateValues" dxfId="16" priority="2"/>
  </conditionalFormatting>
  <conditionalFormatting sqref="P383">
    <cfRule type="duplicateValues" dxfId="15" priority="1"/>
  </conditionalFormatting>
  <hyperlinks>
    <hyperlink ref="L3" r:id="rId1" xr:uid="{6D32B3D2-3297-4EE4-993A-C1CAA735467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28209-E378-4051-87F2-7A07D9A45453}">
  <dimension ref="A1:AB734"/>
  <sheetViews>
    <sheetView zoomScale="70" zoomScaleNormal="7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O38" sqref="O38"/>
    </sheetView>
  </sheetViews>
  <sheetFormatPr defaultColWidth="9" defaultRowHeight="14.25" x14ac:dyDescent="0.2"/>
  <cols>
    <col min="1" max="1" width="8.75" style="57" customWidth="1"/>
    <col min="2" max="2" width="31.375" style="57" bestFit="1" customWidth="1"/>
    <col min="3" max="3" width="5.25" style="57" bestFit="1" customWidth="1"/>
    <col min="4" max="4" width="20.25" style="57" customWidth="1"/>
    <col min="5" max="5" width="10.75" style="57" customWidth="1"/>
    <col min="6" max="6" width="9.125" style="57" customWidth="1"/>
    <col min="7" max="7" width="12.125" style="57" customWidth="1"/>
    <col min="8" max="8" width="9.125" style="57" customWidth="1"/>
    <col min="9" max="9" width="10.875" style="57" customWidth="1"/>
    <col min="10" max="10" width="9.5" style="57" customWidth="1"/>
    <col min="11" max="25" width="7" style="57" customWidth="1"/>
    <col min="26" max="28" width="7.125" style="57" bestFit="1" customWidth="1"/>
    <col min="29" max="16384" width="9" style="57"/>
  </cols>
  <sheetData>
    <row r="1" spans="1:28" s="99" customFormat="1" x14ac:dyDescent="0.2">
      <c r="A1" s="63" t="s">
        <v>67</v>
      </c>
      <c r="B1" s="63" t="s">
        <v>180</v>
      </c>
      <c r="C1" s="63" t="s">
        <v>181</v>
      </c>
      <c r="D1" s="63" t="s">
        <v>155</v>
      </c>
      <c r="E1" s="63" t="s">
        <v>182</v>
      </c>
      <c r="F1" s="63" t="s">
        <v>183</v>
      </c>
      <c r="G1" s="63" t="s">
        <v>184</v>
      </c>
      <c r="H1" s="63" t="s">
        <v>185</v>
      </c>
      <c r="I1" s="63" t="s">
        <v>186</v>
      </c>
      <c r="J1" s="63" t="s">
        <v>187</v>
      </c>
      <c r="K1" s="201" t="s">
        <v>188</v>
      </c>
      <c r="L1" s="201"/>
      <c r="M1" s="201"/>
      <c r="N1" s="201"/>
      <c r="O1" s="201"/>
      <c r="P1" s="201" t="s">
        <v>189</v>
      </c>
      <c r="Q1" s="201"/>
      <c r="R1" s="201"/>
      <c r="S1" s="201"/>
      <c r="T1" s="201"/>
      <c r="U1" s="201" t="s">
        <v>190</v>
      </c>
      <c r="V1" s="201"/>
      <c r="W1" s="201"/>
      <c r="X1" s="201"/>
      <c r="Y1" s="201"/>
      <c r="Z1" s="63"/>
      <c r="AA1" s="63"/>
      <c r="AB1" s="63"/>
    </row>
    <row r="2" spans="1:28" s="99" customFormat="1" x14ac:dyDescent="0.2">
      <c r="A2" s="63" t="s">
        <v>67</v>
      </c>
      <c r="B2" s="63"/>
      <c r="C2" s="63"/>
      <c r="D2" s="63"/>
      <c r="E2" s="63"/>
      <c r="F2" s="63"/>
      <c r="G2" s="63"/>
      <c r="H2" s="63"/>
      <c r="I2" s="63"/>
      <c r="J2" s="63"/>
      <c r="K2" s="201" t="s">
        <v>191</v>
      </c>
      <c r="L2" s="201"/>
      <c r="M2" s="201" t="s">
        <v>192</v>
      </c>
      <c r="N2" s="201"/>
      <c r="O2" s="63" t="s">
        <v>193</v>
      </c>
      <c r="P2" s="201" t="s">
        <v>191</v>
      </c>
      <c r="Q2" s="201"/>
      <c r="R2" s="201" t="s">
        <v>192</v>
      </c>
      <c r="S2" s="201"/>
      <c r="T2" s="63" t="s">
        <v>193</v>
      </c>
      <c r="U2" s="201" t="s">
        <v>191</v>
      </c>
      <c r="V2" s="201"/>
      <c r="W2" s="201" t="s">
        <v>192</v>
      </c>
      <c r="X2" s="201"/>
      <c r="Y2" s="63" t="s">
        <v>193</v>
      </c>
      <c r="Z2" s="63"/>
      <c r="AA2" s="63"/>
      <c r="AB2" s="63"/>
    </row>
    <row r="3" spans="1:28" s="101" customFormat="1" x14ac:dyDescent="0.2">
      <c r="A3" s="64" t="s">
        <v>71</v>
      </c>
      <c r="B3" s="64" t="s">
        <v>72</v>
      </c>
      <c r="C3" s="64" t="s">
        <v>73</v>
      </c>
      <c r="D3" s="64" t="s">
        <v>72</v>
      </c>
      <c r="E3" s="64" t="s">
        <v>73</v>
      </c>
      <c r="F3" s="64" t="s">
        <v>73</v>
      </c>
      <c r="G3" s="64" t="s">
        <v>73</v>
      </c>
      <c r="H3" s="64" t="s">
        <v>73</v>
      </c>
      <c r="I3" s="64" t="s">
        <v>73</v>
      </c>
      <c r="J3" s="64" t="s">
        <v>73</v>
      </c>
      <c r="K3" s="200" t="s">
        <v>194</v>
      </c>
      <c r="L3" s="200"/>
      <c r="M3" s="200"/>
      <c r="N3" s="200"/>
      <c r="O3" s="200"/>
      <c r="P3" s="200" t="s">
        <v>194</v>
      </c>
      <c r="Q3" s="200"/>
      <c r="R3" s="200"/>
      <c r="S3" s="200"/>
      <c r="T3" s="200"/>
      <c r="U3" s="200" t="s">
        <v>194</v>
      </c>
      <c r="V3" s="200"/>
      <c r="W3" s="200"/>
      <c r="X3" s="200"/>
      <c r="Y3" s="200"/>
      <c r="Z3" s="64"/>
      <c r="AA3" s="64"/>
      <c r="AB3" s="64"/>
    </row>
    <row r="4" spans="1:28" s="101" customFormat="1" x14ac:dyDescent="0.2">
      <c r="A4" s="64" t="s">
        <v>75</v>
      </c>
      <c r="B4" s="64"/>
      <c r="C4" s="64"/>
      <c r="D4" s="64" t="s">
        <v>76</v>
      </c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</row>
    <row r="5" spans="1:28" s="99" customFormat="1" x14ac:dyDescent="0.2">
      <c r="A5" s="67" t="s">
        <v>77</v>
      </c>
      <c r="B5" s="67"/>
      <c r="C5" s="67"/>
      <c r="D5" s="67" t="s">
        <v>80</v>
      </c>
      <c r="E5" s="67" t="s">
        <v>195</v>
      </c>
      <c r="F5" s="67" t="s">
        <v>196</v>
      </c>
      <c r="G5" s="45" t="s">
        <v>1117</v>
      </c>
      <c r="H5" s="67" t="s">
        <v>197</v>
      </c>
      <c r="I5" s="67" t="s">
        <v>198</v>
      </c>
      <c r="J5" s="67" t="s">
        <v>199</v>
      </c>
      <c r="K5" s="67" t="s">
        <v>200</v>
      </c>
      <c r="L5" s="67"/>
      <c r="M5" s="67" t="s">
        <v>201</v>
      </c>
      <c r="N5" s="67"/>
      <c r="O5" s="67" t="s">
        <v>202</v>
      </c>
      <c r="P5" s="67" t="s">
        <v>200</v>
      </c>
      <c r="Q5" s="67"/>
      <c r="R5" s="67" t="s">
        <v>201</v>
      </c>
      <c r="S5" s="67"/>
      <c r="T5" s="67" t="s">
        <v>202</v>
      </c>
      <c r="U5" s="67" t="s">
        <v>200</v>
      </c>
      <c r="V5" s="67"/>
      <c r="W5" s="67" t="s">
        <v>201</v>
      </c>
      <c r="X5" s="67"/>
      <c r="Y5" s="67" t="s">
        <v>202</v>
      </c>
      <c r="Z5" s="63" t="s">
        <v>453</v>
      </c>
      <c r="AA5" s="63" t="s">
        <v>453</v>
      </c>
      <c r="AB5" s="63" t="s">
        <v>453</v>
      </c>
    </row>
    <row r="6" spans="1:28" x14ac:dyDescent="0.2">
      <c r="B6" s="57" t="s">
        <v>203</v>
      </c>
      <c r="C6" s="57">
        <v>1</v>
      </c>
      <c r="D6" s="57" t="s">
        <v>157</v>
      </c>
      <c r="E6" s="57">
        <v>1</v>
      </c>
      <c r="F6" s="65">
        <f>INT(VLOOKUP(D6,防御塔!$A$2:$N$17,7+C6,FALSE))</f>
        <v>100</v>
      </c>
      <c r="G6" s="57">
        <v>100</v>
      </c>
      <c r="H6" s="57">
        <v>0</v>
      </c>
      <c r="I6" s="57">
        <v>0</v>
      </c>
      <c r="J6" s="57">
        <v>0</v>
      </c>
      <c r="K6" s="68" t="s">
        <v>204</v>
      </c>
      <c r="L6" s="68" t="s">
        <v>85</v>
      </c>
      <c r="M6" s="68" t="s">
        <v>205</v>
      </c>
      <c r="N6" s="68"/>
      <c r="O6" s="65">
        <f>F6</f>
        <v>100</v>
      </c>
      <c r="P6" s="57" t="s">
        <v>206</v>
      </c>
      <c r="Q6" s="68" t="s">
        <v>84</v>
      </c>
      <c r="R6" s="68" t="s">
        <v>205</v>
      </c>
      <c r="S6" s="68"/>
      <c r="T6" s="65">
        <f>ROUND(1/VLOOKUP(D6,防御塔!$A$2:$N$17,5,FALSE),1)</f>
        <v>2</v>
      </c>
      <c r="U6" s="57" t="s">
        <v>207</v>
      </c>
      <c r="V6" s="68"/>
      <c r="W6" s="68" t="s">
        <v>207</v>
      </c>
      <c r="X6" s="68"/>
      <c r="Y6" s="68"/>
    </row>
    <row r="7" spans="1:28" x14ac:dyDescent="0.2">
      <c r="B7" s="57" t="s">
        <v>203</v>
      </c>
      <c r="C7" s="57">
        <v>2</v>
      </c>
      <c r="D7" s="57" t="s">
        <v>33</v>
      </c>
      <c r="E7" s="57">
        <v>1</v>
      </c>
      <c r="F7" s="65">
        <f>INT(VLOOKUP(D7,防御塔!$A$2:$N$17,7+C7,FALSE))</f>
        <v>270</v>
      </c>
      <c r="G7" s="57">
        <v>100</v>
      </c>
      <c r="H7" s="57">
        <v>0</v>
      </c>
      <c r="I7" s="57">
        <v>0</v>
      </c>
      <c r="J7" s="57">
        <v>0</v>
      </c>
      <c r="K7" s="57" t="s">
        <v>208</v>
      </c>
      <c r="L7" s="68" t="s">
        <v>85</v>
      </c>
      <c r="M7" s="68" t="s">
        <v>205</v>
      </c>
      <c r="N7" s="68"/>
      <c r="O7" s="65">
        <f t="shared" ref="O7:O26" si="0">F7</f>
        <v>270</v>
      </c>
      <c r="P7" s="57" t="s">
        <v>206</v>
      </c>
      <c r="Q7" s="68" t="s">
        <v>84</v>
      </c>
      <c r="R7" s="68" t="s">
        <v>205</v>
      </c>
      <c r="T7" s="65">
        <f>ROUND(1/VLOOKUP(D7,防御塔!$A$2:$N$17,5,FALSE),1)</f>
        <v>2</v>
      </c>
      <c r="U7" s="57" t="s">
        <v>207</v>
      </c>
      <c r="W7" s="68" t="s">
        <v>207</v>
      </c>
    </row>
    <row r="8" spans="1:28" x14ac:dyDescent="0.2">
      <c r="B8" s="57" t="s">
        <v>203</v>
      </c>
      <c r="C8" s="57">
        <v>3</v>
      </c>
      <c r="D8" s="57" t="s">
        <v>33</v>
      </c>
      <c r="E8" s="57">
        <v>1</v>
      </c>
      <c r="F8" s="65">
        <f>INT(VLOOKUP(D8,防御塔!$A$2:$N$17,7+C8,FALSE))</f>
        <v>623</v>
      </c>
      <c r="G8" s="123">
        <f>防御塔!M3*100</f>
        <v>200</v>
      </c>
      <c r="H8" s="123">
        <f>防御塔!L3*100</f>
        <v>15</v>
      </c>
      <c r="I8" s="57">
        <v>0</v>
      </c>
      <c r="J8" s="57">
        <v>0</v>
      </c>
      <c r="K8" s="57" t="s">
        <v>208</v>
      </c>
      <c r="L8" s="68" t="s">
        <v>85</v>
      </c>
      <c r="M8" s="68" t="s">
        <v>205</v>
      </c>
      <c r="N8" s="68"/>
      <c r="O8" s="65">
        <f t="shared" si="0"/>
        <v>623</v>
      </c>
      <c r="P8" s="57" t="s">
        <v>206</v>
      </c>
      <c r="Q8" s="68" t="s">
        <v>84</v>
      </c>
      <c r="R8" s="68" t="s">
        <v>205</v>
      </c>
      <c r="T8" s="65">
        <f>ROUND(1/VLOOKUP(D8,防御塔!$A$2:$N$17,5,FALSE),1)</f>
        <v>2</v>
      </c>
      <c r="U8" s="57" t="s">
        <v>207</v>
      </c>
      <c r="W8" s="68" t="s">
        <v>207</v>
      </c>
    </row>
    <row r="9" spans="1:28" x14ac:dyDescent="0.2">
      <c r="B9" s="57" t="s">
        <v>209</v>
      </c>
      <c r="C9" s="57">
        <v>1</v>
      </c>
      <c r="D9" s="57" t="s">
        <v>34</v>
      </c>
      <c r="E9" s="57">
        <v>1</v>
      </c>
      <c r="F9" s="65">
        <f>INT(VLOOKUP(D9,防御塔!$A$2:$N$17,7+C9,FALSE))</f>
        <v>33</v>
      </c>
      <c r="G9" s="57">
        <v>100</v>
      </c>
      <c r="H9" s="57">
        <v>0</v>
      </c>
      <c r="I9" s="57">
        <v>0</v>
      </c>
      <c r="J9" s="57">
        <v>0</v>
      </c>
      <c r="K9" s="57" t="s">
        <v>208</v>
      </c>
      <c r="L9" s="68" t="s">
        <v>85</v>
      </c>
      <c r="M9" s="68" t="s">
        <v>205</v>
      </c>
      <c r="N9" s="68"/>
      <c r="O9" s="65">
        <f t="shared" si="0"/>
        <v>33</v>
      </c>
      <c r="P9" s="57" t="s">
        <v>206</v>
      </c>
      <c r="Q9" s="68" t="s">
        <v>84</v>
      </c>
      <c r="R9" s="68" t="s">
        <v>205</v>
      </c>
      <c r="T9" s="65">
        <f>ROUND(1/VLOOKUP(D9,防御塔!$A$2:$N$17,5,FALSE),1)</f>
        <v>2</v>
      </c>
      <c r="U9" s="57" t="s">
        <v>207</v>
      </c>
      <c r="W9" s="68" t="s">
        <v>207</v>
      </c>
    </row>
    <row r="10" spans="1:28" x14ac:dyDescent="0.2">
      <c r="B10" s="57" t="s">
        <v>209</v>
      </c>
      <c r="C10" s="57">
        <v>2</v>
      </c>
      <c r="D10" s="57" t="s">
        <v>34</v>
      </c>
      <c r="E10" s="57">
        <v>1</v>
      </c>
      <c r="F10" s="65">
        <f>INT(VLOOKUP(D10,防御塔!$A$2:$N$17,7+C10,FALSE))</f>
        <v>89</v>
      </c>
      <c r="G10" s="57">
        <v>100</v>
      </c>
      <c r="H10" s="57">
        <v>0</v>
      </c>
      <c r="I10" s="57">
        <v>0</v>
      </c>
      <c r="J10" s="57">
        <v>0</v>
      </c>
      <c r="K10" s="57" t="s">
        <v>208</v>
      </c>
      <c r="L10" s="68" t="s">
        <v>85</v>
      </c>
      <c r="M10" s="68" t="s">
        <v>205</v>
      </c>
      <c r="N10" s="68"/>
      <c r="O10" s="65">
        <f t="shared" si="0"/>
        <v>89</v>
      </c>
      <c r="P10" s="57" t="s">
        <v>206</v>
      </c>
      <c r="Q10" s="68" t="s">
        <v>84</v>
      </c>
      <c r="R10" s="68" t="s">
        <v>205</v>
      </c>
      <c r="T10" s="65">
        <f>ROUND(1/VLOOKUP(D10,防御塔!$A$2:$N$17,5,FALSE),1)</f>
        <v>2</v>
      </c>
      <c r="U10" s="57" t="s">
        <v>207</v>
      </c>
      <c r="W10" s="68" t="s">
        <v>207</v>
      </c>
    </row>
    <row r="11" spans="1:28" x14ac:dyDescent="0.2">
      <c r="B11" s="57" t="s">
        <v>209</v>
      </c>
      <c r="C11" s="57">
        <v>3</v>
      </c>
      <c r="D11" s="57" t="s">
        <v>34</v>
      </c>
      <c r="E11" s="57">
        <v>1</v>
      </c>
      <c r="F11" s="65">
        <f>INT(VLOOKUP(D11,防御塔!$A$2:$N$17,7+C11,FALSE))</f>
        <v>267</v>
      </c>
      <c r="G11" s="57">
        <v>100</v>
      </c>
      <c r="H11" s="57">
        <v>0</v>
      </c>
      <c r="I11" s="57">
        <v>0</v>
      </c>
      <c r="J11" s="57">
        <v>0</v>
      </c>
      <c r="K11" s="57" t="s">
        <v>208</v>
      </c>
      <c r="L11" s="68" t="s">
        <v>85</v>
      </c>
      <c r="M11" s="68" t="s">
        <v>205</v>
      </c>
      <c r="N11" s="68"/>
      <c r="O11" s="65">
        <f t="shared" si="0"/>
        <v>267</v>
      </c>
      <c r="P11" s="57" t="s">
        <v>206</v>
      </c>
      <c r="Q11" s="68" t="s">
        <v>84</v>
      </c>
      <c r="R11" s="68" t="s">
        <v>205</v>
      </c>
      <c r="T11" s="65">
        <f>ROUND(1/VLOOKUP(D11,防御塔!$A$2:$N$17,5,FALSE),1)</f>
        <v>2</v>
      </c>
      <c r="U11" s="57" t="s">
        <v>207</v>
      </c>
      <c r="W11" s="68" t="s">
        <v>207</v>
      </c>
    </row>
    <row r="12" spans="1:28" x14ac:dyDescent="0.2">
      <c r="B12" s="57" t="s">
        <v>210</v>
      </c>
      <c r="C12" s="57">
        <v>1</v>
      </c>
      <c r="D12" s="57" t="s">
        <v>35</v>
      </c>
      <c r="E12" s="57">
        <v>1</v>
      </c>
      <c r="F12" s="65">
        <f>INT(VLOOKUP(D12,防御塔!$A$2:$N$17,7+C12,FALSE))</f>
        <v>12</v>
      </c>
      <c r="G12" s="57">
        <v>100</v>
      </c>
      <c r="H12" s="57">
        <v>0</v>
      </c>
      <c r="I12" s="57">
        <v>0</v>
      </c>
      <c r="J12" s="57">
        <v>0</v>
      </c>
      <c r="K12" s="57" t="s">
        <v>208</v>
      </c>
      <c r="L12" s="68" t="s">
        <v>85</v>
      </c>
      <c r="M12" s="68" t="s">
        <v>205</v>
      </c>
      <c r="N12" s="68"/>
      <c r="O12" s="65">
        <f t="shared" si="0"/>
        <v>12</v>
      </c>
      <c r="P12" s="57" t="s">
        <v>206</v>
      </c>
      <c r="Q12" s="68" t="s">
        <v>84</v>
      </c>
      <c r="R12" s="68" t="s">
        <v>205</v>
      </c>
      <c r="T12" s="65">
        <f>ROUND(1/VLOOKUP(D12,防御塔!$A$2:$N$17,5,FALSE),1)</f>
        <v>3.3</v>
      </c>
      <c r="U12" s="57" t="s">
        <v>207</v>
      </c>
      <c r="W12" s="68" t="s">
        <v>207</v>
      </c>
    </row>
    <row r="13" spans="1:28" x14ac:dyDescent="0.2">
      <c r="B13" s="57" t="s">
        <v>210</v>
      </c>
      <c r="C13" s="57">
        <v>2</v>
      </c>
      <c r="D13" s="57" t="s">
        <v>35</v>
      </c>
      <c r="E13" s="57">
        <v>1</v>
      </c>
      <c r="F13" s="65">
        <f>INT(VLOOKUP(D13,防御塔!$A$2:$N$17,7+C13,FALSE))</f>
        <v>32</v>
      </c>
      <c r="G13" s="57">
        <v>100</v>
      </c>
      <c r="H13" s="57">
        <v>0</v>
      </c>
      <c r="I13" s="57">
        <v>0</v>
      </c>
      <c r="J13" s="57">
        <v>0</v>
      </c>
      <c r="K13" s="57" t="s">
        <v>208</v>
      </c>
      <c r="L13" s="68" t="s">
        <v>85</v>
      </c>
      <c r="M13" s="68" t="s">
        <v>205</v>
      </c>
      <c r="N13" s="68"/>
      <c r="O13" s="65">
        <f t="shared" si="0"/>
        <v>32</v>
      </c>
      <c r="P13" s="57" t="s">
        <v>206</v>
      </c>
      <c r="Q13" s="68" t="s">
        <v>84</v>
      </c>
      <c r="R13" s="68" t="s">
        <v>205</v>
      </c>
      <c r="T13" s="65">
        <f>ROUND(1/VLOOKUP(D13,防御塔!$A$2:$N$17,5,FALSE),1)</f>
        <v>3.3</v>
      </c>
      <c r="U13" s="57" t="s">
        <v>207</v>
      </c>
      <c r="W13" s="68" t="s">
        <v>207</v>
      </c>
    </row>
    <row r="14" spans="1:28" x14ac:dyDescent="0.2">
      <c r="B14" s="57" t="s">
        <v>210</v>
      </c>
      <c r="C14" s="57">
        <v>3</v>
      </c>
      <c r="D14" s="57" t="s">
        <v>35</v>
      </c>
      <c r="E14" s="57">
        <v>1</v>
      </c>
      <c r="F14" s="65">
        <f>INT(VLOOKUP(D14,防御塔!$A$2:$N$17,7+C14,FALSE))</f>
        <v>48</v>
      </c>
      <c r="G14" s="57">
        <v>100</v>
      </c>
      <c r="H14" s="57">
        <v>0</v>
      </c>
      <c r="I14" s="57">
        <v>0</v>
      </c>
      <c r="J14" s="57">
        <v>0</v>
      </c>
      <c r="K14" s="57" t="s">
        <v>208</v>
      </c>
      <c r="L14" s="68" t="s">
        <v>85</v>
      </c>
      <c r="M14" s="68" t="s">
        <v>205</v>
      </c>
      <c r="N14" s="68"/>
      <c r="O14" s="65">
        <f t="shared" si="0"/>
        <v>48</v>
      </c>
      <c r="P14" s="57" t="s">
        <v>206</v>
      </c>
      <c r="Q14" s="68" t="s">
        <v>84</v>
      </c>
      <c r="R14" s="68" t="s">
        <v>205</v>
      </c>
      <c r="T14" s="65">
        <f>ROUND(1/VLOOKUP(D14,防御塔!$A$2:$N$17,5,FALSE),1)</f>
        <v>3.3</v>
      </c>
      <c r="U14" s="57" t="s">
        <v>207</v>
      </c>
      <c r="W14" s="68" t="s">
        <v>207</v>
      </c>
    </row>
    <row r="15" spans="1:28" x14ac:dyDescent="0.2">
      <c r="B15" s="57" t="s">
        <v>211</v>
      </c>
      <c r="C15" s="57">
        <v>1</v>
      </c>
      <c r="D15" s="57" t="s">
        <v>36</v>
      </c>
      <c r="E15" s="57">
        <v>1</v>
      </c>
      <c r="F15" s="65">
        <f>INT(VLOOKUP(D15,防御塔!$A$2:$N$17,7+C15,FALSE))</f>
        <v>10</v>
      </c>
      <c r="G15" s="57">
        <v>100</v>
      </c>
      <c r="H15" s="57">
        <v>0</v>
      </c>
      <c r="I15" s="57">
        <v>0</v>
      </c>
      <c r="J15" s="57">
        <v>0</v>
      </c>
      <c r="K15" s="57" t="s">
        <v>208</v>
      </c>
      <c r="L15" s="68" t="s">
        <v>85</v>
      </c>
      <c r="M15" s="68" t="s">
        <v>205</v>
      </c>
      <c r="N15" s="68"/>
      <c r="O15" s="65">
        <f>F15*防御塔!$C$6/防御塔!$D$6</f>
        <v>15</v>
      </c>
      <c r="P15" s="57" t="s">
        <v>206</v>
      </c>
      <c r="Q15" s="68" t="s">
        <v>84</v>
      </c>
      <c r="R15" s="68" t="s">
        <v>205</v>
      </c>
      <c r="T15" s="65">
        <f>ROUND(1/VLOOKUP(D15,防御塔!$A$2:$N$17,5,FALSE),1)</f>
        <v>3.3</v>
      </c>
      <c r="U15" s="57" t="s">
        <v>207</v>
      </c>
      <c r="W15" s="68" t="s">
        <v>207</v>
      </c>
    </row>
    <row r="16" spans="1:28" x14ac:dyDescent="0.2">
      <c r="B16" s="57" t="s">
        <v>211</v>
      </c>
      <c r="C16" s="57">
        <v>2</v>
      </c>
      <c r="D16" s="57" t="s">
        <v>36</v>
      </c>
      <c r="E16" s="57">
        <v>1</v>
      </c>
      <c r="F16" s="65">
        <f>INT(VLOOKUP(D16,防御塔!$A$2:$N$17,7+C16,FALSE))</f>
        <v>27</v>
      </c>
      <c r="G16" s="57">
        <v>100</v>
      </c>
      <c r="H16" s="57">
        <v>0</v>
      </c>
      <c r="I16" s="57">
        <v>0</v>
      </c>
      <c r="J16" s="57">
        <v>0</v>
      </c>
      <c r="K16" s="57" t="s">
        <v>208</v>
      </c>
      <c r="L16" s="68" t="s">
        <v>85</v>
      </c>
      <c r="M16" s="68" t="s">
        <v>205</v>
      </c>
      <c r="N16" s="68"/>
      <c r="O16" s="65">
        <f>F16*防御塔!$C$6/防御塔!$D$6</f>
        <v>40.5</v>
      </c>
      <c r="P16" s="57" t="s">
        <v>206</v>
      </c>
      <c r="Q16" s="68" t="s">
        <v>84</v>
      </c>
      <c r="R16" s="68" t="s">
        <v>205</v>
      </c>
      <c r="T16" s="65">
        <f>ROUND(1/VLOOKUP(D16,防御塔!$A$2:$N$17,5,FALSE),1)</f>
        <v>3.3</v>
      </c>
      <c r="U16" s="57" t="s">
        <v>207</v>
      </c>
      <c r="W16" s="68" t="s">
        <v>207</v>
      </c>
    </row>
    <row r="17" spans="2:25" x14ac:dyDescent="0.2">
      <c r="B17" s="57" t="s">
        <v>211</v>
      </c>
      <c r="C17" s="57">
        <v>3</v>
      </c>
      <c r="D17" s="57" t="s">
        <v>36</v>
      </c>
      <c r="E17" s="57">
        <v>1</v>
      </c>
      <c r="F17" s="65">
        <f>INT(VLOOKUP(D17,防御塔!$A$2:$N$17,7+C17,FALSE))</f>
        <v>121</v>
      </c>
      <c r="G17" s="57">
        <v>100</v>
      </c>
      <c r="H17" s="57">
        <v>0</v>
      </c>
      <c r="I17" s="57">
        <v>0</v>
      </c>
      <c r="J17" s="57">
        <v>0</v>
      </c>
      <c r="K17" s="57" t="s">
        <v>208</v>
      </c>
      <c r="L17" s="68" t="s">
        <v>85</v>
      </c>
      <c r="M17" s="68" t="s">
        <v>205</v>
      </c>
      <c r="N17" s="68"/>
      <c r="O17" s="65">
        <f>F17</f>
        <v>121</v>
      </c>
      <c r="P17" s="57" t="s">
        <v>206</v>
      </c>
      <c r="Q17" s="68" t="s">
        <v>84</v>
      </c>
      <c r="R17" s="68" t="s">
        <v>205</v>
      </c>
      <c r="T17" s="65">
        <f>ROUND(1/VLOOKUP(D17,防御塔!$A$2:$N$17,5,FALSE),1)</f>
        <v>3.3</v>
      </c>
      <c r="U17" s="57" t="s">
        <v>207</v>
      </c>
      <c r="W17" s="68" t="s">
        <v>207</v>
      </c>
    </row>
    <row r="18" spans="2:25" x14ac:dyDescent="0.2">
      <c r="B18" s="57" t="s">
        <v>212</v>
      </c>
      <c r="C18" s="57">
        <v>1</v>
      </c>
      <c r="D18" s="57" t="s">
        <v>37</v>
      </c>
      <c r="E18" s="57">
        <v>1</v>
      </c>
      <c r="F18" s="65">
        <f>INT(VLOOKUP(D18,防御塔!$A$2:$N$17,7+C18,FALSE))</f>
        <v>900</v>
      </c>
      <c r="G18" s="57">
        <v>100</v>
      </c>
      <c r="H18" s="57">
        <v>0</v>
      </c>
      <c r="I18" s="57">
        <v>0</v>
      </c>
      <c r="J18" s="57">
        <v>0</v>
      </c>
      <c r="K18" s="57" t="s">
        <v>208</v>
      </c>
      <c r="L18" s="68" t="s">
        <v>85</v>
      </c>
      <c r="M18" s="68" t="s">
        <v>205</v>
      </c>
      <c r="N18" s="68"/>
      <c r="O18" s="65">
        <f t="shared" si="0"/>
        <v>900</v>
      </c>
      <c r="P18" s="57" t="s">
        <v>206</v>
      </c>
      <c r="Q18" s="68" t="s">
        <v>84</v>
      </c>
      <c r="R18" s="68" t="s">
        <v>205</v>
      </c>
      <c r="T18" s="65">
        <f>ROUND(1/VLOOKUP(D18,防御塔!$A$2:$N$17,5,FALSE),1)</f>
        <v>0.5</v>
      </c>
      <c r="U18" s="57" t="s">
        <v>207</v>
      </c>
      <c r="W18" s="68" t="s">
        <v>207</v>
      </c>
    </row>
    <row r="19" spans="2:25" x14ac:dyDescent="0.2">
      <c r="B19" s="57" t="s">
        <v>212</v>
      </c>
      <c r="C19" s="57">
        <v>2</v>
      </c>
      <c r="D19" s="57" t="s">
        <v>37</v>
      </c>
      <c r="E19" s="57">
        <v>1</v>
      </c>
      <c r="F19" s="65">
        <f>INT(VLOOKUP(D19,防御塔!$A$2:$N$17,7+C19,FALSE))</f>
        <v>2430</v>
      </c>
      <c r="G19" s="57">
        <v>100</v>
      </c>
      <c r="H19" s="57">
        <v>0</v>
      </c>
      <c r="I19" s="57">
        <v>0</v>
      </c>
      <c r="J19" s="57">
        <v>0</v>
      </c>
      <c r="K19" s="57" t="s">
        <v>208</v>
      </c>
      <c r="L19" s="68" t="s">
        <v>85</v>
      </c>
      <c r="M19" s="68" t="s">
        <v>205</v>
      </c>
      <c r="N19" s="68"/>
      <c r="O19" s="65">
        <f t="shared" si="0"/>
        <v>2430</v>
      </c>
      <c r="P19" s="57" t="s">
        <v>206</v>
      </c>
      <c r="Q19" s="68" t="s">
        <v>84</v>
      </c>
      <c r="R19" s="68" t="s">
        <v>205</v>
      </c>
      <c r="T19" s="65">
        <f>ROUND(1/VLOOKUP(D19,防御塔!$A$2:$N$17,5,FALSE),1)</f>
        <v>0.5</v>
      </c>
      <c r="U19" s="57" t="s">
        <v>207</v>
      </c>
      <c r="W19" s="68" t="s">
        <v>207</v>
      </c>
    </row>
    <row r="20" spans="2:25" x14ac:dyDescent="0.2">
      <c r="B20" s="57" t="s">
        <v>212</v>
      </c>
      <c r="C20" s="57">
        <v>3</v>
      </c>
      <c r="D20" s="57" t="s">
        <v>37</v>
      </c>
      <c r="E20" s="57">
        <v>1</v>
      </c>
      <c r="F20" s="65">
        <f>INT(VLOOKUP(D20,防御塔!$A$2:$N$17,7+C20,FALSE))</f>
        <v>3645</v>
      </c>
      <c r="G20" s="57">
        <v>100</v>
      </c>
      <c r="H20" s="57">
        <v>0</v>
      </c>
      <c r="I20" s="57">
        <v>0</v>
      </c>
      <c r="J20" s="57">
        <v>0</v>
      </c>
      <c r="K20" s="57" t="s">
        <v>208</v>
      </c>
      <c r="L20" s="68" t="s">
        <v>85</v>
      </c>
      <c r="M20" s="68" t="s">
        <v>205</v>
      </c>
      <c r="N20" s="68"/>
      <c r="O20" s="65">
        <f t="shared" si="0"/>
        <v>3645</v>
      </c>
      <c r="P20" s="57" t="s">
        <v>206</v>
      </c>
      <c r="Q20" s="68" t="s">
        <v>84</v>
      </c>
      <c r="R20" s="68" t="s">
        <v>205</v>
      </c>
      <c r="T20" s="65">
        <f>ROUND(1/VLOOKUP(D20,防御塔!$A$2:$N$17,5,FALSE),1)</f>
        <v>0.5</v>
      </c>
      <c r="U20" s="57" t="s">
        <v>207</v>
      </c>
      <c r="W20" s="68" t="s">
        <v>207</v>
      </c>
    </row>
    <row r="21" spans="2:25" x14ac:dyDescent="0.2">
      <c r="B21" s="57" t="s">
        <v>213</v>
      </c>
      <c r="C21" s="57">
        <v>1</v>
      </c>
      <c r="D21" s="57" t="s">
        <v>38</v>
      </c>
      <c r="E21" s="57">
        <v>1</v>
      </c>
      <c r="F21" s="65">
        <f>INT(VLOOKUP(D21,防御塔!$A$2:$N$17,7+C21,FALSE))</f>
        <v>233</v>
      </c>
      <c r="G21" s="57">
        <v>100</v>
      </c>
      <c r="H21" s="57">
        <v>0</v>
      </c>
      <c r="I21" s="57">
        <v>0</v>
      </c>
      <c r="J21" s="57">
        <v>0</v>
      </c>
      <c r="K21" s="57" t="s">
        <v>208</v>
      </c>
      <c r="L21" s="68" t="s">
        <v>85</v>
      </c>
      <c r="M21" s="68" t="s">
        <v>205</v>
      </c>
      <c r="N21" s="68"/>
      <c r="O21" s="65">
        <f>F21*防御塔!$C$8/防御塔!$D$8</f>
        <v>349.5</v>
      </c>
      <c r="P21" s="57" t="s">
        <v>206</v>
      </c>
      <c r="Q21" s="68" t="s">
        <v>84</v>
      </c>
      <c r="R21" s="68" t="s">
        <v>205</v>
      </c>
      <c r="T21" s="65">
        <f>ROUND(1/VLOOKUP(D21,防御塔!$A$2:$N$17,5,FALSE),1)</f>
        <v>1</v>
      </c>
      <c r="U21" s="57" t="s">
        <v>207</v>
      </c>
      <c r="W21" s="68" t="s">
        <v>207</v>
      </c>
    </row>
    <row r="22" spans="2:25" x14ac:dyDescent="0.2">
      <c r="B22" s="57" t="s">
        <v>213</v>
      </c>
      <c r="C22" s="57">
        <v>2</v>
      </c>
      <c r="D22" s="57" t="s">
        <v>38</v>
      </c>
      <c r="E22" s="57">
        <v>1</v>
      </c>
      <c r="F22" s="65">
        <f>INT(VLOOKUP(D22,防御塔!$A$2:$N$17,7+C22,FALSE))</f>
        <v>629</v>
      </c>
      <c r="G22" s="57">
        <v>100</v>
      </c>
      <c r="H22" s="57">
        <v>0</v>
      </c>
      <c r="I22" s="57">
        <v>0</v>
      </c>
      <c r="J22" s="57">
        <v>0</v>
      </c>
      <c r="K22" s="57" t="s">
        <v>208</v>
      </c>
      <c r="L22" s="68" t="s">
        <v>85</v>
      </c>
      <c r="M22" s="68" t="s">
        <v>205</v>
      </c>
      <c r="N22" s="68"/>
      <c r="O22" s="65">
        <f>F22*防御塔!$C$8/防御塔!$D$8</f>
        <v>943.5</v>
      </c>
      <c r="P22" s="57" t="s">
        <v>206</v>
      </c>
      <c r="Q22" s="68" t="s">
        <v>84</v>
      </c>
      <c r="R22" s="68" t="s">
        <v>205</v>
      </c>
      <c r="T22" s="65">
        <f>ROUND(1/VLOOKUP(D22,防御塔!$A$2:$N$17,5,FALSE),1)</f>
        <v>1</v>
      </c>
      <c r="U22" s="57" t="s">
        <v>207</v>
      </c>
      <c r="W22" s="68" t="s">
        <v>207</v>
      </c>
    </row>
    <row r="23" spans="2:25" x14ac:dyDescent="0.2">
      <c r="B23" s="57" t="s">
        <v>213</v>
      </c>
      <c r="C23" s="57">
        <v>3</v>
      </c>
      <c r="D23" s="57" t="s">
        <v>38</v>
      </c>
      <c r="E23" s="57">
        <v>1</v>
      </c>
      <c r="F23" s="65">
        <f>INT(VLOOKUP(D23,防御塔!$A$2:$N$17,7+C23,FALSE))</f>
        <v>943</v>
      </c>
      <c r="G23" s="57">
        <v>100</v>
      </c>
      <c r="H23" s="57">
        <v>0</v>
      </c>
      <c r="I23" s="57">
        <v>0</v>
      </c>
      <c r="J23" s="57">
        <v>0</v>
      </c>
      <c r="K23" s="57" t="s">
        <v>208</v>
      </c>
      <c r="L23" s="68" t="s">
        <v>85</v>
      </c>
      <c r="M23" s="68" t="s">
        <v>205</v>
      </c>
      <c r="N23" s="68"/>
      <c r="O23" s="65">
        <f>F23*防御塔!$C$8/防御塔!$D$8</f>
        <v>1414.5</v>
      </c>
      <c r="P23" s="57" t="s">
        <v>206</v>
      </c>
      <c r="Q23" s="68" t="s">
        <v>84</v>
      </c>
      <c r="R23" s="68" t="s">
        <v>205</v>
      </c>
      <c r="T23" s="65">
        <f>ROUND(1/VLOOKUP(D23,防御塔!$A$2:$N$17,5,FALSE),1)</f>
        <v>1</v>
      </c>
      <c r="U23" s="57" t="s">
        <v>207</v>
      </c>
      <c r="W23" s="68" t="s">
        <v>207</v>
      </c>
    </row>
    <row r="24" spans="2:25" x14ac:dyDescent="0.2">
      <c r="B24" s="57" t="s">
        <v>214</v>
      </c>
      <c r="C24" s="57">
        <v>1</v>
      </c>
      <c r="D24" s="57" t="s">
        <v>39</v>
      </c>
      <c r="E24" s="57">
        <v>1</v>
      </c>
      <c r="F24" s="65">
        <f>INT(VLOOKUP(D24,防御塔!$A$2:$N$17,7+C24,FALSE))</f>
        <v>33</v>
      </c>
      <c r="G24" s="57">
        <v>100</v>
      </c>
      <c r="H24" s="57">
        <v>0</v>
      </c>
      <c r="I24" s="57">
        <v>0</v>
      </c>
      <c r="J24" s="57">
        <v>0</v>
      </c>
      <c r="K24" s="57" t="s">
        <v>208</v>
      </c>
      <c r="L24" s="68" t="s">
        <v>85</v>
      </c>
      <c r="M24" s="68" t="s">
        <v>205</v>
      </c>
      <c r="N24" s="68"/>
      <c r="O24" s="65">
        <f t="shared" si="0"/>
        <v>33</v>
      </c>
      <c r="P24" s="57" t="s">
        <v>206</v>
      </c>
      <c r="Q24" s="68" t="s">
        <v>84</v>
      </c>
      <c r="R24" s="68" t="s">
        <v>205</v>
      </c>
      <c r="T24" s="65">
        <f>ROUND(1/VLOOKUP(D24,防御塔!$A$2:$N$17,5,FALSE),1)</f>
        <v>1</v>
      </c>
      <c r="U24" s="57" t="s">
        <v>215</v>
      </c>
      <c r="V24" s="68" t="s">
        <v>41</v>
      </c>
      <c r="W24" s="68" t="s">
        <v>216</v>
      </c>
      <c r="Y24" s="65">
        <f>VLOOKUP(D24,防御塔!$A$2:$N$17,11+UnitPropertyCfg!C24,FALSE)*100</f>
        <v>25</v>
      </c>
    </row>
    <row r="25" spans="2:25" x14ac:dyDescent="0.2">
      <c r="B25" s="57" t="s">
        <v>214</v>
      </c>
      <c r="C25" s="57">
        <v>2</v>
      </c>
      <c r="D25" s="57" t="s">
        <v>39</v>
      </c>
      <c r="E25" s="57">
        <v>1</v>
      </c>
      <c r="F25" s="65">
        <f>INT(VLOOKUP(D25,防御塔!$A$2:$N$17,7+C25,FALSE))</f>
        <v>89</v>
      </c>
      <c r="G25" s="57">
        <v>100</v>
      </c>
      <c r="H25" s="57">
        <v>0</v>
      </c>
      <c r="I25" s="57">
        <v>0</v>
      </c>
      <c r="J25" s="57">
        <v>0</v>
      </c>
      <c r="K25" s="57" t="s">
        <v>208</v>
      </c>
      <c r="L25" s="68" t="s">
        <v>85</v>
      </c>
      <c r="M25" s="68" t="s">
        <v>205</v>
      </c>
      <c r="N25" s="68"/>
      <c r="O25" s="65">
        <f t="shared" si="0"/>
        <v>89</v>
      </c>
      <c r="P25" s="57" t="s">
        <v>206</v>
      </c>
      <c r="Q25" s="68" t="s">
        <v>84</v>
      </c>
      <c r="R25" s="68" t="s">
        <v>205</v>
      </c>
      <c r="T25" s="65">
        <f>ROUND(1/VLOOKUP(D25,防御塔!$A$2:$N$17,5,FALSE),1)</f>
        <v>1</v>
      </c>
      <c r="U25" s="57" t="s">
        <v>215</v>
      </c>
      <c r="V25" s="68" t="s">
        <v>41</v>
      </c>
      <c r="W25" s="68" t="s">
        <v>216</v>
      </c>
      <c r="Y25" s="65">
        <f>VLOOKUP(D25,防御塔!$A$2:$N$17,11+UnitPropertyCfg!C25,FALSE)*100</f>
        <v>40</v>
      </c>
    </row>
    <row r="26" spans="2:25" x14ac:dyDescent="0.2">
      <c r="B26" s="57" t="s">
        <v>214</v>
      </c>
      <c r="C26" s="57">
        <v>3</v>
      </c>
      <c r="D26" s="57" t="s">
        <v>39</v>
      </c>
      <c r="E26" s="57">
        <v>1</v>
      </c>
      <c r="F26" s="65">
        <f>INT(VLOOKUP(D26,防御塔!$A$2:$N$17,7+C26,FALSE))</f>
        <v>267</v>
      </c>
      <c r="G26" s="57">
        <v>100</v>
      </c>
      <c r="H26" s="57">
        <v>0</v>
      </c>
      <c r="I26" s="57">
        <v>0</v>
      </c>
      <c r="J26" s="57">
        <v>0</v>
      </c>
      <c r="K26" s="57" t="s">
        <v>208</v>
      </c>
      <c r="L26" s="68" t="s">
        <v>85</v>
      </c>
      <c r="M26" s="68" t="s">
        <v>205</v>
      </c>
      <c r="N26" s="68"/>
      <c r="O26" s="65">
        <f t="shared" si="0"/>
        <v>267</v>
      </c>
      <c r="P26" s="57" t="s">
        <v>206</v>
      </c>
      <c r="Q26" s="68" t="s">
        <v>84</v>
      </c>
      <c r="R26" s="68" t="s">
        <v>205</v>
      </c>
      <c r="T26" s="65">
        <f>ROUND(1/VLOOKUP(D26,防御塔!$A$2:$N$17,5,FALSE),1)</f>
        <v>1</v>
      </c>
      <c r="U26" s="57" t="s">
        <v>215</v>
      </c>
      <c r="V26" s="68" t="s">
        <v>41</v>
      </c>
      <c r="W26" s="68" t="s">
        <v>216</v>
      </c>
      <c r="Y26" s="65">
        <f>VLOOKUP(D26,防御塔!$A$2:$N$17,11+UnitPropertyCfg!C26,FALSE)*100</f>
        <v>50</v>
      </c>
    </row>
    <row r="27" spans="2:25" x14ac:dyDescent="0.2">
      <c r="B27" s="57" t="s">
        <v>217</v>
      </c>
      <c r="C27" s="57">
        <v>1</v>
      </c>
      <c r="D27" s="57" t="s">
        <v>40</v>
      </c>
      <c r="E27" s="57">
        <v>1</v>
      </c>
      <c r="F27" s="65">
        <f>INT(VLOOKUP(D27,防御塔!$A$2:$N$17,7+C27,FALSE))</f>
        <v>12</v>
      </c>
      <c r="G27" s="57">
        <v>100</v>
      </c>
      <c r="H27" s="57">
        <v>0</v>
      </c>
      <c r="I27" s="57">
        <v>0</v>
      </c>
      <c r="J27" s="57">
        <v>0</v>
      </c>
      <c r="K27" s="57" t="s">
        <v>218</v>
      </c>
      <c r="L27" s="68" t="s">
        <v>219</v>
      </c>
      <c r="M27" s="68" t="s">
        <v>216</v>
      </c>
      <c r="N27" s="68"/>
      <c r="O27" s="65">
        <f>ROUND(1/(1-VLOOKUP(D27,防御塔!$A$2:$N$17,UnitPropertyCfg!C27+11,FALSE))-1,1)*100</f>
        <v>40</v>
      </c>
      <c r="P27" s="68"/>
      <c r="Q27" s="68"/>
      <c r="R27" s="68" t="s">
        <v>207</v>
      </c>
      <c r="U27" s="57" t="s">
        <v>207</v>
      </c>
      <c r="V27" s="68"/>
      <c r="W27" s="68" t="s">
        <v>207</v>
      </c>
    </row>
    <row r="28" spans="2:25" x14ac:dyDescent="0.2">
      <c r="B28" s="57" t="s">
        <v>217</v>
      </c>
      <c r="C28" s="57">
        <v>2</v>
      </c>
      <c r="D28" s="57" t="s">
        <v>40</v>
      </c>
      <c r="E28" s="57">
        <v>1</v>
      </c>
      <c r="F28" s="65">
        <f>INT(VLOOKUP(D28,防御塔!$A$2:$N$17,7+C28,FALSE))</f>
        <v>32</v>
      </c>
      <c r="G28" s="57">
        <v>100</v>
      </c>
      <c r="H28" s="57">
        <v>0</v>
      </c>
      <c r="I28" s="57">
        <v>0</v>
      </c>
      <c r="J28" s="57">
        <v>0</v>
      </c>
      <c r="K28" s="57" t="s">
        <v>218</v>
      </c>
      <c r="L28" s="68" t="s">
        <v>219</v>
      </c>
      <c r="M28" s="68" t="s">
        <v>216</v>
      </c>
      <c r="N28" s="68"/>
      <c r="O28" s="65">
        <f>ROUND(1/(1-VLOOKUP(D28,防御塔!$A$2:$N$17,UnitPropertyCfg!C28+11,FALSE))-1,1)*100</f>
        <v>100</v>
      </c>
      <c r="P28" s="68"/>
      <c r="Q28" s="68"/>
      <c r="R28" s="68" t="s">
        <v>207</v>
      </c>
      <c r="U28" s="57" t="s">
        <v>207</v>
      </c>
      <c r="V28" s="68"/>
      <c r="W28" s="68" t="s">
        <v>207</v>
      </c>
    </row>
    <row r="29" spans="2:25" x14ac:dyDescent="0.2">
      <c r="B29" s="57" t="s">
        <v>217</v>
      </c>
      <c r="C29" s="57">
        <v>3</v>
      </c>
      <c r="D29" s="57" t="s">
        <v>40</v>
      </c>
      <c r="E29" s="57">
        <v>1</v>
      </c>
      <c r="F29" s="65">
        <f>INT(VLOOKUP(D29,防御塔!$A$2:$N$17,7+C29,FALSE))</f>
        <v>97</v>
      </c>
      <c r="G29" s="57">
        <v>100</v>
      </c>
      <c r="H29" s="57">
        <v>0</v>
      </c>
      <c r="I29" s="57">
        <v>0</v>
      </c>
      <c r="J29" s="57">
        <v>0</v>
      </c>
      <c r="K29" s="57" t="s">
        <v>218</v>
      </c>
      <c r="L29" s="68" t="s">
        <v>219</v>
      </c>
      <c r="M29" s="68" t="s">
        <v>216</v>
      </c>
      <c r="N29" s="68"/>
      <c r="O29" s="65">
        <f>ROUND(1/(1-VLOOKUP(D29,防御塔!$A$2:$N$17,UnitPropertyCfg!C29+11,FALSE))-1,1)*100</f>
        <v>150</v>
      </c>
      <c r="P29" s="68"/>
      <c r="Q29" s="68"/>
      <c r="R29" s="68" t="s">
        <v>207</v>
      </c>
      <c r="U29" s="57" t="s">
        <v>207</v>
      </c>
      <c r="V29" s="68"/>
      <c r="W29" s="68" t="s">
        <v>207</v>
      </c>
    </row>
    <row r="30" spans="2:25" x14ac:dyDescent="0.2">
      <c r="B30" s="57" t="s">
        <v>1333</v>
      </c>
      <c r="C30" s="57">
        <v>1</v>
      </c>
      <c r="D30" s="57" t="s">
        <v>1311</v>
      </c>
      <c r="E30" s="57">
        <v>1</v>
      </c>
      <c r="F30" s="65">
        <f>INT(VLOOKUP(D30,防御塔!$A$2:$N$17,7+C30,FALSE))</f>
        <v>450</v>
      </c>
      <c r="G30" s="57">
        <v>200</v>
      </c>
      <c r="H30" s="57">
        <v>0</v>
      </c>
      <c r="I30" s="57">
        <v>0</v>
      </c>
      <c r="J30" s="57">
        <v>0</v>
      </c>
      <c r="K30" s="57" t="s">
        <v>208</v>
      </c>
      <c r="L30" s="68" t="s">
        <v>1317</v>
      </c>
      <c r="M30" s="68" t="s">
        <v>205</v>
      </c>
      <c r="N30" s="68"/>
      <c r="O30" s="65">
        <f t="shared" ref="O30:O35" si="1">F30</f>
        <v>450</v>
      </c>
      <c r="P30" s="57" t="s">
        <v>206</v>
      </c>
      <c r="Q30" s="68" t="s">
        <v>84</v>
      </c>
      <c r="R30" s="68" t="s">
        <v>205</v>
      </c>
      <c r="T30" s="65">
        <f>ROUND(1/VLOOKUP(D30,防御塔!$A$2:$N$17,5,FALSE),1)</f>
        <v>1</v>
      </c>
      <c r="U30" s="57" t="s">
        <v>1318</v>
      </c>
      <c r="V30" s="68" t="s">
        <v>1314</v>
      </c>
      <c r="W30" s="68" t="s">
        <v>216</v>
      </c>
      <c r="Y30" s="65">
        <f>VLOOKUP(D30,防御塔!$A$2:$N$17,11+UnitPropertyCfg!C30,FALSE)*100</f>
        <v>1</v>
      </c>
    </row>
    <row r="31" spans="2:25" x14ac:dyDescent="0.2">
      <c r="B31" s="57" t="s">
        <v>1333</v>
      </c>
      <c r="C31" s="57">
        <v>2</v>
      </c>
      <c r="D31" s="57" t="s">
        <v>1311</v>
      </c>
      <c r="E31" s="57">
        <v>1</v>
      </c>
      <c r="F31" s="65">
        <f>INT(VLOOKUP(D31,防御塔!$A$2:$N$17,7+C31,FALSE))</f>
        <v>1215</v>
      </c>
      <c r="G31" s="57">
        <v>200</v>
      </c>
      <c r="H31" s="57">
        <v>0</v>
      </c>
      <c r="I31" s="57">
        <v>0</v>
      </c>
      <c r="J31" s="57">
        <v>0</v>
      </c>
      <c r="K31" s="57" t="s">
        <v>208</v>
      </c>
      <c r="L31" s="68" t="s">
        <v>1317</v>
      </c>
      <c r="M31" s="68" t="s">
        <v>205</v>
      </c>
      <c r="N31" s="68"/>
      <c r="O31" s="65">
        <f t="shared" si="1"/>
        <v>1215</v>
      </c>
      <c r="P31" s="57" t="s">
        <v>206</v>
      </c>
      <c r="Q31" s="68" t="s">
        <v>84</v>
      </c>
      <c r="R31" s="68" t="s">
        <v>205</v>
      </c>
      <c r="T31" s="65">
        <f>ROUND(1/VLOOKUP(D31,防御塔!$A$2:$N$17,5,FALSE),1)</f>
        <v>1</v>
      </c>
      <c r="U31" s="57" t="s">
        <v>1318</v>
      </c>
      <c r="V31" s="68" t="s">
        <v>1314</v>
      </c>
      <c r="W31" s="68" t="s">
        <v>216</v>
      </c>
      <c r="Y31" s="65">
        <f>VLOOKUP(D31,防御塔!$A$2:$N$17,11+UnitPropertyCfg!C31,FALSE)*100</f>
        <v>2</v>
      </c>
    </row>
    <row r="32" spans="2:25" x14ac:dyDescent="0.2">
      <c r="B32" s="57" t="s">
        <v>1333</v>
      </c>
      <c r="C32" s="57">
        <v>3</v>
      </c>
      <c r="D32" s="57" t="s">
        <v>1311</v>
      </c>
      <c r="E32" s="57">
        <v>1</v>
      </c>
      <c r="F32" s="65">
        <f>INT(VLOOKUP(D32,防御塔!$A$2:$N$17,7+C32,FALSE))</f>
        <v>1215</v>
      </c>
      <c r="G32" s="57">
        <v>200</v>
      </c>
      <c r="H32" s="57">
        <v>0</v>
      </c>
      <c r="I32" s="57">
        <v>0</v>
      </c>
      <c r="J32" s="57">
        <v>0</v>
      </c>
      <c r="K32" s="57" t="s">
        <v>208</v>
      </c>
      <c r="L32" s="68" t="s">
        <v>1317</v>
      </c>
      <c r="M32" s="68" t="s">
        <v>205</v>
      </c>
      <c r="N32" s="68"/>
      <c r="O32" s="65">
        <f t="shared" si="1"/>
        <v>1215</v>
      </c>
      <c r="P32" s="57" t="s">
        <v>206</v>
      </c>
      <c r="Q32" s="68" t="s">
        <v>84</v>
      </c>
      <c r="R32" s="68" t="s">
        <v>205</v>
      </c>
      <c r="T32" s="65">
        <f>ROUND(1/VLOOKUP(D32,防御塔!$A$2:$N$17,5,FALSE),1)</f>
        <v>1</v>
      </c>
      <c r="U32" s="57" t="s">
        <v>1318</v>
      </c>
      <c r="V32" s="68" t="s">
        <v>1314</v>
      </c>
      <c r="W32" s="68" t="s">
        <v>216</v>
      </c>
      <c r="Y32" s="65">
        <f>VLOOKUP(D32,防御塔!$A$2:$N$17,11+UnitPropertyCfg!C32,FALSE)*100</f>
        <v>3</v>
      </c>
    </row>
    <row r="33" spans="2:25" x14ac:dyDescent="0.2">
      <c r="B33" s="57" t="s">
        <v>1361</v>
      </c>
      <c r="C33" s="57">
        <v>1</v>
      </c>
      <c r="D33" s="57" t="s">
        <v>1312</v>
      </c>
      <c r="E33" s="57">
        <v>1</v>
      </c>
      <c r="F33" s="65">
        <f>INT(VLOOKUP(D33,防御塔!$A$2:$N$17,7+C33,FALSE))</f>
        <v>350</v>
      </c>
      <c r="G33" s="57">
        <v>200</v>
      </c>
      <c r="H33" s="57">
        <v>0</v>
      </c>
      <c r="I33" s="57">
        <v>0</v>
      </c>
      <c r="J33" s="57">
        <v>0</v>
      </c>
      <c r="K33" s="57" t="s">
        <v>208</v>
      </c>
      <c r="L33" s="68" t="s">
        <v>85</v>
      </c>
      <c r="M33" s="68" t="s">
        <v>205</v>
      </c>
      <c r="N33" s="68"/>
      <c r="O33" s="65">
        <f t="shared" si="1"/>
        <v>350</v>
      </c>
      <c r="P33" s="57" t="s">
        <v>206</v>
      </c>
      <c r="Q33" s="68" t="s">
        <v>84</v>
      </c>
      <c r="R33" s="68" t="s">
        <v>205</v>
      </c>
      <c r="T33" s="65">
        <f>ROUND(1/VLOOKUP(D33,防御塔!$A$2:$N$17,5,FALSE),1)</f>
        <v>1</v>
      </c>
      <c r="U33" s="57" t="s">
        <v>1362</v>
      </c>
      <c r="V33" s="68" t="s">
        <v>1360</v>
      </c>
      <c r="W33" s="68" t="s">
        <v>205</v>
      </c>
      <c r="Y33" s="65">
        <f>VLOOKUP(D33,防御塔!$A$2:$N$17,11+UnitPropertyCfg!C33,FALSE)</f>
        <v>1</v>
      </c>
    </row>
    <row r="34" spans="2:25" x14ac:dyDescent="0.2">
      <c r="B34" s="57" t="s">
        <v>1361</v>
      </c>
      <c r="C34" s="57">
        <v>2</v>
      </c>
      <c r="D34" s="57" t="s">
        <v>1312</v>
      </c>
      <c r="E34" s="57">
        <v>1</v>
      </c>
      <c r="F34" s="65">
        <f>INT(VLOOKUP(D34,防御塔!$A$2:$N$17,7+C34,FALSE))</f>
        <v>945</v>
      </c>
      <c r="G34" s="57">
        <v>200</v>
      </c>
      <c r="H34" s="57">
        <v>0</v>
      </c>
      <c r="I34" s="57">
        <v>0</v>
      </c>
      <c r="J34" s="57">
        <v>0</v>
      </c>
      <c r="K34" s="57" t="s">
        <v>208</v>
      </c>
      <c r="L34" s="68" t="s">
        <v>85</v>
      </c>
      <c r="M34" s="68" t="s">
        <v>205</v>
      </c>
      <c r="N34" s="68"/>
      <c r="O34" s="65">
        <f t="shared" si="1"/>
        <v>945</v>
      </c>
      <c r="P34" s="57" t="s">
        <v>206</v>
      </c>
      <c r="Q34" s="68" t="s">
        <v>84</v>
      </c>
      <c r="R34" s="68" t="s">
        <v>205</v>
      </c>
      <c r="T34" s="65">
        <f>ROUND(1/VLOOKUP(D34,防御塔!$A$2:$N$17,5,FALSE),1)</f>
        <v>1</v>
      </c>
      <c r="U34" s="57" t="s">
        <v>1362</v>
      </c>
      <c r="V34" s="68" t="s">
        <v>1360</v>
      </c>
      <c r="W34" s="68" t="s">
        <v>205</v>
      </c>
      <c r="Y34" s="65">
        <f>VLOOKUP(D34,防御塔!$A$2:$N$17,11+UnitPropertyCfg!C34,FALSE)</f>
        <v>4</v>
      </c>
    </row>
    <row r="35" spans="2:25" x14ac:dyDescent="0.2">
      <c r="B35" s="57" t="s">
        <v>1361</v>
      </c>
      <c r="C35" s="57">
        <v>3</v>
      </c>
      <c r="D35" s="57" t="s">
        <v>1312</v>
      </c>
      <c r="E35" s="57">
        <v>1</v>
      </c>
      <c r="F35" s="65">
        <f>INT(VLOOKUP(D35,防御塔!$A$2:$N$17,7+C35,FALSE))</f>
        <v>1417</v>
      </c>
      <c r="G35" s="57">
        <v>200</v>
      </c>
      <c r="H35" s="57">
        <v>0</v>
      </c>
      <c r="I35" s="57">
        <v>0</v>
      </c>
      <c r="J35" s="57">
        <v>0</v>
      </c>
      <c r="K35" s="57" t="s">
        <v>208</v>
      </c>
      <c r="L35" s="68" t="s">
        <v>85</v>
      </c>
      <c r="M35" s="68" t="s">
        <v>205</v>
      </c>
      <c r="N35" s="68"/>
      <c r="O35" s="65">
        <f t="shared" si="1"/>
        <v>1417</v>
      </c>
      <c r="P35" s="57" t="s">
        <v>206</v>
      </c>
      <c r="Q35" s="68" t="s">
        <v>84</v>
      </c>
      <c r="R35" s="68" t="s">
        <v>205</v>
      </c>
      <c r="T35" s="65">
        <f>ROUND(1/VLOOKUP(D35,防御塔!$A$2:$N$17,5,FALSE),1)</f>
        <v>1</v>
      </c>
      <c r="U35" s="57" t="s">
        <v>1362</v>
      </c>
      <c r="V35" s="68" t="s">
        <v>1360</v>
      </c>
      <c r="W35" s="68" t="s">
        <v>205</v>
      </c>
      <c r="Y35" s="65">
        <f>VLOOKUP(D35,防御塔!$A$2:$N$17,11+UnitPropertyCfg!C35,FALSE)</f>
        <v>15</v>
      </c>
    </row>
    <row r="36" spans="2:25" x14ac:dyDescent="0.2">
      <c r="B36" s="57" t="s">
        <v>1372</v>
      </c>
      <c r="C36" s="57">
        <v>1</v>
      </c>
      <c r="D36" s="57" t="s">
        <v>1363</v>
      </c>
      <c r="E36" s="57">
        <v>1</v>
      </c>
      <c r="F36" s="65">
        <f>INT(VLOOKUP(D36,防御塔!$A$2:$N$17,7+C36,FALSE))</f>
        <v>2000</v>
      </c>
      <c r="G36" s="57">
        <v>200</v>
      </c>
      <c r="H36" s="57">
        <v>0</v>
      </c>
      <c r="I36" s="57">
        <v>0</v>
      </c>
      <c r="J36" s="57">
        <v>0</v>
      </c>
      <c r="K36" s="57" t="s">
        <v>208</v>
      </c>
      <c r="L36" s="68" t="s">
        <v>85</v>
      </c>
      <c r="M36" s="68" t="s">
        <v>205</v>
      </c>
      <c r="N36" s="68"/>
      <c r="O36" s="65">
        <f t="shared" ref="O36:O38" si="2">F36</f>
        <v>2000</v>
      </c>
      <c r="Q36" s="68"/>
      <c r="R36" s="68"/>
      <c r="T36" s="65"/>
      <c r="V36" s="68"/>
      <c r="W36" s="68"/>
    </row>
    <row r="37" spans="2:25" x14ac:dyDescent="0.2">
      <c r="B37" s="57" t="s">
        <v>1372</v>
      </c>
      <c r="C37" s="57">
        <v>2</v>
      </c>
      <c r="D37" s="57" t="s">
        <v>1363</v>
      </c>
      <c r="E37" s="57">
        <v>1</v>
      </c>
      <c r="F37" s="65">
        <f>INT(VLOOKUP(D37,防御塔!$A$2:$N$17,7+C37,FALSE))</f>
        <v>5400</v>
      </c>
      <c r="G37" s="57">
        <v>200</v>
      </c>
      <c r="H37" s="57">
        <v>0</v>
      </c>
      <c r="I37" s="57">
        <v>0</v>
      </c>
      <c r="J37" s="57">
        <v>0</v>
      </c>
      <c r="K37" s="57" t="s">
        <v>208</v>
      </c>
      <c r="L37" s="68" t="s">
        <v>85</v>
      </c>
      <c r="M37" s="68" t="s">
        <v>205</v>
      </c>
      <c r="N37" s="68"/>
      <c r="O37" s="65">
        <f t="shared" si="2"/>
        <v>5400</v>
      </c>
      <c r="Q37" s="68"/>
      <c r="R37" s="68"/>
      <c r="T37" s="65"/>
      <c r="V37" s="68"/>
      <c r="W37" s="68"/>
    </row>
    <row r="38" spans="2:25" x14ac:dyDescent="0.2">
      <c r="B38" s="57" t="s">
        <v>1372</v>
      </c>
      <c r="C38" s="57">
        <v>3</v>
      </c>
      <c r="D38" s="57" t="s">
        <v>1363</v>
      </c>
      <c r="E38" s="57">
        <v>1</v>
      </c>
      <c r="F38" s="65">
        <f>INT(VLOOKUP(D38,防御塔!$A$2:$N$17,7+C38,FALSE))</f>
        <v>16200</v>
      </c>
      <c r="G38" s="57">
        <v>200</v>
      </c>
      <c r="H38" s="57">
        <v>0</v>
      </c>
      <c r="I38" s="57">
        <v>0</v>
      </c>
      <c r="J38" s="57">
        <v>0</v>
      </c>
      <c r="K38" s="57" t="s">
        <v>208</v>
      </c>
      <c r="L38" s="68" t="s">
        <v>85</v>
      </c>
      <c r="M38" s="68" t="s">
        <v>205</v>
      </c>
      <c r="N38" s="68"/>
      <c r="O38" s="65">
        <f t="shared" si="2"/>
        <v>16200</v>
      </c>
      <c r="P38" s="6" t="s">
        <v>1373</v>
      </c>
      <c r="Q38" s="68" t="s">
        <v>388</v>
      </c>
      <c r="R38" s="6" t="s">
        <v>1375</v>
      </c>
      <c r="T38" s="132">
        <v>3</v>
      </c>
      <c r="V38" s="68"/>
      <c r="W38" s="68"/>
    </row>
    <row r="39" spans="2:25" x14ac:dyDescent="0.2">
      <c r="B39" s="76" t="s">
        <v>3006</v>
      </c>
      <c r="C39" s="57">
        <v>1</v>
      </c>
      <c r="D39" s="54" t="s">
        <v>2971</v>
      </c>
      <c r="E39" s="57">
        <v>1</v>
      </c>
      <c r="F39" s="65">
        <f>INT(VLOOKUP(D39,防御塔!$A$2:$N$17,7+C39,FALSE))</f>
        <v>116</v>
      </c>
      <c r="G39" s="57">
        <v>200</v>
      </c>
      <c r="H39" s="57">
        <v>0</v>
      </c>
      <c r="I39" s="57">
        <v>0</v>
      </c>
      <c r="J39" s="57">
        <v>0</v>
      </c>
      <c r="K39" s="57" t="s">
        <v>208</v>
      </c>
      <c r="L39" s="68" t="s">
        <v>85</v>
      </c>
      <c r="M39" s="68" t="s">
        <v>205</v>
      </c>
      <c r="N39" s="68"/>
      <c r="O39" s="65">
        <f t="shared" ref="O39:O41" si="3">F39</f>
        <v>116</v>
      </c>
      <c r="P39" s="57" t="s">
        <v>206</v>
      </c>
      <c r="Q39" s="68" t="s">
        <v>84</v>
      </c>
      <c r="R39" s="68" t="s">
        <v>205</v>
      </c>
      <c r="T39" s="65">
        <f>ROUND(1/VLOOKUP(D39,防御塔!$A$2:$N$17,5,FALSE),1)</f>
        <v>0.5</v>
      </c>
      <c r="V39" s="68"/>
      <c r="W39" s="68"/>
    </row>
    <row r="40" spans="2:25" x14ac:dyDescent="0.2">
      <c r="B40" s="76" t="s">
        <v>3006</v>
      </c>
      <c r="C40" s="57">
        <v>2</v>
      </c>
      <c r="D40" s="54" t="s">
        <v>2971</v>
      </c>
      <c r="E40" s="57">
        <v>1</v>
      </c>
      <c r="F40" s="65">
        <f>INT(VLOOKUP(D40,防御塔!$A$2:$N$17,7+C40,FALSE))</f>
        <v>315</v>
      </c>
      <c r="G40" s="57">
        <v>200</v>
      </c>
      <c r="H40" s="57">
        <v>0</v>
      </c>
      <c r="I40" s="57">
        <v>0</v>
      </c>
      <c r="J40" s="57">
        <v>0</v>
      </c>
      <c r="K40" s="57" t="s">
        <v>208</v>
      </c>
      <c r="L40" s="68" t="s">
        <v>85</v>
      </c>
      <c r="M40" s="68" t="s">
        <v>205</v>
      </c>
      <c r="N40" s="68"/>
      <c r="O40" s="65">
        <f t="shared" si="3"/>
        <v>315</v>
      </c>
      <c r="P40" s="57" t="s">
        <v>206</v>
      </c>
      <c r="Q40" s="68" t="s">
        <v>84</v>
      </c>
      <c r="R40" s="68" t="s">
        <v>205</v>
      </c>
      <c r="T40" s="65">
        <f>ROUND(1/VLOOKUP(D40,防御塔!$A$2:$N$17,5,FALSE),1)</f>
        <v>0.5</v>
      </c>
      <c r="V40" s="68"/>
      <c r="W40" s="68"/>
    </row>
    <row r="41" spans="2:25" x14ac:dyDescent="0.2">
      <c r="B41" s="76" t="s">
        <v>3006</v>
      </c>
      <c r="C41" s="57">
        <v>3</v>
      </c>
      <c r="D41" s="54" t="s">
        <v>2971</v>
      </c>
      <c r="E41" s="57">
        <v>1</v>
      </c>
      <c r="F41" s="65">
        <f>INT(VLOOKUP(D41,防御塔!$A$2:$N$17,7+C41,FALSE))</f>
        <v>314</v>
      </c>
      <c r="G41" s="57">
        <v>200</v>
      </c>
      <c r="H41" s="57">
        <v>0</v>
      </c>
      <c r="I41" s="57">
        <v>0</v>
      </c>
      <c r="J41" s="57">
        <v>0</v>
      </c>
      <c r="K41" s="57" t="s">
        <v>208</v>
      </c>
      <c r="L41" s="68" t="s">
        <v>85</v>
      </c>
      <c r="M41" s="68" t="s">
        <v>205</v>
      </c>
      <c r="N41" s="68"/>
      <c r="O41" s="65">
        <f t="shared" si="3"/>
        <v>314</v>
      </c>
      <c r="P41" s="57" t="s">
        <v>206</v>
      </c>
      <c r="Q41" s="68" t="s">
        <v>84</v>
      </c>
      <c r="R41" s="68" t="s">
        <v>205</v>
      </c>
      <c r="T41" s="65">
        <f>ROUND(1/VLOOKUP(D41,防御塔!$A$2:$N$17,5,FALSE),1)</f>
        <v>0.5</v>
      </c>
      <c r="V41" s="68"/>
      <c r="W41" s="68"/>
    </row>
    <row r="42" spans="2:25" x14ac:dyDescent="0.2">
      <c r="B42" s="76" t="s">
        <v>3007</v>
      </c>
      <c r="C42" s="57">
        <v>1</v>
      </c>
      <c r="D42" s="54" t="s">
        <v>3002</v>
      </c>
      <c r="E42" s="57">
        <v>1</v>
      </c>
      <c r="F42" s="65">
        <f>INT(VLOOKUP(D42,防御塔!$A$2:$N$17,7+C42,FALSE))</f>
        <v>233</v>
      </c>
      <c r="G42" s="57">
        <v>200</v>
      </c>
      <c r="H42" s="57">
        <v>0</v>
      </c>
      <c r="I42" s="57">
        <v>0</v>
      </c>
      <c r="J42" s="57">
        <v>0</v>
      </c>
      <c r="K42" s="57" t="s">
        <v>208</v>
      </c>
      <c r="L42" s="68" t="s">
        <v>85</v>
      </c>
      <c r="M42" s="68" t="s">
        <v>205</v>
      </c>
      <c r="N42" s="68"/>
      <c r="O42" s="65">
        <f t="shared" ref="O42:O44" si="4">F42</f>
        <v>233</v>
      </c>
      <c r="P42" s="57" t="s">
        <v>206</v>
      </c>
      <c r="Q42" s="68" t="s">
        <v>84</v>
      </c>
      <c r="R42" s="68" t="s">
        <v>205</v>
      </c>
      <c r="T42" s="65">
        <f>ROUND(1/VLOOKUP(D42,防御塔!$A$2:$N$17,5,FALSE),1)</f>
        <v>0.5</v>
      </c>
      <c r="V42" s="68"/>
      <c r="W42" s="68"/>
    </row>
    <row r="43" spans="2:25" x14ac:dyDescent="0.2">
      <c r="B43" s="76" t="s">
        <v>3007</v>
      </c>
      <c r="C43" s="57">
        <v>2</v>
      </c>
      <c r="D43" s="54" t="s">
        <v>3002</v>
      </c>
      <c r="E43" s="57">
        <v>1</v>
      </c>
      <c r="F43" s="65">
        <f>INT(VLOOKUP(D43,防御塔!$A$2:$N$17,7+C43,FALSE))</f>
        <v>629</v>
      </c>
      <c r="G43" s="57">
        <v>200</v>
      </c>
      <c r="H43" s="57">
        <v>0</v>
      </c>
      <c r="I43" s="57">
        <v>0</v>
      </c>
      <c r="J43" s="57">
        <v>0</v>
      </c>
      <c r="K43" s="57" t="s">
        <v>208</v>
      </c>
      <c r="L43" s="68" t="s">
        <v>85</v>
      </c>
      <c r="M43" s="68" t="s">
        <v>205</v>
      </c>
      <c r="N43" s="68"/>
      <c r="O43" s="65">
        <f t="shared" si="4"/>
        <v>629</v>
      </c>
      <c r="P43" s="57" t="s">
        <v>206</v>
      </c>
      <c r="Q43" s="68" t="s">
        <v>84</v>
      </c>
      <c r="R43" s="68" t="s">
        <v>205</v>
      </c>
      <c r="T43" s="65">
        <f>ROUND(1/VLOOKUP(D43,防御塔!$A$2:$N$17,5,FALSE),1)</f>
        <v>0.5</v>
      </c>
      <c r="V43" s="68"/>
      <c r="W43" s="68"/>
    </row>
    <row r="44" spans="2:25" x14ac:dyDescent="0.2">
      <c r="B44" s="76" t="s">
        <v>3007</v>
      </c>
      <c r="C44" s="57">
        <v>3</v>
      </c>
      <c r="D44" s="54" t="s">
        <v>3002</v>
      </c>
      <c r="E44" s="57">
        <v>1</v>
      </c>
      <c r="F44" s="65">
        <f>INT(VLOOKUP(D44,防御塔!$A$2:$N$17,7+C44,FALSE))</f>
        <v>943</v>
      </c>
      <c r="G44" s="57">
        <v>200</v>
      </c>
      <c r="H44" s="57">
        <v>0</v>
      </c>
      <c r="I44" s="57">
        <v>0</v>
      </c>
      <c r="J44" s="57">
        <v>0</v>
      </c>
      <c r="K44" s="57" t="s">
        <v>208</v>
      </c>
      <c r="L44" s="68" t="s">
        <v>85</v>
      </c>
      <c r="M44" s="68" t="s">
        <v>205</v>
      </c>
      <c r="N44" s="68"/>
      <c r="O44" s="65">
        <f t="shared" si="4"/>
        <v>943</v>
      </c>
      <c r="P44" s="57" t="s">
        <v>206</v>
      </c>
      <c r="Q44" s="68" t="s">
        <v>84</v>
      </c>
      <c r="R44" s="68" t="s">
        <v>205</v>
      </c>
      <c r="T44" s="65">
        <f>ROUND(1/VLOOKUP(D44,防御塔!$A$2:$N$17,5,FALSE),1)</f>
        <v>0.5</v>
      </c>
      <c r="V44" s="68"/>
      <c r="W44" s="68"/>
    </row>
    <row r="45" spans="2:25" x14ac:dyDescent="0.2">
      <c r="B45" s="76" t="s">
        <v>3008</v>
      </c>
      <c r="C45" s="57">
        <v>1</v>
      </c>
      <c r="D45" s="54" t="s">
        <v>2967</v>
      </c>
      <c r="E45" s="57">
        <v>1</v>
      </c>
      <c r="F45" s="65">
        <f>INT(VLOOKUP(D45,防御塔!$A$2:$N$17,7+C45,FALSE))</f>
        <v>155</v>
      </c>
      <c r="G45" s="57">
        <v>200</v>
      </c>
      <c r="H45" s="57">
        <v>0</v>
      </c>
      <c r="I45" s="57">
        <v>0</v>
      </c>
      <c r="J45" s="57">
        <v>0</v>
      </c>
      <c r="K45" s="57" t="s">
        <v>208</v>
      </c>
      <c r="L45" s="68" t="s">
        <v>85</v>
      </c>
      <c r="M45" s="68" t="s">
        <v>205</v>
      </c>
      <c r="N45" s="68"/>
      <c r="O45" s="65">
        <f>F45*('⚪设计'!B71/'⚪设计'!C71)</f>
        <v>232.5</v>
      </c>
      <c r="P45" s="57" t="s">
        <v>206</v>
      </c>
      <c r="Q45" s="68" t="s">
        <v>84</v>
      </c>
      <c r="R45" s="68" t="s">
        <v>205</v>
      </c>
      <c r="T45" s="65">
        <f>ROUND(1/VLOOKUP(D45,防御塔!$A$2:$N$17,5,FALSE),1)</f>
        <v>0.5</v>
      </c>
      <c r="V45" s="68"/>
      <c r="W45" s="68"/>
    </row>
    <row r="46" spans="2:25" x14ac:dyDescent="0.2">
      <c r="B46" s="76" t="s">
        <v>3008</v>
      </c>
      <c r="C46" s="57">
        <v>2</v>
      </c>
      <c r="D46" s="54" t="s">
        <v>2967</v>
      </c>
      <c r="E46" s="57">
        <v>1</v>
      </c>
      <c r="F46" s="65">
        <f>INT(VLOOKUP(D46,防御塔!$A$2:$N$17,7+C46,FALSE))</f>
        <v>418</v>
      </c>
      <c r="G46" s="57">
        <v>200</v>
      </c>
      <c r="H46" s="57">
        <v>0</v>
      </c>
      <c r="I46" s="57">
        <v>0</v>
      </c>
      <c r="J46" s="57">
        <v>0</v>
      </c>
      <c r="K46" s="57" t="s">
        <v>208</v>
      </c>
      <c r="L46" s="68" t="s">
        <v>85</v>
      </c>
      <c r="M46" s="68" t="s">
        <v>205</v>
      </c>
      <c r="N46" s="68"/>
      <c r="O46" s="65">
        <f>F46*('⚪设计'!B72/'⚪设计'!C72)</f>
        <v>627</v>
      </c>
      <c r="P46" s="57" t="s">
        <v>206</v>
      </c>
      <c r="Q46" s="68" t="s">
        <v>84</v>
      </c>
      <c r="R46" s="68" t="s">
        <v>205</v>
      </c>
      <c r="T46" s="65">
        <f>ROUND(1/VLOOKUP(D46,防御塔!$A$2:$N$17,5,FALSE),1)</f>
        <v>0.5</v>
      </c>
      <c r="V46" s="68"/>
      <c r="W46" s="68"/>
    </row>
    <row r="47" spans="2:25" x14ac:dyDescent="0.2">
      <c r="B47" s="76" t="s">
        <v>3008</v>
      </c>
      <c r="C47" s="57">
        <v>3</v>
      </c>
      <c r="D47" s="54" t="s">
        <v>2967</v>
      </c>
      <c r="E47" s="57">
        <v>1</v>
      </c>
      <c r="F47" s="65">
        <f>INT(VLOOKUP(D47,防御塔!$A$2:$N$17,7+C47,FALSE))</f>
        <v>627</v>
      </c>
      <c r="G47" s="57">
        <v>200</v>
      </c>
      <c r="H47" s="57">
        <v>0</v>
      </c>
      <c r="I47" s="57">
        <v>0</v>
      </c>
      <c r="J47" s="57">
        <v>0</v>
      </c>
      <c r="K47" s="57" t="s">
        <v>208</v>
      </c>
      <c r="L47" s="68" t="s">
        <v>85</v>
      </c>
      <c r="M47" s="68" t="s">
        <v>205</v>
      </c>
      <c r="N47" s="68"/>
      <c r="O47" s="65">
        <f>F47*('⚪设计'!B73/'⚪设计'!C73)</f>
        <v>627</v>
      </c>
      <c r="P47" s="57" t="s">
        <v>206</v>
      </c>
      <c r="Q47" s="68" t="s">
        <v>84</v>
      </c>
      <c r="R47" s="68" t="s">
        <v>205</v>
      </c>
      <c r="T47" s="65">
        <f>ROUND(1/VLOOKUP(D47,防御塔!$A$2:$N$17,5,FALSE),1)</f>
        <v>0.5</v>
      </c>
      <c r="V47" s="68"/>
      <c r="W47" s="68"/>
    </row>
    <row r="48" spans="2:25" x14ac:dyDescent="0.2">
      <c r="B48" s="76" t="s">
        <v>3005</v>
      </c>
      <c r="C48" s="57">
        <v>1</v>
      </c>
      <c r="D48" s="54" t="s">
        <v>2965</v>
      </c>
      <c r="E48" s="57">
        <v>1</v>
      </c>
      <c r="F48" s="65">
        <f>INT(VLOOKUP(D48,防御塔!$A$2:$N$17,7+C48,FALSE))</f>
        <v>88</v>
      </c>
      <c r="G48" s="57">
        <v>200</v>
      </c>
      <c r="H48" s="57">
        <v>0</v>
      </c>
      <c r="I48" s="57">
        <v>0</v>
      </c>
      <c r="J48" s="57">
        <v>0</v>
      </c>
      <c r="K48" s="57" t="s">
        <v>208</v>
      </c>
      <c r="L48" s="68" t="s">
        <v>85</v>
      </c>
      <c r="M48" s="68" t="s">
        <v>205</v>
      </c>
      <c r="N48" s="68"/>
      <c r="O48" s="65">
        <f t="shared" ref="O48:O50" si="5">F48</f>
        <v>88</v>
      </c>
      <c r="P48" s="57" t="s">
        <v>206</v>
      </c>
      <c r="Q48" s="68" t="s">
        <v>84</v>
      </c>
      <c r="R48" s="68" t="s">
        <v>205</v>
      </c>
      <c r="T48" s="65">
        <f>ROUND(1/VLOOKUP(D48,防御塔!$A$2:$N$17,5,FALSE),1)</f>
        <v>0.5</v>
      </c>
      <c r="V48" s="68"/>
      <c r="W48" s="68"/>
    </row>
    <row r="49" spans="2:28" x14ac:dyDescent="0.2">
      <c r="B49" s="76" t="s">
        <v>3005</v>
      </c>
      <c r="C49" s="57">
        <v>2</v>
      </c>
      <c r="D49" s="54" t="s">
        <v>2965</v>
      </c>
      <c r="E49" s="57">
        <v>1</v>
      </c>
      <c r="F49" s="65">
        <f>INT(VLOOKUP(D49,防御塔!$A$2:$N$17,7+C49,FALSE))</f>
        <v>237</v>
      </c>
      <c r="G49" s="57">
        <v>200</v>
      </c>
      <c r="H49" s="57">
        <v>0</v>
      </c>
      <c r="I49" s="57">
        <v>0</v>
      </c>
      <c r="J49" s="57">
        <v>0</v>
      </c>
      <c r="K49" s="57" t="s">
        <v>208</v>
      </c>
      <c r="L49" s="68" t="s">
        <v>85</v>
      </c>
      <c r="M49" s="68" t="s">
        <v>205</v>
      </c>
      <c r="N49" s="68"/>
      <c r="O49" s="65">
        <f t="shared" si="5"/>
        <v>237</v>
      </c>
      <c r="P49" s="57" t="s">
        <v>206</v>
      </c>
      <c r="Q49" s="68" t="s">
        <v>84</v>
      </c>
      <c r="R49" s="68" t="s">
        <v>205</v>
      </c>
      <c r="T49" s="65">
        <f>ROUND(1/VLOOKUP(D49,防御塔!$A$2:$N$17,5,FALSE),1)</f>
        <v>0.5</v>
      </c>
      <c r="V49" s="68"/>
      <c r="W49" s="68"/>
    </row>
    <row r="50" spans="2:28" x14ac:dyDescent="0.2">
      <c r="B50" s="76" t="s">
        <v>3005</v>
      </c>
      <c r="C50" s="57">
        <v>3</v>
      </c>
      <c r="D50" s="54" t="s">
        <v>2965</v>
      </c>
      <c r="E50" s="57">
        <v>1</v>
      </c>
      <c r="F50" s="65">
        <f>INT(VLOOKUP(D50,防御塔!$A$2:$N$17,7+C50,FALSE))</f>
        <v>356</v>
      </c>
      <c r="G50" s="57">
        <v>200</v>
      </c>
      <c r="H50" s="57">
        <v>0</v>
      </c>
      <c r="I50" s="57">
        <v>0</v>
      </c>
      <c r="J50" s="57">
        <v>0</v>
      </c>
      <c r="K50" s="57" t="s">
        <v>208</v>
      </c>
      <c r="L50" s="68" t="s">
        <v>85</v>
      </c>
      <c r="M50" s="68" t="s">
        <v>205</v>
      </c>
      <c r="N50" s="68"/>
      <c r="O50" s="65">
        <f t="shared" si="5"/>
        <v>356</v>
      </c>
      <c r="P50" s="57" t="s">
        <v>206</v>
      </c>
      <c r="Q50" s="68" t="s">
        <v>84</v>
      </c>
      <c r="R50" s="68" t="s">
        <v>205</v>
      </c>
      <c r="T50" s="65">
        <f>ROUND(1/VLOOKUP(D50,防御塔!$A$2:$N$17,5,FALSE),1)</f>
        <v>0.5</v>
      </c>
      <c r="V50" s="68"/>
      <c r="W50" s="68"/>
    </row>
    <row r="51" spans="2:28" x14ac:dyDescent="0.2">
      <c r="L51" s="68"/>
      <c r="M51" s="68"/>
      <c r="V51" s="68"/>
      <c r="W51" s="68"/>
    </row>
    <row r="53" spans="2:28" x14ac:dyDescent="0.2">
      <c r="B53" t="s">
        <v>1206</v>
      </c>
      <c r="C53" s="57">
        <v>1</v>
      </c>
      <c r="D53" t="s">
        <v>1208</v>
      </c>
      <c r="E53" s="102">
        <f>VLOOKUP(Z53,新手关卡!$A$3:$X$5,3+5*AA53,FALSE)</f>
        <v>162</v>
      </c>
      <c r="F53" s="57">
        <v>1</v>
      </c>
      <c r="G53" s="57">
        <v>0</v>
      </c>
      <c r="H53" s="57">
        <v>0</v>
      </c>
      <c r="I53" s="57">
        <v>0</v>
      </c>
      <c r="Z53" s="110">
        <v>1</v>
      </c>
      <c r="AA53" s="110">
        <v>1</v>
      </c>
      <c r="AB53" s="110"/>
    </row>
    <row r="54" spans="2:28" x14ac:dyDescent="0.2">
      <c r="B54" t="s">
        <v>1207</v>
      </c>
      <c r="C54" s="57">
        <v>1</v>
      </c>
      <c r="D54" t="s">
        <v>1209</v>
      </c>
      <c r="E54" s="102">
        <f>VLOOKUP(Z54,新手关卡!$A$3:$X$5,3+5*AA54,FALSE)</f>
        <v>112</v>
      </c>
      <c r="F54" s="57">
        <v>1</v>
      </c>
      <c r="G54" s="57">
        <v>0</v>
      </c>
      <c r="H54" s="57">
        <v>0</v>
      </c>
      <c r="I54" s="57">
        <v>0</v>
      </c>
      <c r="Z54" s="110">
        <v>2</v>
      </c>
      <c r="AA54" s="110">
        <v>1</v>
      </c>
      <c r="AB54" s="110"/>
    </row>
    <row r="55" spans="2:28" x14ac:dyDescent="0.2">
      <c r="B55" t="s">
        <v>3021</v>
      </c>
      <c r="C55" s="57">
        <v>1</v>
      </c>
      <c r="D55" t="s">
        <v>1210</v>
      </c>
      <c r="E55" s="102">
        <f>VLOOKUP(Z55,新手关卡!$A$3:$X$5,3+5*AA55,FALSE)</f>
        <v>223</v>
      </c>
      <c r="F55" s="57">
        <v>1</v>
      </c>
      <c r="G55" s="57">
        <v>0</v>
      </c>
      <c r="H55" s="57">
        <v>0</v>
      </c>
      <c r="I55" s="57">
        <v>0</v>
      </c>
      <c r="Z55" s="110">
        <v>2</v>
      </c>
      <c r="AA55" s="110">
        <v>2</v>
      </c>
      <c r="AB55" s="110"/>
    </row>
    <row r="56" spans="2:28" x14ac:dyDescent="0.2">
      <c r="B56" t="s">
        <v>3022</v>
      </c>
      <c r="C56" s="57">
        <v>1</v>
      </c>
      <c r="D56" t="s">
        <v>3025</v>
      </c>
      <c r="E56" s="102">
        <f>VLOOKUP(Z56,新手关卡!$A$3:$X$5,3+5*AA56,FALSE)</f>
        <v>4469</v>
      </c>
      <c r="F56" s="57">
        <v>1</v>
      </c>
      <c r="G56" s="57">
        <v>0</v>
      </c>
      <c r="H56" s="57">
        <v>0</v>
      </c>
      <c r="I56" s="57">
        <v>0</v>
      </c>
      <c r="Z56" s="110">
        <v>2</v>
      </c>
      <c r="AA56" s="110">
        <v>3</v>
      </c>
      <c r="AB56" s="110"/>
    </row>
    <row r="57" spans="2:28" x14ac:dyDescent="0.2">
      <c r="E57" s="102"/>
    </row>
    <row r="58" spans="2:28" x14ac:dyDescent="0.2">
      <c r="E58" s="102"/>
    </row>
    <row r="59" spans="2:28" x14ac:dyDescent="0.2">
      <c r="E59" s="102"/>
    </row>
    <row r="60" spans="2:28" s="166" customFormat="1" x14ac:dyDescent="0.2">
      <c r="E60" s="174"/>
    </row>
    <row r="61" spans="2:28" x14ac:dyDescent="0.2">
      <c r="B61" s="57" t="s">
        <v>528</v>
      </c>
      <c r="C61" s="57">
        <v>1</v>
      </c>
      <c r="D61" s="57" t="s">
        <v>571</v>
      </c>
      <c r="E61" s="102">
        <f>VLOOKUP(Z61,无限模式!$A$3:$X$22,(AA61-1)*5+4+4,FALSE)</f>
        <v>193</v>
      </c>
      <c r="F61" s="57">
        <v>1</v>
      </c>
      <c r="G61" s="57">
        <v>0</v>
      </c>
      <c r="H61" s="57">
        <v>0</v>
      </c>
      <c r="I61" s="57">
        <v>0</v>
      </c>
      <c r="Z61" s="57">
        <v>1</v>
      </c>
      <c r="AA61" s="57">
        <v>1</v>
      </c>
    </row>
    <row r="62" spans="2:28" x14ac:dyDescent="0.2">
      <c r="B62" s="57" t="s">
        <v>529</v>
      </c>
      <c r="C62" s="57">
        <v>1</v>
      </c>
      <c r="D62" s="57" t="s">
        <v>571</v>
      </c>
      <c r="E62" s="102">
        <f>VLOOKUP(Z62,无限模式!$A$3:$X$22,(AA62-1)*5+4+4,FALSE)</f>
        <v>163</v>
      </c>
      <c r="F62" s="57">
        <v>1</v>
      </c>
      <c r="G62" s="57">
        <v>0</v>
      </c>
      <c r="H62" s="57">
        <v>0</v>
      </c>
      <c r="I62" s="57">
        <v>0</v>
      </c>
      <c r="Z62" s="57">
        <v>2</v>
      </c>
      <c r="AA62" s="57">
        <v>1</v>
      </c>
    </row>
    <row r="63" spans="2:28" x14ac:dyDescent="0.2">
      <c r="B63" s="57" t="s">
        <v>565</v>
      </c>
      <c r="C63" s="57">
        <v>1</v>
      </c>
      <c r="D63" s="57" t="s">
        <v>571</v>
      </c>
      <c r="E63" s="102">
        <f>VLOOKUP(Z63,无限模式!$A$3:$X$22,(AA63-1)*5+4+4,FALSE)</f>
        <v>653</v>
      </c>
      <c r="F63" s="57">
        <v>1</v>
      </c>
      <c r="G63" s="57">
        <v>0</v>
      </c>
      <c r="H63" s="57">
        <v>0</v>
      </c>
      <c r="I63" s="57">
        <v>0</v>
      </c>
      <c r="Z63" s="57">
        <v>2</v>
      </c>
      <c r="AA63" s="57">
        <v>2</v>
      </c>
    </row>
    <row r="64" spans="2:28" x14ac:dyDescent="0.2">
      <c r="B64" s="57" t="s">
        <v>530</v>
      </c>
      <c r="C64" s="57">
        <v>1</v>
      </c>
      <c r="D64" s="57" t="s">
        <v>571</v>
      </c>
      <c r="E64" s="102">
        <f>VLOOKUP(Z64,无限模式!$A$3:$X$22,(AA64-1)*5+4+4,FALSE)</f>
        <v>740</v>
      </c>
      <c r="F64" s="57">
        <v>1</v>
      </c>
      <c r="G64" s="57">
        <v>0</v>
      </c>
      <c r="H64" s="57">
        <v>0</v>
      </c>
      <c r="I64" s="57">
        <v>0</v>
      </c>
      <c r="Z64" s="57">
        <v>3</v>
      </c>
      <c r="AA64" s="57">
        <v>1</v>
      </c>
    </row>
    <row r="65" spans="2:27" x14ac:dyDescent="0.2">
      <c r="B65" s="57" t="s">
        <v>566</v>
      </c>
      <c r="C65" s="57">
        <v>1</v>
      </c>
      <c r="D65" s="57" t="s">
        <v>571</v>
      </c>
      <c r="E65" s="102">
        <f>VLOOKUP(Z65,无限模式!$A$3:$X$22,(AA65-1)*5+4+4,FALSE)</f>
        <v>185</v>
      </c>
      <c r="F65" s="57">
        <v>1</v>
      </c>
      <c r="G65" s="57">
        <v>0</v>
      </c>
      <c r="H65" s="57">
        <v>0</v>
      </c>
      <c r="I65" s="57">
        <v>0</v>
      </c>
      <c r="Z65" s="57">
        <v>3</v>
      </c>
      <c r="AA65" s="57">
        <v>2</v>
      </c>
    </row>
    <row r="66" spans="2:27" x14ac:dyDescent="0.2">
      <c r="B66" s="57" t="s">
        <v>531</v>
      </c>
      <c r="C66" s="57">
        <v>1</v>
      </c>
      <c r="D66" s="57" t="s">
        <v>571</v>
      </c>
      <c r="E66" s="102">
        <f>VLOOKUP(Z66,无限模式!$A$3:$X$22,(AA66-1)*5+4+4,FALSE)</f>
        <v>47381</v>
      </c>
      <c r="F66" s="57">
        <v>1</v>
      </c>
      <c r="G66" s="57">
        <v>0</v>
      </c>
      <c r="H66" s="57">
        <v>0</v>
      </c>
      <c r="I66" s="57">
        <v>0</v>
      </c>
      <c r="Z66" s="57">
        <v>4</v>
      </c>
      <c r="AA66" s="57">
        <v>1</v>
      </c>
    </row>
    <row r="67" spans="2:27" x14ac:dyDescent="0.2">
      <c r="B67" s="57" t="s">
        <v>532</v>
      </c>
      <c r="C67" s="57">
        <v>1</v>
      </c>
      <c r="D67" s="57" t="s">
        <v>571</v>
      </c>
      <c r="E67" s="102">
        <f>VLOOKUP(Z67,无限模式!$A$3:$X$22,(AA67-1)*5+4+4,FALSE)</f>
        <v>592</v>
      </c>
      <c r="F67" s="57">
        <v>1</v>
      </c>
      <c r="G67" s="57">
        <v>0</v>
      </c>
      <c r="H67" s="57">
        <v>0</v>
      </c>
      <c r="I67" s="57">
        <v>0</v>
      </c>
      <c r="Z67" s="57">
        <v>4</v>
      </c>
      <c r="AA67" s="57">
        <v>2</v>
      </c>
    </row>
    <row r="68" spans="2:27" x14ac:dyDescent="0.2">
      <c r="B68" s="57" t="s">
        <v>533</v>
      </c>
      <c r="C68" s="57">
        <v>1</v>
      </c>
      <c r="D68" s="57" t="s">
        <v>571</v>
      </c>
      <c r="E68" s="102">
        <f>VLOOKUP(Z68,无限模式!$A$3:$X$22,(AA68-1)*5+4+4,FALSE)</f>
        <v>1929</v>
      </c>
      <c r="F68" s="57">
        <v>1</v>
      </c>
      <c r="G68" s="57">
        <v>0</v>
      </c>
      <c r="H68" s="57">
        <v>0</v>
      </c>
      <c r="I68" s="57">
        <v>0</v>
      </c>
      <c r="Z68" s="57">
        <v>5</v>
      </c>
      <c r="AA68" s="57">
        <v>1</v>
      </c>
    </row>
    <row r="69" spans="2:27" x14ac:dyDescent="0.2">
      <c r="B69" s="57" t="s">
        <v>534</v>
      </c>
      <c r="C69" s="57">
        <v>1</v>
      </c>
      <c r="D69" s="57" t="s">
        <v>571</v>
      </c>
      <c r="E69" s="102">
        <f>VLOOKUP(Z69,无限模式!$A$3:$X$22,(AA69-1)*5+4+4,FALSE)</f>
        <v>964</v>
      </c>
      <c r="F69" s="57">
        <v>1</v>
      </c>
      <c r="G69" s="57">
        <v>0</v>
      </c>
      <c r="H69" s="57">
        <v>0</v>
      </c>
      <c r="I69" s="57">
        <v>0</v>
      </c>
      <c r="Z69" s="57">
        <v>5</v>
      </c>
      <c r="AA69" s="57">
        <v>2</v>
      </c>
    </row>
    <row r="70" spans="2:27" x14ac:dyDescent="0.2">
      <c r="B70" s="57" t="s">
        <v>535</v>
      </c>
      <c r="C70" s="57">
        <v>1</v>
      </c>
      <c r="D70" s="57" t="s">
        <v>571</v>
      </c>
      <c r="E70" s="102">
        <f>VLOOKUP(Z70,无限模式!$A$3:$X$22,(AA70-1)*5+4+4,FALSE)</f>
        <v>2062</v>
      </c>
      <c r="F70" s="57">
        <v>1</v>
      </c>
      <c r="G70" s="57">
        <v>0</v>
      </c>
      <c r="H70" s="57">
        <v>0</v>
      </c>
      <c r="I70" s="57">
        <v>0</v>
      </c>
      <c r="Z70" s="57">
        <v>6</v>
      </c>
      <c r="AA70" s="57">
        <v>1</v>
      </c>
    </row>
    <row r="71" spans="2:27" x14ac:dyDescent="0.2">
      <c r="B71" s="57" t="s">
        <v>536</v>
      </c>
      <c r="C71" s="57">
        <v>1</v>
      </c>
      <c r="D71" s="57" t="s">
        <v>571</v>
      </c>
      <c r="E71" s="102">
        <f>VLOOKUP(Z71,无限模式!$A$3:$X$22,(AA71-1)*5+4+4,FALSE)</f>
        <v>1031</v>
      </c>
      <c r="F71" s="57">
        <v>1</v>
      </c>
      <c r="G71" s="57">
        <v>0</v>
      </c>
      <c r="H71" s="57">
        <v>0</v>
      </c>
      <c r="I71" s="57">
        <v>0</v>
      </c>
      <c r="Z71" s="57">
        <v>6</v>
      </c>
      <c r="AA71" s="57">
        <v>2</v>
      </c>
    </row>
    <row r="72" spans="2:27" x14ac:dyDescent="0.2">
      <c r="B72" s="57" t="s">
        <v>537</v>
      </c>
      <c r="C72" s="57">
        <v>1</v>
      </c>
      <c r="D72" s="57" t="s">
        <v>571</v>
      </c>
      <c r="E72" s="102">
        <f>VLOOKUP(Z72,无限模式!$A$3:$X$22,(AA72-1)*5+4+4,FALSE)</f>
        <v>945</v>
      </c>
      <c r="F72" s="57">
        <v>1</v>
      </c>
      <c r="G72" s="57">
        <v>0</v>
      </c>
      <c r="H72" s="57">
        <v>0</v>
      </c>
      <c r="I72" s="57">
        <v>0</v>
      </c>
      <c r="Z72" s="57">
        <v>7</v>
      </c>
      <c r="AA72" s="57">
        <v>1</v>
      </c>
    </row>
    <row r="73" spans="2:27" x14ac:dyDescent="0.2">
      <c r="B73" s="57" t="s">
        <v>538</v>
      </c>
      <c r="C73" s="57">
        <v>1</v>
      </c>
      <c r="D73" s="57" t="s">
        <v>571</v>
      </c>
      <c r="E73" s="102">
        <f>VLOOKUP(Z73,无限模式!$A$3:$X$22,(AA73-1)*5+4+4,FALSE)</f>
        <v>1890</v>
      </c>
      <c r="F73" s="57">
        <v>1</v>
      </c>
      <c r="G73" s="57">
        <v>0</v>
      </c>
      <c r="H73" s="57">
        <v>0</v>
      </c>
      <c r="I73" s="57">
        <v>0</v>
      </c>
      <c r="Z73" s="57">
        <v>7</v>
      </c>
      <c r="AA73" s="57">
        <v>2</v>
      </c>
    </row>
    <row r="74" spans="2:27" x14ac:dyDescent="0.2">
      <c r="B74" s="57" t="s">
        <v>539</v>
      </c>
      <c r="C74" s="57">
        <v>1</v>
      </c>
      <c r="D74" s="57" t="s">
        <v>571</v>
      </c>
      <c r="E74" s="102">
        <f>VLOOKUP(Z74,无限模式!$A$3:$X$22,(AA74-1)*5+4+4,FALSE)</f>
        <v>7005</v>
      </c>
      <c r="F74" s="57">
        <v>1</v>
      </c>
      <c r="G74" s="57">
        <v>0</v>
      </c>
      <c r="H74" s="57">
        <v>0</v>
      </c>
      <c r="I74" s="57">
        <v>0</v>
      </c>
      <c r="Z74" s="57">
        <v>8</v>
      </c>
      <c r="AA74" s="57">
        <v>1</v>
      </c>
    </row>
    <row r="75" spans="2:27" x14ac:dyDescent="0.2">
      <c r="B75" s="57" t="s">
        <v>540</v>
      </c>
      <c r="C75" s="57">
        <v>1</v>
      </c>
      <c r="D75" s="57" t="s">
        <v>571</v>
      </c>
      <c r="E75" s="102">
        <f>VLOOKUP(Z75,无限模式!$A$3:$X$22,(AA75-1)*5+4+4,FALSE)</f>
        <v>140108</v>
      </c>
      <c r="F75" s="57">
        <v>1</v>
      </c>
      <c r="G75" s="57">
        <v>0</v>
      </c>
      <c r="H75" s="57">
        <v>0</v>
      </c>
      <c r="I75" s="57">
        <v>0</v>
      </c>
      <c r="Z75" s="57">
        <v>8</v>
      </c>
      <c r="AA75" s="57">
        <v>2</v>
      </c>
    </row>
    <row r="76" spans="2:27" x14ac:dyDescent="0.2">
      <c r="B76" s="57" t="s">
        <v>541</v>
      </c>
      <c r="C76" s="57">
        <v>1</v>
      </c>
      <c r="D76" s="57" t="s">
        <v>571</v>
      </c>
      <c r="E76" s="102">
        <f>VLOOKUP(Z76,无限模式!$A$3:$X$22,(AA76-1)*5+4+4,FALSE)</f>
        <v>6943</v>
      </c>
      <c r="F76" s="57">
        <v>1</v>
      </c>
      <c r="G76" s="57">
        <v>0</v>
      </c>
      <c r="H76" s="57">
        <v>0</v>
      </c>
      <c r="I76" s="57">
        <v>0</v>
      </c>
      <c r="Z76" s="57">
        <v>9</v>
      </c>
      <c r="AA76" s="57">
        <v>1</v>
      </c>
    </row>
    <row r="77" spans="2:27" x14ac:dyDescent="0.2">
      <c r="B77" s="57" t="s">
        <v>542</v>
      </c>
      <c r="C77" s="57">
        <v>1</v>
      </c>
      <c r="D77" s="57" t="s">
        <v>571</v>
      </c>
      <c r="E77" s="102">
        <f>VLOOKUP(Z77,无限模式!$A$3:$X$22,(AA77-1)*5+4+4,FALSE)</f>
        <v>10414</v>
      </c>
      <c r="F77" s="57">
        <v>1</v>
      </c>
      <c r="G77" s="57">
        <v>0</v>
      </c>
      <c r="H77" s="57">
        <v>0</v>
      </c>
      <c r="I77" s="57">
        <v>0</v>
      </c>
      <c r="Z77" s="57">
        <v>9</v>
      </c>
      <c r="AA77" s="57">
        <v>2</v>
      </c>
    </row>
    <row r="78" spans="2:27" x14ac:dyDescent="0.2">
      <c r="B78" s="57" t="s">
        <v>543</v>
      </c>
      <c r="C78" s="57">
        <v>1</v>
      </c>
      <c r="D78" s="57" t="s">
        <v>571</v>
      </c>
      <c r="E78" s="102">
        <f>VLOOKUP(Z78,无限模式!$A$3:$X$22,(AA78-1)*5+4+4,FALSE)</f>
        <v>7232</v>
      </c>
      <c r="F78" s="57">
        <v>1</v>
      </c>
      <c r="G78" s="57">
        <v>0</v>
      </c>
      <c r="H78" s="57">
        <v>0</v>
      </c>
      <c r="I78" s="57">
        <v>0</v>
      </c>
      <c r="Z78" s="57">
        <v>10</v>
      </c>
      <c r="AA78" s="57">
        <v>1</v>
      </c>
    </row>
    <row r="79" spans="2:27" x14ac:dyDescent="0.2">
      <c r="B79" s="57" t="s">
        <v>544</v>
      </c>
      <c r="C79" s="57">
        <v>1</v>
      </c>
      <c r="D79" s="57" t="s">
        <v>571</v>
      </c>
      <c r="E79" s="102">
        <f>VLOOKUP(Z79,无限模式!$A$3:$X$22,(AA79-1)*5+4+4,FALSE)</f>
        <v>10848</v>
      </c>
      <c r="F79" s="57">
        <v>1</v>
      </c>
      <c r="G79" s="57">
        <v>0</v>
      </c>
      <c r="H79" s="57">
        <v>0</v>
      </c>
      <c r="I79" s="57">
        <v>0</v>
      </c>
      <c r="Z79" s="57">
        <v>10</v>
      </c>
      <c r="AA79" s="57">
        <v>2</v>
      </c>
    </row>
    <row r="80" spans="2:27" x14ac:dyDescent="0.2">
      <c r="B80" s="57" t="s">
        <v>545</v>
      </c>
      <c r="C80" s="57">
        <v>1</v>
      </c>
      <c r="D80" s="57" t="s">
        <v>571</v>
      </c>
      <c r="E80" s="102">
        <f>VLOOKUP(Z80,无限模式!$A$3:$X$22,(AA80-1)*5+4+4,FALSE)</f>
        <v>10024</v>
      </c>
      <c r="F80" s="57">
        <v>1</v>
      </c>
      <c r="G80" s="57">
        <v>0</v>
      </c>
      <c r="H80" s="57">
        <v>0</v>
      </c>
      <c r="I80" s="57">
        <v>0</v>
      </c>
      <c r="Z80" s="57">
        <v>11</v>
      </c>
      <c r="AA80" s="57">
        <v>1</v>
      </c>
    </row>
    <row r="81" spans="2:27" x14ac:dyDescent="0.2">
      <c r="B81" s="57" t="s">
        <v>546</v>
      </c>
      <c r="C81" s="57">
        <v>1</v>
      </c>
      <c r="D81" s="57" t="s">
        <v>571</v>
      </c>
      <c r="E81" s="102">
        <f>VLOOKUP(Z81,无限模式!$A$3:$X$22,(AA81-1)*5+4+4,FALSE)</f>
        <v>6683</v>
      </c>
      <c r="F81" s="57">
        <v>1</v>
      </c>
      <c r="G81" s="57">
        <v>0</v>
      </c>
      <c r="H81" s="57">
        <v>0</v>
      </c>
      <c r="I81" s="57">
        <v>0</v>
      </c>
      <c r="Z81" s="57">
        <v>11</v>
      </c>
      <c r="AA81" s="57">
        <v>2</v>
      </c>
    </row>
    <row r="82" spans="2:27" x14ac:dyDescent="0.2">
      <c r="B82" s="57" t="s">
        <v>547</v>
      </c>
      <c r="C82" s="57">
        <v>1</v>
      </c>
      <c r="D82" s="57" t="s">
        <v>571</v>
      </c>
      <c r="E82" s="102">
        <f>VLOOKUP(Z82,无限模式!$A$3:$X$22,(AA82-1)*5+4+4,FALSE)</f>
        <v>6291</v>
      </c>
      <c r="F82" s="57">
        <v>1</v>
      </c>
      <c r="G82" s="57">
        <v>0</v>
      </c>
      <c r="H82" s="57">
        <v>0</v>
      </c>
      <c r="I82" s="57">
        <v>0</v>
      </c>
      <c r="Z82" s="57">
        <v>12</v>
      </c>
      <c r="AA82" s="57">
        <v>1</v>
      </c>
    </row>
    <row r="83" spans="2:27" x14ac:dyDescent="0.2">
      <c r="B83" s="57" t="s">
        <v>548</v>
      </c>
      <c r="C83" s="57">
        <v>1</v>
      </c>
      <c r="D83" s="57" t="s">
        <v>571</v>
      </c>
      <c r="E83" s="102">
        <f>VLOOKUP(Z83,无限模式!$A$3:$X$22,(AA83-1)*5+4+4,FALSE)</f>
        <v>9437</v>
      </c>
      <c r="F83" s="57">
        <v>1</v>
      </c>
      <c r="G83" s="57">
        <v>0</v>
      </c>
      <c r="H83" s="57">
        <v>0</v>
      </c>
      <c r="I83" s="57">
        <v>0</v>
      </c>
      <c r="Z83" s="57">
        <v>12</v>
      </c>
      <c r="AA83" s="57">
        <v>2</v>
      </c>
    </row>
    <row r="84" spans="2:27" x14ac:dyDescent="0.2">
      <c r="B84" s="57" t="s">
        <v>567</v>
      </c>
      <c r="C84" s="57">
        <v>1</v>
      </c>
      <c r="D84" s="57" t="s">
        <v>571</v>
      </c>
      <c r="E84" s="102">
        <f>VLOOKUP(Z84,无限模式!$A$3:$X$22,(AA84-1)*5+4+4,FALSE)</f>
        <v>125825</v>
      </c>
      <c r="F84" s="57">
        <v>1</v>
      </c>
      <c r="G84" s="57">
        <v>0</v>
      </c>
      <c r="H84" s="57">
        <v>0</v>
      </c>
      <c r="I84" s="57">
        <v>0</v>
      </c>
      <c r="Z84" s="57">
        <v>12</v>
      </c>
      <c r="AA84" s="57">
        <v>3</v>
      </c>
    </row>
    <row r="85" spans="2:27" x14ac:dyDescent="0.2">
      <c r="B85" s="57" t="s">
        <v>549</v>
      </c>
      <c r="C85" s="57">
        <v>1</v>
      </c>
      <c r="D85" s="57" t="s">
        <v>571</v>
      </c>
      <c r="E85" s="102">
        <f>VLOOKUP(Z85,无限模式!$A$3:$X$22,(AA85-1)*5+4+4,FALSE)</f>
        <v>32760</v>
      </c>
      <c r="F85" s="57">
        <v>1</v>
      </c>
      <c r="G85" s="57">
        <v>0</v>
      </c>
      <c r="H85" s="57">
        <v>0</v>
      </c>
      <c r="I85" s="57">
        <v>0</v>
      </c>
      <c r="Z85" s="57">
        <v>13</v>
      </c>
      <c r="AA85" s="57">
        <v>1</v>
      </c>
    </row>
    <row r="86" spans="2:27" x14ac:dyDescent="0.2">
      <c r="B86" s="57" t="s">
        <v>550</v>
      </c>
      <c r="C86" s="57">
        <v>1</v>
      </c>
      <c r="D86" s="57" t="s">
        <v>571</v>
      </c>
      <c r="E86" s="102">
        <f>VLOOKUP(Z86,无限模式!$A$3:$X$22,(AA86-1)*5+4+4,FALSE)</f>
        <v>13440</v>
      </c>
      <c r="F86" s="57">
        <v>1</v>
      </c>
      <c r="G86" s="57">
        <v>0</v>
      </c>
      <c r="H86" s="57">
        <v>0</v>
      </c>
      <c r="I86" s="57">
        <v>0</v>
      </c>
      <c r="Z86" s="57">
        <v>14</v>
      </c>
      <c r="AA86" s="57">
        <v>1</v>
      </c>
    </row>
    <row r="87" spans="2:27" x14ac:dyDescent="0.2">
      <c r="B87" s="57" t="s">
        <v>551</v>
      </c>
      <c r="C87" s="57">
        <v>1</v>
      </c>
      <c r="D87" s="57" t="s">
        <v>571</v>
      </c>
      <c r="E87" s="102">
        <f>VLOOKUP(Z87,无限模式!$A$3:$X$22,(AA87-1)*5+4+4,FALSE)</f>
        <v>26880</v>
      </c>
      <c r="F87" s="57">
        <v>1</v>
      </c>
      <c r="G87" s="57">
        <v>0</v>
      </c>
      <c r="H87" s="57">
        <v>0</v>
      </c>
      <c r="I87" s="57">
        <v>0</v>
      </c>
      <c r="Z87" s="57">
        <v>14</v>
      </c>
      <c r="AA87" s="57">
        <v>2</v>
      </c>
    </row>
    <row r="88" spans="2:27" x14ac:dyDescent="0.2">
      <c r="B88" s="57" t="s">
        <v>552</v>
      </c>
      <c r="C88" s="57">
        <v>1</v>
      </c>
      <c r="D88" s="57" t="s">
        <v>571</v>
      </c>
      <c r="E88" s="102">
        <f>VLOOKUP(Z88,无限模式!$A$3:$X$22,(AA88-1)*5+4+4,FALSE)</f>
        <v>6075</v>
      </c>
      <c r="F88" s="57">
        <v>1</v>
      </c>
      <c r="G88" s="57">
        <v>0</v>
      </c>
      <c r="H88" s="57">
        <v>0</v>
      </c>
      <c r="I88" s="57">
        <v>0</v>
      </c>
      <c r="Z88" s="57">
        <v>15</v>
      </c>
      <c r="AA88" s="57">
        <v>1</v>
      </c>
    </row>
    <row r="89" spans="2:27" x14ac:dyDescent="0.2">
      <c r="B89" s="57" t="s">
        <v>553</v>
      </c>
      <c r="C89" s="57">
        <v>1</v>
      </c>
      <c r="D89" s="57" t="s">
        <v>571</v>
      </c>
      <c r="E89" s="102">
        <f>VLOOKUP(Z89,无限模式!$A$3:$X$22,(AA89-1)*5+4+4,FALSE)</f>
        <v>36450</v>
      </c>
      <c r="F89" s="57">
        <v>1</v>
      </c>
      <c r="G89" s="57">
        <v>0</v>
      </c>
      <c r="H89" s="57">
        <v>0</v>
      </c>
      <c r="I89" s="57">
        <v>0</v>
      </c>
      <c r="Z89" s="57">
        <v>15</v>
      </c>
      <c r="AA89" s="57">
        <v>2</v>
      </c>
    </row>
    <row r="90" spans="2:27" x14ac:dyDescent="0.2">
      <c r="B90" s="57" t="s">
        <v>554</v>
      </c>
      <c r="C90" s="57">
        <v>1</v>
      </c>
      <c r="D90" s="57" t="s">
        <v>571</v>
      </c>
      <c r="E90" s="102">
        <f>VLOOKUP(Z90,无限模式!$A$3:$X$22,(AA90-1)*5+4+4,FALSE)</f>
        <v>24960</v>
      </c>
      <c r="F90" s="57">
        <v>1</v>
      </c>
      <c r="G90" s="57">
        <v>0</v>
      </c>
      <c r="H90" s="57">
        <v>0</v>
      </c>
      <c r="I90" s="57">
        <v>0</v>
      </c>
      <c r="Z90" s="57">
        <v>16</v>
      </c>
      <c r="AA90" s="57">
        <v>1</v>
      </c>
    </row>
    <row r="91" spans="2:27" x14ac:dyDescent="0.2">
      <c r="B91" s="57" t="s">
        <v>555</v>
      </c>
      <c r="C91" s="57">
        <v>1</v>
      </c>
      <c r="D91" s="57" t="s">
        <v>571</v>
      </c>
      <c r="E91" s="102">
        <f>VLOOKUP(Z91,无限模式!$A$3:$X$22,(AA91-1)*5+4+4,FALSE)</f>
        <v>499200</v>
      </c>
      <c r="F91" s="57">
        <v>1</v>
      </c>
      <c r="G91" s="57">
        <v>0</v>
      </c>
      <c r="H91" s="57">
        <v>0</v>
      </c>
      <c r="I91" s="57">
        <v>0</v>
      </c>
      <c r="Z91" s="57">
        <v>16</v>
      </c>
      <c r="AA91" s="57">
        <v>2</v>
      </c>
    </row>
    <row r="92" spans="2:27" x14ac:dyDescent="0.2">
      <c r="B92" s="57" t="s">
        <v>556</v>
      </c>
      <c r="C92" s="57">
        <v>1</v>
      </c>
      <c r="D92" s="57" t="s">
        <v>571</v>
      </c>
      <c r="E92" s="102">
        <f>VLOOKUP(Z92,无限模式!$A$3:$X$22,(AA92-1)*5+4+4,FALSE)</f>
        <v>20864</v>
      </c>
      <c r="F92" s="57">
        <v>1</v>
      </c>
      <c r="G92" s="57">
        <v>0</v>
      </c>
      <c r="H92" s="57">
        <v>0</v>
      </c>
      <c r="I92" s="57">
        <v>0</v>
      </c>
      <c r="Z92" s="57">
        <v>17</v>
      </c>
      <c r="AA92" s="57">
        <v>1</v>
      </c>
    </row>
    <row r="93" spans="2:27" x14ac:dyDescent="0.2">
      <c r="B93" s="57" t="s">
        <v>557</v>
      </c>
      <c r="C93" s="57">
        <v>1</v>
      </c>
      <c r="D93" s="57" t="s">
        <v>571</v>
      </c>
      <c r="E93" s="102">
        <f>VLOOKUP(Z93,无限模式!$A$3:$X$22,(AA93-1)*5+4+4,FALSE)</f>
        <v>41727</v>
      </c>
      <c r="F93" s="57">
        <v>1</v>
      </c>
      <c r="G93" s="57">
        <v>0</v>
      </c>
      <c r="H93" s="57">
        <v>0</v>
      </c>
      <c r="I93" s="57">
        <v>0</v>
      </c>
      <c r="Z93" s="57">
        <v>17</v>
      </c>
      <c r="AA93" s="57">
        <v>2</v>
      </c>
    </row>
    <row r="94" spans="2:27" x14ac:dyDescent="0.2">
      <c r="B94" s="57" t="s">
        <v>558</v>
      </c>
      <c r="C94" s="57">
        <v>1</v>
      </c>
      <c r="D94" s="57" t="s">
        <v>571</v>
      </c>
      <c r="E94" s="102">
        <f>VLOOKUP(Z94,无限模式!$A$3:$X$22,(AA94-1)*5+4+4,FALSE)</f>
        <v>29700</v>
      </c>
      <c r="F94" s="57">
        <v>1</v>
      </c>
      <c r="G94" s="57">
        <v>0</v>
      </c>
      <c r="H94" s="57">
        <v>0</v>
      </c>
      <c r="I94" s="57">
        <v>0</v>
      </c>
      <c r="Z94" s="57">
        <v>18</v>
      </c>
      <c r="AA94" s="57">
        <v>1</v>
      </c>
    </row>
    <row r="95" spans="2:27" x14ac:dyDescent="0.2">
      <c r="B95" s="57" t="s">
        <v>559</v>
      </c>
      <c r="C95" s="57">
        <v>1</v>
      </c>
      <c r="D95" s="57" t="s">
        <v>571</v>
      </c>
      <c r="E95" s="102">
        <f>VLOOKUP(Z95,无限模式!$A$3:$X$22,(AA95-1)*5+4+4,FALSE)</f>
        <v>14850</v>
      </c>
      <c r="F95" s="57">
        <v>1</v>
      </c>
      <c r="G95" s="57">
        <v>0</v>
      </c>
      <c r="H95" s="57">
        <v>0</v>
      </c>
      <c r="I95" s="57">
        <v>0</v>
      </c>
      <c r="Z95" s="57">
        <v>18</v>
      </c>
      <c r="AA95" s="57">
        <v>2</v>
      </c>
    </row>
    <row r="96" spans="2:27" x14ac:dyDescent="0.2">
      <c r="B96" s="57" t="s">
        <v>560</v>
      </c>
      <c r="C96" s="57">
        <v>1</v>
      </c>
      <c r="D96" s="57" t="s">
        <v>571</v>
      </c>
      <c r="E96" s="102">
        <f>VLOOKUP(Z96,无限模式!$A$3:$X$22,(AA96-1)*5+4+4,FALSE)</f>
        <v>22800</v>
      </c>
      <c r="F96" s="57">
        <v>1</v>
      </c>
      <c r="G96" s="57">
        <v>0</v>
      </c>
      <c r="H96" s="57">
        <v>0</v>
      </c>
      <c r="I96" s="57">
        <v>0</v>
      </c>
      <c r="Z96" s="57">
        <v>19</v>
      </c>
      <c r="AA96" s="57">
        <v>1</v>
      </c>
    </row>
    <row r="97" spans="2:27" x14ac:dyDescent="0.2">
      <c r="B97" s="57" t="s">
        <v>561</v>
      </c>
      <c r="C97" s="57">
        <v>1</v>
      </c>
      <c r="D97" s="57" t="s">
        <v>571</v>
      </c>
      <c r="E97" s="102">
        <f>VLOOKUP(Z97,无限模式!$A$3:$X$22,(AA97-1)*5+4+4,FALSE)</f>
        <v>11400</v>
      </c>
      <c r="F97" s="57">
        <v>1</v>
      </c>
      <c r="G97" s="57">
        <v>0</v>
      </c>
      <c r="H97" s="57">
        <v>0</v>
      </c>
      <c r="I97" s="57">
        <v>0</v>
      </c>
      <c r="Z97" s="57">
        <v>19</v>
      </c>
      <c r="AA97" s="57">
        <v>2</v>
      </c>
    </row>
    <row r="98" spans="2:27" x14ac:dyDescent="0.2">
      <c r="B98" s="57" t="s">
        <v>568</v>
      </c>
      <c r="C98" s="57">
        <v>1</v>
      </c>
      <c r="D98" s="57" t="s">
        <v>571</v>
      </c>
      <c r="E98" s="102">
        <f>VLOOKUP(Z98,无限模式!$A$3:$X$22,(AA98-1)*5+4+4,FALSE)</f>
        <v>34200</v>
      </c>
      <c r="F98" s="57">
        <v>1</v>
      </c>
      <c r="G98" s="57">
        <v>0</v>
      </c>
      <c r="H98" s="57">
        <v>0</v>
      </c>
      <c r="I98" s="57">
        <v>0</v>
      </c>
      <c r="Z98" s="57">
        <v>19</v>
      </c>
      <c r="AA98" s="57">
        <v>3</v>
      </c>
    </row>
    <row r="99" spans="2:27" x14ac:dyDescent="0.2">
      <c r="B99" s="57" t="s">
        <v>562</v>
      </c>
      <c r="C99" s="57">
        <v>1</v>
      </c>
      <c r="D99" s="57" t="s">
        <v>571</v>
      </c>
      <c r="E99" s="102">
        <f>VLOOKUP(Z99,无限模式!$A$3:$X$22,(AA99-1)*5+4+4,FALSE)</f>
        <v>4881</v>
      </c>
      <c r="F99" s="57">
        <v>1</v>
      </c>
      <c r="G99" s="57">
        <v>0</v>
      </c>
      <c r="H99" s="57">
        <v>0</v>
      </c>
      <c r="I99" s="57">
        <v>0</v>
      </c>
      <c r="Z99" s="57">
        <v>20</v>
      </c>
      <c r="AA99" s="57">
        <v>1</v>
      </c>
    </row>
    <row r="100" spans="2:27" x14ac:dyDescent="0.2">
      <c r="B100" s="57" t="s">
        <v>563</v>
      </c>
      <c r="C100" s="57">
        <v>1</v>
      </c>
      <c r="D100" s="57" t="s">
        <v>571</v>
      </c>
      <c r="E100" s="102">
        <f>VLOOKUP(Z100,无限模式!$A$3:$X$22,(AA100-1)*5+4+4,FALSE)</f>
        <v>2441</v>
      </c>
      <c r="F100" s="57">
        <v>1</v>
      </c>
      <c r="G100" s="57">
        <v>0</v>
      </c>
      <c r="H100" s="57">
        <v>0</v>
      </c>
      <c r="I100" s="57">
        <v>0</v>
      </c>
      <c r="Z100" s="57">
        <v>20</v>
      </c>
      <c r="AA100" s="57">
        <v>2</v>
      </c>
    </row>
    <row r="101" spans="2:27" x14ac:dyDescent="0.2">
      <c r="B101" s="57" t="s">
        <v>569</v>
      </c>
      <c r="C101" s="57">
        <v>1</v>
      </c>
      <c r="D101" s="57" t="s">
        <v>571</v>
      </c>
      <c r="E101" s="102">
        <f>VLOOKUP(Z101,无限模式!$A$3:$X$22,(AA101-1)*5+4+4,FALSE)</f>
        <v>7322</v>
      </c>
      <c r="F101" s="57">
        <v>1</v>
      </c>
      <c r="G101" s="57">
        <v>0</v>
      </c>
      <c r="H101" s="57">
        <v>0</v>
      </c>
      <c r="I101" s="57">
        <v>0</v>
      </c>
      <c r="Z101" s="57">
        <v>20</v>
      </c>
      <c r="AA101" s="57">
        <v>3</v>
      </c>
    </row>
    <row r="102" spans="2:27" x14ac:dyDescent="0.2">
      <c r="B102" s="57" t="s">
        <v>570</v>
      </c>
      <c r="C102" s="57">
        <v>1</v>
      </c>
      <c r="D102" s="57" t="s">
        <v>571</v>
      </c>
      <c r="E102" s="102">
        <f>VLOOKUP(Z102,无限模式!$A$3:$X$22,(AA102-1)*5+4+4,FALSE)</f>
        <v>48814</v>
      </c>
      <c r="F102" s="57">
        <v>1</v>
      </c>
      <c r="G102" s="57">
        <v>0</v>
      </c>
      <c r="H102" s="57">
        <v>0</v>
      </c>
      <c r="I102" s="57">
        <v>0</v>
      </c>
      <c r="Z102" s="57">
        <v>20</v>
      </c>
      <c r="AA102" s="57">
        <v>4</v>
      </c>
    </row>
    <row r="103" spans="2:27" s="166" customFormat="1" x14ac:dyDescent="0.2"/>
    <row r="104" spans="2:27" x14ac:dyDescent="0.2">
      <c r="B104" s="57" t="s">
        <v>3184</v>
      </c>
      <c r="C104" s="57">
        <v>1</v>
      </c>
      <c r="D104" s="57" t="s">
        <v>3657</v>
      </c>
      <c r="E104" s="102">
        <f>VLOOKUP(Z104,无限模式!$A$28:$X$47,(AA104-1)*5+4+4,FALSE)</f>
        <v>193</v>
      </c>
      <c r="F104" s="57">
        <v>1</v>
      </c>
      <c r="G104" s="57">
        <v>0</v>
      </c>
      <c r="H104" s="57">
        <v>0</v>
      </c>
      <c r="I104" s="57">
        <v>0</v>
      </c>
      <c r="Z104" s="57">
        <v>1</v>
      </c>
      <c r="AA104" s="57">
        <v>1</v>
      </c>
    </row>
    <row r="105" spans="2:27" x14ac:dyDescent="0.2">
      <c r="B105" s="57" t="s">
        <v>3186</v>
      </c>
      <c r="C105" s="57">
        <v>1</v>
      </c>
      <c r="D105" s="57" t="s">
        <v>3657</v>
      </c>
      <c r="E105" s="102">
        <f>VLOOKUP(Z105,无限模式!$A$28:$X$47,(AA105-1)*5+4+4,FALSE)</f>
        <v>163</v>
      </c>
      <c r="F105" s="57">
        <v>1</v>
      </c>
      <c r="G105" s="57">
        <v>0</v>
      </c>
      <c r="H105" s="57">
        <v>0</v>
      </c>
      <c r="I105" s="57">
        <v>0</v>
      </c>
      <c r="Z105" s="57">
        <v>2</v>
      </c>
      <c r="AA105" s="57">
        <v>1</v>
      </c>
    </row>
    <row r="106" spans="2:27" x14ac:dyDescent="0.2">
      <c r="B106" s="57" t="s">
        <v>3188</v>
      </c>
      <c r="C106" s="57">
        <v>1</v>
      </c>
      <c r="D106" s="57" t="s">
        <v>3657</v>
      </c>
      <c r="E106" s="102">
        <f>VLOOKUP(Z106,无限模式!$A$28:$X$47,(AA106-1)*5+4+4,FALSE)</f>
        <v>653</v>
      </c>
      <c r="F106" s="57">
        <v>1</v>
      </c>
      <c r="G106" s="57">
        <v>0</v>
      </c>
      <c r="H106" s="57">
        <v>0</v>
      </c>
      <c r="I106" s="57">
        <v>0</v>
      </c>
      <c r="Z106" s="57">
        <v>2</v>
      </c>
      <c r="AA106" s="57">
        <v>2</v>
      </c>
    </row>
    <row r="107" spans="2:27" x14ac:dyDescent="0.2">
      <c r="B107" s="57" t="s">
        <v>3190</v>
      </c>
      <c r="C107" s="57">
        <v>1</v>
      </c>
      <c r="D107" s="57" t="s">
        <v>3657</v>
      </c>
      <c r="E107" s="102">
        <f>VLOOKUP(Z107,无限模式!$A$28:$X$47,(AA107-1)*5+4+4,FALSE)</f>
        <v>740</v>
      </c>
      <c r="F107" s="57">
        <v>1</v>
      </c>
      <c r="G107" s="57">
        <v>0</v>
      </c>
      <c r="H107" s="57">
        <v>0</v>
      </c>
      <c r="I107" s="57">
        <v>0</v>
      </c>
      <c r="Z107" s="57">
        <v>3</v>
      </c>
      <c r="AA107" s="57">
        <v>1</v>
      </c>
    </row>
    <row r="108" spans="2:27" x14ac:dyDescent="0.2">
      <c r="B108" s="57" t="s">
        <v>3192</v>
      </c>
      <c r="C108" s="57">
        <v>1</v>
      </c>
      <c r="D108" s="57" t="s">
        <v>3657</v>
      </c>
      <c r="E108" s="102">
        <f>VLOOKUP(Z108,无限模式!$A$28:$X$47,(AA108-1)*5+4+4,FALSE)</f>
        <v>185</v>
      </c>
      <c r="F108" s="57">
        <v>1</v>
      </c>
      <c r="G108" s="57">
        <v>0</v>
      </c>
      <c r="H108" s="57">
        <v>0</v>
      </c>
      <c r="I108" s="57">
        <v>0</v>
      </c>
      <c r="Z108" s="57">
        <v>3</v>
      </c>
      <c r="AA108" s="57">
        <v>2</v>
      </c>
    </row>
    <row r="109" spans="2:27" x14ac:dyDescent="0.2">
      <c r="B109" s="57" t="s">
        <v>3194</v>
      </c>
      <c r="C109" s="57">
        <v>1</v>
      </c>
      <c r="D109" s="57" t="s">
        <v>3657</v>
      </c>
      <c r="E109" s="102">
        <f>VLOOKUP(Z109,无限模式!$A$28:$X$47,(AA109-1)*5+4+4,FALSE)</f>
        <v>33382</v>
      </c>
      <c r="F109" s="57">
        <v>1</v>
      </c>
      <c r="G109" s="57">
        <v>0</v>
      </c>
      <c r="H109" s="57">
        <v>0</v>
      </c>
      <c r="I109" s="57">
        <v>0</v>
      </c>
      <c r="Z109" s="57">
        <v>4</v>
      </c>
      <c r="AA109" s="57">
        <v>1</v>
      </c>
    </row>
    <row r="110" spans="2:27" x14ac:dyDescent="0.2">
      <c r="B110" s="57" t="s">
        <v>3196</v>
      </c>
      <c r="C110" s="57">
        <v>1</v>
      </c>
      <c r="D110" s="57" t="s">
        <v>3657</v>
      </c>
      <c r="E110" s="102">
        <f>VLOOKUP(Z110,无限模式!$A$28:$X$47,(AA110-1)*5+4+4,FALSE)</f>
        <v>1669</v>
      </c>
      <c r="F110" s="57">
        <v>1</v>
      </c>
      <c r="G110" s="57">
        <v>0</v>
      </c>
      <c r="H110" s="57">
        <v>0</v>
      </c>
      <c r="I110" s="57">
        <v>0</v>
      </c>
      <c r="Z110" s="57">
        <v>4</v>
      </c>
      <c r="AA110" s="57">
        <v>2</v>
      </c>
    </row>
    <row r="111" spans="2:27" x14ac:dyDescent="0.2">
      <c r="B111" s="57" t="s">
        <v>3198</v>
      </c>
      <c r="C111" s="57">
        <v>1</v>
      </c>
      <c r="D111" s="57" t="s">
        <v>3657</v>
      </c>
      <c r="E111" s="102">
        <f>VLOOKUP(Z111,无限模式!$A$28:$X$47,(AA111-1)*5+4+4,FALSE)</f>
        <v>1929</v>
      </c>
      <c r="F111" s="57">
        <v>1</v>
      </c>
      <c r="G111" s="57">
        <v>0</v>
      </c>
      <c r="H111" s="57">
        <v>0</v>
      </c>
      <c r="I111" s="57">
        <v>0</v>
      </c>
      <c r="Z111" s="57">
        <v>5</v>
      </c>
      <c r="AA111" s="57">
        <v>1</v>
      </c>
    </row>
    <row r="112" spans="2:27" x14ac:dyDescent="0.2">
      <c r="B112" s="57" t="s">
        <v>3200</v>
      </c>
      <c r="C112" s="57">
        <v>1</v>
      </c>
      <c r="D112" s="57" t="s">
        <v>3657</v>
      </c>
      <c r="E112" s="102">
        <f>VLOOKUP(Z112,无限模式!$A$28:$X$47,(AA112-1)*5+4+4,FALSE)</f>
        <v>964</v>
      </c>
      <c r="F112" s="57">
        <v>1</v>
      </c>
      <c r="G112" s="57">
        <v>0</v>
      </c>
      <c r="H112" s="57">
        <v>0</v>
      </c>
      <c r="I112" s="57">
        <v>0</v>
      </c>
      <c r="Z112" s="57">
        <v>5</v>
      </c>
      <c r="AA112" s="57">
        <v>2</v>
      </c>
    </row>
    <row r="113" spans="2:27" x14ac:dyDescent="0.2">
      <c r="B113" s="57" t="s">
        <v>3202</v>
      </c>
      <c r="C113" s="57">
        <v>1</v>
      </c>
      <c r="D113" s="57" t="s">
        <v>3657</v>
      </c>
      <c r="E113" s="102">
        <f>VLOOKUP(Z113,无限模式!$A$28:$X$47,(AA113-1)*5+4+4,FALSE)</f>
        <v>2314</v>
      </c>
      <c r="F113" s="57">
        <v>1</v>
      </c>
      <c r="G113" s="57">
        <v>0</v>
      </c>
      <c r="H113" s="57">
        <v>0</v>
      </c>
      <c r="I113" s="57">
        <v>0</v>
      </c>
      <c r="Z113" s="57">
        <v>6</v>
      </c>
      <c r="AA113" s="57">
        <v>1</v>
      </c>
    </row>
    <row r="114" spans="2:27" x14ac:dyDescent="0.2">
      <c r="B114" s="57" t="s">
        <v>3204</v>
      </c>
      <c r="C114" s="57">
        <v>1</v>
      </c>
      <c r="D114" s="57" t="s">
        <v>3657</v>
      </c>
      <c r="E114" s="102">
        <f>VLOOKUP(Z114,无限模式!$A$28:$X$47,(AA114-1)*5+4+4,FALSE)</f>
        <v>2314</v>
      </c>
      <c r="F114" s="57">
        <v>1</v>
      </c>
      <c r="G114" s="57">
        <v>0</v>
      </c>
      <c r="H114" s="57">
        <v>0</v>
      </c>
      <c r="I114" s="57">
        <v>0</v>
      </c>
      <c r="Z114" s="57">
        <v>6</v>
      </c>
      <c r="AA114" s="57">
        <v>2</v>
      </c>
    </row>
    <row r="115" spans="2:27" x14ac:dyDescent="0.2">
      <c r="B115" s="57" t="s">
        <v>3206</v>
      </c>
      <c r="C115" s="57">
        <v>1</v>
      </c>
      <c r="D115" s="57" t="s">
        <v>3657</v>
      </c>
      <c r="E115" s="102">
        <f>VLOOKUP(Z115,无限模式!$A$28:$X$47,(AA115-1)*5+4+4,FALSE)</f>
        <v>3544</v>
      </c>
      <c r="F115" s="57">
        <v>1</v>
      </c>
      <c r="G115" s="57">
        <v>0</v>
      </c>
      <c r="H115" s="57">
        <v>0</v>
      </c>
      <c r="I115" s="57">
        <v>0</v>
      </c>
      <c r="Z115" s="57">
        <v>7</v>
      </c>
      <c r="AA115" s="57">
        <v>1</v>
      </c>
    </row>
    <row r="116" spans="2:27" x14ac:dyDescent="0.2">
      <c r="B116" s="57" t="s">
        <v>3208</v>
      </c>
      <c r="C116" s="57">
        <v>1</v>
      </c>
      <c r="D116" s="57" t="s">
        <v>3657</v>
      </c>
      <c r="E116" s="102">
        <f>VLOOKUP(Z116,无限模式!$A$28:$X$47,(AA116-1)*5+4+4,FALSE)</f>
        <v>1772</v>
      </c>
      <c r="F116" s="57">
        <v>1</v>
      </c>
      <c r="G116" s="57">
        <v>0</v>
      </c>
      <c r="H116" s="57">
        <v>0</v>
      </c>
      <c r="I116" s="57">
        <v>0</v>
      </c>
      <c r="Z116" s="57">
        <v>7</v>
      </c>
      <c r="AA116" s="57">
        <v>2</v>
      </c>
    </row>
    <row r="117" spans="2:27" x14ac:dyDescent="0.2">
      <c r="B117" s="57" t="s">
        <v>3210</v>
      </c>
      <c r="C117" s="57">
        <v>1</v>
      </c>
      <c r="D117" s="57" t="s">
        <v>3657</v>
      </c>
      <c r="E117" s="102">
        <f>VLOOKUP(Z117,无限模式!$A$28:$X$47,(AA117-1)*5+4+4,FALSE)</f>
        <v>6400</v>
      </c>
      <c r="F117" s="57">
        <v>1</v>
      </c>
      <c r="G117" s="57">
        <v>0</v>
      </c>
      <c r="H117" s="57">
        <v>0</v>
      </c>
      <c r="I117" s="57">
        <v>0</v>
      </c>
      <c r="Z117" s="57">
        <v>8</v>
      </c>
      <c r="AA117" s="57">
        <v>1</v>
      </c>
    </row>
    <row r="118" spans="2:27" x14ac:dyDescent="0.2">
      <c r="B118" s="57" t="s">
        <v>3212</v>
      </c>
      <c r="C118" s="57">
        <v>1</v>
      </c>
      <c r="D118" s="57" t="s">
        <v>3657</v>
      </c>
      <c r="E118" s="102">
        <f>VLOOKUP(Z118,无限模式!$A$28:$X$47,(AA118-1)*5+4+4,FALSE)</f>
        <v>64000</v>
      </c>
      <c r="F118" s="57">
        <v>1</v>
      </c>
      <c r="G118" s="57">
        <v>0</v>
      </c>
      <c r="H118" s="57">
        <v>0</v>
      </c>
      <c r="I118" s="57">
        <v>0</v>
      </c>
      <c r="Z118" s="57">
        <v>8</v>
      </c>
      <c r="AA118" s="57">
        <v>2</v>
      </c>
    </row>
    <row r="119" spans="2:27" x14ac:dyDescent="0.2">
      <c r="B119" s="57" t="s">
        <v>3214</v>
      </c>
      <c r="C119" s="57">
        <v>1</v>
      </c>
      <c r="D119" s="57" t="s">
        <v>3657</v>
      </c>
      <c r="E119" s="102">
        <f>VLOOKUP(Z119,无限模式!$A$28:$X$47,(AA119-1)*5+4+4,FALSE)</f>
        <v>5891</v>
      </c>
      <c r="F119" s="57">
        <v>1</v>
      </c>
      <c r="G119" s="57">
        <v>0</v>
      </c>
      <c r="H119" s="57">
        <v>0</v>
      </c>
      <c r="I119" s="57">
        <v>0</v>
      </c>
      <c r="Z119" s="57">
        <v>9</v>
      </c>
      <c r="AA119" s="57">
        <v>1</v>
      </c>
    </row>
    <row r="120" spans="2:27" x14ac:dyDescent="0.2">
      <c r="B120" s="57" t="s">
        <v>3216</v>
      </c>
      <c r="C120" s="57">
        <v>1</v>
      </c>
      <c r="D120" s="57" t="s">
        <v>3657</v>
      </c>
      <c r="E120" s="102">
        <f>VLOOKUP(Z120,无限模式!$A$28:$X$47,(AA120-1)*5+4+4,FALSE)</f>
        <v>4418</v>
      </c>
      <c r="F120" s="57">
        <v>1</v>
      </c>
      <c r="G120" s="57">
        <v>0</v>
      </c>
      <c r="H120" s="57">
        <v>0</v>
      </c>
      <c r="I120" s="57">
        <v>0</v>
      </c>
      <c r="Z120" s="57">
        <v>9</v>
      </c>
      <c r="AA120" s="57">
        <v>2</v>
      </c>
    </row>
    <row r="121" spans="2:27" x14ac:dyDescent="0.2">
      <c r="B121" s="57" t="s">
        <v>3218</v>
      </c>
      <c r="C121" s="57">
        <v>1</v>
      </c>
      <c r="D121" s="57" t="s">
        <v>3657</v>
      </c>
      <c r="E121" s="102">
        <f>VLOOKUP(Z121,无限模式!$A$28:$X$47,(AA121-1)*5+4+4,FALSE)</f>
        <v>8617</v>
      </c>
      <c r="F121" s="57">
        <v>1</v>
      </c>
      <c r="G121" s="57">
        <v>0</v>
      </c>
      <c r="H121" s="57">
        <v>0</v>
      </c>
      <c r="I121" s="57">
        <v>0</v>
      </c>
      <c r="Z121" s="57">
        <v>10</v>
      </c>
      <c r="AA121" s="57">
        <v>1</v>
      </c>
    </row>
    <row r="122" spans="2:27" x14ac:dyDescent="0.2">
      <c r="B122" s="57" t="s">
        <v>3220</v>
      </c>
      <c r="C122" s="57">
        <v>1</v>
      </c>
      <c r="D122" s="57" t="s">
        <v>3657</v>
      </c>
      <c r="E122" s="102">
        <f>VLOOKUP(Z122,无限模式!$A$28:$X$47,(AA122-1)*5+4+4,FALSE)</f>
        <v>6463</v>
      </c>
      <c r="F122" s="57">
        <v>1</v>
      </c>
      <c r="G122" s="57">
        <v>0</v>
      </c>
      <c r="H122" s="57">
        <v>0</v>
      </c>
      <c r="I122" s="57">
        <v>0</v>
      </c>
      <c r="Z122" s="57">
        <v>10</v>
      </c>
      <c r="AA122" s="57">
        <v>2</v>
      </c>
    </row>
    <row r="123" spans="2:27" x14ac:dyDescent="0.2">
      <c r="B123" s="57" t="s">
        <v>3222</v>
      </c>
      <c r="C123" s="57">
        <v>1</v>
      </c>
      <c r="D123" s="57" t="s">
        <v>3657</v>
      </c>
      <c r="E123" s="102">
        <f>VLOOKUP(Z123,无限模式!$A$28:$X$47,(AA123-1)*5+4+4,FALSE)</f>
        <v>11880</v>
      </c>
      <c r="F123" s="57">
        <v>1</v>
      </c>
      <c r="G123" s="57">
        <v>0</v>
      </c>
      <c r="H123" s="57">
        <v>0</v>
      </c>
      <c r="I123" s="57">
        <v>0</v>
      </c>
      <c r="Z123" s="57">
        <v>11</v>
      </c>
      <c r="AA123" s="57">
        <v>1</v>
      </c>
    </row>
    <row r="124" spans="2:27" x14ac:dyDescent="0.2">
      <c r="B124" s="57" t="s">
        <v>3224</v>
      </c>
      <c r="C124" s="57">
        <v>1</v>
      </c>
      <c r="D124" s="57" t="s">
        <v>3657</v>
      </c>
      <c r="E124" s="102">
        <f>VLOOKUP(Z124,无限模式!$A$28:$X$47,(AA124-1)*5+4+4,FALSE)</f>
        <v>5940</v>
      </c>
      <c r="F124" s="57">
        <v>1</v>
      </c>
      <c r="G124" s="57">
        <v>0</v>
      </c>
      <c r="H124" s="57">
        <v>0</v>
      </c>
      <c r="I124" s="57">
        <v>0</v>
      </c>
      <c r="Z124" s="57">
        <v>11</v>
      </c>
      <c r="AA124" s="57">
        <v>2</v>
      </c>
    </row>
    <row r="125" spans="2:27" x14ac:dyDescent="0.2">
      <c r="B125" s="57" t="s">
        <v>3226</v>
      </c>
      <c r="C125" s="57">
        <v>1</v>
      </c>
      <c r="D125" s="57" t="s">
        <v>3657</v>
      </c>
      <c r="E125" s="102">
        <f>VLOOKUP(Z125,无限模式!$A$28:$X$47,(AA125-1)*5+4+4,FALSE)</f>
        <v>13407</v>
      </c>
      <c r="F125" s="57">
        <v>1</v>
      </c>
      <c r="G125" s="57">
        <v>0</v>
      </c>
      <c r="H125" s="57">
        <v>0</v>
      </c>
      <c r="I125" s="57">
        <v>0</v>
      </c>
      <c r="Z125" s="57">
        <v>12</v>
      </c>
      <c r="AA125" s="57">
        <v>1</v>
      </c>
    </row>
    <row r="126" spans="2:27" x14ac:dyDescent="0.2">
      <c r="B126" s="57" t="s">
        <v>3228</v>
      </c>
      <c r="C126" s="57">
        <v>1</v>
      </c>
      <c r="D126" s="57" t="s">
        <v>3657</v>
      </c>
      <c r="E126" s="102">
        <f>VLOOKUP(Z126,无限模式!$A$28:$X$47,(AA126-1)*5+4+4,FALSE)</f>
        <v>10055</v>
      </c>
      <c r="F126" s="57">
        <v>1</v>
      </c>
      <c r="G126" s="57">
        <v>0</v>
      </c>
      <c r="H126" s="57">
        <v>0</v>
      </c>
      <c r="I126" s="57">
        <v>0</v>
      </c>
      <c r="Z126" s="57">
        <v>12</v>
      </c>
      <c r="AA126" s="57">
        <v>2</v>
      </c>
    </row>
    <row r="127" spans="2:27" x14ac:dyDescent="0.2">
      <c r="B127" s="57" t="s">
        <v>3230</v>
      </c>
      <c r="C127" s="57">
        <v>1</v>
      </c>
      <c r="D127" s="57" t="s">
        <v>3657</v>
      </c>
      <c r="E127" s="102">
        <f>VLOOKUP(Z127,无限模式!$A$28:$X$47,(AA127-1)*5+4+4,FALSE)</f>
        <v>134069</v>
      </c>
      <c r="F127" s="57">
        <v>1</v>
      </c>
      <c r="G127" s="57">
        <v>0</v>
      </c>
      <c r="H127" s="57">
        <v>0</v>
      </c>
      <c r="I127" s="57">
        <v>0</v>
      </c>
      <c r="Z127" s="57">
        <v>12</v>
      </c>
      <c r="AA127" s="57">
        <v>3</v>
      </c>
    </row>
    <row r="128" spans="2:27" x14ac:dyDescent="0.2">
      <c r="B128" s="57" t="s">
        <v>3232</v>
      </c>
      <c r="C128" s="57">
        <v>1</v>
      </c>
      <c r="D128" s="57" t="s">
        <v>3657</v>
      </c>
      <c r="E128" s="102">
        <f>VLOOKUP(Z128,无限模式!$A$28:$X$47,(AA128-1)*5+4+4,FALSE)</f>
        <v>11700</v>
      </c>
      <c r="F128" s="57">
        <v>1</v>
      </c>
      <c r="G128" s="57">
        <v>0</v>
      </c>
      <c r="H128" s="57">
        <v>0</v>
      </c>
      <c r="I128" s="57">
        <v>0</v>
      </c>
      <c r="Z128" s="57">
        <v>13</v>
      </c>
      <c r="AA128" s="57">
        <v>1</v>
      </c>
    </row>
    <row r="129" spans="2:27" x14ac:dyDescent="0.2">
      <c r="B129" s="57" t="s">
        <v>3234</v>
      </c>
      <c r="C129" s="57">
        <v>1</v>
      </c>
      <c r="D129" s="57" t="s">
        <v>3657</v>
      </c>
      <c r="E129" s="102">
        <f>VLOOKUP(Z129,无限模式!$A$28:$X$47,(AA129-1)*5+4+4,FALSE)</f>
        <v>6048</v>
      </c>
      <c r="F129" s="57">
        <v>1</v>
      </c>
      <c r="G129" s="57">
        <v>0</v>
      </c>
      <c r="H129" s="57">
        <v>0</v>
      </c>
      <c r="I129" s="57">
        <v>0</v>
      </c>
      <c r="Z129" s="57">
        <v>14</v>
      </c>
      <c r="AA129" s="57">
        <v>1</v>
      </c>
    </row>
    <row r="130" spans="2:27" x14ac:dyDescent="0.2">
      <c r="B130" s="57" t="s">
        <v>3236</v>
      </c>
      <c r="C130" s="57">
        <v>1</v>
      </c>
      <c r="D130" s="57" t="s">
        <v>3657</v>
      </c>
      <c r="E130" s="102">
        <f>VLOOKUP(Z130,无限模式!$A$28:$X$47,(AA130-1)*5+4+4,FALSE)</f>
        <v>24192</v>
      </c>
      <c r="F130" s="57">
        <v>1</v>
      </c>
      <c r="G130" s="57">
        <v>0</v>
      </c>
      <c r="H130" s="57">
        <v>0</v>
      </c>
      <c r="I130" s="57">
        <v>0</v>
      </c>
      <c r="Z130" s="57">
        <v>14</v>
      </c>
      <c r="AA130" s="57">
        <v>2</v>
      </c>
    </row>
    <row r="131" spans="2:27" x14ac:dyDescent="0.2">
      <c r="B131" s="57" t="s">
        <v>3238</v>
      </c>
      <c r="C131" s="57">
        <v>1</v>
      </c>
      <c r="D131" s="57" t="s">
        <v>3657</v>
      </c>
      <c r="E131" s="102">
        <f>VLOOKUP(Z131,无限模式!$A$28:$X$47,(AA131-1)*5+4+4,FALSE)</f>
        <v>6075</v>
      </c>
      <c r="F131" s="57">
        <v>1</v>
      </c>
      <c r="G131" s="57">
        <v>0</v>
      </c>
      <c r="H131" s="57">
        <v>0</v>
      </c>
      <c r="I131" s="57">
        <v>0</v>
      </c>
      <c r="Z131" s="57">
        <v>15</v>
      </c>
      <c r="AA131" s="57">
        <v>1</v>
      </c>
    </row>
    <row r="132" spans="2:27" x14ac:dyDescent="0.2">
      <c r="B132" s="57" t="s">
        <v>3240</v>
      </c>
      <c r="C132" s="57">
        <v>1</v>
      </c>
      <c r="D132" s="57" t="s">
        <v>3657</v>
      </c>
      <c r="E132" s="102">
        <f>VLOOKUP(Z132,无限模式!$A$28:$X$47,(AA132-1)*5+4+4,FALSE)</f>
        <v>36450</v>
      </c>
      <c r="F132" s="57">
        <v>1</v>
      </c>
      <c r="G132" s="57">
        <v>0</v>
      </c>
      <c r="H132" s="57">
        <v>0</v>
      </c>
      <c r="I132" s="57">
        <v>0</v>
      </c>
      <c r="Z132" s="57">
        <v>15</v>
      </c>
      <c r="AA132" s="57">
        <v>2</v>
      </c>
    </row>
    <row r="133" spans="2:27" x14ac:dyDescent="0.2">
      <c r="B133" s="57" t="s">
        <v>3242</v>
      </c>
      <c r="C133" s="57">
        <v>1</v>
      </c>
      <c r="D133" s="57" t="s">
        <v>3657</v>
      </c>
      <c r="E133" s="102">
        <f>VLOOKUP(Z133,无限模式!$A$28:$X$47,(AA133-1)*5+4+4,FALSE)</f>
        <v>29623</v>
      </c>
      <c r="F133" s="57">
        <v>1</v>
      </c>
      <c r="G133" s="57">
        <v>0</v>
      </c>
      <c r="H133" s="57">
        <v>0</v>
      </c>
      <c r="I133" s="57">
        <v>0</v>
      </c>
      <c r="Z133" s="57">
        <v>16</v>
      </c>
      <c r="AA133" s="57">
        <v>1</v>
      </c>
    </row>
    <row r="134" spans="2:27" x14ac:dyDescent="0.2">
      <c r="B134" s="57" t="s">
        <v>3244</v>
      </c>
      <c r="C134" s="57">
        <v>1</v>
      </c>
      <c r="D134" s="57" t="s">
        <v>3657</v>
      </c>
      <c r="E134" s="102">
        <f>VLOOKUP(Z134,无限模式!$A$28:$X$47,(AA134-1)*5+4+4,FALSE)</f>
        <v>296229</v>
      </c>
      <c r="F134" s="57">
        <v>1</v>
      </c>
      <c r="G134" s="57">
        <v>0</v>
      </c>
      <c r="H134" s="57">
        <v>0</v>
      </c>
      <c r="I134" s="57">
        <v>0</v>
      </c>
      <c r="Z134" s="57">
        <v>16</v>
      </c>
      <c r="AA134" s="57">
        <v>2</v>
      </c>
    </row>
    <row r="135" spans="2:27" x14ac:dyDescent="0.2">
      <c r="B135" s="57" t="s">
        <v>3246</v>
      </c>
      <c r="C135" s="57">
        <v>1</v>
      </c>
      <c r="D135" s="57" t="s">
        <v>3657</v>
      </c>
      <c r="E135" s="102">
        <f>VLOOKUP(Z135,无限模式!$A$28:$X$47,(AA135-1)*5+4+4,FALSE)</f>
        <v>30098</v>
      </c>
      <c r="F135" s="57">
        <v>1</v>
      </c>
      <c r="G135" s="57">
        <v>0</v>
      </c>
      <c r="H135" s="57">
        <v>0</v>
      </c>
      <c r="I135" s="57">
        <v>0</v>
      </c>
      <c r="Z135" s="57">
        <v>17</v>
      </c>
      <c r="AA135" s="57">
        <v>1</v>
      </c>
    </row>
    <row r="136" spans="2:27" x14ac:dyDescent="0.2">
      <c r="B136" s="57" t="s">
        <v>3248</v>
      </c>
      <c r="C136" s="57">
        <v>1</v>
      </c>
      <c r="D136" s="57" t="s">
        <v>3657</v>
      </c>
      <c r="E136" s="102">
        <f>VLOOKUP(Z136,无限模式!$A$28:$X$47,(AA136-1)*5+4+4,FALSE)</f>
        <v>15049</v>
      </c>
      <c r="F136" s="57">
        <v>1</v>
      </c>
      <c r="G136" s="57">
        <v>0</v>
      </c>
      <c r="H136" s="57">
        <v>0</v>
      </c>
      <c r="I136" s="57">
        <v>0</v>
      </c>
      <c r="Z136" s="57">
        <v>17</v>
      </c>
      <c r="AA136" s="57">
        <v>2</v>
      </c>
    </row>
    <row r="137" spans="2:27" x14ac:dyDescent="0.2">
      <c r="B137" s="57" t="s">
        <v>3250</v>
      </c>
      <c r="C137" s="57">
        <v>1</v>
      </c>
      <c r="D137" s="57" t="s">
        <v>3657</v>
      </c>
      <c r="E137" s="102">
        <f>VLOOKUP(Z137,无限模式!$A$28:$X$47,(AA137-1)*5+4+4,FALSE)</f>
        <v>29700</v>
      </c>
      <c r="F137" s="57">
        <v>1</v>
      </c>
      <c r="G137" s="57">
        <v>0</v>
      </c>
      <c r="H137" s="57">
        <v>0</v>
      </c>
      <c r="I137" s="57">
        <v>0</v>
      </c>
      <c r="Z137" s="57">
        <v>18</v>
      </c>
      <c r="AA137" s="57">
        <v>1</v>
      </c>
    </row>
    <row r="138" spans="2:27" x14ac:dyDescent="0.2">
      <c r="B138" s="57" t="s">
        <v>3252</v>
      </c>
      <c r="C138" s="57">
        <v>1</v>
      </c>
      <c r="D138" s="57" t="s">
        <v>3657</v>
      </c>
      <c r="E138" s="102">
        <f>VLOOKUP(Z138,无限模式!$A$28:$X$47,(AA138-1)*5+4+4,FALSE)</f>
        <v>14850</v>
      </c>
      <c r="F138" s="57">
        <v>1</v>
      </c>
      <c r="G138" s="57">
        <v>0</v>
      </c>
      <c r="H138" s="57">
        <v>0</v>
      </c>
      <c r="I138" s="57">
        <v>0</v>
      </c>
      <c r="Z138" s="57">
        <v>18</v>
      </c>
      <c r="AA138" s="57">
        <v>2</v>
      </c>
    </row>
    <row r="139" spans="2:27" x14ac:dyDescent="0.2">
      <c r="B139" s="57" t="s">
        <v>3254</v>
      </c>
      <c r="C139" s="57">
        <v>1</v>
      </c>
      <c r="D139" s="57" t="s">
        <v>3657</v>
      </c>
      <c r="E139" s="102">
        <f>VLOOKUP(Z139,无限模式!$A$28:$X$47,(AA139-1)*5+4+4,FALSE)</f>
        <v>19238</v>
      </c>
      <c r="F139" s="57">
        <v>1</v>
      </c>
      <c r="G139" s="57">
        <v>0</v>
      </c>
      <c r="H139" s="57">
        <v>0</v>
      </c>
      <c r="I139" s="57">
        <v>0</v>
      </c>
      <c r="Z139" s="57">
        <v>19</v>
      </c>
      <c r="AA139" s="57">
        <v>1</v>
      </c>
    </row>
    <row r="140" spans="2:27" x14ac:dyDescent="0.2">
      <c r="B140" s="57" t="s">
        <v>3256</v>
      </c>
      <c r="C140" s="57">
        <v>1</v>
      </c>
      <c r="D140" s="57" t="s">
        <v>3657</v>
      </c>
      <c r="E140" s="102">
        <f>VLOOKUP(Z140,无限模式!$A$28:$X$47,(AA140-1)*5+4+4,FALSE)</f>
        <v>38475</v>
      </c>
      <c r="F140" s="57">
        <v>1</v>
      </c>
      <c r="G140" s="57">
        <v>0</v>
      </c>
      <c r="H140" s="57">
        <v>0</v>
      </c>
      <c r="I140" s="57">
        <v>0</v>
      </c>
      <c r="Z140" s="57">
        <v>19</v>
      </c>
      <c r="AA140" s="57">
        <v>2</v>
      </c>
    </row>
    <row r="141" spans="2:27" x14ac:dyDescent="0.2">
      <c r="B141" s="57" t="s">
        <v>3258</v>
      </c>
      <c r="C141" s="57">
        <v>1</v>
      </c>
      <c r="D141" s="57" t="s">
        <v>3657</v>
      </c>
      <c r="E141" s="102">
        <f>VLOOKUP(Z141,无限模式!$A$28:$X$47,(AA141-1)*5+4+4,FALSE)</f>
        <v>28856</v>
      </c>
      <c r="F141" s="57">
        <v>1</v>
      </c>
      <c r="G141" s="57">
        <v>0</v>
      </c>
      <c r="H141" s="57">
        <v>0</v>
      </c>
      <c r="I141" s="57">
        <v>0</v>
      </c>
      <c r="Z141" s="57">
        <v>19</v>
      </c>
      <c r="AA141" s="57">
        <v>3</v>
      </c>
    </row>
    <row r="142" spans="2:27" x14ac:dyDescent="0.2">
      <c r="B142" s="57" t="s">
        <v>3260</v>
      </c>
      <c r="C142" s="57">
        <v>1</v>
      </c>
      <c r="D142" s="57" t="s">
        <v>3657</v>
      </c>
      <c r="E142" s="102">
        <f>VLOOKUP(Z142,无限模式!$A$28:$X$47,(AA142-1)*5+4+4,FALSE)</f>
        <v>247328</v>
      </c>
      <c r="F142" s="57">
        <v>1</v>
      </c>
      <c r="G142" s="57">
        <v>0</v>
      </c>
      <c r="H142" s="57">
        <v>0</v>
      </c>
      <c r="I142" s="57">
        <v>0</v>
      </c>
      <c r="Z142" s="57">
        <v>20</v>
      </c>
      <c r="AA142" s="57">
        <v>1</v>
      </c>
    </row>
    <row r="143" spans="2:27" x14ac:dyDescent="0.2">
      <c r="B143" s="57" t="s">
        <v>3262</v>
      </c>
      <c r="C143" s="57">
        <v>1</v>
      </c>
      <c r="D143" s="57" t="s">
        <v>3657</v>
      </c>
      <c r="E143" s="102">
        <f>VLOOKUP(Z143,无限模式!$A$28:$X$47,(AA143-1)*5+4+4,FALSE)</f>
        <v>12366</v>
      </c>
      <c r="F143" s="57">
        <v>1</v>
      </c>
      <c r="G143" s="57">
        <v>0</v>
      </c>
      <c r="H143" s="57">
        <v>0</v>
      </c>
      <c r="I143" s="57">
        <v>0</v>
      </c>
      <c r="Z143" s="57">
        <v>20</v>
      </c>
      <c r="AA143" s="57">
        <v>2</v>
      </c>
    </row>
    <row r="144" spans="2:27" x14ac:dyDescent="0.2">
      <c r="B144" s="57" t="s">
        <v>3264</v>
      </c>
      <c r="C144" s="57">
        <v>1</v>
      </c>
      <c r="D144" s="57" t="s">
        <v>3657</v>
      </c>
      <c r="E144" s="102">
        <f>VLOOKUP(Z144,无限模式!$A$28:$X$47,(AA144-1)*5+4+4,FALSE)</f>
        <v>37099</v>
      </c>
      <c r="F144" s="57">
        <v>1</v>
      </c>
      <c r="G144" s="57">
        <v>0</v>
      </c>
      <c r="H144" s="57">
        <v>0</v>
      </c>
      <c r="I144" s="57">
        <v>0</v>
      </c>
      <c r="Z144" s="57">
        <v>20</v>
      </c>
      <c r="AA144" s="57">
        <v>3</v>
      </c>
    </row>
    <row r="145" spans="2:27" x14ac:dyDescent="0.2">
      <c r="B145" s="57" t="s">
        <v>3266</v>
      </c>
      <c r="C145" s="57">
        <v>1</v>
      </c>
      <c r="D145" s="57" t="s">
        <v>3657</v>
      </c>
      <c r="E145" s="102">
        <f>VLOOKUP(Z145,无限模式!$A$28:$X$47,(AA145-1)*5+4+4,FALSE)</f>
        <v>49466</v>
      </c>
      <c r="F145" s="57">
        <v>1</v>
      </c>
      <c r="G145" s="57">
        <v>0</v>
      </c>
      <c r="H145" s="57">
        <v>0</v>
      </c>
      <c r="I145" s="57">
        <v>0</v>
      </c>
      <c r="Z145" s="57">
        <v>20</v>
      </c>
      <c r="AA145" s="57">
        <v>4</v>
      </c>
    </row>
    <row r="146" spans="2:27" s="166" customFormat="1" x14ac:dyDescent="0.2"/>
    <row r="147" spans="2:27" x14ac:dyDescent="0.2">
      <c r="B147" s="57" t="s">
        <v>3406</v>
      </c>
      <c r="C147" s="57">
        <v>1</v>
      </c>
      <c r="D147" s="57" t="s">
        <v>3658</v>
      </c>
      <c r="E147" s="102">
        <f>VLOOKUP(Z147,无限模式!$A$52:$X$71,(AA147-1)*5+4+4,FALSE)</f>
        <v>675</v>
      </c>
      <c r="F147" s="57">
        <v>5</v>
      </c>
      <c r="G147" s="57">
        <v>0</v>
      </c>
      <c r="H147" s="57">
        <v>0</v>
      </c>
      <c r="I147" s="57">
        <v>0</v>
      </c>
      <c r="Z147" s="57">
        <v>1</v>
      </c>
      <c r="AA147" s="57">
        <v>1</v>
      </c>
    </row>
    <row r="148" spans="2:27" x14ac:dyDescent="0.2">
      <c r="B148" s="57" t="s">
        <v>3408</v>
      </c>
      <c r="C148" s="57">
        <v>1</v>
      </c>
      <c r="D148" s="57" t="s">
        <v>3658</v>
      </c>
      <c r="E148" s="102">
        <f>VLOOKUP(Z148,无限模式!$A$52:$X$71,(AA148-1)*5+4+4,FALSE)</f>
        <v>67</v>
      </c>
      <c r="F148" s="57">
        <v>1</v>
      </c>
      <c r="G148" s="57">
        <v>0</v>
      </c>
      <c r="H148" s="57">
        <v>0</v>
      </c>
      <c r="I148" s="57">
        <v>0</v>
      </c>
      <c r="Z148" s="57">
        <v>2</v>
      </c>
      <c r="AA148" s="57">
        <v>1</v>
      </c>
    </row>
    <row r="149" spans="2:27" x14ac:dyDescent="0.2">
      <c r="B149" s="57" t="s">
        <v>3410</v>
      </c>
      <c r="C149" s="57">
        <v>1</v>
      </c>
      <c r="D149" s="57" t="s">
        <v>3658</v>
      </c>
      <c r="E149" s="102">
        <f>VLOOKUP(Z149,无限模式!$A$52:$X$71,(AA149-1)*5+4+4,FALSE)</f>
        <v>2133</v>
      </c>
      <c r="F149" s="57">
        <v>5</v>
      </c>
      <c r="G149" s="57">
        <v>0</v>
      </c>
      <c r="H149" s="57">
        <v>0</v>
      </c>
      <c r="I149" s="57">
        <v>0</v>
      </c>
      <c r="Z149" s="57">
        <v>2</v>
      </c>
      <c r="AA149" s="57">
        <v>2</v>
      </c>
    </row>
    <row r="150" spans="2:27" x14ac:dyDescent="0.2">
      <c r="B150" s="57" t="s">
        <v>3412</v>
      </c>
      <c r="C150" s="57">
        <v>1</v>
      </c>
      <c r="D150" s="57" t="s">
        <v>3658</v>
      </c>
      <c r="E150" s="102">
        <f>VLOOKUP(Z150,无限模式!$A$52:$X$71,(AA150-1)*5+4+4,FALSE)</f>
        <v>3292</v>
      </c>
      <c r="F150" s="57">
        <v>5</v>
      </c>
      <c r="G150" s="57">
        <v>0</v>
      </c>
      <c r="H150" s="57">
        <v>0</v>
      </c>
      <c r="I150" s="57">
        <v>0</v>
      </c>
      <c r="Z150" s="57">
        <v>3</v>
      </c>
      <c r="AA150" s="57">
        <v>1</v>
      </c>
    </row>
    <row r="151" spans="2:27" x14ac:dyDescent="0.2">
      <c r="B151" s="57" t="s">
        <v>3414</v>
      </c>
      <c r="C151" s="57">
        <v>1</v>
      </c>
      <c r="D151" s="57" t="s">
        <v>3658</v>
      </c>
      <c r="E151" s="102">
        <f>VLOOKUP(Z151,无限模式!$A$52:$X$71,(AA151-1)*5+4+4,FALSE)</f>
        <v>103</v>
      </c>
      <c r="F151" s="57">
        <v>1</v>
      </c>
      <c r="G151" s="57">
        <v>0</v>
      </c>
      <c r="H151" s="57">
        <v>0</v>
      </c>
      <c r="I151" s="57">
        <v>0</v>
      </c>
      <c r="Z151" s="57">
        <v>3</v>
      </c>
      <c r="AA151" s="57">
        <v>2</v>
      </c>
    </row>
    <row r="152" spans="2:27" x14ac:dyDescent="0.2">
      <c r="B152" s="57" t="s">
        <v>3416</v>
      </c>
      <c r="C152" s="57">
        <v>1</v>
      </c>
      <c r="D152" s="57" t="s">
        <v>3658</v>
      </c>
      <c r="E152" s="102">
        <f>VLOOKUP(Z152,无限模式!$A$52:$X$71,(AA152-1)*5+4+4,FALSE)</f>
        <v>13500</v>
      </c>
      <c r="F152" s="57">
        <v>1</v>
      </c>
      <c r="G152" s="57">
        <v>0</v>
      </c>
      <c r="H152" s="57">
        <v>0</v>
      </c>
      <c r="I152" s="57">
        <v>0</v>
      </c>
      <c r="Z152" s="57">
        <v>4</v>
      </c>
      <c r="AA152" s="57">
        <v>1</v>
      </c>
    </row>
    <row r="153" spans="2:27" x14ac:dyDescent="0.2">
      <c r="B153" s="57" t="s">
        <v>3418</v>
      </c>
      <c r="C153" s="57">
        <v>1</v>
      </c>
      <c r="D153" s="57" t="s">
        <v>3658</v>
      </c>
      <c r="E153" s="102">
        <f>VLOOKUP(Z153,无限模式!$A$52:$X$71,(AA153-1)*5+4+4,FALSE)</f>
        <v>5400</v>
      </c>
      <c r="F153" s="57">
        <v>5</v>
      </c>
      <c r="G153" s="57">
        <v>0</v>
      </c>
      <c r="H153" s="57">
        <v>0</v>
      </c>
      <c r="I153" s="57">
        <v>0</v>
      </c>
      <c r="Z153" s="57">
        <v>4</v>
      </c>
      <c r="AA153" s="57">
        <v>2</v>
      </c>
    </row>
    <row r="154" spans="2:27" x14ac:dyDescent="0.2">
      <c r="B154" s="57" t="s">
        <v>3420</v>
      </c>
      <c r="C154" s="57">
        <v>1</v>
      </c>
      <c r="D154" s="57" t="s">
        <v>3658</v>
      </c>
      <c r="E154" s="102">
        <f>VLOOKUP(Z154,无限模式!$A$52:$X$71,(AA154-1)*5+4+4,FALSE)</f>
        <v>6231</v>
      </c>
      <c r="F154" s="57">
        <v>5</v>
      </c>
      <c r="G154" s="57">
        <v>0</v>
      </c>
      <c r="H154" s="57">
        <v>0</v>
      </c>
      <c r="I154" s="57">
        <v>0</v>
      </c>
      <c r="Z154" s="57">
        <v>5</v>
      </c>
      <c r="AA154" s="57">
        <v>1</v>
      </c>
    </row>
    <row r="155" spans="2:27" x14ac:dyDescent="0.2">
      <c r="B155" s="57" t="s">
        <v>3422</v>
      </c>
      <c r="C155" s="57">
        <v>1</v>
      </c>
      <c r="D155" s="57" t="s">
        <v>3658</v>
      </c>
      <c r="E155" s="102">
        <f>VLOOKUP(Z155,无限模式!$A$52:$X$71,(AA155-1)*5+4+4,FALSE)</f>
        <v>389</v>
      </c>
      <c r="F155" s="57">
        <v>1</v>
      </c>
      <c r="G155" s="57">
        <v>0</v>
      </c>
      <c r="H155" s="57">
        <v>0</v>
      </c>
      <c r="I155" s="57">
        <v>0</v>
      </c>
      <c r="Z155" s="57">
        <v>5</v>
      </c>
      <c r="AA155" s="57">
        <v>2</v>
      </c>
    </row>
    <row r="156" spans="2:27" x14ac:dyDescent="0.2">
      <c r="B156" s="57" t="s">
        <v>3424</v>
      </c>
      <c r="C156" s="57">
        <v>1</v>
      </c>
      <c r="D156" s="57" t="s">
        <v>3658</v>
      </c>
      <c r="E156" s="102">
        <f>VLOOKUP(Z156,无限模式!$A$52:$X$71,(AA156-1)*5+4+4,FALSE)</f>
        <v>1168</v>
      </c>
      <c r="F156" s="57">
        <v>1</v>
      </c>
      <c r="G156" s="57">
        <v>0</v>
      </c>
      <c r="H156" s="57">
        <v>0</v>
      </c>
      <c r="I156" s="57">
        <v>0</v>
      </c>
      <c r="Z156" s="57">
        <v>6</v>
      </c>
      <c r="AA156" s="57">
        <v>1</v>
      </c>
    </row>
    <row r="157" spans="2:27" x14ac:dyDescent="0.2">
      <c r="B157" s="57" t="s">
        <v>3426</v>
      </c>
      <c r="C157" s="57">
        <v>1</v>
      </c>
      <c r="D157" s="57" t="s">
        <v>3658</v>
      </c>
      <c r="E157" s="102">
        <f>VLOOKUP(Z157,无限模式!$A$52:$X$71,(AA157-1)*5+4+4,FALSE)</f>
        <v>9346</v>
      </c>
      <c r="F157" s="57">
        <v>5</v>
      </c>
      <c r="G157" s="57">
        <v>0</v>
      </c>
      <c r="H157" s="57">
        <v>0</v>
      </c>
      <c r="I157" s="57">
        <v>0</v>
      </c>
      <c r="Z157" s="57">
        <v>6</v>
      </c>
      <c r="AA157" s="57">
        <v>2</v>
      </c>
    </row>
    <row r="158" spans="2:27" x14ac:dyDescent="0.2">
      <c r="B158" s="57" t="s">
        <v>3428</v>
      </c>
      <c r="C158" s="57">
        <v>1</v>
      </c>
      <c r="D158" s="57" t="s">
        <v>3658</v>
      </c>
      <c r="E158" s="102">
        <f>VLOOKUP(Z158,无限模式!$A$52:$X$71,(AA158-1)*5+4+4,FALSE)</f>
        <v>14175</v>
      </c>
      <c r="F158" s="57">
        <v>5</v>
      </c>
      <c r="G158" s="57">
        <v>0</v>
      </c>
      <c r="H158" s="57">
        <v>0</v>
      </c>
      <c r="I158" s="57">
        <v>0</v>
      </c>
      <c r="Z158" s="57">
        <v>7</v>
      </c>
      <c r="AA158" s="57">
        <v>1</v>
      </c>
    </row>
    <row r="159" spans="2:27" x14ac:dyDescent="0.2">
      <c r="B159" s="57" t="s">
        <v>3430</v>
      </c>
      <c r="C159" s="57">
        <v>1</v>
      </c>
      <c r="D159" s="57" t="s">
        <v>3658</v>
      </c>
      <c r="E159" s="102">
        <f>VLOOKUP(Z159,无限模式!$A$52:$X$71,(AA159-1)*5+4+4,FALSE)</f>
        <v>886</v>
      </c>
      <c r="F159" s="57">
        <v>1</v>
      </c>
      <c r="G159" s="57">
        <v>0</v>
      </c>
      <c r="H159" s="57">
        <v>0</v>
      </c>
      <c r="I159" s="57">
        <v>0</v>
      </c>
      <c r="Z159" s="57">
        <v>7</v>
      </c>
      <c r="AA159" s="57">
        <v>2</v>
      </c>
    </row>
    <row r="160" spans="2:27" x14ac:dyDescent="0.2">
      <c r="B160" s="57" t="s">
        <v>3432</v>
      </c>
      <c r="C160" s="57">
        <v>1</v>
      </c>
      <c r="D160" s="57" t="s">
        <v>3658</v>
      </c>
      <c r="E160" s="102">
        <f>VLOOKUP(Z160,无限模式!$A$52:$X$71,(AA160-1)*5+4+4,FALSE)</f>
        <v>24686</v>
      </c>
      <c r="F160" s="57">
        <v>5</v>
      </c>
      <c r="G160" s="57">
        <v>0</v>
      </c>
      <c r="H160" s="57">
        <v>0</v>
      </c>
      <c r="I160" s="57">
        <v>0</v>
      </c>
      <c r="Z160" s="57">
        <v>8</v>
      </c>
      <c r="AA160" s="57">
        <v>1</v>
      </c>
    </row>
    <row r="161" spans="2:27" x14ac:dyDescent="0.2">
      <c r="B161" s="57" t="s">
        <v>3434</v>
      </c>
      <c r="C161" s="57">
        <v>1</v>
      </c>
      <c r="D161" s="57" t="s">
        <v>3658</v>
      </c>
      <c r="E161" s="102">
        <f>VLOOKUP(Z161,无限模式!$A$52:$X$71,(AA161-1)*5+4+4,FALSE)</f>
        <v>30857</v>
      </c>
      <c r="F161" s="57">
        <v>1</v>
      </c>
      <c r="G161" s="57">
        <v>0</v>
      </c>
      <c r="H161" s="57">
        <v>0</v>
      </c>
      <c r="I161" s="57">
        <v>0</v>
      </c>
      <c r="Z161" s="57">
        <v>8</v>
      </c>
      <c r="AA161" s="57">
        <v>2</v>
      </c>
    </row>
    <row r="162" spans="2:27" x14ac:dyDescent="0.2">
      <c r="B162" s="57" t="s">
        <v>3436</v>
      </c>
      <c r="C162" s="57">
        <v>1</v>
      </c>
      <c r="D162" s="57" t="s">
        <v>3658</v>
      </c>
      <c r="E162" s="102">
        <f>VLOOKUP(Z162,无限模式!$A$52:$X$71,(AA162-1)*5+4+4,FALSE)</f>
        <v>17673</v>
      </c>
      <c r="F162" s="57">
        <v>10</v>
      </c>
      <c r="G162" s="57">
        <v>0</v>
      </c>
      <c r="H162" s="57">
        <v>0</v>
      </c>
      <c r="I162" s="57">
        <v>0</v>
      </c>
      <c r="Z162" s="57">
        <v>9</v>
      </c>
      <c r="AA162" s="57">
        <v>1</v>
      </c>
    </row>
    <row r="163" spans="2:27" x14ac:dyDescent="0.2">
      <c r="B163" s="57" t="s">
        <v>3438</v>
      </c>
      <c r="C163" s="57">
        <v>1</v>
      </c>
      <c r="D163" s="57" t="s">
        <v>3658</v>
      </c>
      <c r="E163" s="102">
        <f>VLOOKUP(Z163,无限模式!$A$52:$X$71,(AA163-1)*5+4+4,FALSE)</f>
        <v>3314</v>
      </c>
      <c r="F163" s="57">
        <v>1</v>
      </c>
      <c r="G163" s="57">
        <v>0</v>
      </c>
      <c r="H163" s="57">
        <v>0</v>
      </c>
      <c r="I163" s="57">
        <v>0</v>
      </c>
      <c r="Z163" s="57">
        <v>9</v>
      </c>
      <c r="AA163" s="57">
        <v>2</v>
      </c>
    </row>
    <row r="164" spans="2:27" x14ac:dyDescent="0.2">
      <c r="B164" s="57" t="s">
        <v>3440</v>
      </c>
      <c r="C164" s="57">
        <v>1</v>
      </c>
      <c r="D164" s="57" t="s">
        <v>3658</v>
      </c>
      <c r="E164" s="102">
        <f>VLOOKUP(Z164,无限模式!$A$52:$X$71,(AA164-1)*5+4+4,FALSE)</f>
        <v>24545</v>
      </c>
      <c r="F164" s="57">
        <v>10</v>
      </c>
      <c r="G164" s="57">
        <v>0</v>
      </c>
      <c r="H164" s="57">
        <v>0</v>
      </c>
      <c r="I164" s="57">
        <v>0</v>
      </c>
      <c r="Z164" s="57">
        <v>10</v>
      </c>
      <c r="AA164" s="57">
        <v>1</v>
      </c>
    </row>
    <row r="165" spans="2:27" x14ac:dyDescent="0.2">
      <c r="B165" s="57" t="s">
        <v>3442</v>
      </c>
      <c r="C165" s="57">
        <v>1</v>
      </c>
      <c r="D165" s="57" t="s">
        <v>3658</v>
      </c>
      <c r="E165" s="102">
        <f>VLOOKUP(Z165,无限模式!$A$52:$X$71,(AA165-1)*5+4+4,FALSE)</f>
        <v>4602</v>
      </c>
      <c r="F165" s="57">
        <v>1</v>
      </c>
      <c r="G165" s="57">
        <v>0</v>
      </c>
      <c r="H165" s="57">
        <v>0</v>
      </c>
      <c r="I165" s="57">
        <v>0</v>
      </c>
      <c r="Z165" s="57">
        <v>10</v>
      </c>
      <c r="AA165" s="57">
        <v>2</v>
      </c>
    </row>
    <row r="166" spans="2:27" x14ac:dyDescent="0.2">
      <c r="B166" s="57" t="s">
        <v>3444</v>
      </c>
      <c r="C166" s="57">
        <v>1</v>
      </c>
      <c r="D166" s="57" t="s">
        <v>3658</v>
      </c>
      <c r="E166" s="102">
        <f>VLOOKUP(Z166,无限模式!$A$52:$X$71,(AA166-1)*5+4+4,FALSE)</f>
        <v>36688</v>
      </c>
      <c r="F166" s="57">
        <v>10</v>
      </c>
      <c r="G166" s="57">
        <v>0</v>
      </c>
      <c r="H166" s="57">
        <v>0</v>
      </c>
      <c r="I166" s="57">
        <v>0</v>
      </c>
      <c r="Z166" s="57">
        <v>11</v>
      </c>
      <c r="AA166" s="57">
        <v>1</v>
      </c>
    </row>
    <row r="167" spans="2:27" x14ac:dyDescent="0.2">
      <c r="B167" s="57" t="s">
        <v>3446</v>
      </c>
      <c r="C167" s="57">
        <v>1</v>
      </c>
      <c r="D167" s="57" t="s">
        <v>3658</v>
      </c>
      <c r="E167" s="102">
        <f>VLOOKUP(Z167,无限模式!$A$52:$X$71,(AA167-1)*5+4+4,FALSE)</f>
        <v>4586</v>
      </c>
      <c r="F167" s="57">
        <v>1</v>
      </c>
      <c r="G167" s="57">
        <v>0</v>
      </c>
      <c r="H167" s="57">
        <v>0</v>
      </c>
      <c r="I167" s="57">
        <v>0</v>
      </c>
      <c r="Z167" s="57">
        <v>11</v>
      </c>
      <c r="AA167" s="57">
        <v>2</v>
      </c>
    </row>
    <row r="168" spans="2:27" x14ac:dyDescent="0.2">
      <c r="B168" s="57" t="s">
        <v>3448</v>
      </c>
      <c r="C168" s="57">
        <v>1</v>
      </c>
      <c r="D168" s="57" t="s">
        <v>3658</v>
      </c>
      <c r="E168" s="102">
        <f>VLOOKUP(Z168,无限模式!$A$52:$X$71,(AA168-1)*5+4+4,FALSE)</f>
        <v>46656</v>
      </c>
      <c r="F168" s="57">
        <v>10</v>
      </c>
      <c r="G168" s="57">
        <v>0</v>
      </c>
      <c r="H168" s="57">
        <v>0</v>
      </c>
      <c r="I168" s="57">
        <v>0</v>
      </c>
      <c r="Z168" s="57">
        <v>12</v>
      </c>
      <c r="AA168" s="57">
        <v>1</v>
      </c>
    </row>
    <row r="169" spans="2:27" x14ac:dyDescent="0.2">
      <c r="B169" s="57" t="s">
        <v>3450</v>
      </c>
      <c r="C169" s="57">
        <v>1</v>
      </c>
      <c r="D169" s="57" t="s">
        <v>3658</v>
      </c>
      <c r="E169" s="102">
        <f>VLOOKUP(Z169,无限模式!$A$52:$X$71,(AA169-1)*5+4+4,FALSE)</f>
        <v>8748</v>
      </c>
      <c r="F169" s="57">
        <v>1</v>
      </c>
      <c r="G169" s="57">
        <v>0</v>
      </c>
      <c r="H169" s="57">
        <v>0</v>
      </c>
      <c r="I169" s="57">
        <v>0</v>
      </c>
      <c r="Z169" s="57">
        <v>12</v>
      </c>
      <c r="AA169" s="57">
        <v>2</v>
      </c>
    </row>
    <row r="170" spans="2:27" x14ac:dyDescent="0.2">
      <c r="B170" s="57" t="s">
        <v>3452</v>
      </c>
      <c r="C170" s="57">
        <v>1</v>
      </c>
      <c r="D170" s="57" t="s">
        <v>3658</v>
      </c>
      <c r="E170" s="102">
        <f>VLOOKUP(Z170,无限模式!$A$52:$X$71,(AA170-1)*5+4+4,FALSE)</f>
        <v>116640</v>
      </c>
      <c r="F170" s="57">
        <v>1</v>
      </c>
      <c r="G170" s="57">
        <v>0</v>
      </c>
      <c r="H170" s="57">
        <v>0</v>
      </c>
      <c r="I170" s="57">
        <v>0</v>
      </c>
      <c r="Z170" s="57">
        <v>12</v>
      </c>
      <c r="AA170" s="57">
        <v>3</v>
      </c>
    </row>
    <row r="171" spans="2:27" x14ac:dyDescent="0.2">
      <c r="B171" s="57" t="s">
        <v>3454</v>
      </c>
      <c r="C171" s="57">
        <v>1</v>
      </c>
      <c r="D171" s="57" t="s">
        <v>3658</v>
      </c>
      <c r="E171" s="102">
        <f>VLOOKUP(Z171,无限模式!$A$52:$X$71,(AA171-1)*5+4+4,FALSE)</f>
        <v>8775</v>
      </c>
      <c r="F171" s="57">
        <v>1</v>
      </c>
      <c r="G171" s="57">
        <v>0</v>
      </c>
      <c r="H171" s="57">
        <v>0</v>
      </c>
      <c r="I171" s="57">
        <v>0</v>
      </c>
      <c r="Z171" s="57">
        <v>13</v>
      </c>
      <c r="AA171" s="57">
        <v>1</v>
      </c>
    </row>
    <row r="172" spans="2:27" x14ac:dyDescent="0.2">
      <c r="B172" s="57" t="s">
        <v>3456</v>
      </c>
      <c r="C172" s="57">
        <v>1</v>
      </c>
      <c r="D172" s="57" t="s">
        <v>3658</v>
      </c>
      <c r="E172" s="102">
        <f>VLOOKUP(Z172,无限模式!$A$52:$X$71,(AA172-1)*5+4+4,FALSE)</f>
        <v>3065</v>
      </c>
      <c r="F172" s="57">
        <v>1</v>
      </c>
      <c r="G172" s="57">
        <v>0</v>
      </c>
      <c r="H172" s="57">
        <v>0</v>
      </c>
      <c r="I172" s="57">
        <v>0</v>
      </c>
      <c r="Z172" s="57">
        <v>14</v>
      </c>
      <c r="AA172" s="57">
        <v>1</v>
      </c>
    </row>
    <row r="173" spans="2:27" x14ac:dyDescent="0.2">
      <c r="B173" s="57" t="s">
        <v>3458</v>
      </c>
      <c r="C173" s="57">
        <v>1</v>
      </c>
      <c r="D173" s="57" t="s">
        <v>3658</v>
      </c>
      <c r="E173" s="102">
        <f>VLOOKUP(Z173,无限模式!$A$52:$X$71,(AA173-1)*5+4+4,FALSE)</f>
        <v>49038</v>
      </c>
      <c r="F173" s="57">
        <v>10</v>
      </c>
      <c r="G173" s="57">
        <v>0</v>
      </c>
      <c r="H173" s="57">
        <v>0</v>
      </c>
      <c r="I173" s="57">
        <v>0</v>
      </c>
      <c r="Z173" s="57">
        <v>14</v>
      </c>
      <c r="AA173" s="57">
        <v>2</v>
      </c>
    </row>
    <row r="174" spans="2:27" x14ac:dyDescent="0.2">
      <c r="B174" s="57" t="s">
        <v>3460</v>
      </c>
      <c r="C174" s="57">
        <v>1</v>
      </c>
      <c r="D174" s="57" t="s">
        <v>3658</v>
      </c>
      <c r="E174" s="102">
        <f>VLOOKUP(Z174,无限模式!$A$52:$X$71,(AA174-1)*5+4+4,FALSE)</f>
        <v>4556</v>
      </c>
      <c r="F174" s="57">
        <v>1</v>
      </c>
      <c r="G174" s="57">
        <v>0</v>
      </c>
      <c r="H174" s="57">
        <v>0</v>
      </c>
      <c r="I174" s="57">
        <v>0</v>
      </c>
      <c r="Z174" s="57">
        <v>15</v>
      </c>
      <c r="AA174" s="57">
        <v>1</v>
      </c>
    </row>
    <row r="175" spans="2:27" x14ac:dyDescent="0.2">
      <c r="B175" s="57" t="s">
        <v>3462</v>
      </c>
      <c r="C175" s="57">
        <v>1</v>
      </c>
      <c r="D175" s="57" t="s">
        <v>3658</v>
      </c>
      <c r="E175" s="102">
        <f>VLOOKUP(Z175,无限模式!$A$52:$X$71,(AA175-1)*5+4+4,FALSE)</f>
        <v>27338</v>
      </c>
      <c r="F175" s="57">
        <v>1</v>
      </c>
      <c r="G175" s="57">
        <v>0</v>
      </c>
      <c r="H175" s="57">
        <v>0</v>
      </c>
      <c r="I175" s="57">
        <v>0</v>
      </c>
      <c r="Z175" s="57">
        <v>15</v>
      </c>
      <c r="AA175" s="57">
        <v>2</v>
      </c>
    </row>
    <row r="176" spans="2:27" x14ac:dyDescent="0.2">
      <c r="B176" s="57" t="s">
        <v>3464</v>
      </c>
      <c r="C176" s="57">
        <v>1</v>
      </c>
      <c r="D176" s="57" t="s">
        <v>3658</v>
      </c>
      <c r="E176" s="102">
        <f>VLOOKUP(Z176,无限模式!$A$52:$X$71,(AA176-1)*5+4+4,FALSE)</f>
        <v>91482</v>
      </c>
      <c r="F176" s="57">
        <v>10</v>
      </c>
      <c r="G176" s="57">
        <v>0</v>
      </c>
      <c r="H176" s="57">
        <v>0</v>
      </c>
      <c r="I176" s="57">
        <v>0</v>
      </c>
      <c r="Z176" s="57">
        <v>16</v>
      </c>
      <c r="AA176" s="57">
        <v>1</v>
      </c>
    </row>
    <row r="177" spans="2:27" x14ac:dyDescent="0.2">
      <c r="B177" s="57" t="s">
        <v>3466</v>
      </c>
      <c r="C177" s="57">
        <v>1</v>
      </c>
      <c r="D177" s="57" t="s">
        <v>3658</v>
      </c>
      <c r="E177" s="102">
        <f>VLOOKUP(Z177,无限模式!$A$52:$X$71,(AA177-1)*5+4+4,FALSE)</f>
        <v>228706</v>
      </c>
      <c r="F177" s="57">
        <v>1</v>
      </c>
      <c r="G177" s="57">
        <v>0</v>
      </c>
      <c r="H177" s="57">
        <v>0</v>
      </c>
      <c r="I177" s="57">
        <v>0</v>
      </c>
      <c r="Z177" s="57">
        <v>16</v>
      </c>
      <c r="AA177" s="57">
        <v>2</v>
      </c>
    </row>
    <row r="178" spans="2:27" x14ac:dyDescent="0.2">
      <c r="B178" s="57" t="s">
        <v>3468</v>
      </c>
      <c r="C178" s="57">
        <v>1</v>
      </c>
      <c r="D178" s="57" t="s">
        <v>3658</v>
      </c>
      <c r="E178" s="102">
        <f>VLOOKUP(Z178,无限模式!$A$52:$X$71,(AA178-1)*5+4+4,FALSE)</f>
        <v>110160</v>
      </c>
      <c r="F178" s="57">
        <v>20</v>
      </c>
      <c r="G178" s="57">
        <v>0</v>
      </c>
      <c r="H178" s="57">
        <v>0</v>
      </c>
      <c r="I178" s="57">
        <v>0</v>
      </c>
      <c r="Z178" s="57">
        <v>17</v>
      </c>
      <c r="AA178" s="57">
        <v>1</v>
      </c>
    </row>
    <row r="179" spans="2:27" x14ac:dyDescent="0.2">
      <c r="B179" s="57" t="s">
        <v>3470</v>
      </c>
      <c r="C179" s="57">
        <v>1</v>
      </c>
      <c r="D179" s="57" t="s">
        <v>3658</v>
      </c>
      <c r="E179" s="102">
        <f>VLOOKUP(Z179,无限模式!$A$52:$X$71,(AA179-1)*5+4+4,FALSE)</f>
        <v>27540</v>
      </c>
      <c r="F179" s="57">
        <v>1</v>
      </c>
      <c r="G179" s="57">
        <v>0</v>
      </c>
      <c r="H179" s="57">
        <v>0</v>
      </c>
      <c r="I179" s="57">
        <v>0</v>
      </c>
      <c r="Z179" s="57">
        <v>17</v>
      </c>
      <c r="AA179" s="57">
        <v>2</v>
      </c>
    </row>
    <row r="180" spans="2:27" x14ac:dyDescent="0.2">
      <c r="B180" s="57" t="s">
        <v>3472</v>
      </c>
      <c r="C180" s="57">
        <v>1</v>
      </c>
      <c r="D180" s="57" t="s">
        <v>3658</v>
      </c>
      <c r="E180" s="102">
        <f>VLOOKUP(Z180,无限模式!$A$52:$X$71,(AA180-1)*5+4+4,FALSE)</f>
        <v>22275</v>
      </c>
      <c r="F180" s="57">
        <v>1</v>
      </c>
      <c r="G180" s="57">
        <v>0</v>
      </c>
      <c r="H180" s="57">
        <v>0</v>
      </c>
      <c r="I180" s="57">
        <v>0</v>
      </c>
      <c r="Z180" s="57">
        <v>18</v>
      </c>
      <c r="AA180" s="57">
        <v>1</v>
      </c>
    </row>
    <row r="181" spans="2:27" x14ac:dyDescent="0.2">
      <c r="B181" s="57" t="s">
        <v>3474</v>
      </c>
      <c r="C181" s="57">
        <v>1</v>
      </c>
      <c r="D181" s="57" t="s">
        <v>3658</v>
      </c>
      <c r="E181" s="102">
        <f>VLOOKUP(Z181,无限模式!$A$52:$X$71,(AA181-1)*5+4+4,FALSE)</f>
        <v>11138</v>
      </c>
      <c r="F181" s="57">
        <v>1</v>
      </c>
      <c r="G181" s="57">
        <v>0</v>
      </c>
      <c r="H181" s="57">
        <v>0</v>
      </c>
      <c r="I181" s="57">
        <v>0</v>
      </c>
      <c r="Z181" s="57">
        <v>18</v>
      </c>
      <c r="AA181" s="57">
        <v>2</v>
      </c>
    </row>
    <row r="182" spans="2:27" x14ac:dyDescent="0.2">
      <c r="B182" s="57" t="s">
        <v>3476</v>
      </c>
      <c r="C182" s="57">
        <v>1</v>
      </c>
      <c r="D182" s="57" t="s">
        <v>3658</v>
      </c>
      <c r="E182" s="102">
        <f>VLOOKUP(Z182,无限模式!$A$52:$X$71,(AA182-1)*5+4+4,FALSE)</f>
        <v>23085</v>
      </c>
      <c r="F182" s="57">
        <v>1</v>
      </c>
      <c r="G182" s="57">
        <v>0</v>
      </c>
      <c r="H182" s="57">
        <v>0</v>
      </c>
      <c r="I182" s="57">
        <v>0</v>
      </c>
      <c r="Z182" s="57">
        <v>19</v>
      </c>
      <c r="AA182" s="57">
        <v>1</v>
      </c>
    </row>
    <row r="183" spans="2:27" x14ac:dyDescent="0.2">
      <c r="B183" s="57" t="s">
        <v>3478</v>
      </c>
      <c r="C183" s="57">
        <v>1</v>
      </c>
      <c r="D183" s="57" t="s">
        <v>3658</v>
      </c>
      <c r="E183" s="102">
        <f>VLOOKUP(Z183,无限模式!$A$52:$X$71,(AA183-1)*5+4+4,FALSE)</f>
        <v>92340</v>
      </c>
      <c r="F183" s="57">
        <v>20</v>
      </c>
      <c r="G183" s="57">
        <v>0</v>
      </c>
      <c r="H183" s="57">
        <v>0</v>
      </c>
      <c r="I183" s="57">
        <v>0</v>
      </c>
      <c r="Z183" s="57">
        <v>19</v>
      </c>
      <c r="AA183" s="57">
        <v>2</v>
      </c>
    </row>
    <row r="184" spans="2:27" x14ac:dyDescent="0.2">
      <c r="B184" s="57" t="s">
        <v>3480</v>
      </c>
      <c r="C184" s="57">
        <v>1</v>
      </c>
      <c r="D184" s="57" t="s">
        <v>3658</v>
      </c>
      <c r="E184" s="102">
        <f>VLOOKUP(Z184,无限模式!$A$52:$X$71,(AA184-1)*5+4+4,FALSE)</f>
        <v>34628</v>
      </c>
      <c r="F184" s="57">
        <v>1</v>
      </c>
      <c r="G184" s="57">
        <v>0</v>
      </c>
      <c r="H184" s="57">
        <v>0</v>
      </c>
      <c r="I184" s="57">
        <v>0</v>
      </c>
      <c r="Z184" s="57">
        <v>19</v>
      </c>
      <c r="AA184" s="57">
        <v>3</v>
      </c>
    </row>
    <row r="185" spans="2:27" x14ac:dyDescent="0.2">
      <c r="B185" s="57" t="s">
        <v>3482</v>
      </c>
      <c r="C185" s="57">
        <v>1</v>
      </c>
      <c r="D185" s="57" t="s">
        <v>3658</v>
      </c>
      <c r="E185" s="102">
        <f>VLOOKUP(Z185,无限模式!$A$52:$X$71,(AA185-1)*5+4+4,FALSE)</f>
        <v>240594</v>
      </c>
      <c r="F185" s="57">
        <v>1</v>
      </c>
      <c r="G185" s="57">
        <v>0</v>
      </c>
      <c r="H185" s="57">
        <v>0</v>
      </c>
      <c r="I185" s="57">
        <v>0</v>
      </c>
      <c r="Z185" s="57">
        <v>20</v>
      </c>
      <c r="AA185" s="57">
        <v>1</v>
      </c>
    </row>
    <row r="186" spans="2:27" x14ac:dyDescent="0.2">
      <c r="B186" s="57" t="s">
        <v>3484</v>
      </c>
      <c r="C186" s="57">
        <v>1</v>
      </c>
      <c r="D186" s="57" t="s">
        <v>3658</v>
      </c>
      <c r="E186" s="102">
        <f>VLOOKUP(Z186,无限模式!$A$52:$X$71,(AA186-1)*5+4+4,FALSE)</f>
        <v>12030</v>
      </c>
      <c r="F186" s="57">
        <v>1</v>
      </c>
      <c r="G186" s="57">
        <v>0</v>
      </c>
      <c r="H186" s="57">
        <v>0</v>
      </c>
      <c r="I186" s="57">
        <v>0</v>
      </c>
      <c r="Z186" s="57">
        <v>20</v>
      </c>
      <c r="AA186" s="57">
        <v>2</v>
      </c>
    </row>
    <row r="187" spans="2:27" x14ac:dyDescent="0.2">
      <c r="B187" s="57" t="s">
        <v>3486</v>
      </c>
      <c r="C187" s="57">
        <v>1</v>
      </c>
      <c r="D187" s="57" t="s">
        <v>3658</v>
      </c>
      <c r="E187" s="102">
        <f>VLOOKUP(Z187,无限模式!$A$52:$X$71,(AA187-1)*5+4+4,FALSE)</f>
        <v>36089</v>
      </c>
      <c r="F187" s="57">
        <v>1</v>
      </c>
      <c r="G187" s="57">
        <v>0</v>
      </c>
      <c r="H187" s="57">
        <v>0</v>
      </c>
      <c r="I187" s="57">
        <v>0</v>
      </c>
      <c r="Z187" s="57">
        <v>20</v>
      </c>
      <c r="AA187" s="57">
        <v>3</v>
      </c>
    </row>
    <row r="188" spans="2:27" x14ac:dyDescent="0.2">
      <c r="B188" s="57" t="s">
        <v>3488</v>
      </c>
      <c r="C188" s="57">
        <v>1</v>
      </c>
      <c r="D188" s="57" t="s">
        <v>3658</v>
      </c>
      <c r="E188" s="102">
        <f>VLOOKUP(Z188,无限模式!$A$52:$X$71,(AA188-1)*5+4+4,FALSE)</f>
        <v>96238</v>
      </c>
      <c r="F188" s="57">
        <v>20</v>
      </c>
      <c r="G188" s="57">
        <v>0</v>
      </c>
      <c r="H188" s="57">
        <v>0</v>
      </c>
      <c r="I188" s="57">
        <v>0</v>
      </c>
      <c r="Z188" s="57">
        <v>20</v>
      </c>
      <c r="AA188" s="57">
        <v>4</v>
      </c>
    </row>
    <row r="189" spans="2:27" s="166" customFormat="1" x14ac:dyDescent="0.2"/>
    <row r="190" spans="2:27" x14ac:dyDescent="0.2">
      <c r="B190" s="57" t="s">
        <v>3490</v>
      </c>
      <c r="C190" s="57">
        <v>1</v>
      </c>
      <c r="D190" s="57" t="s">
        <v>3659</v>
      </c>
      <c r="E190" s="102">
        <f>VLOOKUP(Z190,无限模式!$A$76:$X$95,(AA190-1)*5+4+4,FALSE)</f>
        <v>482</v>
      </c>
      <c r="F190" s="57">
        <v>1</v>
      </c>
      <c r="G190" s="57">
        <v>0</v>
      </c>
      <c r="H190" s="57">
        <v>0</v>
      </c>
      <c r="I190" s="57">
        <v>0</v>
      </c>
      <c r="Z190" s="57">
        <v>1</v>
      </c>
      <c r="AA190" s="57">
        <v>1</v>
      </c>
    </row>
    <row r="191" spans="2:27" x14ac:dyDescent="0.2">
      <c r="B191" s="57" t="s">
        <v>3492</v>
      </c>
      <c r="C191" s="57">
        <v>1</v>
      </c>
      <c r="D191" s="57" t="s">
        <v>3659</v>
      </c>
      <c r="E191" s="102">
        <f>VLOOKUP(Z191,无限模式!$A$76:$X$95,(AA191-1)*5+4+4,FALSE)</f>
        <v>113</v>
      </c>
      <c r="F191" s="57">
        <v>1</v>
      </c>
      <c r="G191" s="57">
        <v>0</v>
      </c>
      <c r="H191" s="57">
        <v>0</v>
      </c>
      <c r="I191" s="57">
        <v>0</v>
      </c>
      <c r="Z191" s="57">
        <v>2</v>
      </c>
      <c r="AA191" s="57">
        <v>1</v>
      </c>
    </row>
    <row r="192" spans="2:27" x14ac:dyDescent="0.2">
      <c r="B192" s="57" t="s">
        <v>3494</v>
      </c>
      <c r="C192" s="57">
        <v>1</v>
      </c>
      <c r="D192" s="57" t="s">
        <v>3659</v>
      </c>
      <c r="E192" s="102">
        <f>VLOOKUP(Z192,无限模式!$A$76:$X$95,(AA192-1)*5+4+4,FALSE)</f>
        <v>2265</v>
      </c>
      <c r="F192" s="57">
        <v>1</v>
      </c>
      <c r="G192" s="57">
        <v>0</v>
      </c>
      <c r="H192" s="57">
        <v>0</v>
      </c>
      <c r="I192" s="57">
        <v>0</v>
      </c>
      <c r="Z192" s="57">
        <v>2</v>
      </c>
      <c r="AA192" s="57">
        <v>2</v>
      </c>
    </row>
    <row r="193" spans="2:27" x14ac:dyDescent="0.2">
      <c r="B193" s="57" t="s">
        <v>3496</v>
      </c>
      <c r="C193" s="57">
        <v>1</v>
      </c>
      <c r="D193" s="57" t="s">
        <v>3659</v>
      </c>
      <c r="E193" s="102">
        <f>VLOOKUP(Z193,无限模式!$A$76:$X$95,(AA193-1)*5+4+4,FALSE)</f>
        <v>3866</v>
      </c>
      <c r="F193" s="57">
        <v>1</v>
      </c>
      <c r="G193" s="57">
        <v>0</v>
      </c>
      <c r="H193" s="57">
        <v>0</v>
      </c>
      <c r="I193" s="57">
        <v>0</v>
      </c>
      <c r="Z193" s="57">
        <v>3</v>
      </c>
      <c r="AA193" s="57">
        <v>1</v>
      </c>
    </row>
    <row r="194" spans="2:27" x14ac:dyDescent="0.2">
      <c r="B194" s="57" t="s">
        <v>3498</v>
      </c>
      <c r="C194" s="57">
        <v>1</v>
      </c>
      <c r="D194" s="57" t="s">
        <v>3659</v>
      </c>
      <c r="E194" s="102">
        <f>VLOOKUP(Z194,无限模式!$A$76:$X$95,(AA194-1)*5+4+4,FALSE)</f>
        <v>193</v>
      </c>
      <c r="F194" s="57">
        <v>1</v>
      </c>
      <c r="G194" s="57">
        <v>0</v>
      </c>
      <c r="H194" s="57">
        <v>0</v>
      </c>
      <c r="I194" s="57">
        <v>0</v>
      </c>
      <c r="Z194" s="57">
        <v>3</v>
      </c>
      <c r="AA194" s="57">
        <v>2</v>
      </c>
    </row>
    <row r="195" spans="2:27" x14ac:dyDescent="0.2">
      <c r="B195" s="57" t="s">
        <v>3500</v>
      </c>
      <c r="C195" s="57">
        <v>1</v>
      </c>
      <c r="D195" s="57" t="s">
        <v>3659</v>
      </c>
      <c r="E195" s="102">
        <f>VLOOKUP(Z195,无限模式!$A$76:$X$95,(AA195-1)*5+4+4,FALSE)</f>
        <v>32400</v>
      </c>
      <c r="F195" s="57">
        <v>1</v>
      </c>
      <c r="G195" s="57">
        <v>0</v>
      </c>
      <c r="H195" s="57">
        <v>0</v>
      </c>
      <c r="I195" s="57">
        <v>0</v>
      </c>
      <c r="Z195" s="57">
        <v>4</v>
      </c>
      <c r="AA195" s="57">
        <v>1</v>
      </c>
    </row>
    <row r="196" spans="2:27" x14ac:dyDescent="0.2">
      <c r="B196" s="57" t="s">
        <v>3502</v>
      </c>
      <c r="C196" s="57">
        <v>1</v>
      </c>
      <c r="D196" s="57" t="s">
        <v>3659</v>
      </c>
      <c r="E196" s="102">
        <f>VLOOKUP(Z196,无限模式!$A$76:$X$95,(AA196-1)*5+4+4,FALSE)</f>
        <v>8100</v>
      </c>
      <c r="F196" s="57">
        <v>1</v>
      </c>
      <c r="G196" s="57">
        <v>0</v>
      </c>
      <c r="H196" s="57">
        <v>0</v>
      </c>
      <c r="I196" s="57">
        <v>0</v>
      </c>
      <c r="Z196" s="57">
        <v>4</v>
      </c>
      <c r="AA196" s="57">
        <v>2</v>
      </c>
    </row>
    <row r="197" spans="2:27" x14ac:dyDescent="0.2">
      <c r="B197" s="57" t="s">
        <v>3504</v>
      </c>
      <c r="C197" s="57">
        <v>1</v>
      </c>
      <c r="D197" s="57" t="s">
        <v>3659</v>
      </c>
      <c r="E197" s="102">
        <f>VLOOKUP(Z197,无限模式!$A$76:$X$95,(AA197-1)*5+4+4,FALSE)</f>
        <v>6575</v>
      </c>
      <c r="F197" s="57">
        <v>1</v>
      </c>
      <c r="G197" s="57">
        <v>0</v>
      </c>
      <c r="H197" s="57">
        <v>0</v>
      </c>
      <c r="I197" s="57">
        <v>0</v>
      </c>
      <c r="Z197" s="57">
        <v>5</v>
      </c>
      <c r="AA197" s="57">
        <v>1</v>
      </c>
    </row>
    <row r="198" spans="2:27" x14ac:dyDescent="0.2">
      <c r="B198" s="57" t="s">
        <v>3506</v>
      </c>
      <c r="C198" s="57">
        <v>1</v>
      </c>
      <c r="D198" s="57" t="s">
        <v>3659</v>
      </c>
      <c r="E198" s="102">
        <f>VLOOKUP(Z198,无限模式!$A$76:$X$95,(AA198-1)*5+4+4,FALSE)</f>
        <v>657</v>
      </c>
      <c r="F198" s="57">
        <v>1</v>
      </c>
      <c r="G198" s="57">
        <v>0</v>
      </c>
      <c r="H198" s="57">
        <v>0</v>
      </c>
      <c r="I198" s="57">
        <v>0</v>
      </c>
      <c r="Z198" s="57">
        <v>5</v>
      </c>
      <c r="AA198" s="57">
        <v>2</v>
      </c>
    </row>
    <row r="199" spans="2:27" x14ac:dyDescent="0.2">
      <c r="B199" s="57" t="s">
        <v>3508</v>
      </c>
      <c r="C199" s="57">
        <v>1</v>
      </c>
      <c r="D199" s="57" t="s">
        <v>3659</v>
      </c>
      <c r="E199" s="102">
        <f>VLOOKUP(Z199,无限模式!$A$76:$X$95,(AA199-1)*5+4+4,FALSE)</f>
        <v>2132</v>
      </c>
      <c r="F199" s="57">
        <v>1</v>
      </c>
      <c r="G199" s="57">
        <v>0</v>
      </c>
      <c r="H199" s="57">
        <v>0</v>
      </c>
      <c r="I199" s="57">
        <v>0</v>
      </c>
      <c r="Z199" s="57">
        <v>6</v>
      </c>
      <c r="AA199" s="57">
        <v>1</v>
      </c>
    </row>
    <row r="200" spans="2:27" x14ac:dyDescent="0.2">
      <c r="B200" s="57" t="s">
        <v>3510</v>
      </c>
      <c r="C200" s="57">
        <v>1</v>
      </c>
      <c r="D200" s="57" t="s">
        <v>3659</v>
      </c>
      <c r="E200" s="102">
        <f>VLOOKUP(Z200,无限模式!$A$76:$X$95,(AA200-1)*5+4+4,FALSE)</f>
        <v>10658</v>
      </c>
      <c r="F200" s="57">
        <v>1</v>
      </c>
      <c r="G200" s="57">
        <v>0</v>
      </c>
      <c r="H200" s="57">
        <v>0</v>
      </c>
      <c r="I200" s="57">
        <v>0</v>
      </c>
      <c r="Z200" s="57">
        <v>6</v>
      </c>
      <c r="AA200" s="57">
        <v>2</v>
      </c>
    </row>
    <row r="201" spans="2:27" x14ac:dyDescent="0.2">
      <c r="B201" s="57" t="s">
        <v>3512</v>
      </c>
      <c r="C201" s="57">
        <v>1</v>
      </c>
      <c r="D201" s="57" t="s">
        <v>3659</v>
      </c>
      <c r="E201" s="102">
        <f>VLOOKUP(Z201,无限模式!$A$76:$X$95,(AA201-1)*5+4+4,FALSE)</f>
        <v>14766</v>
      </c>
      <c r="F201" s="57">
        <v>1</v>
      </c>
      <c r="G201" s="57">
        <v>0</v>
      </c>
      <c r="H201" s="57">
        <v>0</v>
      </c>
      <c r="I201" s="57">
        <v>0</v>
      </c>
      <c r="Z201" s="57">
        <v>7</v>
      </c>
      <c r="AA201" s="57">
        <v>1</v>
      </c>
    </row>
    <row r="202" spans="2:27" x14ac:dyDescent="0.2">
      <c r="B202" s="57" t="s">
        <v>3514</v>
      </c>
      <c r="C202" s="57">
        <v>1</v>
      </c>
      <c r="D202" s="57" t="s">
        <v>3659</v>
      </c>
      <c r="E202" s="102">
        <f>VLOOKUP(Z202,无限模式!$A$76:$X$95,(AA202-1)*5+4+4,FALSE)</f>
        <v>1477</v>
      </c>
      <c r="F202" s="57">
        <v>1</v>
      </c>
      <c r="G202" s="57">
        <v>0</v>
      </c>
      <c r="H202" s="57">
        <v>0</v>
      </c>
      <c r="I202" s="57">
        <v>0</v>
      </c>
      <c r="Z202" s="57">
        <v>7</v>
      </c>
      <c r="AA202" s="57">
        <v>2</v>
      </c>
    </row>
    <row r="203" spans="2:27" x14ac:dyDescent="0.2">
      <c r="B203" s="57" t="s">
        <v>3516</v>
      </c>
      <c r="C203" s="57">
        <v>1</v>
      </c>
      <c r="D203" s="57" t="s">
        <v>3659</v>
      </c>
      <c r="E203" s="102">
        <f>VLOOKUP(Z203,无限模式!$A$76:$X$95,(AA203-1)*5+4+4,FALSE)</f>
        <v>22737</v>
      </c>
      <c r="F203" s="57">
        <v>1</v>
      </c>
      <c r="G203" s="57">
        <v>0</v>
      </c>
      <c r="H203" s="57">
        <v>0</v>
      </c>
      <c r="I203" s="57">
        <v>0</v>
      </c>
      <c r="Z203" s="57">
        <v>8</v>
      </c>
      <c r="AA203" s="57">
        <v>1</v>
      </c>
    </row>
    <row r="204" spans="2:27" x14ac:dyDescent="0.2">
      <c r="B204" s="57" t="s">
        <v>3518</v>
      </c>
      <c r="C204" s="57">
        <v>1</v>
      </c>
      <c r="D204" s="57" t="s">
        <v>3659</v>
      </c>
      <c r="E204" s="102">
        <f>VLOOKUP(Z204,无限模式!$A$76:$X$95,(AA204-1)*5+4+4,FALSE)</f>
        <v>45474</v>
      </c>
      <c r="F204" s="57">
        <v>1</v>
      </c>
      <c r="G204" s="57">
        <v>0</v>
      </c>
      <c r="H204" s="57">
        <v>0</v>
      </c>
      <c r="I204" s="57">
        <v>0</v>
      </c>
      <c r="Z204" s="57">
        <v>8</v>
      </c>
      <c r="AA204" s="57">
        <v>2</v>
      </c>
    </row>
    <row r="205" spans="2:27" x14ac:dyDescent="0.2">
      <c r="B205" s="57" t="s">
        <v>3520</v>
      </c>
      <c r="C205" s="57">
        <v>1</v>
      </c>
      <c r="D205" s="57" t="s">
        <v>3659</v>
      </c>
      <c r="E205" s="102">
        <f>VLOOKUP(Z205,无限模式!$A$76:$X$95,(AA205-1)*5+4+4,FALSE)</f>
        <v>18837</v>
      </c>
      <c r="F205" s="57">
        <v>1</v>
      </c>
      <c r="G205" s="57">
        <v>0</v>
      </c>
      <c r="H205" s="57">
        <v>0</v>
      </c>
      <c r="I205" s="57">
        <v>0</v>
      </c>
      <c r="Z205" s="57">
        <v>9</v>
      </c>
      <c r="AA205" s="57">
        <v>1</v>
      </c>
    </row>
    <row r="206" spans="2:27" x14ac:dyDescent="0.2">
      <c r="B206" s="57" t="s">
        <v>3522</v>
      </c>
      <c r="C206" s="57">
        <v>1</v>
      </c>
      <c r="D206" s="57" t="s">
        <v>3659</v>
      </c>
      <c r="E206" s="102">
        <f>VLOOKUP(Z206,无限模式!$A$76:$X$95,(AA206-1)*5+4+4,FALSE)</f>
        <v>2826</v>
      </c>
      <c r="F206" s="57">
        <v>1</v>
      </c>
      <c r="G206" s="57">
        <v>0</v>
      </c>
      <c r="H206" s="57">
        <v>0</v>
      </c>
      <c r="I206" s="57">
        <v>0</v>
      </c>
      <c r="Z206" s="57">
        <v>9</v>
      </c>
      <c r="AA206" s="57">
        <v>2</v>
      </c>
    </row>
    <row r="207" spans="2:27" x14ac:dyDescent="0.2">
      <c r="B207" s="57" t="s">
        <v>3524</v>
      </c>
      <c r="C207" s="57">
        <v>1</v>
      </c>
      <c r="D207" s="57" t="s">
        <v>3659</v>
      </c>
      <c r="E207" s="102">
        <f>VLOOKUP(Z207,无限模式!$A$76:$X$95,(AA207-1)*5+4+4,FALSE)</f>
        <v>25440</v>
      </c>
      <c r="F207" s="57">
        <v>1</v>
      </c>
      <c r="G207" s="57">
        <v>0</v>
      </c>
      <c r="H207" s="57">
        <v>0</v>
      </c>
      <c r="I207" s="57">
        <v>0</v>
      </c>
      <c r="Z207" s="57">
        <v>10</v>
      </c>
      <c r="AA207" s="57">
        <v>1</v>
      </c>
    </row>
    <row r="208" spans="2:27" x14ac:dyDescent="0.2">
      <c r="B208" s="57" t="s">
        <v>3526</v>
      </c>
      <c r="C208" s="57">
        <v>1</v>
      </c>
      <c r="D208" s="57" t="s">
        <v>3659</v>
      </c>
      <c r="E208" s="102">
        <f>VLOOKUP(Z208,无限模式!$A$76:$X$95,(AA208-1)*5+4+4,FALSE)</f>
        <v>3816</v>
      </c>
      <c r="F208" s="57">
        <v>1</v>
      </c>
      <c r="G208" s="57">
        <v>0</v>
      </c>
      <c r="H208" s="57">
        <v>0</v>
      </c>
      <c r="I208" s="57">
        <v>0</v>
      </c>
      <c r="Z208" s="57">
        <v>10</v>
      </c>
      <c r="AA208" s="57">
        <v>2</v>
      </c>
    </row>
    <row r="209" spans="2:27" x14ac:dyDescent="0.2">
      <c r="B209" s="57" t="s">
        <v>3528</v>
      </c>
      <c r="C209" s="57">
        <v>1</v>
      </c>
      <c r="D209" s="57" t="s">
        <v>3659</v>
      </c>
      <c r="E209" s="102">
        <f>VLOOKUP(Z209,无限模式!$A$76:$X$95,(AA209-1)*5+4+4,FALSE)</f>
        <v>35357</v>
      </c>
      <c r="F209" s="57">
        <v>1</v>
      </c>
      <c r="G209" s="57">
        <v>0</v>
      </c>
      <c r="H209" s="57">
        <v>0</v>
      </c>
      <c r="I209" s="57">
        <v>0</v>
      </c>
      <c r="Z209" s="57">
        <v>11</v>
      </c>
      <c r="AA209" s="57">
        <v>1</v>
      </c>
    </row>
    <row r="210" spans="2:27" x14ac:dyDescent="0.2">
      <c r="B210" s="57" t="s">
        <v>3530</v>
      </c>
      <c r="C210" s="57">
        <v>1</v>
      </c>
      <c r="D210" s="57" t="s">
        <v>3659</v>
      </c>
      <c r="E210" s="102">
        <f>VLOOKUP(Z210,无限模式!$A$76:$X$95,(AA210-1)*5+4+4,FALSE)</f>
        <v>3536</v>
      </c>
      <c r="F210" s="57">
        <v>1</v>
      </c>
      <c r="G210" s="57">
        <v>0</v>
      </c>
      <c r="H210" s="57">
        <v>0</v>
      </c>
      <c r="I210" s="57">
        <v>0</v>
      </c>
      <c r="Z210" s="57">
        <v>11</v>
      </c>
      <c r="AA210" s="57">
        <v>2</v>
      </c>
    </row>
    <row r="211" spans="2:27" x14ac:dyDescent="0.2">
      <c r="B211" s="57" t="s">
        <v>3532</v>
      </c>
      <c r="C211" s="57">
        <v>1</v>
      </c>
      <c r="D211" s="57" t="s">
        <v>3659</v>
      </c>
      <c r="E211" s="102">
        <f>VLOOKUP(Z211,无限模式!$A$76:$X$95,(AA211-1)*5+4+4,FALSE)</f>
        <v>50520</v>
      </c>
      <c r="F211" s="57">
        <v>1</v>
      </c>
      <c r="G211" s="57">
        <v>0</v>
      </c>
      <c r="H211" s="57">
        <v>0</v>
      </c>
      <c r="I211" s="57">
        <v>0</v>
      </c>
      <c r="Z211" s="57">
        <v>12</v>
      </c>
      <c r="AA211" s="57">
        <v>1</v>
      </c>
    </row>
    <row r="212" spans="2:27" x14ac:dyDescent="0.2">
      <c r="B212" s="57" t="s">
        <v>3534</v>
      </c>
      <c r="C212" s="57">
        <v>1</v>
      </c>
      <c r="D212" s="57" t="s">
        <v>3659</v>
      </c>
      <c r="E212" s="102">
        <f>VLOOKUP(Z212,无限模式!$A$76:$X$95,(AA212-1)*5+4+4,FALSE)</f>
        <v>7578</v>
      </c>
      <c r="F212" s="57">
        <v>1</v>
      </c>
      <c r="G212" s="57">
        <v>0</v>
      </c>
      <c r="H212" s="57">
        <v>0</v>
      </c>
      <c r="I212" s="57">
        <v>0</v>
      </c>
      <c r="Z212" s="57">
        <v>12</v>
      </c>
      <c r="AA212" s="57">
        <v>2</v>
      </c>
    </row>
    <row r="213" spans="2:27" x14ac:dyDescent="0.2">
      <c r="B213" s="57" t="s">
        <v>3536</v>
      </c>
      <c r="C213" s="57">
        <v>1</v>
      </c>
      <c r="D213" s="57" t="s">
        <v>3659</v>
      </c>
      <c r="E213" s="102">
        <f>VLOOKUP(Z213,无限模式!$A$76:$X$95,(AA213-1)*5+4+4,FALSE)</f>
        <v>101040</v>
      </c>
      <c r="F213" s="57">
        <v>1</v>
      </c>
      <c r="G213" s="57">
        <v>0</v>
      </c>
      <c r="H213" s="57">
        <v>0</v>
      </c>
      <c r="I213" s="57">
        <v>0</v>
      </c>
      <c r="Z213" s="57">
        <v>12</v>
      </c>
      <c r="AA213" s="57">
        <v>3</v>
      </c>
    </row>
    <row r="214" spans="2:27" x14ac:dyDescent="0.2">
      <c r="B214" s="57" t="s">
        <v>3538</v>
      </c>
      <c r="C214" s="57">
        <v>1</v>
      </c>
      <c r="D214" s="57" t="s">
        <v>3659</v>
      </c>
      <c r="E214" s="102">
        <f>VLOOKUP(Z214,无限模式!$A$76:$X$95,(AA214-1)*5+4+4,FALSE)</f>
        <v>29250</v>
      </c>
      <c r="F214" s="57">
        <v>1</v>
      </c>
      <c r="G214" s="57">
        <v>0</v>
      </c>
      <c r="H214" s="57">
        <v>0</v>
      </c>
      <c r="I214" s="57">
        <v>0</v>
      </c>
      <c r="Z214" s="57">
        <v>13</v>
      </c>
      <c r="AA214" s="57">
        <v>1</v>
      </c>
    </row>
    <row r="215" spans="2:27" x14ac:dyDescent="0.2">
      <c r="B215" s="57" t="s">
        <v>3540</v>
      </c>
      <c r="C215" s="57">
        <v>1</v>
      </c>
      <c r="D215" s="57" t="s">
        <v>3659</v>
      </c>
      <c r="E215" s="102">
        <f>VLOOKUP(Z215,无限模式!$A$76:$X$95,(AA215-1)*5+4+4,FALSE)</f>
        <v>3600</v>
      </c>
      <c r="F215" s="57">
        <v>1</v>
      </c>
      <c r="G215" s="57">
        <v>0</v>
      </c>
      <c r="H215" s="57">
        <v>0</v>
      </c>
      <c r="I215" s="57">
        <v>0</v>
      </c>
      <c r="Z215" s="57">
        <v>14</v>
      </c>
      <c r="AA215" s="57">
        <v>1</v>
      </c>
    </row>
    <row r="216" spans="2:27" x14ac:dyDescent="0.2">
      <c r="B216" s="57" t="s">
        <v>3542</v>
      </c>
      <c r="C216" s="57">
        <v>1</v>
      </c>
      <c r="D216" s="57" t="s">
        <v>3659</v>
      </c>
      <c r="E216" s="102">
        <f>VLOOKUP(Z216,无限模式!$A$76:$X$95,(AA216-1)*5+4+4,FALSE)</f>
        <v>72000</v>
      </c>
      <c r="F216" s="57">
        <v>1</v>
      </c>
      <c r="G216" s="57">
        <v>0</v>
      </c>
      <c r="H216" s="57">
        <v>0</v>
      </c>
      <c r="I216" s="57">
        <v>0</v>
      </c>
      <c r="Z216" s="57">
        <v>14</v>
      </c>
      <c r="AA216" s="57">
        <v>2</v>
      </c>
    </row>
    <row r="217" spans="2:27" x14ac:dyDescent="0.2">
      <c r="B217" s="57" t="s">
        <v>3544</v>
      </c>
      <c r="C217" s="57">
        <v>1</v>
      </c>
      <c r="D217" s="57" t="s">
        <v>3659</v>
      </c>
      <c r="E217" s="102">
        <f>VLOOKUP(Z217,无限模式!$A$76:$X$95,(AA217-1)*5+4+4,FALSE)</f>
        <v>15188</v>
      </c>
      <c r="F217" s="57">
        <v>1</v>
      </c>
      <c r="G217" s="57">
        <v>0</v>
      </c>
      <c r="H217" s="57">
        <v>0</v>
      </c>
      <c r="I217" s="57">
        <v>0</v>
      </c>
      <c r="Z217" s="57">
        <v>15</v>
      </c>
      <c r="AA217" s="57">
        <v>1</v>
      </c>
    </row>
    <row r="218" spans="2:27" x14ac:dyDescent="0.2">
      <c r="B218" s="57" t="s">
        <v>3546</v>
      </c>
      <c r="C218" s="57">
        <v>1</v>
      </c>
      <c r="D218" s="57" t="s">
        <v>3659</v>
      </c>
      <c r="E218" s="102">
        <f>VLOOKUP(Z218,无限模式!$A$76:$X$95,(AA218-1)*5+4+4,FALSE)</f>
        <v>91125</v>
      </c>
      <c r="F218" s="57">
        <v>1</v>
      </c>
      <c r="G218" s="57">
        <v>0</v>
      </c>
      <c r="H218" s="57">
        <v>0</v>
      </c>
      <c r="I218" s="57">
        <v>0</v>
      </c>
      <c r="Z218" s="57">
        <v>15</v>
      </c>
      <c r="AA218" s="57">
        <v>2</v>
      </c>
    </row>
    <row r="219" spans="2:27" x14ac:dyDescent="0.2">
      <c r="B219" s="57" t="s">
        <v>3548</v>
      </c>
      <c r="C219" s="57">
        <v>1</v>
      </c>
      <c r="D219" s="57" t="s">
        <v>3659</v>
      </c>
      <c r="E219" s="102">
        <f>VLOOKUP(Z219,无限模式!$A$76:$X$95,(AA219-1)*5+4+4,FALSE)</f>
        <v>96000</v>
      </c>
      <c r="F219" s="57">
        <v>1</v>
      </c>
      <c r="G219" s="57">
        <v>0</v>
      </c>
      <c r="H219" s="57">
        <v>0</v>
      </c>
      <c r="I219" s="57">
        <v>0</v>
      </c>
      <c r="Z219" s="57">
        <v>16</v>
      </c>
      <c r="AA219" s="57">
        <v>1</v>
      </c>
    </row>
    <row r="220" spans="2:27" x14ac:dyDescent="0.2">
      <c r="B220" s="57" t="s">
        <v>3550</v>
      </c>
      <c r="C220" s="57">
        <v>1</v>
      </c>
      <c r="D220" s="57" t="s">
        <v>3659</v>
      </c>
      <c r="E220" s="102">
        <f>VLOOKUP(Z220,无限模式!$A$76:$X$95,(AA220-1)*5+4+4,FALSE)</f>
        <v>192000</v>
      </c>
      <c r="F220" s="57">
        <v>1</v>
      </c>
      <c r="G220" s="57">
        <v>0</v>
      </c>
      <c r="H220" s="57">
        <v>0</v>
      </c>
      <c r="I220" s="57">
        <v>0</v>
      </c>
      <c r="Z220" s="57">
        <v>16</v>
      </c>
      <c r="AA220" s="57">
        <v>2</v>
      </c>
    </row>
    <row r="221" spans="2:27" x14ac:dyDescent="0.2">
      <c r="B221" s="57" t="s">
        <v>3552</v>
      </c>
      <c r="C221" s="57">
        <v>1</v>
      </c>
      <c r="D221" s="57" t="s">
        <v>3659</v>
      </c>
      <c r="E221" s="102">
        <f>VLOOKUP(Z221,无限模式!$A$76:$X$95,(AA221-1)*5+4+4,FALSE)</f>
        <v>85316</v>
      </c>
      <c r="F221" s="57">
        <v>1</v>
      </c>
      <c r="G221" s="57">
        <v>0</v>
      </c>
      <c r="H221" s="57">
        <v>0</v>
      </c>
      <c r="I221" s="57">
        <v>0</v>
      </c>
      <c r="Z221" s="57">
        <v>17</v>
      </c>
      <c r="AA221" s="57">
        <v>1</v>
      </c>
    </row>
    <row r="222" spans="2:27" x14ac:dyDescent="0.2">
      <c r="B222" s="57" t="s">
        <v>3554</v>
      </c>
      <c r="C222" s="57">
        <v>1</v>
      </c>
      <c r="D222" s="57" t="s">
        <v>3659</v>
      </c>
      <c r="E222" s="102">
        <f>VLOOKUP(Z222,无限模式!$A$76:$X$95,(AA222-1)*5+4+4,FALSE)</f>
        <v>8532</v>
      </c>
      <c r="F222" s="57">
        <v>1</v>
      </c>
      <c r="G222" s="57">
        <v>0</v>
      </c>
      <c r="H222" s="57">
        <v>0</v>
      </c>
      <c r="I222" s="57">
        <v>0</v>
      </c>
      <c r="Z222" s="57">
        <v>17</v>
      </c>
      <c r="AA222" s="57">
        <v>2</v>
      </c>
    </row>
    <row r="223" spans="2:27" x14ac:dyDescent="0.2">
      <c r="B223" s="57" t="s">
        <v>3556</v>
      </c>
      <c r="C223" s="57">
        <v>1</v>
      </c>
      <c r="D223" s="57" t="s">
        <v>3659</v>
      </c>
      <c r="E223" s="102">
        <f>VLOOKUP(Z223,无限模式!$A$76:$X$95,(AA223-1)*5+4+4,FALSE)</f>
        <v>74250</v>
      </c>
      <c r="F223" s="57">
        <v>1</v>
      </c>
      <c r="G223" s="57">
        <v>0</v>
      </c>
      <c r="H223" s="57">
        <v>0</v>
      </c>
      <c r="I223" s="57">
        <v>0</v>
      </c>
      <c r="Z223" s="57">
        <v>18</v>
      </c>
      <c r="AA223" s="57">
        <v>1</v>
      </c>
    </row>
    <row r="224" spans="2:27" x14ac:dyDescent="0.2">
      <c r="B224" s="57" t="s">
        <v>3558</v>
      </c>
      <c r="C224" s="57">
        <v>1</v>
      </c>
      <c r="D224" s="57" t="s">
        <v>3659</v>
      </c>
      <c r="E224" s="102">
        <f>VLOOKUP(Z224,无限模式!$A$76:$X$95,(AA224-1)*5+4+4,FALSE)</f>
        <v>37125</v>
      </c>
      <c r="F224" s="57">
        <v>1</v>
      </c>
      <c r="G224" s="57">
        <v>0</v>
      </c>
      <c r="H224" s="57">
        <v>0</v>
      </c>
      <c r="I224" s="57">
        <v>0</v>
      </c>
      <c r="Z224" s="57">
        <v>18</v>
      </c>
      <c r="AA224" s="57">
        <v>2</v>
      </c>
    </row>
    <row r="225" spans="2:27" x14ac:dyDescent="0.2">
      <c r="B225" s="57" t="s">
        <v>3560</v>
      </c>
      <c r="C225" s="57">
        <v>1</v>
      </c>
      <c r="D225" s="57" t="s">
        <v>3659</v>
      </c>
      <c r="E225" s="102">
        <f>VLOOKUP(Z225,无限模式!$A$76:$X$95,(AA225-1)*5+4+4,FALSE)</f>
        <v>14428</v>
      </c>
      <c r="F225" s="57">
        <v>1</v>
      </c>
      <c r="G225" s="57">
        <v>0</v>
      </c>
      <c r="H225" s="57">
        <v>0</v>
      </c>
      <c r="I225" s="57">
        <v>0</v>
      </c>
      <c r="Z225" s="57">
        <v>19</v>
      </c>
      <c r="AA225" s="57">
        <v>1</v>
      </c>
    </row>
    <row r="226" spans="2:27" x14ac:dyDescent="0.2">
      <c r="B226" s="57" t="s">
        <v>3562</v>
      </c>
      <c r="C226" s="57">
        <v>1</v>
      </c>
      <c r="D226" s="57" t="s">
        <v>3659</v>
      </c>
      <c r="E226" s="102">
        <f>VLOOKUP(Z226,无限模式!$A$76:$X$95,(AA226-1)*5+4+4,FALSE)</f>
        <v>144281</v>
      </c>
      <c r="F226" s="57">
        <v>1</v>
      </c>
      <c r="G226" s="57">
        <v>0</v>
      </c>
      <c r="H226" s="57">
        <v>0</v>
      </c>
      <c r="I226" s="57">
        <v>0</v>
      </c>
      <c r="Z226" s="57">
        <v>19</v>
      </c>
      <c r="AA226" s="57">
        <v>2</v>
      </c>
    </row>
    <row r="227" spans="2:27" x14ac:dyDescent="0.2">
      <c r="B227" s="57" t="s">
        <v>3564</v>
      </c>
      <c r="C227" s="57">
        <v>1</v>
      </c>
      <c r="D227" s="57" t="s">
        <v>3659</v>
      </c>
      <c r="E227" s="102">
        <f>VLOOKUP(Z227,无限模式!$A$76:$X$95,(AA227-1)*5+4+4,FALSE)</f>
        <v>21642</v>
      </c>
      <c r="F227" s="57">
        <v>1</v>
      </c>
      <c r="G227" s="57">
        <v>0</v>
      </c>
      <c r="H227" s="57">
        <v>0</v>
      </c>
      <c r="I227" s="57">
        <v>0</v>
      </c>
      <c r="Z227" s="57">
        <v>19</v>
      </c>
      <c r="AA227" s="57">
        <v>3</v>
      </c>
    </row>
    <row r="228" spans="2:27" x14ac:dyDescent="0.2">
      <c r="B228" s="57" t="s">
        <v>3566</v>
      </c>
      <c r="C228" s="57">
        <v>1</v>
      </c>
      <c r="D228" s="57" t="s">
        <v>3659</v>
      </c>
      <c r="E228" s="102">
        <f>VLOOKUP(Z228,无限模式!$A$76:$X$95,(AA228-1)*5+4+4,FALSE)</f>
        <v>223140</v>
      </c>
      <c r="F228" s="57">
        <v>1</v>
      </c>
      <c r="G228" s="57">
        <v>0</v>
      </c>
      <c r="H228" s="57">
        <v>0</v>
      </c>
      <c r="I228" s="57">
        <v>0</v>
      </c>
      <c r="Z228" s="57">
        <v>20</v>
      </c>
      <c r="AA228" s="57">
        <v>1</v>
      </c>
    </row>
    <row r="229" spans="2:27" x14ac:dyDescent="0.2">
      <c r="B229" s="57" t="s">
        <v>3568</v>
      </c>
      <c r="C229" s="57">
        <v>1</v>
      </c>
      <c r="D229" s="57" t="s">
        <v>3659</v>
      </c>
      <c r="E229" s="102">
        <f>VLOOKUP(Z229,无限模式!$A$76:$X$95,(AA229-1)*5+4+4,FALSE)</f>
        <v>11157</v>
      </c>
      <c r="F229" s="57">
        <v>1</v>
      </c>
      <c r="G229" s="57">
        <v>0</v>
      </c>
      <c r="H229" s="57">
        <v>0</v>
      </c>
      <c r="I229" s="57">
        <v>0</v>
      </c>
      <c r="Z229" s="57">
        <v>20</v>
      </c>
      <c r="AA229" s="57">
        <v>2</v>
      </c>
    </row>
    <row r="230" spans="2:27" x14ac:dyDescent="0.2">
      <c r="B230" s="57" t="s">
        <v>3570</v>
      </c>
      <c r="C230" s="57">
        <v>1</v>
      </c>
      <c r="D230" s="57" t="s">
        <v>3659</v>
      </c>
      <c r="E230" s="102">
        <f>VLOOKUP(Z230,无限模式!$A$76:$X$95,(AA230-1)*5+4+4,FALSE)</f>
        <v>33471</v>
      </c>
      <c r="F230" s="57">
        <v>1</v>
      </c>
      <c r="G230" s="57">
        <v>0</v>
      </c>
      <c r="H230" s="57">
        <v>0</v>
      </c>
      <c r="I230" s="57">
        <v>0</v>
      </c>
      <c r="Z230" s="57">
        <v>20</v>
      </c>
      <c r="AA230" s="57">
        <v>3</v>
      </c>
    </row>
    <row r="231" spans="2:27" x14ac:dyDescent="0.2">
      <c r="B231" s="57" t="s">
        <v>3572</v>
      </c>
      <c r="C231" s="57">
        <v>1</v>
      </c>
      <c r="D231" s="57" t="s">
        <v>3659</v>
      </c>
      <c r="E231" s="102">
        <f>VLOOKUP(Z231,无限模式!$A$76:$X$95,(AA231-1)*5+4+4,FALSE)</f>
        <v>223140</v>
      </c>
      <c r="F231" s="57">
        <v>1</v>
      </c>
      <c r="G231" s="57">
        <v>0</v>
      </c>
      <c r="H231" s="57">
        <v>0</v>
      </c>
      <c r="I231" s="57">
        <v>0</v>
      </c>
      <c r="Z231" s="57">
        <v>20</v>
      </c>
      <c r="AA231" s="57">
        <v>4</v>
      </c>
    </row>
    <row r="232" spans="2:27" s="166" customFormat="1" x14ac:dyDescent="0.2"/>
    <row r="233" spans="2:27" x14ac:dyDescent="0.2">
      <c r="B233" s="57" t="s">
        <v>3574</v>
      </c>
      <c r="C233" s="57">
        <v>1</v>
      </c>
      <c r="D233" s="57" t="s">
        <v>3660</v>
      </c>
      <c r="E233" s="102">
        <f>VLOOKUP(Z233,无限模式!$A$100:$X$119,(AA233-1)*5+4+4,FALSE)</f>
        <v>193</v>
      </c>
      <c r="F233" s="57">
        <v>1</v>
      </c>
      <c r="G233" s="57">
        <v>0</v>
      </c>
      <c r="H233" s="57">
        <v>0</v>
      </c>
      <c r="I233" s="57">
        <v>0</v>
      </c>
      <c r="J233" s="57">
        <f>IF(LEFT(VLOOKUP(Z233,无限模式!$A$100:$X$119,5+5*(AA233-1),FALSE),13)="ResUnit_WuGui",75,0)</f>
        <v>75</v>
      </c>
      <c r="Z233" s="57">
        <v>1</v>
      </c>
      <c r="AA233" s="57">
        <v>1</v>
      </c>
    </row>
    <row r="234" spans="2:27" x14ac:dyDescent="0.2">
      <c r="B234" s="57" t="s">
        <v>3576</v>
      </c>
      <c r="C234" s="57">
        <v>1</v>
      </c>
      <c r="D234" s="57" t="s">
        <v>3660</v>
      </c>
      <c r="E234" s="102">
        <f>VLOOKUP(Z234,无限模式!$A$100:$X$119,(AA234-1)*5+4+4,FALSE)</f>
        <v>163</v>
      </c>
      <c r="F234" s="57">
        <v>1</v>
      </c>
      <c r="G234" s="57">
        <v>0</v>
      </c>
      <c r="H234" s="57">
        <v>0</v>
      </c>
      <c r="I234" s="57">
        <v>0</v>
      </c>
      <c r="J234" s="57">
        <f>IF(LEFT(VLOOKUP(Z234,无限模式!$A$100:$X$119,5+5*(AA234-1),FALSE),13)="ResUnit_WuGui",75,0)</f>
        <v>0</v>
      </c>
      <c r="Z234" s="57">
        <v>2</v>
      </c>
      <c r="AA234" s="57">
        <v>1</v>
      </c>
    </row>
    <row r="235" spans="2:27" x14ac:dyDescent="0.2">
      <c r="B235" s="57" t="s">
        <v>3578</v>
      </c>
      <c r="C235" s="57">
        <v>1</v>
      </c>
      <c r="D235" s="57" t="s">
        <v>3660</v>
      </c>
      <c r="E235" s="102">
        <f>VLOOKUP(Z235,无限模式!$A$100:$X$119,(AA235-1)*5+4+4,FALSE)</f>
        <v>653</v>
      </c>
      <c r="F235" s="57">
        <v>1</v>
      </c>
      <c r="G235" s="57">
        <v>0</v>
      </c>
      <c r="H235" s="57">
        <v>0</v>
      </c>
      <c r="I235" s="57">
        <v>0</v>
      </c>
      <c r="J235" s="57">
        <f>IF(LEFT(VLOOKUP(Z235,无限模式!$A$100:$X$119,5+5*(AA235-1),FALSE),13)="ResUnit_WuGui",75,0)</f>
        <v>75</v>
      </c>
      <c r="Z235" s="57">
        <v>2</v>
      </c>
      <c r="AA235" s="57">
        <v>2</v>
      </c>
    </row>
    <row r="236" spans="2:27" x14ac:dyDescent="0.2">
      <c r="B236" s="57" t="s">
        <v>3580</v>
      </c>
      <c r="C236" s="57">
        <v>1</v>
      </c>
      <c r="D236" s="57" t="s">
        <v>3660</v>
      </c>
      <c r="E236" s="102">
        <f>VLOOKUP(Z236,无限模式!$A$100:$X$119,(AA236-1)*5+4+4,FALSE)</f>
        <v>740</v>
      </c>
      <c r="F236" s="57">
        <v>1</v>
      </c>
      <c r="G236" s="57">
        <v>0</v>
      </c>
      <c r="H236" s="57">
        <v>0</v>
      </c>
      <c r="I236" s="57">
        <v>0</v>
      </c>
      <c r="J236" s="57">
        <f>IF(LEFT(VLOOKUP(Z236,无限模式!$A$100:$X$119,5+5*(AA236-1),FALSE),13)="ResUnit_WuGui",75,0)</f>
        <v>75</v>
      </c>
      <c r="Z236" s="57">
        <v>3</v>
      </c>
      <c r="AA236" s="57">
        <v>1</v>
      </c>
    </row>
    <row r="237" spans="2:27" x14ac:dyDescent="0.2">
      <c r="B237" s="57" t="s">
        <v>3582</v>
      </c>
      <c r="C237" s="57">
        <v>1</v>
      </c>
      <c r="D237" s="57" t="s">
        <v>3660</v>
      </c>
      <c r="E237" s="102">
        <f>VLOOKUP(Z237,无限模式!$A$100:$X$119,(AA237-1)*5+4+4,FALSE)</f>
        <v>185</v>
      </c>
      <c r="F237" s="57">
        <v>1</v>
      </c>
      <c r="G237" s="57">
        <v>0</v>
      </c>
      <c r="H237" s="57">
        <v>0</v>
      </c>
      <c r="I237" s="57">
        <v>0</v>
      </c>
      <c r="J237" s="57">
        <f>IF(LEFT(VLOOKUP(Z237,无限模式!$A$100:$X$119,5+5*(AA237-1),FALSE),13)="ResUnit_WuGui",75,0)</f>
        <v>0</v>
      </c>
      <c r="Z237" s="57">
        <v>3</v>
      </c>
      <c r="AA237" s="57">
        <v>2</v>
      </c>
    </row>
    <row r="238" spans="2:27" x14ac:dyDescent="0.2">
      <c r="B238" s="57" t="s">
        <v>3584</v>
      </c>
      <c r="C238" s="57">
        <v>1</v>
      </c>
      <c r="D238" s="57" t="s">
        <v>3660</v>
      </c>
      <c r="E238" s="102">
        <f>VLOOKUP(Z238,无限模式!$A$100:$X$119,(AA238-1)*5+4+4,FALSE)</f>
        <v>33382</v>
      </c>
      <c r="F238" s="57">
        <v>1</v>
      </c>
      <c r="G238" s="57">
        <v>0</v>
      </c>
      <c r="H238" s="57">
        <v>0</v>
      </c>
      <c r="I238" s="57">
        <v>0</v>
      </c>
      <c r="J238" s="57">
        <f>IF(LEFT(VLOOKUP(Z238,无限模式!$A$100:$X$119,5+5*(AA238-1),FALSE),13)="ResUnit_WuGui",75,0)</f>
        <v>0</v>
      </c>
      <c r="Z238" s="57">
        <v>4</v>
      </c>
      <c r="AA238" s="57">
        <v>1</v>
      </c>
    </row>
    <row r="239" spans="2:27" x14ac:dyDescent="0.2">
      <c r="B239" s="57" t="s">
        <v>3586</v>
      </c>
      <c r="C239" s="57">
        <v>1</v>
      </c>
      <c r="D239" s="57" t="s">
        <v>3660</v>
      </c>
      <c r="E239" s="102">
        <f>VLOOKUP(Z239,无限模式!$A$100:$X$119,(AA239-1)*5+4+4,FALSE)</f>
        <v>1669</v>
      </c>
      <c r="F239" s="57">
        <v>1</v>
      </c>
      <c r="G239" s="57">
        <v>0</v>
      </c>
      <c r="H239" s="57">
        <v>0</v>
      </c>
      <c r="I239" s="57">
        <v>0</v>
      </c>
      <c r="J239" s="57">
        <f>IF(LEFT(VLOOKUP(Z239,无限模式!$A$100:$X$119,5+5*(AA239-1),FALSE),13)="ResUnit_WuGui",75,0)</f>
        <v>75</v>
      </c>
      <c r="Z239" s="57">
        <v>4</v>
      </c>
      <c r="AA239" s="57">
        <v>2</v>
      </c>
    </row>
    <row r="240" spans="2:27" x14ac:dyDescent="0.2">
      <c r="B240" s="57" t="s">
        <v>3588</v>
      </c>
      <c r="C240" s="57">
        <v>1</v>
      </c>
      <c r="D240" s="57" t="s">
        <v>3660</v>
      </c>
      <c r="E240" s="102">
        <f>VLOOKUP(Z240,无限模式!$A$100:$X$119,(AA240-1)*5+4+4,FALSE)</f>
        <v>1929</v>
      </c>
      <c r="F240" s="57">
        <v>1</v>
      </c>
      <c r="G240" s="57">
        <v>0</v>
      </c>
      <c r="H240" s="57">
        <v>0</v>
      </c>
      <c r="I240" s="57">
        <v>0</v>
      </c>
      <c r="J240" s="57">
        <f>IF(LEFT(VLOOKUP(Z240,无限模式!$A$100:$X$119,5+5*(AA240-1),FALSE),13)="ResUnit_WuGui",75,0)</f>
        <v>75</v>
      </c>
      <c r="Z240" s="57">
        <v>5</v>
      </c>
      <c r="AA240" s="57">
        <v>1</v>
      </c>
    </row>
    <row r="241" spans="2:27" x14ac:dyDescent="0.2">
      <c r="B241" s="57" t="s">
        <v>3590</v>
      </c>
      <c r="C241" s="57">
        <v>1</v>
      </c>
      <c r="D241" s="57" t="s">
        <v>3660</v>
      </c>
      <c r="E241" s="102">
        <f>VLOOKUP(Z241,无限模式!$A$100:$X$119,(AA241-1)*5+4+4,FALSE)</f>
        <v>964</v>
      </c>
      <c r="F241" s="57">
        <v>1</v>
      </c>
      <c r="G241" s="57">
        <v>0</v>
      </c>
      <c r="H241" s="57">
        <v>0</v>
      </c>
      <c r="I241" s="57">
        <v>0</v>
      </c>
      <c r="J241" s="57">
        <f>IF(LEFT(VLOOKUP(Z241,无限模式!$A$100:$X$119,5+5*(AA241-1),FALSE),13)="ResUnit_WuGui",75,0)</f>
        <v>0</v>
      </c>
      <c r="Z241" s="57">
        <v>5</v>
      </c>
      <c r="AA241" s="57">
        <v>2</v>
      </c>
    </row>
    <row r="242" spans="2:27" x14ac:dyDescent="0.2">
      <c r="B242" s="57" t="s">
        <v>3592</v>
      </c>
      <c r="C242" s="57">
        <v>1</v>
      </c>
      <c r="D242" s="57" t="s">
        <v>3660</v>
      </c>
      <c r="E242" s="102">
        <f>VLOOKUP(Z242,无限模式!$A$100:$X$119,(AA242-1)*5+4+4,FALSE)</f>
        <v>2314</v>
      </c>
      <c r="F242" s="57">
        <v>1</v>
      </c>
      <c r="G242" s="57">
        <v>0</v>
      </c>
      <c r="H242" s="57">
        <v>0</v>
      </c>
      <c r="I242" s="57">
        <v>0</v>
      </c>
      <c r="J242" s="57">
        <f>IF(LEFT(VLOOKUP(Z242,无限模式!$A$100:$X$119,5+5*(AA242-1),FALSE),13)="ResUnit_WuGui",75,0)</f>
        <v>0</v>
      </c>
      <c r="Z242" s="57">
        <v>6</v>
      </c>
      <c r="AA242" s="57">
        <v>1</v>
      </c>
    </row>
    <row r="243" spans="2:27" x14ac:dyDescent="0.2">
      <c r="B243" s="57" t="s">
        <v>3594</v>
      </c>
      <c r="C243" s="57">
        <v>1</v>
      </c>
      <c r="D243" s="57" t="s">
        <v>3660</v>
      </c>
      <c r="E243" s="102">
        <f>VLOOKUP(Z243,无限模式!$A$100:$X$119,(AA243-1)*5+4+4,FALSE)</f>
        <v>2314</v>
      </c>
      <c r="F243" s="57">
        <v>1</v>
      </c>
      <c r="G243" s="57">
        <v>0</v>
      </c>
      <c r="H243" s="57">
        <v>0</v>
      </c>
      <c r="I243" s="57">
        <v>0</v>
      </c>
      <c r="J243" s="57">
        <f>IF(LEFT(VLOOKUP(Z243,无限模式!$A$100:$X$119,5+5*(AA243-1),FALSE),13)="ResUnit_WuGui",75,0)</f>
        <v>75</v>
      </c>
      <c r="Z243" s="57">
        <v>6</v>
      </c>
      <c r="AA243" s="57">
        <v>2</v>
      </c>
    </row>
    <row r="244" spans="2:27" x14ac:dyDescent="0.2">
      <c r="B244" s="57" t="s">
        <v>3596</v>
      </c>
      <c r="C244" s="57">
        <v>1</v>
      </c>
      <c r="D244" s="57" t="s">
        <v>3660</v>
      </c>
      <c r="E244" s="102">
        <f>VLOOKUP(Z244,无限模式!$A$100:$X$119,(AA244-1)*5+4+4,FALSE)</f>
        <v>3544</v>
      </c>
      <c r="F244" s="57">
        <v>1</v>
      </c>
      <c r="G244" s="57">
        <v>0</v>
      </c>
      <c r="H244" s="57">
        <v>0</v>
      </c>
      <c r="I244" s="57">
        <v>0</v>
      </c>
      <c r="J244" s="57">
        <f>IF(LEFT(VLOOKUP(Z244,无限模式!$A$100:$X$119,5+5*(AA244-1),FALSE),13)="ResUnit_WuGui",75,0)</f>
        <v>75</v>
      </c>
      <c r="Z244" s="57">
        <v>7</v>
      </c>
      <c r="AA244" s="57">
        <v>1</v>
      </c>
    </row>
    <row r="245" spans="2:27" x14ac:dyDescent="0.2">
      <c r="B245" s="57" t="s">
        <v>3598</v>
      </c>
      <c r="C245" s="57">
        <v>1</v>
      </c>
      <c r="D245" s="57" t="s">
        <v>3660</v>
      </c>
      <c r="E245" s="102">
        <f>VLOOKUP(Z245,无限模式!$A$100:$X$119,(AA245-1)*5+4+4,FALSE)</f>
        <v>1772</v>
      </c>
      <c r="F245" s="57">
        <v>1</v>
      </c>
      <c r="G245" s="57">
        <v>0</v>
      </c>
      <c r="H245" s="57">
        <v>0</v>
      </c>
      <c r="I245" s="57">
        <v>0</v>
      </c>
      <c r="J245" s="57">
        <f>IF(LEFT(VLOOKUP(Z245,无限模式!$A$100:$X$119,5+5*(AA245-1),FALSE),13)="ResUnit_WuGui",75,0)</f>
        <v>0</v>
      </c>
      <c r="Z245" s="57">
        <v>7</v>
      </c>
      <c r="AA245" s="57">
        <v>2</v>
      </c>
    </row>
    <row r="246" spans="2:27" x14ac:dyDescent="0.2">
      <c r="B246" s="57" t="s">
        <v>3600</v>
      </c>
      <c r="C246" s="57">
        <v>1</v>
      </c>
      <c r="D246" s="57" t="s">
        <v>3660</v>
      </c>
      <c r="E246" s="102">
        <f>VLOOKUP(Z246,无限模式!$A$100:$X$119,(AA246-1)*5+4+4,FALSE)</f>
        <v>6400</v>
      </c>
      <c r="F246" s="57">
        <v>1</v>
      </c>
      <c r="G246" s="57">
        <v>0</v>
      </c>
      <c r="H246" s="57">
        <v>0</v>
      </c>
      <c r="I246" s="57">
        <v>0</v>
      </c>
      <c r="J246" s="57">
        <f>IF(LEFT(VLOOKUP(Z246,无限模式!$A$100:$X$119,5+5*(AA246-1),FALSE),13)="ResUnit_WuGui",75,0)</f>
        <v>75</v>
      </c>
      <c r="Z246" s="57">
        <v>8</v>
      </c>
      <c r="AA246" s="57">
        <v>1</v>
      </c>
    </row>
    <row r="247" spans="2:27" x14ac:dyDescent="0.2">
      <c r="B247" s="57" t="s">
        <v>3602</v>
      </c>
      <c r="C247" s="57">
        <v>1</v>
      </c>
      <c r="D247" s="57" t="s">
        <v>3660</v>
      </c>
      <c r="E247" s="102">
        <f>VLOOKUP(Z247,无限模式!$A$100:$X$119,(AA247-1)*5+4+4,FALSE)</f>
        <v>64000</v>
      </c>
      <c r="F247" s="57">
        <v>1</v>
      </c>
      <c r="G247" s="57">
        <v>0</v>
      </c>
      <c r="H247" s="57">
        <v>0</v>
      </c>
      <c r="I247" s="57">
        <v>0</v>
      </c>
      <c r="J247" s="57">
        <f>IF(LEFT(VLOOKUP(Z247,无限模式!$A$100:$X$119,5+5*(AA247-1),FALSE),13)="ResUnit_WuGui",75,0)</f>
        <v>0</v>
      </c>
      <c r="Z247" s="57">
        <v>8</v>
      </c>
      <c r="AA247" s="57">
        <v>2</v>
      </c>
    </row>
    <row r="248" spans="2:27" x14ac:dyDescent="0.2">
      <c r="B248" s="57" t="s">
        <v>3604</v>
      </c>
      <c r="C248" s="57">
        <v>1</v>
      </c>
      <c r="D248" s="57" t="s">
        <v>3660</v>
      </c>
      <c r="E248" s="102">
        <f>VLOOKUP(Z248,无限模式!$A$100:$X$119,(AA248-1)*5+4+4,FALSE)</f>
        <v>5891</v>
      </c>
      <c r="F248" s="57">
        <v>1</v>
      </c>
      <c r="G248" s="57">
        <v>0</v>
      </c>
      <c r="H248" s="57">
        <v>0</v>
      </c>
      <c r="I248" s="57">
        <v>0</v>
      </c>
      <c r="J248" s="57">
        <f>IF(LEFT(VLOOKUP(Z248,无限模式!$A$100:$X$119,5+5*(AA248-1),FALSE),13)="ResUnit_WuGui",75,0)</f>
        <v>75</v>
      </c>
      <c r="Z248" s="57">
        <v>9</v>
      </c>
      <c r="AA248" s="57">
        <v>1</v>
      </c>
    </row>
    <row r="249" spans="2:27" x14ac:dyDescent="0.2">
      <c r="B249" s="57" t="s">
        <v>3606</v>
      </c>
      <c r="C249" s="57">
        <v>1</v>
      </c>
      <c r="D249" s="57" t="s">
        <v>3660</v>
      </c>
      <c r="E249" s="102">
        <f>VLOOKUP(Z249,无限模式!$A$100:$X$119,(AA249-1)*5+4+4,FALSE)</f>
        <v>4418</v>
      </c>
      <c r="F249" s="57">
        <v>1</v>
      </c>
      <c r="G249" s="57">
        <v>0</v>
      </c>
      <c r="H249" s="57">
        <v>0</v>
      </c>
      <c r="I249" s="57">
        <v>0</v>
      </c>
      <c r="J249" s="57">
        <f>IF(LEFT(VLOOKUP(Z249,无限模式!$A$100:$X$119,5+5*(AA249-1),FALSE),13)="ResUnit_WuGui",75,0)</f>
        <v>0</v>
      </c>
      <c r="Z249" s="57">
        <v>9</v>
      </c>
      <c r="AA249" s="57">
        <v>2</v>
      </c>
    </row>
    <row r="250" spans="2:27" x14ac:dyDescent="0.2">
      <c r="B250" s="57" t="s">
        <v>3608</v>
      </c>
      <c r="C250" s="57">
        <v>1</v>
      </c>
      <c r="D250" s="57" t="s">
        <v>3660</v>
      </c>
      <c r="E250" s="102">
        <f>VLOOKUP(Z250,无限模式!$A$100:$X$119,(AA250-1)*5+4+4,FALSE)</f>
        <v>8617</v>
      </c>
      <c r="F250" s="57">
        <v>1</v>
      </c>
      <c r="G250" s="57">
        <v>0</v>
      </c>
      <c r="H250" s="57">
        <v>0</v>
      </c>
      <c r="I250" s="57">
        <v>0</v>
      </c>
      <c r="J250" s="57">
        <f>IF(LEFT(VLOOKUP(Z250,无限模式!$A$100:$X$119,5+5*(AA250-1),FALSE),13)="ResUnit_WuGui",75,0)</f>
        <v>75</v>
      </c>
      <c r="Z250" s="57">
        <v>10</v>
      </c>
      <c r="AA250" s="57">
        <v>1</v>
      </c>
    </row>
    <row r="251" spans="2:27" x14ac:dyDescent="0.2">
      <c r="B251" s="57" t="s">
        <v>3610</v>
      </c>
      <c r="C251" s="57">
        <v>1</v>
      </c>
      <c r="D251" s="57" t="s">
        <v>3660</v>
      </c>
      <c r="E251" s="102">
        <f>VLOOKUP(Z251,无限模式!$A$100:$X$119,(AA251-1)*5+4+4,FALSE)</f>
        <v>6463</v>
      </c>
      <c r="F251" s="57">
        <v>1</v>
      </c>
      <c r="G251" s="57">
        <v>0</v>
      </c>
      <c r="H251" s="57">
        <v>0</v>
      </c>
      <c r="I251" s="57">
        <v>0</v>
      </c>
      <c r="J251" s="57">
        <f>IF(LEFT(VLOOKUP(Z251,无限模式!$A$100:$X$119,5+5*(AA251-1),FALSE),13)="ResUnit_WuGui",75,0)</f>
        <v>0</v>
      </c>
      <c r="Z251" s="57">
        <v>10</v>
      </c>
      <c r="AA251" s="57">
        <v>2</v>
      </c>
    </row>
    <row r="252" spans="2:27" x14ac:dyDescent="0.2">
      <c r="B252" s="57" t="s">
        <v>3612</v>
      </c>
      <c r="C252" s="57">
        <v>1</v>
      </c>
      <c r="D252" s="57" t="s">
        <v>3660</v>
      </c>
      <c r="E252" s="102">
        <f>VLOOKUP(Z252,无限模式!$A$100:$X$119,(AA252-1)*5+4+4,FALSE)</f>
        <v>11880</v>
      </c>
      <c r="F252" s="57">
        <v>1</v>
      </c>
      <c r="G252" s="57">
        <v>0</v>
      </c>
      <c r="H252" s="57">
        <v>0</v>
      </c>
      <c r="I252" s="57">
        <v>0</v>
      </c>
      <c r="J252" s="57">
        <f>IF(LEFT(VLOOKUP(Z252,无限模式!$A$100:$X$119,5+5*(AA252-1),FALSE),13)="ResUnit_WuGui",75,0)</f>
        <v>75</v>
      </c>
      <c r="Z252" s="57">
        <v>11</v>
      </c>
      <c r="AA252" s="57">
        <v>1</v>
      </c>
    </row>
    <row r="253" spans="2:27" x14ac:dyDescent="0.2">
      <c r="B253" s="57" t="s">
        <v>3614</v>
      </c>
      <c r="C253" s="57">
        <v>1</v>
      </c>
      <c r="D253" s="57" t="s">
        <v>3660</v>
      </c>
      <c r="E253" s="102">
        <f>VLOOKUP(Z253,无限模式!$A$100:$X$119,(AA253-1)*5+4+4,FALSE)</f>
        <v>5940</v>
      </c>
      <c r="F253" s="57">
        <v>1</v>
      </c>
      <c r="G253" s="57">
        <v>0</v>
      </c>
      <c r="H253" s="57">
        <v>0</v>
      </c>
      <c r="I253" s="57">
        <v>0</v>
      </c>
      <c r="J253" s="57">
        <f>IF(LEFT(VLOOKUP(Z253,无限模式!$A$100:$X$119,5+5*(AA253-1),FALSE),13)="ResUnit_WuGui",75,0)</f>
        <v>0</v>
      </c>
      <c r="Z253" s="57">
        <v>11</v>
      </c>
      <c r="AA253" s="57">
        <v>2</v>
      </c>
    </row>
    <row r="254" spans="2:27" x14ac:dyDescent="0.2">
      <c r="B254" s="57" t="s">
        <v>3616</v>
      </c>
      <c r="C254" s="57">
        <v>1</v>
      </c>
      <c r="D254" s="57" t="s">
        <v>3660</v>
      </c>
      <c r="E254" s="102">
        <f>VLOOKUP(Z254,无限模式!$A$100:$X$119,(AA254-1)*5+4+4,FALSE)</f>
        <v>13407</v>
      </c>
      <c r="F254" s="57">
        <v>1</v>
      </c>
      <c r="G254" s="57">
        <v>0</v>
      </c>
      <c r="H254" s="57">
        <v>0</v>
      </c>
      <c r="I254" s="57">
        <v>0</v>
      </c>
      <c r="J254" s="57">
        <f>IF(LEFT(VLOOKUP(Z254,无限模式!$A$100:$X$119,5+5*(AA254-1),FALSE),13)="ResUnit_WuGui",75,0)</f>
        <v>75</v>
      </c>
      <c r="Z254" s="57">
        <v>12</v>
      </c>
      <c r="AA254" s="57">
        <v>1</v>
      </c>
    </row>
    <row r="255" spans="2:27" x14ac:dyDescent="0.2">
      <c r="B255" s="57" t="s">
        <v>3618</v>
      </c>
      <c r="C255" s="57">
        <v>1</v>
      </c>
      <c r="D255" s="57" t="s">
        <v>3660</v>
      </c>
      <c r="E255" s="102">
        <f>VLOOKUP(Z255,无限模式!$A$100:$X$119,(AA255-1)*5+4+4,FALSE)</f>
        <v>10055</v>
      </c>
      <c r="F255" s="57">
        <v>1</v>
      </c>
      <c r="G255" s="57">
        <v>0</v>
      </c>
      <c r="H255" s="57">
        <v>0</v>
      </c>
      <c r="I255" s="57">
        <v>0</v>
      </c>
      <c r="J255" s="57">
        <f>IF(LEFT(VLOOKUP(Z255,无限模式!$A$100:$X$119,5+5*(AA255-1),FALSE),13)="ResUnit_WuGui",75,0)</f>
        <v>0</v>
      </c>
      <c r="Z255" s="57">
        <v>12</v>
      </c>
      <c r="AA255" s="57">
        <v>2</v>
      </c>
    </row>
    <row r="256" spans="2:27" x14ac:dyDescent="0.2">
      <c r="B256" s="57" t="s">
        <v>3620</v>
      </c>
      <c r="C256" s="57">
        <v>1</v>
      </c>
      <c r="D256" s="57" t="s">
        <v>3660</v>
      </c>
      <c r="E256" s="102">
        <f>VLOOKUP(Z256,无限模式!$A$100:$X$119,(AA256-1)*5+4+4,FALSE)</f>
        <v>134069</v>
      </c>
      <c r="F256" s="57">
        <v>1</v>
      </c>
      <c r="G256" s="57">
        <v>0</v>
      </c>
      <c r="H256" s="57">
        <v>0</v>
      </c>
      <c r="I256" s="57">
        <v>0</v>
      </c>
      <c r="J256" s="57">
        <f>IF(LEFT(VLOOKUP(Z256,无限模式!$A$100:$X$119,5+5*(AA256-1),FALSE),13)="ResUnit_WuGui",75,0)</f>
        <v>0</v>
      </c>
      <c r="Z256" s="57">
        <v>12</v>
      </c>
      <c r="AA256" s="57">
        <v>3</v>
      </c>
    </row>
    <row r="257" spans="2:27" x14ac:dyDescent="0.2">
      <c r="B257" s="57" t="s">
        <v>3622</v>
      </c>
      <c r="C257" s="57">
        <v>1</v>
      </c>
      <c r="D257" s="57" t="s">
        <v>3660</v>
      </c>
      <c r="E257" s="102">
        <f>VLOOKUP(Z257,无限模式!$A$100:$X$119,(AA257-1)*5+4+4,FALSE)</f>
        <v>11700</v>
      </c>
      <c r="F257" s="57">
        <v>1</v>
      </c>
      <c r="G257" s="57">
        <v>0</v>
      </c>
      <c r="H257" s="57">
        <v>0</v>
      </c>
      <c r="I257" s="57">
        <v>0</v>
      </c>
      <c r="J257" s="57">
        <f>IF(LEFT(VLOOKUP(Z257,无限模式!$A$100:$X$119,5+5*(AA257-1),FALSE),13)="ResUnit_WuGui",75,0)</f>
        <v>0</v>
      </c>
      <c r="Z257" s="57">
        <v>13</v>
      </c>
      <c r="AA257" s="57">
        <v>1</v>
      </c>
    </row>
    <row r="258" spans="2:27" x14ac:dyDescent="0.2">
      <c r="B258" s="57" t="s">
        <v>3624</v>
      </c>
      <c r="C258" s="57">
        <v>1</v>
      </c>
      <c r="D258" s="57" t="s">
        <v>3660</v>
      </c>
      <c r="E258" s="102">
        <f>VLOOKUP(Z258,无限模式!$A$100:$X$119,(AA258-1)*5+4+4,FALSE)</f>
        <v>6048</v>
      </c>
      <c r="F258" s="57">
        <v>1</v>
      </c>
      <c r="G258" s="57">
        <v>0</v>
      </c>
      <c r="H258" s="57">
        <v>0</v>
      </c>
      <c r="I258" s="57">
        <v>0</v>
      </c>
      <c r="J258" s="57">
        <f>IF(LEFT(VLOOKUP(Z258,无限模式!$A$100:$X$119,5+5*(AA258-1),FALSE),13)="ResUnit_WuGui",75,0)</f>
        <v>0</v>
      </c>
      <c r="Z258" s="57">
        <v>14</v>
      </c>
      <c r="AA258" s="57">
        <v>1</v>
      </c>
    </row>
    <row r="259" spans="2:27" x14ac:dyDescent="0.2">
      <c r="B259" s="57" t="s">
        <v>3626</v>
      </c>
      <c r="C259" s="57">
        <v>1</v>
      </c>
      <c r="D259" s="57" t="s">
        <v>3660</v>
      </c>
      <c r="E259" s="102">
        <f>VLOOKUP(Z259,无限模式!$A$100:$X$119,(AA259-1)*5+4+4,FALSE)</f>
        <v>24192</v>
      </c>
      <c r="F259" s="57">
        <v>1</v>
      </c>
      <c r="G259" s="57">
        <v>0</v>
      </c>
      <c r="H259" s="57">
        <v>0</v>
      </c>
      <c r="I259" s="57">
        <v>0</v>
      </c>
      <c r="J259" s="57">
        <f>IF(LEFT(VLOOKUP(Z259,无限模式!$A$100:$X$119,5+5*(AA259-1),FALSE),13)="ResUnit_WuGui",75,0)</f>
        <v>75</v>
      </c>
      <c r="Z259" s="57">
        <v>14</v>
      </c>
      <c r="AA259" s="57">
        <v>2</v>
      </c>
    </row>
    <row r="260" spans="2:27" x14ac:dyDescent="0.2">
      <c r="B260" s="57" t="s">
        <v>3628</v>
      </c>
      <c r="C260" s="57">
        <v>1</v>
      </c>
      <c r="D260" s="57" t="s">
        <v>3660</v>
      </c>
      <c r="E260" s="102">
        <f>VLOOKUP(Z260,无限模式!$A$100:$X$119,(AA260-1)*5+4+4,FALSE)</f>
        <v>6075</v>
      </c>
      <c r="F260" s="57">
        <v>1</v>
      </c>
      <c r="G260" s="57">
        <v>0</v>
      </c>
      <c r="H260" s="57">
        <v>0</v>
      </c>
      <c r="I260" s="57">
        <v>0</v>
      </c>
      <c r="J260" s="57">
        <f>IF(LEFT(VLOOKUP(Z260,无限模式!$A$100:$X$119,5+5*(AA260-1),FALSE),13)="ResUnit_WuGui",75,0)</f>
        <v>0</v>
      </c>
      <c r="Z260" s="57">
        <v>15</v>
      </c>
      <c r="AA260" s="57">
        <v>1</v>
      </c>
    </row>
    <row r="261" spans="2:27" x14ac:dyDescent="0.2">
      <c r="B261" s="57" t="s">
        <v>3630</v>
      </c>
      <c r="C261" s="57">
        <v>1</v>
      </c>
      <c r="D261" s="57" t="s">
        <v>3660</v>
      </c>
      <c r="E261" s="102">
        <f>VLOOKUP(Z261,无限模式!$A$100:$X$119,(AA261-1)*5+4+4,FALSE)</f>
        <v>36450</v>
      </c>
      <c r="F261" s="57">
        <v>1</v>
      </c>
      <c r="G261" s="57">
        <v>0</v>
      </c>
      <c r="H261" s="57">
        <v>0</v>
      </c>
      <c r="I261" s="57">
        <v>0</v>
      </c>
      <c r="J261" s="57">
        <f>IF(LEFT(VLOOKUP(Z261,无限模式!$A$100:$X$119,5+5*(AA261-1),FALSE),13)="ResUnit_WuGui",75,0)</f>
        <v>0</v>
      </c>
      <c r="Z261" s="57">
        <v>15</v>
      </c>
      <c r="AA261" s="57">
        <v>2</v>
      </c>
    </row>
    <row r="262" spans="2:27" x14ac:dyDescent="0.2">
      <c r="B262" s="57" t="s">
        <v>3632</v>
      </c>
      <c r="C262" s="57">
        <v>1</v>
      </c>
      <c r="D262" s="57" t="s">
        <v>3660</v>
      </c>
      <c r="E262" s="102">
        <f>VLOOKUP(Z262,无限模式!$A$100:$X$119,(AA262-1)*5+4+4,FALSE)</f>
        <v>29623</v>
      </c>
      <c r="F262" s="57">
        <v>1</v>
      </c>
      <c r="G262" s="57">
        <v>0</v>
      </c>
      <c r="H262" s="57">
        <v>0</v>
      </c>
      <c r="I262" s="57">
        <v>0</v>
      </c>
      <c r="J262" s="57">
        <f>IF(LEFT(VLOOKUP(Z262,无限模式!$A$100:$X$119,5+5*(AA262-1),FALSE),13)="ResUnit_WuGui",75,0)</f>
        <v>75</v>
      </c>
      <c r="Z262" s="57">
        <v>16</v>
      </c>
      <c r="AA262" s="57">
        <v>1</v>
      </c>
    </row>
    <row r="263" spans="2:27" x14ac:dyDescent="0.2">
      <c r="B263" s="57" t="s">
        <v>3634</v>
      </c>
      <c r="C263" s="57">
        <v>1</v>
      </c>
      <c r="D263" s="57" t="s">
        <v>3660</v>
      </c>
      <c r="E263" s="102">
        <f>VLOOKUP(Z263,无限模式!$A$100:$X$119,(AA263-1)*5+4+4,FALSE)</f>
        <v>296229</v>
      </c>
      <c r="F263" s="57">
        <v>1</v>
      </c>
      <c r="G263" s="57">
        <v>0</v>
      </c>
      <c r="H263" s="57">
        <v>0</v>
      </c>
      <c r="I263" s="57">
        <v>0</v>
      </c>
      <c r="J263" s="57">
        <f>IF(LEFT(VLOOKUP(Z263,无限模式!$A$100:$X$119,5+5*(AA263-1),FALSE),13)="ResUnit_WuGui",75,0)</f>
        <v>0</v>
      </c>
      <c r="Z263" s="57">
        <v>16</v>
      </c>
      <c r="AA263" s="57">
        <v>2</v>
      </c>
    </row>
    <row r="264" spans="2:27" x14ac:dyDescent="0.2">
      <c r="B264" s="57" t="s">
        <v>3636</v>
      </c>
      <c r="C264" s="57">
        <v>1</v>
      </c>
      <c r="D264" s="57" t="s">
        <v>3660</v>
      </c>
      <c r="E264" s="102">
        <f>VLOOKUP(Z264,无限模式!$A$100:$X$119,(AA264-1)*5+4+4,FALSE)</f>
        <v>30098</v>
      </c>
      <c r="F264" s="57">
        <v>1</v>
      </c>
      <c r="G264" s="57">
        <v>0</v>
      </c>
      <c r="H264" s="57">
        <v>0</v>
      </c>
      <c r="I264" s="57">
        <v>0</v>
      </c>
      <c r="J264" s="57">
        <f>IF(LEFT(VLOOKUP(Z264,无限模式!$A$100:$X$119,5+5*(AA264-1),FALSE),13)="ResUnit_WuGui",75,0)</f>
        <v>75</v>
      </c>
      <c r="Z264" s="57">
        <v>17</v>
      </c>
      <c r="AA264" s="57">
        <v>1</v>
      </c>
    </row>
    <row r="265" spans="2:27" x14ac:dyDescent="0.2">
      <c r="B265" s="57" t="s">
        <v>3638</v>
      </c>
      <c r="C265" s="57">
        <v>1</v>
      </c>
      <c r="D265" s="57" t="s">
        <v>3660</v>
      </c>
      <c r="E265" s="102">
        <f>VLOOKUP(Z265,无限模式!$A$100:$X$119,(AA265-1)*5+4+4,FALSE)</f>
        <v>15049</v>
      </c>
      <c r="F265" s="57">
        <v>1</v>
      </c>
      <c r="G265" s="57">
        <v>0</v>
      </c>
      <c r="H265" s="57">
        <v>0</v>
      </c>
      <c r="I265" s="57">
        <v>0</v>
      </c>
      <c r="J265" s="57">
        <f>IF(LEFT(VLOOKUP(Z265,无限模式!$A$100:$X$119,5+5*(AA265-1),FALSE),13)="ResUnit_WuGui",75,0)</f>
        <v>0</v>
      </c>
      <c r="Z265" s="57">
        <v>17</v>
      </c>
      <c r="AA265" s="57">
        <v>2</v>
      </c>
    </row>
    <row r="266" spans="2:27" x14ac:dyDescent="0.2">
      <c r="B266" s="57" t="s">
        <v>3640</v>
      </c>
      <c r="C266" s="57">
        <v>1</v>
      </c>
      <c r="D266" s="57" t="s">
        <v>3660</v>
      </c>
      <c r="E266" s="102">
        <f>VLOOKUP(Z266,无限模式!$A$100:$X$119,(AA266-1)*5+4+4,FALSE)</f>
        <v>29700</v>
      </c>
      <c r="F266" s="57">
        <v>1</v>
      </c>
      <c r="G266" s="57">
        <v>0</v>
      </c>
      <c r="H266" s="57">
        <v>0</v>
      </c>
      <c r="I266" s="57">
        <v>0</v>
      </c>
      <c r="J266" s="57">
        <f>IF(LEFT(VLOOKUP(Z266,无限模式!$A$100:$X$119,5+5*(AA266-1),FALSE),13)="ResUnit_WuGui",75,0)</f>
        <v>0</v>
      </c>
      <c r="Z266" s="57">
        <v>18</v>
      </c>
      <c r="AA266" s="57">
        <v>1</v>
      </c>
    </row>
    <row r="267" spans="2:27" x14ac:dyDescent="0.2">
      <c r="B267" s="57" t="s">
        <v>3642</v>
      </c>
      <c r="C267" s="57">
        <v>1</v>
      </c>
      <c r="D267" s="57" t="s">
        <v>3660</v>
      </c>
      <c r="E267" s="102">
        <f>VLOOKUP(Z267,无限模式!$A$100:$X$119,(AA267-1)*5+4+4,FALSE)</f>
        <v>14850</v>
      </c>
      <c r="F267" s="57">
        <v>1</v>
      </c>
      <c r="G267" s="57">
        <v>0</v>
      </c>
      <c r="H267" s="57">
        <v>0</v>
      </c>
      <c r="I267" s="57">
        <v>0</v>
      </c>
      <c r="J267" s="57">
        <f>IF(LEFT(VLOOKUP(Z267,无限模式!$A$100:$X$119,5+5*(AA267-1),FALSE),13)="ResUnit_WuGui",75,0)</f>
        <v>0</v>
      </c>
      <c r="Z267" s="57">
        <v>18</v>
      </c>
      <c r="AA267" s="57">
        <v>2</v>
      </c>
    </row>
    <row r="268" spans="2:27" x14ac:dyDescent="0.2">
      <c r="B268" s="57" t="s">
        <v>3644</v>
      </c>
      <c r="C268" s="57">
        <v>1</v>
      </c>
      <c r="D268" s="57" t="s">
        <v>3660</v>
      </c>
      <c r="E268" s="102">
        <f>VLOOKUP(Z268,无限模式!$A$100:$X$119,(AA268-1)*5+4+4,FALSE)</f>
        <v>19238</v>
      </c>
      <c r="F268" s="57">
        <v>1</v>
      </c>
      <c r="G268" s="57">
        <v>0</v>
      </c>
      <c r="H268" s="57">
        <v>0</v>
      </c>
      <c r="I268" s="57">
        <v>0</v>
      </c>
      <c r="J268" s="57">
        <f>IF(LEFT(VLOOKUP(Z268,无限模式!$A$100:$X$119,5+5*(AA268-1),FALSE),13)="ResUnit_WuGui",75,0)</f>
        <v>0</v>
      </c>
      <c r="Z268" s="57">
        <v>19</v>
      </c>
      <c r="AA268" s="57">
        <v>1</v>
      </c>
    </row>
    <row r="269" spans="2:27" x14ac:dyDescent="0.2">
      <c r="B269" s="57" t="s">
        <v>3646</v>
      </c>
      <c r="C269" s="57">
        <v>1</v>
      </c>
      <c r="D269" s="57" t="s">
        <v>3660</v>
      </c>
      <c r="E269" s="102">
        <f>VLOOKUP(Z269,无限模式!$A$100:$X$119,(AA269-1)*5+4+4,FALSE)</f>
        <v>38475</v>
      </c>
      <c r="F269" s="57">
        <v>1</v>
      </c>
      <c r="G269" s="57">
        <v>0</v>
      </c>
      <c r="H269" s="57">
        <v>0</v>
      </c>
      <c r="I269" s="57">
        <v>0</v>
      </c>
      <c r="J269" s="57">
        <f>IF(LEFT(VLOOKUP(Z269,无限模式!$A$100:$X$119,5+5*(AA269-1),FALSE),13)="ResUnit_WuGui",75,0)</f>
        <v>75</v>
      </c>
      <c r="Z269" s="57">
        <v>19</v>
      </c>
      <c r="AA269" s="57">
        <v>2</v>
      </c>
    </row>
    <row r="270" spans="2:27" x14ac:dyDescent="0.2">
      <c r="B270" s="57" t="s">
        <v>3648</v>
      </c>
      <c r="C270" s="57">
        <v>1</v>
      </c>
      <c r="D270" s="57" t="s">
        <v>3660</v>
      </c>
      <c r="E270" s="102">
        <f>VLOOKUP(Z270,无限模式!$A$100:$X$119,(AA270-1)*5+4+4,FALSE)</f>
        <v>28856</v>
      </c>
      <c r="F270" s="57">
        <v>1</v>
      </c>
      <c r="G270" s="57">
        <v>0</v>
      </c>
      <c r="H270" s="57">
        <v>0</v>
      </c>
      <c r="I270" s="57">
        <v>0</v>
      </c>
      <c r="J270" s="57">
        <f>IF(LEFT(VLOOKUP(Z270,无限模式!$A$100:$X$119,5+5*(AA270-1),FALSE),13)="ResUnit_WuGui",75,0)</f>
        <v>0</v>
      </c>
      <c r="Z270" s="57">
        <v>19</v>
      </c>
      <c r="AA270" s="57">
        <v>3</v>
      </c>
    </row>
    <row r="271" spans="2:27" x14ac:dyDescent="0.2">
      <c r="B271" s="57" t="s">
        <v>3650</v>
      </c>
      <c r="C271" s="57">
        <v>1</v>
      </c>
      <c r="D271" s="57" t="s">
        <v>3660</v>
      </c>
      <c r="E271" s="102">
        <f>VLOOKUP(Z271,无限模式!$A$100:$X$119,(AA271-1)*5+4+4,FALSE)</f>
        <v>247328</v>
      </c>
      <c r="F271" s="57">
        <v>1</v>
      </c>
      <c r="G271" s="57">
        <v>0</v>
      </c>
      <c r="H271" s="57">
        <v>0</v>
      </c>
      <c r="I271" s="57">
        <v>0</v>
      </c>
      <c r="J271" s="57">
        <f>IF(LEFT(VLOOKUP(Z271,无限模式!$A$100:$X$119,5+5*(AA271-1),FALSE),13)="ResUnit_WuGui",75,0)</f>
        <v>0</v>
      </c>
      <c r="Z271" s="57">
        <v>20</v>
      </c>
      <c r="AA271" s="57">
        <v>1</v>
      </c>
    </row>
    <row r="272" spans="2:27" x14ac:dyDescent="0.2">
      <c r="B272" s="57" t="s">
        <v>3652</v>
      </c>
      <c r="C272" s="57">
        <v>1</v>
      </c>
      <c r="D272" s="57" t="s">
        <v>3660</v>
      </c>
      <c r="E272" s="102">
        <f>VLOOKUP(Z272,无限模式!$A$100:$X$119,(AA272-1)*5+4+4,FALSE)</f>
        <v>12366</v>
      </c>
      <c r="F272" s="57">
        <v>1</v>
      </c>
      <c r="G272" s="57">
        <v>0</v>
      </c>
      <c r="H272" s="57">
        <v>0</v>
      </c>
      <c r="I272" s="57">
        <v>0</v>
      </c>
      <c r="J272" s="57">
        <f>IF(LEFT(VLOOKUP(Z272,无限模式!$A$100:$X$119,5+5*(AA272-1),FALSE),13)="ResUnit_WuGui",75,0)</f>
        <v>0</v>
      </c>
      <c r="Z272" s="57">
        <v>20</v>
      </c>
      <c r="AA272" s="57">
        <v>2</v>
      </c>
    </row>
    <row r="273" spans="2:28" x14ac:dyDescent="0.2">
      <c r="B273" s="57" t="s">
        <v>3654</v>
      </c>
      <c r="C273" s="57">
        <v>1</v>
      </c>
      <c r="D273" s="57" t="s">
        <v>3660</v>
      </c>
      <c r="E273" s="102">
        <f>VLOOKUP(Z273,无限模式!$A$100:$X$119,(AA273-1)*5+4+4,FALSE)</f>
        <v>37099</v>
      </c>
      <c r="F273" s="57">
        <v>1</v>
      </c>
      <c r="G273" s="57">
        <v>0</v>
      </c>
      <c r="H273" s="57">
        <v>0</v>
      </c>
      <c r="I273" s="57">
        <v>0</v>
      </c>
      <c r="J273" s="57">
        <f>IF(LEFT(VLOOKUP(Z273,无限模式!$A$100:$X$119,5+5*(AA273-1),FALSE),13)="ResUnit_WuGui",75,0)</f>
        <v>0</v>
      </c>
      <c r="Z273" s="57">
        <v>20</v>
      </c>
      <c r="AA273" s="57">
        <v>3</v>
      </c>
    </row>
    <row r="274" spans="2:28" x14ac:dyDescent="0.2">
      <c r="B274" s="57" t="s">
        <v>3656</v>
      </c>
      <c r="C274" s="57">
        <v>1</v>
      </c>
      <c r="D274" s="57" t="s">
        <v>3660</v>
      </c>
      <c r="E274" s="102">
        <f>VLOOKUP(Z274,无限模式!$A$100:$X$119,(AA274-1)*5+4+4,FALSE)</f>
        <v>49466</v>
      </c>
      <c r="F274" s="57">
        <v>1</v>
      </c>
      <c r="G274" s="57">
        <v>0</v>
      </c>
      <c r="H274" s="57">
        <v>0</v>
      </c>
      <c r="I274" s="57">
        <v>0</v>
      </c>
      <c r="J274" s="57">
        <f>IF(LEFT(VLOOKUP(Z274,无限模式!$A$100:$X$119,5+5*(AA274-1),FALSE),13)="ResUnit_WuGui",75,0)</f>
        <v>75</v>
      </c>
      <c r="Z274" s="57">
        <v>20</v>
      </c>
      <c r="AA274" s="57">
        <v>4</v>
      </c>
    </row>
    <row r="275" spans="2:28" s="166" customFormat="1" x14ac:dyDescent="0.2"/>
    <row r="276" spans="2:28" x14ac:dyDescent="0.2">
      <c r="B276" s="57" t="s">
        <v>786</v>
      </c>
      <c r="C276" s="57">
        <v>1</v>
      </c>
      <c r="D276" s="57" t="s">
        <v>730</v>
      </c>
      <c r="E276" s="102">
        <f>VLOOKUP(Z276&amp;"_"&amp;AA276,挑战模式!$A$3:$Z$58,5+5*AB276,FALSE)</f>
        <v>162</v>
      </c>
      <c r="F276" s="57">
        <v>1</v>
      </c>
      <c r="G276" s="57">
        <v>0</v>
      </c>
      <c r="H276" s="57">
        <v>0</v>
      </c>
      <c r="I276" s="57">
        <v>0</v>
      </c>
      <c r="Z276" s="110" t="s">
        <v>3111</v>
      </c>
      <c r="AA276" s="110" t="s">
        <v>3111</v>
      </c>
      <c r="AB276" s="110" t="s">
        <v>3111</v>
      </c>
    </row>
    <row r="277" spans="2:28" x14ac:dyDescent="0.2">
      <c r="B277" s="57" t="s">
        <v>787</v>
      </c>
      <c r="C277" s="57">
        <v>1</v>
      </c>
      <c r="D277" s="57" t="s">
        <v>731</v>
      </c>
      <c r="E277" s="102">
        <f>VLOOKUP(Z277&amp;"_"&amp;AA277,挑战模式!$A$3:$Z$58,5+5*AB277,FALSE)</f>
        <v>115</v>
      </c>
      <c r="F277" s="57">
        <v>1</v>
      </c>
      <c r="G277" s="57">
        <v>0</v>
      </c>
      <c r="H277" s="57">
        <v>0</v>
      </c>
      <c r="I277" s="57">
        <v>0</v>
      </c>
      <c r="Z277" s="110" t="s">
        <v>3111</v>
      </c>
      <c r="AA277" s="110" t="s">
        <v>3112</v>
      </c>
      <c r="AB277" s="110" t="s">
        <v>3111</v>
      </c>
    </row>
    <row r="278" spans="2:28" x14ac:dyDescent="0.2">
      <c r="B278" s="57" t="s">
        <v>3031</v>
      </c>
      <c r="C278" s="57">
        <v>1</v>
      </c>
      <c r="D278" s="57" t="s">
        <v>3029</v>
      </c>
      <c r="E278" s="102">
        <f>VLOOKUP(Z278&amp;"_"&amp;AA278,挑战模式!$A$3:$Z$58,5+5*AB278,FALSE)</f>
        <v>230</v>
      </c>
      <c r="F278" s="57">
        <v>1</v>
      </c>
      <c r="G278" s="57">
        <v>0</v>
      </c>
      <c r="H278" s="57">
        <v>0</v>
      </c>
      <c r="I278" s="57">
        <v>0</v>
      </c>
      <c r="Z278" s="110" t="s">
        <v>3111</v>
      </c>
      <c r="AA278" s="110" t="s">
        <v>3112</v>
      </c>
      <c r="AB278" s="110" t="s">
        <v>3112</v>
      </c>
    </row>
    <row r="279" spans="2:28" x14ac:dyDescent="0.2">
      <c r="B279" s="57" t="s">
        <v>3032</v>
      </c>
      <c r="C279" s="57">
        <v>1</v>
      </c>
      <c r="D279" s="57" t="s">
        <v>3030</v>
      </c>
      <c r="E279" s="102" t="str">
        <f>VLOOKUP(Z279&amp;"_"&amp;AA279,挑战模式!$A$3:$Z$58,5+5*AB279,FALSE)</f>
        <v/>
      </c>
      <c r="F279" s="57">
        <v>1</v>
      </c>
      <c r="G279" s="57">
        <v>0</v>
      </c>
      <c r="H279" s="57">
        <v>0</v>
      </c>
      <c r="I279" s="57">
        <v>0</v>
      </c>
      <c r="Z279" s="110" t="s">
        <v>3111</v>
      </c>
      <c r="AA279" s="110" t="s">
        <v>3112</v>
      </c>
      <c r="AB279" s="110" t="s">
        <v>3113</v>
      </c>
    </row>
    <row r="280" spans="2:28" x14ac:dyDescent="0.2">
      <c r="B280" s="57" t="s">
        <v>788</v>
      </c>
      <c r="C280" s="57">
        <v>1</v>
      </c>
      <c r="D280" s="57" t="s">
        <v>732</v>
      </c>
      <c r="E280" s="102">
        <f>VLOOKUP(Z280&amp;"_"&amp;AA280,挑战模式!$A$3:$Z$58,5+5*AB280,FALSE)</f>
        <v>108</v>
      </c>
      <c r="F280" s="57">
        <v>1</v>
      </c>
      <c r="G280" s="57">
        <v>0</v>
      </c>
      <c r="H280" s="57">
        <v>0</v>
      </c>
      <c r="I280" s="57">
        <v>0</v>
      </c>
      <c r="Z280" s="110" t="s">
        <v>3112</v>
      </c>
      <c r="AA280" s="110" t="s">
        <v>3111</v>
      </c>
      <c r="AB280" s="110" t="s">
        <v>3111</v>
      </c>
    </row>
    <row r="281" spans="2:28" x14ac:dyDescent="0.2">
      <c r="B281" s="57" t="s">
        <v>789</v>
      </c>
      <c r="C281" s="57">
        <v>1</v>
      </c>
      <c r="D281" s="57" t="s">
        <v>733</v>
      </c>
      <c r="E281" s="102">
        <f>VLOOKUP(Z281&amp;"_"&amp;AA281,挑战模式!$A$3:$Z$58,5+5*AB281,FALSE)</f>
        <v>216</v>
      </c>
      <c r="F281" s="57">
        <v>1</v>
      </c>
      <c r="G281" s="57">
        <v>0</v>
      </c>
      <c r="H281" s="57">
        <v>0</v>
      </c>
      <c r="I281" s="57">
        <v>0</v>
      </c>
      <c r="Z281" s="110" t="s">
        <v>3112</v>
      </c>
      <c r="AA281" s="110" t="s">
        <v>3112</v>
      </c>
      <c r="AB281" s="110" t="s">
        <v>3111</v>
      </c>
    </row>
    <row r="282" spans="2:28" x14ac:dyDescent="0.2">
      <c r="B282" s="57" t="s">
        <v>790</v>
      </c>
      <c r="C282" s="57">
        <v>1</v>
      </c>
      <c r="D282" s="57" t="s">
        <v>734</v>
      </c>
      <c r="E282" s="102">
        <f>VLOOKUP(Z282&amp;"_"&amp;AA282,挑战模式!$A$3:$Z$58,5+5*AB282,FALSE)</f>
        <v>432</v>
      </c>
      <c r="F282" s="57">
        <v>1</v>
      </c>
      <c r="G282" s="57">
        <v>0</v>
      </c>
      <c r="H282" s="57">
        <v>0</v>
      </c>
      <c r="I282" s="57">
        <v>0</v>
      </c>
      <c r="Z282" s="110" t="s">
        <v>3112</v>
      </c>
      <c r="AA282" s="110" t="s">
        <v>3112</v>
      </c>
      <c r="AB282" s="110" t="s">
        <v>3112</v>
      </c>
    </row>
    <row r="283" spans="2:28" x14ac:dyDescent="0.2">
      <c r="B283" s="57" t="s">
        <v>791</v>
      </c>
      <c r="C283" s="57">
        <v>1</v>
      </c>
      <c r="D283" s="57" t="s">
        <v>735</v>
      </c>
      <c r="E283" s="102">
        <f>VLOOKUP(Z283&amp;"_"&amp;AA283,挑战模式!$A$3:$Z$58,5+5*AB283,FALSE)</f>
        <v>111</v>
      </c>
      <c r="F283" s="57">
        <v>1</v>
      </c>
      <c r="G283" s="57">
        <v>0</v>
      </c>
      <c r="H283" s="57">
        <v>0</v>
      </c>
      <c r="I283" s="57">
        <v>0</v>
      </c>
      <c r="Z283" s="110" t="s">
        <v>3112</v>
      </c>
      <c r="AA283" s="110" t="s">
        <v>3113</v>
      </c>
      <c r="AB283" s="110" t="s">
        <v>3111</v>
      </c>
    </row>
    <row r="284" spans="2:28" x14ac:dyDescent="0.2">
      <c r="B284" s="57" t="s">
        <v>792</v>
      </c>
      <c r="C284" s="57">
        <v>1</v>
      </c>
      <c r="D284" s="57" t="s">
        <v>736</v>
      </c>
      <c r="E284" s="102">
        <f>VLOOKUP(Z284&amp;"_"&amp;AA284,挑战模式!$A$3:$Z$58,5+5*AB284,FALSE)</f>
        <v>56</v>
      </c>
      <c r="F284" s="57">
        <v>1</v>
      </c>
      <c r="G284" s="57">
        <v>0</v>
      </c>
      <c r="H284" s="57">
        <v>0</v>
      </c>
      <c r="I284" s="57">
        <v>0</v>
      </c>
      <c r="Z284" s="110" t="s">
        <v>3112</v>
      </c>
      <c r="AA284" s="110" t="s">
        <v>3113</v>
      </c>
      <c r="AB284" s="110" t="s">
        <v>3112</v>
      </c>
    </row>
    <row r="285" spans="2:28" x14ac:dyDescent="0.2">
      <c r="B285" s="57" t="s">
        <v>3041</v>
      </c>
      <c r="C285" s="57">
        <v>1</v>
      </c>
      <c r="D285" s="57" t="s">
        <v>3088</v>
      </c>
      <c r="E285" s="102">
        <f>VLOOKUP(Z285&amp;"_"&amp;AA285,挑战模式!$A$3:$Z$58,5+5*AB285,FALSE)</f>
        <v>222</v>
      </c>
      <c r="F285" s="57">
        <v>1</v>
      </c>
      <c r="G285" s="57">
        <v>0</v>
      </c>
      <c r="H285" s="57">
        <v>0</v>
      </c>
      <c r="I285" s="57">
        <v>0</v>
      </c>
      <c r="Z285" s="110" t="s">
        <v>3112</v>
      </c>
      <c r="AA285" s="110" t="s">
        <v>3113</v>
      </c>
      <c r="AB285" s="110" t="s">
        <v>3113</v>
      </c>
    </row>
    <row r="286" spans="2:28" x14ac:dyDescent="0.2">
      <c r="B286" s="57" t="s">
        <v>3042</v>
      </c>
      <c r="C286" s="57">
        <v>1</v>
      </c>
      <c r="D286" s="57" t="s">
        <v>3089</v>
      </c>
      <c r="E286" s="102">
        <f>VLOOKUP(Z286&amp;"_"&amp;AA286,挑战模式!$A$3:$Z$58,5+5*AB286,FALSE)</f>
        <v>132</v>
      </c>
      <c r="F286" s="57">
        <v>1</v>
      </c>
      <c r="G286" s="57">
        <v>0</v>
      </c>
      <c r="H286" s="57">
        <v>0</v>
      </c>
      <c r="I286" s="57">
        <v>0</v>
      </c>
      <c r="Z286" s="110" t="s">
        <v>3113</v>
      </c>
      <c r="AA286" s="110" t="s">
        <v>3111</v>
      </c>
      <c r="AB286" s="110" t="s">
        <v>3111</v>
      </c>
    </row>
    <row r="287" spans="2:28" x14ac:dyDescent="0.2">
      <c r="B287" s="57" t="s">
        <v>793</v>
      </c>
      <c r="C287" s="57">
        <v>1</v>
      </c>
      <c r="D287" s="57" t="s">
        <v>737</v>
      </c>
      <c r="E287" s="102">
        <f>VLOOKUP(Z287&amp;"_"&amp;AA287,挑战模式!$A$3:$Z$58,5+5*AB287,FALSE)</f>
        <v>194</v>
      </c>
      <c r="F287" s="57">
        <v>1</v>
      </c>
      <c r="G287" s="57">
        <v>0</v>
      </c>
      <c r="H287" s="57">
        <v>0</v>
      </c>
      <c r="I287" s="57">
        <v>0</v>
      </c>
      <c r="Z287" s="110" t="s">
        <v>3113</v>
      </c>
      <c r="AA287" s="110" t="s">
        <v>3112</v>
      </c>
      <c r="AB287" s="110" t="s">
        <v>3111</v>
      </c>
    </row>
    <row r="288" spans="2:28" x14ac:dyDescent="0.2">
      <c r="B288" s="57" t="s">
        <v>794</v>
      </c>
      <c r="C288" s="57">
        <v>1</v>
      </c>
      <c r="D288" s="57" t="s">
        <v>738</v>
      </c>
      <c r="E288" s="102">
        <f>VLOOKUP(Z288&amp;"_"&amp;AA288,挑战模式!$A$3:$Z$58,5+5*AB288,FALSE)</f>
        <v>130</v>
      </c>
      <c r="F288" s="57">
        <v>1</v>
      </c>
      <c r="G288" s="57">
        <v>0</v>
      </c>
      <c r="H288" s="57">
        <v>0</v>
      </c>
      <c r="I288" s="57">
        <v>0</v>
      </c>
      <c r="Z288" s="110" t="s">
        <v>3113</v>
      </c>
      <c r="AA288" s="110" t="s">
        <v>3112</v>
      </c>
      <c r="AB288" s="110" t="s">
        <v>3112</v>
      </c>
    </row>
    <row r="289" spans="2:28" x14ac:dyDescent="0.2">
      <c r="B289" s="57" t="s">
        <v>795</v>
      </c>
      <c r="C289" s="57">
        <v>1</v>
      </c>
      <c r="D289" s="57" t="s">
        <v>739</v>
      </c>
      <c r="E289" s="102">
        <f>VLOOKUP(Z289&amp;"_"&amp;AA289,挑战模式!$A$3:$Z$58,5+5*AB289,FALSE)</f>
        <v>460</v>
      </c>
      <c r="F289" s="57">
        <v>1</v>
      </c>
      <c r="G289" s="57">
        <v>0</v>
      </c>
      <c r="H289" s="57">
        <v>0</v>
      </c>
      <c r="I289" s="57">
        <v>0</v>
      </c>
      <c r="Z289" s="110" t="s">
        <v>3113</v>
      </c>
      <c r="AA289" s="110" t="s">
        <v>3113</v>
      </c>
      <c r="AB289" s="110" t="s">
        <v>3111</v>
      </c>
    </row>
    <row r="290" spans="2:28" x14ac:dyDescent="0.2">
      <c r="B290" s="57" t="s">
        <v>796</v>
      </c>
      <c r="C290" s="57">
        <v>1</v>
      </c>
      <c r="D290" s="57" t="s">
        <v>740</v>
      </c>
      <c r="E290" s="102">
        <f>VLOOKUP(Z290&amp;"_"&amp;AA290,挑战模式!$A$3:$Z$58,5+5*AB290,FALSE)</f>
        <v>77</v>
      </c>
      <c r="F290" s="57">
        <v>1</v>
      </c>
      <c r="G290" s="57">
        <v>0</v>
      </c>
      <c r="H290" s="57">
        <v>0</v>
      </c>
      <c r="I290" s="57">
        <v>0</v>
      </c>
      <c r="Z290" s="110" t="s">
        <v>3113</v>
      </c>
      <c r="AA290" s="110" t="s">
        <v>3113</v>
      </c>
      <c r="AB290" s="110" t="s">
        <v>3112</v>
      </c>
    </row>
    <row r="291" spans="2:28" x14ac:dyDescent="0.2">
      <c r="B291" s="57" t="s">
        <v>3043</v>
      </c>
      <c r="C291" s="57">
        <v>1</v>
      </c>
      <c r="D291" s="57" t="s">
        <v>3090</v>
      </c>
      <c r="E291" s="102">
        <f>VLOOKUP(Z291&amp;"_"&amp;AA291,挑战模式!$A$3:$Z$58,5+5*AB291,FALSE)</f>
        <v>307</v>
      </c>
      <c r="F291" s="57">
        <v>1</v>
      </c>
      <c r="G291" s="57">
        <v>0</v>
      </c>
      <c r="H291" s="57">
        <v>0</v>
      </c>
      <c r="I291" s="57">
        <v>0</v>
      </c>
      <c r="Z291" s="110" t="s">
        <v>3113</v>
      </c>
      <c r="AA291" s="110" t="s">
        <v>3113</v>
      </c>
      <c r="AB291" s="110" t="s">
        <v>3113</v>
      </c>
    </row>
    <row r="292" spans="2:28" x14ac:dyDescent="0.2">
      <c r="B292" s="57" t="s">
        <v>797</v>
      </c>
      <c r="C292" s="57">
        <v>1</v>
      </c>
      <c r="D292" s="57" t="s">
        <v>741</v>
      </c>
      <c r="E292" s="102">
        <f>VLOOKUP(Z292&amp;"_"&amp;AA292,挑战模式!$A$3:$Z$58,5+5*AB292,FALSE)</f>
        <v>231</v>
      </c>
      <c r="F292" s="57">
        <v>1</v>
      </c>
      <c r="G292" s="57">
        <v>0</v>
      </c>
      <c r="H292" s="57">
        <v>0</v>
      </c>
      <c r="I292" s="57">
        <v>0</v>
      </c>
      <c r="Z292" s="110" t="s">
        <v>3114</v>
      </c>
      <c r="AA292" s="110" t="s">
        <v>3111</v>
      </c>
      <c r="AB292" s="110" t="s">
        <v>3111</v>
      </c>
    </row>
    <row r="293" spans="2:28" x14ac:dyDescent="0.2">
      <c r="B293" s="57" t="s">
        <v>3044</v>
      </c>
      <c r="C293" s="57">
        <v>1</v>
      </c>
      <c r="D293" s="57" t="s">
        <v>3091</v>
      </c>
      <c r="E293" s="102">
        <f>VLOOKUP(Z293&amp;"_"&amp;AA293,挑战模式!$A$3:$Z$58,5+5*AB293,FALSE)</f>
        <v>19</v>
      </c>
      <c r="F293" s="57">
        <v>1</v>
      </c>
      <c r="G293" s="57">
        <v>0</v>
      </c>
      <c r="H293" s="57">
        <v>0</v>
      </c>
      <c r="I293" s="57">
        <v>0</v>
      </c>
      <c r="Z293" s="110" t="s">
        <v>3114</v>
      </c>
      <c r="AA293" s="110" t="s">
        <v>3111</v>
      </c>
      <c r="AB293" s="110" t="s">
        <v>3112</v>
      </c>
    </row>
    <row r="294" spans="2:28" x14ac:dyDescent="0.2">
      <c r="B294" s="57" t="s">
        <v>798</v>
      </c>
      <c r="C294" s="57">
        <v>1</v>
      </c>
      <c r="D294" s="57" t="s">
        <v>742</v>
      </c>
      <c r="E294" s="102">
        <f>VLOOKUP(Z294&amp;"_"&amp;AA294,挑战模式!$A$3:$Z$58,5+5*AB294,FALSE)</f>
        <v>425</v>
      </c>
      <c r="F294" s="57">
        <v>1</v>
      </c>
      <c r="G294" s="57">
        <v>0</v>
      </c>
      <c r="H294" s="57">
        <v>0</v>
      </c>
      <c r="I294" s="57">
        <v>0</v>
      </c>
      <c r="Z294" s="110" t="s">
        <v>3114</v>
      </c>
      <c r="AA294" s="110" t="s">
        <v>3112</v>
      </c>
      <c r="AB294" s="110" t="s">
        <v>3111</v>
      </c>
    </row>
    <row r="295" spans="2:28" x14ac:dyDescent="0.2">
      <c r="B295" s="57" t="s">
        <v>799</v>
      </c>
      <c r="C295" s="57">
        <v>1</v>
      </c>
      <c r="D295" s="57" t="s">
        <v>743</v>
      </c>
      <c r="E295" s="102">
        <f>VLOOKUP(Z295&amp;"_"&amp;AA295,挑战模式!$A$3:$Z$58,5+5*AB295,FALSE)</f>
        <v>142</v>
      </c>
      <c r="F295" s="57">
        <v>1</v>
      </c>
      <c r="G295" s="57">
        <v>0</v>
      </c>
      <c r="H295" s="57">
        <v>0</v>
      </c>
      <c r="I295" s="57">
        <v>0</v>
      </c>
      <c r="Z295" s="110" t="s">
        <v>3114</v>
      </c>
      <c r="AA295" s="110" t="s">
        <v>3112</v>
      </c>
      <c r="AB295" s="110" t="s">
        <v>3112</v>
      </c>
    </row>
    <row r="296" spans="2:28" x14ac:dyDescent="0.2">
      <c r="B296" s="57" t="s">
        <v>3045</v>
      </c>
      <c r="C296" s="57">
        <v>1</v>
      </c>
      <c r="D296" s="57" t="s">
        <v>3092</v>
      </c>
      <c r="E296" s="102">
        <f>VLOOKUP(Z296&amp;"_"&amp;AA296,挑战模式!$A$3:$Z$58,5+5*AB296,FALSE)</f>
        <v>71</v>
      </c>
      <c r="F296" s="57">
        <v>1</v>
      </c>
      <c r="G296" s="57">
        <v>0</v>
      </c>
      <c r="H296" s="57">
        <v>0</v>
      </c>
      <c r="I296" s="57">
        <v>0</v>
      </c>
      <c r="Z296" s="110" t="s">
        <v>3114</v>
      </c>
      <c r="AA296" s="110" t="s">
        <v>3112</v>
      </c>
      <c r="AB296" s="110" t="s">
        <v>3113</v>
      </c>
    </row>
    <row r="297" spans="2:28" x14ac:dyDescent="0.2">
      <c r="B297" s="57" t="s">
        <v>800</v>
      </c>
      <c r="C297" s="57">
        <v>1</v>
      </c>
      <c r="D297" s="57" t="s">
        <v>744</v>
      </c>
      <c r="E297" s="102">
        <f>VLOOKUP(Z297&amp;"_"&amp;AA297,挑战模式!$A$3:$Z$58,5+5*AB297,FALSE)</f>
        <v>479</v>
      </c>
      <c r="F297" s="57">
        <v>1</v>
      </c>
      <c r="G297" s="57">
        <v>0</v>
      </c>
      <c r="H297" s="57">
        <v>0</v>
      </c>
      <c r="I297" s="57">
        <v>0</v>
      </c>
      <c r="Z297" s="110" t="s">
        <v>3114</v>
      </c>
      <c r="AA297" s="110" t="s">
        <v>3113</v>
      </c>
      <c r="AB297" s="110" t="s">
        <v>3111</v>
      </c>
    </row>
    <row r="298" spans="2:28" x14ac:dyDescent="0.2">
      <c r="B298" s="57" t="s">
        <v>801</v>
      </c>
      <c r="C298" s="57">
        <v>1</v>
      </c>
      <c r="D298" s="57" t="s">
        <v>745</v>
      </c>
      <c r="E298" s="102">
        <f>VLOOKUP(Z298&amp;"_"&amp;AA298,挑战模式!$A$3:$Z$58,5+5*AB298,FALSE)</f>
        <v>40</v>
      </c>
      <c r="F298" s="57">
        <v>1</v>
      </c>
      <c r="G298" s="57">
        <v>0</v>
      </c>
      <c r="H298" s="57">
        <v>0</v>
      </c>
      <c r="I298" s="57">
        <v>0</v>
      </c>
      <c r="Z298" s="110" t="s">
        <v>3114</v>
      </c>
      <c r="AA298" s="110" t="s">
        <v>3113</v>
      </c>
      <c r="AB298" s="110" t="s">
        <v>3112</v>
      </c>
    </row>
    <row r="299" spans="2:28" x14ac:dyDescent="0.2">
      <c r="B299" s="57" t="s">
        <v>3046</v>
      </c>
      <c r="C299" s="57">
        <v>1</v>
      </c>
      <c r="D299" s="57" t="s">
        <v>3093</v>
      </c>
      <c r="E299" s="102">
        <f>VLOOKUP(Z299&amp;"_"&amp;AA299,挑战模式!$A$3:$Z$58,5+5*AB299,FALSE)</f>
        <v>160</v>
      </c>
      <c r="F299" s="57">
        <v>1</v>
      </c>
      <c r="G299" s="57">
        <v>0</v>
      </c>
      <c r="H299" s="57">
        <v>0</v>
      </c>
      <c r="I299" s="57">
        <v>0</v>
      </c>
      <c r="Z299" s="110" t="s">
        <v>3114</v>
      </c>
      <c r="AA299" s="110" t="s">
        <v>3113</v>
      </c>
      <c r="AB299" s="110" t="s">
        <v>3113</v>
      </c>
    </row>
    <row r="300" spans="2:28" x14ac:dyDescent="0.2">
      <c r="B300" s="57" t="s">
        <v>3047</v>
      </c>
      <c r="C300" s="57">
        <v>1</v>
      </c>
      <c r="D300" s="57" t="s">
        <v>3094</v>
      </c>
      <c r="E300" s="102">
        <f>VLOOKUP(Z300&amp;"_"&amp;AA300,挑战模式!$A$3:$Z$58,5+5*AB300,FALSE)</f>
        <v>160</v>
      </c>
      <c r="F300" s="57">
        <v>1</v>
      </c>
      <c r="G300" s="57">
        <v>0</v>
      </c>
      <c r="H300" s="57">
        <v>0</v>
      </c>
      <c r="I300" s="57">
        <v>0</v>
      </c>
      <c r="Z300" s="110" t="s">
        <v>3114</v>
      </c>
      <c r="AA300" s="110" t="s">
        <v>3113</v>
      </c>
      <c r="AB300" s="110" t="s">
        <v>3114</v>
      </c>
    </row>
    <row r="301" spans="2:28" x14ac:dyDescent="0.2">
      <c r="B301" s="57" t="s">
        <v>802</v>
      </c>
      <c r="C301" s="57">
        <v>1</v>
      </c>
      <c r="D301" s="57" t="s">
        <v>746</v>
      </c>
      <c r="E301" s="102">
        <f>VLOOKUP(Z301&amp;"_"&amp;AA301,挑战模式!$A$3:$Z$58,5+5*AB301,FALSE)</f>
        <v>370</v>
      </c>
      <c r="F301" s="57">
        <v>1</v>
      </c>
      <c r="G301" s="57">
        <v>0</v>
      </c>
      <c r="H301" s="57">
        <v>0</v>
      </c>
      <c r="I301" s="57">
        <v>0</v>
      </c>
      <c r="Z301" s="110" t="s">
        <v>3115</v>
      </c>
      <c r="AA301" s="110" t="s">
        <v>3111</v>
      </c>
      <c r="AB301" s="110" t="s">
        <v>3111</v>
      </c>
    </row>
    <row r="302" spans="2:28" x14ac:dyDescent="0.2">
      <c r="B302" s="57" t="s">
        <v>803</v>
      </c>
      <c r="C302" s="57">
        <v>1</v>
      </c>
      <c r="D302" s="57" t="s">
        <v>747</v>
      </c>
      <c r="E302" s="102">
        <f>VLOOKUP(Z302&amp;"_"&amp;AA302,挑战模式!$A$3:$Z$58,5+5*AB302,FALSE)</f>
        <v>257</v>
      </c>
      <c r="F302" s="57">
        <v>1</v>
      </c>
      <c r="G302" s="57">
        <v>0</v>
      </c>
      <c r="H302" s="57">
        <v>0</v>
      </c>
      <c r="I302" s="57">
        <v>0</v>
      </c>
      <c r="Z302" s="110" t="s">
        <v>3115</v>
      </c>
      <c r="AA302" s="110" t="s">
        <v>3112</v>
      </c>
      <c r="AB302" s="110" t="s">
        <v>3111</v>
      </c>
    </row>
    <row r="303" spans="2:28" x14ac:dyDescent="0.2">
      <c r="B303" s="57" t="s">
        <v>804</v>
      </c>
      <c r="C303" s="57">
        <v>1</v>
      </c>
      <c r="D303" s="57" t="s">
        <v>748</v>
      </c>
      <c r="E303" s="102">
        <f>VLOOKUP(Z303&amp;"_"&amp;AA303,挑战模式!$A$3:$Z$58,5+5*AB303,FALSE)</f>
        <v>257</v>
      </c>
      <c r="F303" s="57">
        <v>1</v>
      </c>
      <c r="G303" s="57">
        <v>0</v>
      </c>
      <c r="H303" s="57">
        <v>0</v>
      </c>
      <c r="I303" s="57">
        <v>0</v>
      </c>
      <c r="Z303" s="110" t="s">
        <v>3115</v>
      </c>
      <c r="AA303" s="110" t="s">
        <v>3112</v>
      </c>
      <c r="AB303" s="110" t="s">
        <v>3112</v>
      </c>
    </row>
    <row r="304" spans="2:28" x14ac:dyDescent="0.2">
      <c r="B304" s="57" t="s">
        <v>805</v>
      </c>
      <c r="C304" s="57">
        <v>1</v>
      </c>
      <c r="D304" s="57" t="s">
        <v>749</v>
      </c>
      <c r="E304" s="102">
        <f>VLOOKUP(Z304&amp;"_"&amp;AA304,挑战模式!$A$3:$Z$58,5+5*AB304,FALSE)</f>
        <v>198</v>
      </c>
      <c r="F304" s="57">
        <v>1</v>
      </c>
      <c r="G304" s="57">
        <v>0</v>
      </c>
      <c r="H304" s="57">
        <v>0</v>
      </c>
      <c r="I304" s="57">
        <v>0</v>
      </c>
      <c r="Z304" s="110" t="s">
        <v>3115</v>
      </c>
      <c r="AA304" s="110" t="s">
        <v>3113</v>
      </c>
      <c r="AB304" s="110" t="s">
        <v>3111</v>
      </c>
    </row>
    <row r="305" spans="2:28" x14ac:dyDescent="0.2">
      <c r="B305" s="57" t="s">
        <v>806</v>
      </c>
      <c r="C305" s="57">
        <v>1</v>
      </c>
      <c r="D305" s="57" t="s">
        <v>750</v>
      </c>
      <c r="E305" s="102">
        <f>VLOOKUP(Z305&amp;"_"&amp;AA305,挑战模式!$A$3:$Z$58,5+5*AB305,FALSE)</f>
        <v>595</v>
      </c>
      <c r="F305" s="57">
        <v>1</v>
      </c>
      <c r="G305" s="57">
        <v>0</v>
      </c>
      <c r="H305" s="57">
        <v>0</v>
      </c>
      <c r="I305" s="57">
        <v>0</v>
      </c>
      <c r="Z305" s="110" t="s">
        <v>3115</v>
      </c>
      <c r="AA305" s="110" t="s">
        <v>3113</v>
      </c>
      <c r="AB305" s="110" t="s">
        <v>3112</v>
      </c>
    </row>
    <row r="306" spans="2:28" x14ac:dyDescent="0.2">
      <c r="B306" s="57" t="s">
        <v>807</v>
      </c>
      <c r="C306" s="57">
        <v>1</v>
      </c>
      <c r="D306" s="57" t="s">
        <v>751</v>
      </c>
      <c r="E306" s="102">
        <f>VLOOKUP(Z306&amp;"_"&amp;AA306,挑战模式!$A$3:$Z$58,5+5*AB306,FALSE)</f>
        <v>198</v>
      </c>
      <c r="F306" s="57">
        <v>1</v>
      </c>
      <c r="G306" s="57">
        <v>0</v>
      </c>
      <c r="H306" s="57">
        <v>0</v>
      </c>
      <c r="I306" s="57">
        <v>0</v>
      </c>
      <c r="Z306" s="110" t="s">
        <v>3115</v>
      </c>
      <c r="AA306" s="110" t="s">
        <v>3113</v>
      </c>
      <c r="AB306" s="110" t="s">
        <v>3113</v>
      </c>
    </row>
    <row r="307" spans="2:28" x14ac:dyDescent="0.2">
      <c r="B307" s="57" t="s">
        <v>808</v>
      </c>
      <c r="C307" s="57">
        <v>1</v>
      </c>
      <c r="D307" s="57" t="s">
        <v>752</v>
      </c>
      <c r="E307" s="102">
        <f>VLOOKUP(Z307&amp;"_"&amp;AA307,挑战模式!$A$3:$Z$58,5+5*AB307,FALSE)</f>
        <v>303</v>
      </c>
      <c r="F307" s="57">
        <v>1</v>
      </c>
      <c r="G307" s="57">
        <v>0</v>
      </c>
      <c r="H307" s="57">
        <v>0</v>
      </c>
      <c r="I307" s="57">
        <v>0</v>
      </c>
      <c r="Z307" s="110" t="s">
        <v>3115</v>
      </c>
      <c r="AA307" s="110" t="s">
        <v>3114</v>
      </c>
      <c r="AB307" s="110" t="s">
        <v>3111</v>
      </c>
    </row>
    <row r="308" spans="2:28" x14ac:dyDescent="0.2">
      <c r="B308" s="57" t="s">
        <v>809</v>
      </c>
      <c r="C308" s="57">
        <v>1</v>
      </c>
      <c r="D308" s="57" t="s">
        <v>753</v>
      </c>
      <c r="E308" s="102">
        <f>VLOOKUP(Z308&amp;"_"&amp;AA308,挑战模式!$A$3:$Z$58,5+5*AB308,FALSE)</f>
        <v>303</v>
      </c>
      <c r="F308" s="57">
        <v>1</v>
      </c>
      <c r="G308" s="57">
        <v>0</v>
      </c>
      <c r="H308" s="57">
        <v>0</v>
      </c>
      <c r="I308" s="57">
        <v>0</v>
      </c>
      <c r="Z308" s="110" t="s">
        <v>3115</v>
      </c>
      <c r="AA308" s="110" t="s">
        <v>3114</v>
      </c>
      <c r="AB308" s="110" t="s">
        <v>3112</v>
      </c>
    </row>
    <row r="309" spans="2:28" x14ac:dyDescent="0.2">
      <c r="B309" s="57" t="s">
        <v>3048</v>
      </c>
      <c r="C309" s="57">
        <v>1</v>
      </c>
      <c r="D309" s="57" t="s">
        <v>3095</v>
      </c>
      <c r="E309" s="102">
        <f>VLOOKUP(Z309&amp;"_"&amp;AA309,挑战模式!$A$3:$Z$58,5+5*AB309,FALSE)</f>
        <v>909</v>
      </c>
      <c r="F309" s="57">
        <v>1</v>
      </c>
      <c r="G309" s="57">
        <v>0</v>
      </c>
      <c r="H309" s="57">
        <v>0</v>
      </c>
      <c r="I309" s="57">
        <v>0</v>
      </c>
      <c r="Z309" s="110" t="s">
        <v>3115</v>
      </c>
      <c r="AA309" s="110" t="s">
        <v>3114</v>
      </c>
      <c r="AB309" s="110" t="s">
        <v>3113</v>
      </c>
    </row>
    <row r="310" spans="2:28" x14ac:dyDescent="0.2">
      <c r="B310" s="57" t="s">
        <v>810</v>
      </c>
      <c r="C310" s="57">
        <v>1</v>
      </c>
      <c r="D310" s="57" t="s">
        <v>754</v>
      </c>
      <c r="E310" s="102">
        <f>VLOOKUP(Z310&amp;"_"&amp;AA310,挑战模式!$A$3:$Z$58,5+5*AB310,FALSE)</f>
        <v>270</v>
      </c>
      <c r="F310" s="57">
        <v>1</v>
      </c>
      <c r="G310" s="57">
        <v>0</v>
      </c>
      <c r="H310" s="57">
        <v>0</v>
      </c>
      <c r="I310" s="57">
        <v>0</v>
      </c>
      <c r="Z310" s="110" t="s">
        <v>3115</v>
      </c>
      <c r="AA310" s="110" t="s">
        <v>3115</v>
      </c>
      <c r="AB310" s="110" t="s">
        <v>3111</v>
      </c>
    </row>
    <row r="311" spans="2:28" x14ac:dyDescent="0.2">
      <c r="B311" s="57" t="s">
        <v>811</v>
      </c>
      <c r="C311" s="57">
        <v>1</v>
      </c>
      <c r="D311" s="57" t="s">
        <v>755</v>
      </c>
      <c r="E311" s="102">
        <f>VLOOKUP(Z311&amp;"_"&amp;AA311,挑战模式!$A$3:$Z$58,5+5*AB311,FALSE)</f>
        <v>810</v>
      </c>
      <c r="F311" s="57">
        <v>1</v>
      </c>
      <c r="G311" s="57">
        <v>0</v>
      </c>
      <c r="H311" s="57">
        <v>0</v>
      </c>
      <c r="I311" s="57">
        <v>0</v>
      </c>
      <c r="Z311" s="110" t="s">
        <v>3115</v>
      </c>
      <c r="AA311" s="110" t="s">
        <v>3115</v>
      </c>
      <c r="AB311" s="110" t="s">
        <v>3112</v>
      </c>
    </row>
    <row r="312" spans="2:28" x14ac:dyDescent="0.2">
      <c r="B312" s="57" t="s">
        <v>812</v>
      </c>
      <c r="C312" s="57">
        <v>1</v>
      </c>
      <c r="D312" s="57" t="s">
        <v>756</v>
      </c>
      <c r="E312" s="102">
        <f>VLOOKUP(Z312&amp;"_"&amp;AA312,挑战模式!$A$3:$Z$58,5+5*AB312,FALSE)</f>
        <v>270</v>
      </c>
      <c r="F312" s="57">
        <v>1</v>
      </c>
      <c r="G312" s="57">
        <v>0</v>
      </c>
      <c r="H312" s="57">
        <v>0</v>
      </c>
      <c r="I312" s="57">
        <v>0</v>
      </c>
      <c r="Z312" s="110" t="s">
        <v>3115</v>
      </c>
      <c r="AA312" s="110" t="s">
        <v>3115</v>
      </c>
      <c r="AB312" s="110" t="s">
        <v>3113</v>
      </c>
    </row>
    <row r="313" spans="2:28" x14ac:dyDescent="0.2">
      <c r="B313" s="57" t="s">
        <v>813</v>
      </c>
      <c r="C313" s="57">
        <v>1</v>
      </c>
      <c r="D313" s="57" t="s">
        <v>757</v>
      </c>
      <c r="E313" s="102">
        <f>VLOOKUP(Z313&amp;"_"&amp;AA313,挑战模式!$A$3:$Z$58,5+5*AB313,FALSE)</f>
        <v>270</v>
      </c>
      <c r="F313" s="57">
        <v>1</v>
      </c>
      <c r="G313" s="57">
        <v>0</v>
      </c>
      <c r="H313" s="57">
        <v>0</v>
      </c>
      <c r="I313" s="57">
        <v>0</v>
      </c>
      <c r="Z313" s="110" t="s">
        <v>3115</v>
      </c>
      <c r="AA313" s="110" t="s">
        <v>3115</v>
      </c>
      <c r="AB313" s="110" t="s">
        <v>3114</v>
      </c>
    </row>
    <row r="314" spans="2:28" x14ac:dyDescent="0.2">
      <c r="B314" s="57" t="s">
        <v>1030</v>
      </c>
      <c r="C314" s="57">
        <v>1</v>
      </c>
      <c r="D314" s="57" t="s">
        <v>964</v>
      </c>
      <c r="E314" s="102">
        <f>VLOOKUP(Z314&amp;"_"&amp;AA314,挑战模式!$A$3:$Z$58,5+5*AB314,FALSE)</f>
        <v>215</v>
      </c>
      <c r="F314" s="57">
        <v>1</v>
      </c>
      <c r="G314" s="57">
        <v>0</v>
      </c>
      <c r="H314" s="57">
        <v>0</v>
      </c>
      <c r="I314" s="57">
        <v>0</v>
      </c>
      <c r="Z314" s="110" t="s">
        <v>3116</v>
      </c>
      <c r="AA314" s="110" t="s">
        <v>3111</v>
      </c>
      <c r="AB314" s="110" t="s">
        <v>3111</v>
      </c>
    </row>
    <row r="315" spans="2:28" x14ac:dyDescent="0.2">
      <c r="B315" s="57" t="s">
        <v>1031</v>
      </c>
      <c r="C315" s="57">
        <v>1</v>
      </c>
      <c r="D315" s="57" t="s">
        <v>965</v>
      </c>
      <c r="E315" s="102">
        <f>VLOOKUP(Z315&amp;"_"&amp;AA315,挑战模式!$A$3:$Z$58,5+5*AB315,FALSE)</f>
        <v>322</v>
      </c>
      <c r="F315" s="57">
        <v>1</v>
      </c>
      <c r="G315" s="57">
        <v>0</v>
      </c>
      <c r="H315" s="57">
        <v>0</v>
      </c>
      <c r="I315" s="57">
        <v>0</v>
      </c>
      <c r="Z315" s="110" t="s">
        <v>3116</v>
      </c>
      <c r="AA315" s="110" t="s">
        <v>3111</v>
      </c>
      <c r="AB315" s="110" t="s">
        <v>3112</v>
      </c>
    </row>
    <row r="316" spans="2:28" x14ac:dyDescent="0.2">
      <c r="B316" s="57" t="s">
        <v>1032</v>
      </c>
      <c r="C316" s="57">
        <v>1</v>
      </c>
      <c r="D316" s="57" t="s">
        <v>966</v>
      </c>
      <c r="E316" s="102">
        <f>VLOOKUP(Z316&amp;"_"&amp;AA316,挑战模式!$A$3:$Z$58,5+5*AB316,FALSE)</f>
        <v>276</v>
      </c>
      <c r="F316" s="57">
        <v>1</v>
      </c>
      <c r="G316" s="57">
        <v>0</v>
      </c>
      <c r="H316" s="57">
        <v>0</v>
      </c>
      <c r="I316" s="57">
        <v>0</v>
      </c>
      <c r="Z316" s="110" t="s">
        <v>3116</v>
      </c>
      <c r="AA316" s="110" t="s">
        <v>3112</v>
      </c>
      <c r="AB316" s="110" t="s">
        <v>3111</v>
      </c>
    </row>
    <row r="317" spans="2:28" x14ac:dyDescent="0.2">
      <c r="B317" s="57" t="s">
        <v>1033</v>
      </c>
      <c r="C317" s="57">
        <v>1</v>
      </c>
      <c r="D317" s="57" t="s">
        <v>967</v>
      </c>
      <c r="E317" s="102">
        <f>VLOOKUP(Z317&amp;"_"&amp;AA317,挑战模式!$A$3:$Z$58,5+5*AB317,FALSE)</f>
        <v>138</v>
      </c>
      <c r="F317" s="57">
        <v>1</v>
      </c>
      <c r="G317" s="57">
        <v>0</v>
      </c>
      <c r="H317" s="57">
        <v>0</v>
      </c>
      <c r="I317" s="57">
        <v>0</v>
      </c>
      <c r="Z317" s="110" t="s">
        <v>3116</v>
      </c>
      <c r="AA317" s="110" t="s">
        <v>3112</v>
      </c>
      <c r="AB317" s="110" t="s">
        <v>3112</v>
      </c>
    </row>
    <row r="318" spans="2:28" x14ac:dyDescent="0.2">
      <c r="B318" s="57" t="s">
        <v>3049</v>
      </c>
      <c r="C318" s="57">
        <v>1</v>
      </c>
      <c r="D318" s="57" t="s">
        <v>3096</v>
      </c>
      <c r="E318" s="102">
        <f>VLOOKUP(Z318&amp;"_"&amp;AA318,挑战模式!$A$3:$Z$58,5+5*AB318,FALSE)</f>
        <v>414</v>
      </c>
      <c r="F318" s="57">
        <v>1</v>
      </c>
      <c r="G318" s="57">
        <v>0</v>
      </c>
      <c r="H318" s="57">
        <v>0</v>
      </c>
      <c r="I318" s="57">
        <v>0</v>
      </c>
      <c r="Z318" s="110" t="s">
        <v>3116</v>
      </c>
      <c r="AA318" s="110" t="s">
        <v>3112</v>
      </c>
      <c r="AB318" s="110" t="s">
        <v>3113</v>
      </c>
    </row>
    <row r="319" spans="2:28" x14ac:dyDescent="0.2">
      <c r="B319" s="57" t="s">
        <v>1034</v>
      </c>
      <c r="C319" s="57">
        <v>1</v>
      </c>
      <c r="D319" s="57" t="s">
        <v>968</v>
      </c>
      <c r="E319" s="102">
        <f>VLOOKUP(Z319&amp;"_"&amp;AA319,挑战模式!$A$3:$Z$58,5+5*AB319,FALSE)</f>
        <v>299</v>
      </c>
      <c r="F319" s="57">
        <v>1</v>
      </c>
      <c r="G319" s="57">
        <v>0</v>
      </c>
      <c r="H319" s="57">
        <v>0</v>
      </c>
      <c r="I319" s="57">
        <v>0</v>
      </c>
      <c r="Z319" s="110" t="s">
        <v>3116</v>
      </c>
      <c r="AA319" s="110" t="s">
        <v>3113</v>
      </c>
      <c r="AB319" s="110" t="s">
        <v>3111</v>
      </c>
    </row>
    <row r="320" spans="2:28" x14ac:dyDescent="0.2">
      <c r="B320" s="57" t="s">
        <v>1035</v>
      </c>
      <c r="C320" s="57">
        <v>1</v>
      </c>
      <c r="D320" s="57" t="s">
        <v>969</v>
      </c>
      <c r="E320" s="102">
        <f>VLOOKUP(Z320&amp;"_"&amp;AA320,挑战模式!$A$3:$Z$58,5+5*AB320,FALSE)</f>
        <v>449</v>
      </c>
      <c r="F320" s="57">
        <v>1</v>
      </c>
      <c r="G320" s="57">
        <v>0</v>
      </c>
      <c r="H320" s="57">
        <v>0</v>
      </c>
      <c r="I320" s="57">
        <v>0</v>
      </c>
      <c r="Z320" s="110" t="s">
        <v>3116</v>
      </c>
      <c r="AA320" s="110" t="s">
        <v>3113</v>
      </c>
      <c r="AB320" s="110" t="s">
        <v>3112</v>
      </c>
    </row>
    <row r="321" spans="2:28" x14ac:dyDescent="0.2">
      <c r="B321" s="57" t="s">
        <v>1036</v>
      </c>
      <c r="C321" s="57">
        <v>1</v>
      </c>
      <c r="D321" s="57" t="s">
        <v>970</v>
      </c>
      <c r="E321" s="102">
        <f>VLOOKUP(Z321&amp;"_"&amp;AA321,挑战模式!$A$3:$Z$58,5+5*AB321,FALSE)</f>
        <v>150</v>
      </c>
      <c r="F321" s="57">
        <v>1</v>
      </c>
      <c r="G321" s="57">
        <v>0</v>
      </c>
      <c r="H321" s="57">
        <v>0</v>
      </c>
      <c r="I321" s="57">
        <v>0</v>
      </c>
      <c r="Z321" s="110" t="s">
        <v>3116</v>
      </c>
      <c r="AA321" s="110" t="s">
        <v>3113</v>
      </c>
      <c r="AB321" s="110" t="s">
        <v>3113</v>
      </c>
    </row>
    <row r="322" spans="2:28" x14ac:dyDescent="0.2">
      <c r="B322" s="57" t="s">
        <v>3050</v>
      </c>
      <c r="C322" s="57">
        <v>1</v>
      </c>
      <c r="D322" s="57" t="s">
        <v>3097</v>
      </c>
      <c r="E322" s="102">
        <f>VLOOKUP(Z322&amp;"_"&amp;AA322,挑战模式!$A$3:$Z$58,5+5*AB322,FALSE)</f>
        <v>75</v>
      </c>
      <c r="F322" s="57">
        <v>1</v>
      </c>
      <c r="G322" s="57">
        <v>0</v>
      </c>
      <c r="H322" s="57">
        <v>0</v>
      </c>
      <c r="I322" s="57">
        <v>0</v>
      </c>
      <c r="Z322" s="110" t="s">
        <v>3116</v>
      </c>
      <c r="AA322" s="110" t="s">
        <v>3113</v>
      </c>
      <c r="AB322" s="110" t="s">
        <v>3114</v>
      </c>
    </row>
    <row r="323" spans="2:28" x14ac:dyDescent="0.2">
      <c r="B323" s="57" t="s">
        <v>1037</v>
      </c>
      <c r="C323" s="57">
        <v>1</v>
      </c>
      <c r="D323" s="57" t="s">
        <v>971</v>
      </c>
      <c r="E323" s="102">
        <f>VLOOKUP(Z323&amp;"_"&amp;AA323,挑战模式!$A$3:$Z$58,5+5*AB323,FALSE)</f>
        <v>432</v>
      </c>
      <c r="F323" s="57">
        <v>1</v>
      </c>
      <c r="G323" s="57">
        <v>0</v>
      </c>
      <c r="H323" s="57">
        <v>0</v>
      </c>
      <c r="I323" s="57">
        <v>0</v>
      </c>
      <c r="Z323" s="110" t="s">
        <v>3116</v>
      </c>
      <c r="AA323" s="110" t="s">
        <v>3114</v>
      </c>
      <c r="AB323" s="110" t="s">
        <v>3111</v>
      </c>
    </row>
    <row r="324" spans="2:28" x14ac:dyDescent="0.2">
      <c r="B324" s="57" t="s">
        <v>1038</v>
      </c>
      <c r="C324" s="57">
        <v>1</v>
      </c>
      <c r="D324" s="57" t="s">
        <v>972</v>
      </c>
      <c r="E324" s="102">
        <f>VLOOKUP(Z324&amp;"_"&amp;AA324,挑战模式!$A$3:$Z$58,5+5*AB324,FALSE)</f>
        <v>216</v>
      </c>
      <c r="F324" s="57">
        <v>1</v>
      </c>
      <c r="G324" s="57">
        <v>0</v>
      </c>
      <c r="H324" s="57">
        <v>0</v>
      </c>
      <c r="I324" s="57">
        <v>0</v>
      </c>
      <c r="Z324" s="110" t="s">
        <v>3116</v>
      </c>
      <c r="AA324" s="110" t="s">
        <v>3114</v>
      </c>
      <c r="AB324" s="110" t="s">
        <v>3112</v>
      </c>
    </row>
    <row r="325" spans="2:28" x14ac:dyDescent="0.2">
      <c r="B325" s="57" t="s">
        <v>1039</v>
      </c>
      <c r="C325" s="57">
        <v>1</v>
      </c>
      <c r="D325" s="57" t="s">
        <v>973</v>
      </c>
      <c r="E325" s="102">
        <f>VLOOKUP(Z325&amp;"_"&amp;AA325,挑战模式!$A$3:$Z$58,5+5*AB325,FALSE)</f>
        <v>1296</v>
      </c>
      <c r="F325" s="57">
        <v>1</v>
      </c>
      <c r="G325" s="57">
        <v>0</v>
      </c>
      <c r="H325" s="57">
        <v>0</v>
      </c>
      <c r="I325" s="57">
        <v>0</v>
      </c>
      <c r="Z325" s="110" t="s">
        <v>3116</v>
      </c>
      <c r="AA325" s="110" t="s">
        <v>3114</v>
      </c>
      <c r="AB325" s="110" t="s">
        <v>3113</v>
      </c>
    </row>
    <row r="326" spans="2:28" x14ac:dyDescent="0.2">
      <c r="B326" s="57" t="s">
        <v>1040</v>
      </c>
      <c r="C326" s="57">
        <v>1</v>
      </c>
      <c r="D326" s="57" t="s">
        <v>974</v>
      </c>
      <c r="E326" s="102">
        <f>VLOOKUP(Z326&amp;"_"&amp;AA326,挑战模式!$A$3:$Z$58,5+5*AB326,FALSE)</f>
        <v>394</v>
      </c>
      <c r="F326" s="57">
        <v>1</v>
      </c>
      <c r="G326" s="57">
        <v>0</v>
      </c>
      <c r="H326" s="57">
        <v>0</v>
      </c>
      <c r="I326" s="57">
        <v>0</v>
      </c>
      <c r="Z326" s="110" t="s">
        <v>3116</v>
      </c>
      <c r="AA326" s="110" t="s">
        <v>3115</v>
      </c>
      <c r="AB326" s="110" t="s">
        <v>3111</v>
      </c>
    </row>
    <row r="327" spans="2:28" x14ac:dyDescent="0.2">
      <c r="B327" s="57" t="s">
        <v>1041</v>
      </c>
      <c r="C327" s="57">
        <v>1</v>
      </c>
      <c r="D327" s="57" t="s">
        <v>975</v>
      </c>
      <c r="E327" s="102">
        <f>VLOOKUP(Z327&amp;"_"&amp;AA327,挑战模式!$A$3:$Z$58,5+5*AB327,FALSE)</f>
        <v>1183</v>
      </c>
      <c r="F327" s="57">
        <v>1</v>
      </c>
      <c r="G327" s="57">
        <v>0</v>
      </c>
      <c r="H327" s="57">
        <v>0</v>
      </c>
      <c r="I327" s="57">
        <v>0</v>
      </c>
      <c r="Z327" s="57" t="s">
        <v>3116</v>
      </c>
      <c r="AA327" s="57" t="s">
        <v>3115</v>
      </c>
      <c r="AB327" s="57" t="s">
        <v>3112</v>
      </c>
    </row>
    <row r="328" spans="2:28" x14ac:dyDescent="0.2">
      <c r="B328" s="57" t="s">
        <v>1042</v>
      </c>
      <c r="C328" s="57">
        <v>1</v>
      </c>
      <c r="D328" s="57" t="s">
        <v>976</v>
      </c>
      <c r="E328" s="102">
        <f>VLOOKUP(Z328&amp;"_"&amp;AA328,挑战模式!$A$3:$Z$58,5+5*AB328,FALSE)</f>
        <v>394</v>
      </c>
      <c r="F328" s="57">
        <v>1</v>
      </c>
      <c r="G328" s="57">
        <v>0</v>
      </c>
      <c r="H328" s="57">
        <v>0</v>
      </c>
      <c r="I328" s="57">
        <v>0</v>
      </c>
      <c r="Z328" s="57" t="s">
        <v>3116</v>
      </c>
      <c r="AA328" s="57" t="s">
        <v>3115</v>
      </c>
      <c r="AB328" s="57" t="s">
        <v>3113</v>
      </c>
    </row>
    <row r="329" spans="2:28" x14ac:dyDescent="0.2">
      <c r="B329" s="57" t="s">
        <v>3051</v>
      </c>
      <c r="C329" s="57">
        <v>1</v>
      </c>
      <c r="D329" s="57" t="s">
        <v>3098</v>
      </c>
      <c r="E329" s="102">
        <f>VLOOKUP(Z329&amp;"_"&amp;AA329,挑战模式!$A$3:$Z$58,5+5*AB329,FALSE)</f>
        <v>197</v>
      </c>
      <c r="F329" s="57">
        <v>1</v>
      </c>
      <c r="G329" s="57">
        <v>0</v>
      </c>
      <c r="H329" s="57">
        <v>0</v>
      </c>
      <c r="I329" s="57">
        <v>0</v>
      </c>
      <c r="Z329" s="57" t="s">
        <v>3116</v>
      </c>
      <c r="AA329" s="57" t="s">
        <v>3115</v>
      </c>
      <c r="AB329" s="57" t="s">
        <v>3114</v>
      </c>
    </row>
    <row r="330" spans="2:28" x14ac:dyDescent="0.2">
      <c r="B330" s="57" t="s">
        <v>1043</v>
      </c>
      <c r="C330" s="57">
        <v>1</v>
      </c>
      <c r="D330" s="57" t="s">
        <v>977</v>
      </c>
      <c r="E330" s="102">
        <f>VLOOKUP(Z330&amp;"_"&amp;AA330,挑战模式!$A$3:$Z$58,5+5*AB330,FALSE)</f>
        <v>489</v>
      </c>
      <c r="F330" s="57">
        <v>1</v>
      </c>
      <c r="G330" s="57">
        <v>0</v>
      </c>
      <c r="H330" s="57">
        <v>0</v>
      </c>
      <c r="I330" s="57">
        <v>0</v>
      </c>
      <c r="Z330" s="57" t="s">
        <v>3117</v>
      </c>
      <c r="AA330" s="57" t="s">
        <v>3111</v>
      </c>
      <c r="AB330" s="57" t="s">
        <v>3111</v>
      </c>
    </row>
    <row r="331" spans="2:28" x14ac:dyDescent="0.2">
      <c r="B331" s="57" t="s">
        <v>1044</v>
      </c>
      <c r="C331" s="57">
        <v>1</v>
      </c>
      <c r="D331" s="57" t="s">
        <v>978</v>
      </c>
      <c r="E331" s="102">
        <f>VLOOKUP(Z331&amp;"_"&amp;AA331,挑战模式!$A$3:$Z$58,5+5*AB331,FALSE)</f>
        <v>449</v>
      </c>
      <c r="F331" s="57">
        <v>1</v>
      </c>
      <c r="G331" s="57">
        <v>0</v>
      </c>
      <c r="H331" s="57">
        <v>0</v>
      </c>
      <c r="I331" s="57">
        <v>0</v>
      </c>
      <c r="Z331" s="57" t="s">
        <v>3117</v>
      </c>
      <c r="AA331" s="57" t="s">
        <v>3112</v>
      </c>
      <c r="AB331" s="57" t="s">
        <v>3111</v>
      </c>
    </row>
    <row r="332" spans="2:28" x14ac:dyDescent="0.2">
      <c r="B332" s="57" t="s">
        <v>1045</v>
      </c>
      <c r="C332" s="57">
        <v>1</v>
      </c>
      <c r="D332" s="57" t="s">
        <v>979</v>
      </c>
      <c r="E332" s="102">
        <f>VLOOKUP(Z332&amp;"_"&amp;AA332,挑战模式!$A$3:$Z$58,5+5*AB332,FALSE)</f>
        <v>56</v>
      </c>
      <c r="F332" s="57">
        <v>1</v>
      </c>
      <c r="G332" s="57">
        <v>0</v>
      </c>
      <c r="H332" s="57">
        <v>0</v>
      </c>
      <c r="I332" s="57">
        <v>0</v>
      </c>
      <c r="Z332" s="57" t="s">
        <v>3117</v>
      </c>
      <c r="AA332" s="57" t="s">
        <v>3112</v>
      </c>
      <c r="AB332" s="57" t="s">
        <v>3112</v>
      </c>
    </row>
    <row r="333" spans="2:28" x14ac:dyDescent="0.2">
      <c r="B333" s="57" t="s">
        <v>1046</v>
      </c>
      <c r="C333" s="57">
        <v>1</v>
      </c>
      <c r="D333" s="57" t="s">
        <v>980</v>
      </c>
      <c r="E333" s="102">
        <f>VLOOKUP(Z333&amp;"_"&amp;AA333,挑战模式!$A$3:$Z$58,5+5*AB333,FALSE)</f>
        <v>583</v>
      </c>
      <c r="F333" s="57">
        <v>1</v>
      </c>
      <c r="G333" s="57">
        <v>0</v>
      </c>
      <c r="H333" s="57">
        <v>0</v>
      </c>
      <c r="I333" s="57">
        <v>0</v>
      </c>
      <c r="Z333" s="57" t="s">
        <v>3117</v>
      </c>
      <c r="AA333" s="57" t="s">
        <v>3113</v>
      </c>
      <c r="AB333" s="57" t="s">
        <v>3111</v>
      </c>
    </row>
    <row r="334" spans="2:28" x14ac:dyDescent="0.2">
      <c r="B334" s="57" t="s">
        <v>1047</v>
      </c>
      <c r="C334" s="57">
        <v>1</v>
      </c>
      <c r="D334" s="57" t="s">
        <v>981</v>
      </c>
      <c r="E334" s="102">
        <f>VLOOKUP(Z334&amp;"_"&amp;AA334,挑战模式!$A$3:$Z$58,5+5*AB334,FALSE)</f>
        <v>146</v>
      </c>
      <c r="F334" s="57">
        <v>1</v>
      </c>
      <c r="G334" s="57">
        <v>0</v>
      </c>
      <c r="H334" s="57">
        <v>0</v>
      </c>
      <c r="I334" s="57">
        <v>0</v>
      </c>
      <c r="Z334" s="57" t="s">
        <v>3117</v>
      </c>
      <c r="AA334" s="57" t="s">
        <v>3113</v>
      </c>
      <c r="AB334" s="57" t="s">
        <v>3112</v>
      </c>
    </row>
    <row r="335" spans="2:28" x14ac:dyDescent="0.2">
      <c r="B335" s="57" t="s">
        <v>1048</v>
      </c>
      <c r="C335" s="57">
        <v>1</v>
      </c>
      <c r="D335" s="57" t="s">
        <v>982</v>
      </c>
      <c r="E335" s="102">
        <f>VLOOKUP(Z335&amp;"_"&amp;AA335,挑战模式!$A$3:$Z$58,5+5*AB335,FALSE)</f>
        <v>146</v>
      </c>
      <c r="F335" s="57">
        <v>1</v>
      </c>
      <c r="G335" s="57">
        <v>0</v>
      </c>
      <c r="H335" s="57">
        <v>0</v>
      </c>
      <c r="I335" s="57">
        <v>0</v>
      </c>
      <c r="Z335" s="57" t="s">
        <v>3117</v>
      </c>
      <c r="AA335" s="57" t="s">
        <v>3113</v>
      </c>
      <c r="AB335" s="57" t="s">
        <v>3113</v>
      </c>
    </row>
    <row r="336" spans="2:28" x14ac:dyDescent="0.2">
      <c r="B336" s="57" t="s">
        <v>1049</v>
      </c>
      <c r="C336" s="57">
        <v>1</v>
      </c>
      <c r="D336" s="57" t="s">
        <v>983</v>
      </c>
      <c r="E336" s="102">
        <f>VLOOKUP(Z336&amp;"_"&amp;AA336,挑战模式!$A$3:$Z$58,5+5*AB336,FALSE)</f>
        <v>773</v>
      </c>
      <c r="F336" s="57">
        <v>1</v>
      </c>
      <c r="G336" s="57">
        <v>0</v>
      </c>
      <c r="H336" s="57">
        <v>0</v>
      </c>
      <c r="I336" s="57">
        <v>0</v>
      </c>
      <c r="Z336" s="57" t="s">
        <v>3117</v>
      </c>
      <c r="AA336" s="57" t="s">
        <v>3114</v>
      </c>
      <c r="AB336" s="57" t="s">
        <v>3111</v>
      </c>
    </row>
    <row r="337" spans="2:28" x14ac:dyDescent="0.2">
      <c r="B337" s="57" t="s">
        <v>1050</v>
      </c>
      <c r="C337" s="57">
        <v>1</v>
      </c>
      <c r="D337" s="57" t="s">
        <v>984</v>
      </c>
      <c r="E337" s="102">
        <f>VLOOKUP(Z337&amp;"_"&amp;AA337,挑战模式!$A$3:$Z$58,5+5*AB337,FALSE)</f>
        <v>193</v>
      </c>
      <c r="F337" s="57">
        <v>1</v>
      </c>
      <c r="G337" s="57">
        <v>0</v>
      </c>
      <c r="H337" s="57">
        <v>0</v>
      </c>
      <c r="I337" s="57">
        <v>0</v>
      </c>
      <c r="Z337" s="57" t="s">
        <v>3117</v>
      </c>
      <c r="AA337" s="57" t="s">
        <v>3114</v>
      </c>
      <c r="AB337" s="57" t="s">
        <v>3112</v>
      </c>
    </row>
    <row r="338" spans="2:28" x14ac:dyDescent="0.2">
      <c r="B338" s="57" t="s">
        <v>1051</v>
      </c>
      <c r="C338" s="57">
        <v>1</v>
      </c>
      <c r="D338" s="57" t="s">
        <v>985</v>
      </c>
      <c r="E338" s="102">
        <f>VLOOKUP(Z338&amp;"_"&amp;AA338,挑战模式!$A$3:$Z$58,5+5*AB338,FALSE)</f>
        <v>193</v>
      </c>
      <c r="F338" s="57">
        <v>1</v>
      </c>
      <c r="G338" s="57">
        <v>0</v>
      </c>
      <c r="H338" s="57">
        <v>0</v>
      </c>
      <c r="I338" s="57">
        <v>0</v>
      </c>
      <c r="Z338" s="57" t="s">
        <v>3117</v>
      </c>
      <c r="AA338" s="57" t="s">
        <v>3114</v>
      </c>
      <c r="AB338" s="57" t="s">
        <v>3113</v>
      </c>
    </row>
    <row r="339" spans="2:28" x14ac:dyDescent="0.2">
      <c r="B339" s="57" t="s">
        <v>1052</v>
      </c>
      <c r="C339" s="57">
        <v>1</v>
      </c>
      <c r="D339" s="57" t="s">
        <v>986</v>
      </c>
      <c r="E339" s="102">
        <f>VLOOKUP(Z339&amp;"_"&amp;AA339,挑战模式!$A$3:$Z$58,5+5*AB339,FALSE)</f>
        <v>1313</v>
      </c>
      <c r="F339" s="57">
        <v>1</v>
      </c>
      <c r="G339" s="57">
        <v>0</v>
      </c>
      <c r="H339" s="57">
        <v>0</v>
      </c>
      <c r="I339" s="57">
        <v>0</v>
      </c>
      <c r="Z339" s="57" t="s">
        <v>3117</v>
      </c>
      <c r="AA339" s="57" t="s">
        <v>3115</v>
      </c>
      <c r="AB339" s="57" t="s">
        <v>3111</v>
      </c>
    </row>
    <row r="340" spans="2:28" x14ac:dyDescent="0.2">
      <c r="B340" s="57" t="s">
        <v>1053</v>
      </c>
      <c r="C340" s="57">
        <v>1</v>
      </c>
      <c r="D340" s="57" t="s">
        <v>987</v>
      </c>
      <c r="E340" s="102">
        <f>VLOOKUP(Z340&amp;"_"&amp;AA340,挑战模式!$A$3:$Z$58,5+5*AB340,FALSE)</f>
        <v>657</v>
      </c>
      <c r="F340" s="57">
        <v>1</v>
      </c>
      <c r="G340" s="57">
        <v>0</v>
      </c>
      <c r="H340" s="57">
        <v>0</v>
      </c>
      <c r="I340" s="57">
        <v>0</v>
      </c>
      <c r="Z340" s="57" t="s">
        <v>3117</v>
      </c>
      <c r="AA340" s="57" t="s">
        <v>3115</v>
      </c>
      <c r="AB340" s="57" t="s">
        <v>3112</v>
      </c>
    </row>
    <row r="341" spans="2:28" x14ac:dyDescent="0.2">
      <c r="B341" s="57" t="s">
        <v>1054</v>
      </c>
      <c r="C341" s="57">
        <v>1</v>
      </c>
      <c r="D341" s="57" t="s">
        <v>988</v>
      </c>
      <c r="E341" s="102">
        <f>VLOOKUP(Z341&amp;"_"&amp;AA341,挑战模式!$A$3:$Z$58,5+5*AB341,FALSE)</f>
        <v>657</v>
      </c>
      <c r="F341" s="57">
        <v>1</v>
      </c>
      <c r="G341" s="57">
        <v>0</v>
      </c>
      <c r="H341" s="57">
        <v>0</v>
      </c>
      <c r="I341" s="57">
        <v>0</v>
      </c>
      <c r="Z341" s="57" t="s">
        <v>3117</v>
      </c>
      <c r="AA341" s="57" t="s">
        <v>3115</v>
      </c>
      <c r="AB341" s="57" t="s">
        <v>3113</v>
      </c>
    </row>
    <row r="342" spans="2:28" x14ac:dyDescent="0.2">
      <c r="B342" s="57" t="s">
        <v>1055</v>
      </c>
      <c r="C342" s="57">
        <v>1</v>
      </c>
      <c r="D342" s="57" t="s">
        <v>989</v>
      </c>
      <c r="E342" s="102">
        <f>VLOOKUP(Z342&amp;"_"&amp;AA342,挑战模式!$A$3:$Z$58,5+5*AB342,FALSE)</f>
        <v>270</v>
      </c>
      <c r="F342" s="57">
        <v>1</v>
      </c>
      <c r="G342" s="57">
        <v>0</v>
      </c>
      <c r="H342" s="57">
        <v>0</v>
      </c>
      <c r="I342" s="57">
        <v>0</v>
      </c>
      <c r="Z342" s="57" t="s">
        <v>3118</v>
      </c>
      <c r="AA342" s="57" t="s">
        <v>3111</v>
      </c>
      <c r="AB342" s="57" t="s">
        <v>3111</v>
      </c>
    </row>
    <row r="343" spans="2:28" x14ac:dyDescent="0.2">
      <c r="B343" s="57" t="s">
        <v>1056</v>
      </c>
      <c r="C343" s="57">
        <v>1</v>
      </c>
      <c r="D343" s="57" t="s">
        <v>990</v>
      </c>
      <c r="E343" s="102">
        <f>VLOOKUP(Z343&amp;"_"&amp;AA343,挑战模式!$A$3:$Z$58,5+5*AB343,FALSE)</f>
        <v>68</v>
      </c>
      <c r="F343" s="57">
        <v>1</v>
      </c>
      <c r="G343" s="57">
        <v>0</v>
      </c>
      <c r="H343" s="57">
        <v>0</v>
      </c>
      <c r="I343" s="57">
        <v>0</v>
      </c>
      <c r="Z343" s="57" t="s">
        <v>3118</v>
      </c>
      <c r="AA343" s="57" t="s">
        <v>3111</v>
      </c>
      <c r="AB343" s="57" t="s">
        <v>3112</v>
      </c>
    </row>
    <row r="344" spans="2:28" x14ac:dyDescent="0.2">
      <c r="B344" s="57" t="s">
        <v>1057</v>
      </c>
      <c r="C344" s="57">
        <v>1</v>
      </c>
      <c r="D344" s="57" t="s">
        <v>991</v>
      </c>
      <c r="E344" s="102">
        <f>VLOOKUP(Z344&amp;"_"&amp;AA344,挑战模式!$A$3:$Z$58,5+5*AB344,FALSE)</f>
        <v>434</v>
      </c>
      <c r="F344" s="57">
        <v>1</v>
      </c>
      <c r="G344" s="57">
        <v>0</v>
      </c>
      <c r="H344" s="57">
        <v>0</v>
      </c>
      <c r="I344" s="57">
        <v>0</v>
      </c>
      <c r="Z344" s="57" t="s">
        <v>3118</v>
      </c>
      <c r="AA344" s="57" t="s">
        <v>3112</v>
      </c>
      <c r="AB344" s="57" t="s">
        <v>3111</v>
      </c>
    </row>
    <row r="345" spans="2:28" x14ac:dyDescent="0.2">
      <c r="B345" s="57" t="s">
        <v>1058</v>
      </c>
      <c r="C345" s="57">
        <v>1</v>
      </c>
      <c r="D345" s="57" t="s">
        <v>992</v>
      </c>
      <c r="E345" s="102">
        <f>VLOOKUP(Z345&amp;"_"&amp;AA345,挑战模式!$A$3:$Z$58,5+5*AB345,FALSE)</f>
        <v>54</v>
      </c>
      <c r="F345" s="57">
        <v>1</v>
      </c>
      <c r="G345" s="57">
        <v>0</v>
      </c>
      <c r="H345" s="57">
        <v>0</v>
      </c>
      <c r="I345" s="57">
        <v>0</v>
      </c>
      <c r="Z345" s="57" t="s">
        <v>3118</v>
      </c>
      <c r="AA345" s="57" t="s">
        <v>3112</v>
      </c>
      <c r="AB345" s="57" t="s">
        <v>3112</v>
      </c>
    </row>
    <row r="346" spans="2:28" x14ac:dyDescent="0.2">
      <c r="B346" s="57" t="s">
        <v>1059</v>
      </c>
      <c r="C346" s="57">
        <v>1</v>
      </c>
      <c r="D346" s="57" t="s">
        <v>993</v>
      </c>
      <c r="E346" s="102">
        <f>VLOOKUP(Z346&amp;"_"&amp;AA346,挑战模式!$A$3:$Z$58,5+5*AB346,FALSE)</f>
        <v>217</v>
      </c>
      <c r="F346" s="57">
        <v>1</v>
      </c>
      <c r="G346" s="57">
        <v>0</v>
      </c>
      <c r="H346" s="57">
        <v>0</v>
      </c>
      <c r="I346" s="57">
        <v>0</v>
      </c>
      <c r="Z346" s="57" t="s">
        <v>3118</v>
      </c>
      <c r="AA346" s="57" t="s">
        <v>3112</v>
      </c>
      <c r="AB346" s="57" t="s">
        <v>3113</v>
      </c>
    </row>
    <row r="347" spans="2:28" x14ac:dyDescent="0.2">
      <c r="B347" s="57" t="s">
        <v>1060</v>
      </c>
      <c r="C347" s="57">
        <v>1</v>
      </c>
      <c r="D347" s="57" t="s">
        <v>994</v>
      </c>
      <c r="E347" s="102">
        <f>VLOOKUP(Z347&amp;"_"&amp;AA347,挑战模式!$A$3:$Z$58,5+5*AB347,FALSE)</f>
        <v>992</v>
      </c>
      <c r="F347" s="57">
        <v>1</v>
      </c>
      <c r="G347" s="57">
        <v>0</v>
      </c>
      <c r="H347" s="57">
        <v>0</v>
      </c>
      <c r="I347" s="57">
        <v>0</v>
      </c>
      <c r="Z347" s="57" t="s">
        <v>3118</v>
      </c>
      <c r="AA347" s="57" t="s">
        <v>3113</v>
      </c>
      <c r="AB347" s="57" t="s">
        <v>3111</v>
      </c>
    </row>
    <row r="348" spans="2:28" x14ac:dyDescent="0.2">
      <c r="B348" s="57" t="s">
        <v>1061</v>
      </c>
      <c r="C348" s="57">
        <v>1</v>
      </c>
      <c r="D348" s="57" t="s">
        <v>995</v>
      </c>
      <c r="E348" s="102">
        <f>VLOOKUP(Z348&amp;"_"&amp;AA348,挑战模式!$A$3:$Z$58,5+5*AB348,FALSE)</f>
        <v>248</v>
      </c>
      <c r="F348" s="57">
        <v>1</v>
      </c>
      <c r="G348" s="57">
        <v>0</v>
      </c>
      <c r="H348" s="57">
        <v>0</v>
      </c>
      <c r="I348" s="57">
        <v>0</v>
      </c>
      <c r="Z348" s="57" t="s">
        <v>3118</v>
      </c>
      <c r="AA348" s="57" t="s">
        <v>3113</v>
      </c>
      <c r="AB348" s="57" t="s">
        <v>3112</v>
      </c>
    </row>
    <row r="349" spans="2:28" x14ac:dyDescent="0.2">
      <c r="B349" s="57" t="s">
        <v>1062</v>
      </c>
      <c r="C349" s="57">
        <v>1</v>
      </c>
      <c r="D349" s="57" t="s">
        <v>996</v>
      </c>
      <c r="E349" s="102">
        <f>VLOOKUP(Z349&amp;"_"&amp;AA349,挑战模式!$A$3:$Z$58,5+5*AB349,FALSE)</f>
        <v>496</v>
      </c>
      <c r="F349" s="57">
        <v>1</v>
      </c>
      <c r="G349" s="57">
        <v>0</v>
      </c>
      <c r="H349" s="57">
        <v>0</v>
      </c>
      <c r="I349" s="57">
        <v>0</v>
      </c>
      <c r="Z349" s="57" t="s">
        <v>3118</v>
      </c>
      <c r="AA349" s="57" t="s">
        <v>3113</v>
      </c>
      <c r="AB349" s="57" t="s">
        <v>3113</v>
      </c>
    </row>
    <row r="350" spans="2:28" x14ac:dyDescent="0.2">
      <c r="B350" s="57" t="s">
        <v>1063</v>
      </c>
      <c r="C350" s="57">
        <v>1</v>
      </c>
      <c r="D350" s="57" t="s">
        <v>997</v>
      </c>
      <c r="E350" s="102">
        <f>VLOOKUP(Z350&amp;"_"&amp;AA350,挑战模式!$A$3:$Z$58,5+5*AB350,FALSE)</f>
        <v>1242</v>
      </c>
      <c r="F350" s="57">
        <v>1</v>
      </c>
      <c r="G350" s="57">
        <v>0</v>
      </c>
      <c r="H350" s="57">
        <v>0</v>
      </c>
      <c r="I350" s="57">
        <v>0</v>
      </c>
      <c r="Z350" s="57" t="s">
        <v>3118</v>
      </c>
      <c r="AA350" s="57" t="s">
        <v>3114</v>
      </c>
      <c r="AB350" s="57" t="s">
        <v>3111</v>
      </c>
    </row>
    <row r="351" spans="2:28" x14ac:dyDescent="0.2">
      <c r="B351" s="57" t="s">
        <v>1064</v>
      </c>
      <c r="C351" s="57">
        <v>1</v>
      </c>
      <c r="D351" s="57" t="s">
        <v>998</v>
      </c>
      <c r="E351" s="102">
        <f>VLOOKUP(Z351&amp;"_"&amp;AA351,挑战模式!$A$3:$Z$58,5+5*AB351,FALSE)</f>
        <v>621</v>
      </c>
      <c r="F351" s="57">
        <v>1</v>
      </c>
      <c r="G351" s="57">
        <v>0</v>
      </c>
      <c r="H351" s="57">
        <v>0</v>
      </c>
      <c r="I351" s="57">
        <v>0</v>
      </c>
      <c r="Z351" s="57" t="s">
        <v>3118</v>
      </c>
      <c r="AA351" s="57" t="s">
        <v>3114</v>
      </c>
      <c r="AB351" s="57" t="s">
        <v>3112</v>
      </c>
    </row>
    <row r="352" spans="2:28" x14ac:dyDescent="0.2">
      <c r="B352" s="57" t="s">
        <v>1065</v>
      </c>
      <c r="C352" s="57">
        <v>1</v>
      </c>
      <c r="D352" s="57" t="s">
        <v>999</v>
      </c>
      <c r="E352" s="102">
        <f>VLOOKUP(Z352&amp;"_"&amp;AA352,挑战模式!$A$3:$Z$58,5+5*AB352,FALSE)</f>
        <v>311</v>
      </c>
      <c r="F352" s="57">
        <v>1</v>
      </c>
      <c r="G352" s="57">
        <v>0</v>
      </c>
      <c r="H352" s="57">
        <v>0</v>
      </c>
      <c r="I352" s="57">
        <v>0</v>
      </c>
      <c r="Z352" s="57" t="s">
        <v>3118</v>
      </c>
      <c r="AA352" s="57" t="s">
        <v>3114</v>
      </c>
      <c r="AB352" s="57" t="s">
        <v>3113</v>
      </c>
    </row>
    <row r="353" spans="2:28" x14ac:dyDescent="0.2">
      <c r="B353" s="57" t="s">
        <v>1066</v>
      </c>
      <c r="C353" s="57">
        <v>1</v>
      </c>
      <c r="D353" s="57" t="s">
        <v>1000</v>
      </c>
      <c r="E353" s="102">
        <f>VLOOKUP(Z353&amp;"_"&amp;AA353,挑战模式!$A$3:$Z$58,5+5*AB353,FALSE)</f>
        <v>1688</v>
      </c>
      <c r="F353" s="57">
        <v>1</v>
      </c>
      <c r="G353" s="57">
        <v>0</v>
      </c>
      <c r="H353" s="57">
        <v>0</v>
      </c>
      <c r="I353" s="57">
        <v>0</v>
      </c>
      <c r="Z353" s="57" t="s">
        <v>3118</v>
      </c>
      <c r="AA353" s="57" t="s">
        <v>3115</v>
      </c>
      <c r="AB353" s="57" t="s">
        <v>3111</v>
      </c>
    </row>
    <row r="354" spans="2:28" x14ac:dyDescent="0.2">
      <c r="B354" s="57" t="s">
        <v>1067</v>
      </c>
      <c r="C354" s="57">
        <v>1</v>
      </c>
      <c r="D354" s="57" t="s">
        <v>1001</v>
      </c>
      <c r="E354" s="102">
        <f>VLOOKUP(Z354&amp;"_"&amp;AA354,挑战模式!$A$3:$Z$58,5+5*AB354,FALSE)</f>
        <v>844</v>
      </c>
      <c r="F354" s="57">
        <v>1</v>
      </c>
      <c r="G354" s="57">
        <v>0</v>
      </c>
      <c r="H354" s="57">
        <v>0</v>
      </c>
      <c r="I354" s="57">
        <v>0</v>
      </c>
      <c r="Z354" s="57" t="s">
        <v>3118</v>
      </c>
      <c r="AA354" s="57" t="s">
        <v>3115</v>
      </c>
      <c r="AB354" s="57" t="s">
        <v>3112</v>
      </c>
    </row>
    <row r="355" spans="2:28" x14ac:dyDescent="0.2">
      <c r="B355" s="57" t="s">
        <v>1068</v>
      </c>
      <c r="C355" s="57">
        <v>1</v>
      </c>
      <c r="D355" s="57" t="s">
        <v>1002</v>
      </c>
      <c r="E355" s="102">
        <f>VLOOKUP(Z355&amp;"_"&amp;AA355,挑战模式!$A$3:$Z$58,5+5*AB355,FALSE)</f>
        <v>844</v>
      </c>
      <c r="F355" s="57">
        <v>1</v>
      </c>
      <c r="G355" s="57">
        <v>0</v>
      </c>
      <c r="H355" s="57">
        <v>0</v>
      </c>
      <c r="I355" s="57">
        <v>0</v>
      </c>
      <c r="Z355" s="57" t="s">
        <v>3118</v>
      </c>
      <c r="AA355" s="57" t="s">
        <v>3115</v>
      </c>
      <c r="AB355" s="57" t="s">
        <v>3113</v>
      </c>
    </row>
    <row r="356" spans="2:28" x14ac:dyDescent="0.2">
      <c r="B356" s="57" t="s">
        <v>1069</v>
      </c>
      <c r="C356" s="57">
        <v>1</v>
      </c>
      <c r="D356" s="57" t="s">
        <v>1003</v>
      </c>
      <c r="E356" s="102">
        <f>VLOOKUP(Z356&amp;"_"&amp;AA356,挑战模式!$A$3:$Z$58,5+5*AB356,FALSE)</f>
        <v>422</v>
      </c>
      <c r="F356" s="57">
        <v>1</v>
      </c>
      <c r="G356" s="57">
        <v>0</v>
      </c>
      <c r="H356" s="57">
        <v>0</v>
      </c>
      <c r="I356" s="57">
        <v>0</v>
      </c>
      <c r="Z356" s="57" t="s">
        <v>3118</v>
      </c>
      <c r="AA356" s="57" t="s">
        <v>3115</v>
      </c>
      <c r="AB356" s="57" t="s">
        <v>3114</v>
      </c>
    </row>
    <row r="357" spans="2:28" x14ac:dyDescent="0.2">
      <c r="B357" s="57" t="s">
        <v>1070</v>
      </c>
      <c r="C357" s="57">
        <v>1</v>
      </c>
      <c r="D357" s="57" t="s">
        <v>1004</v>
      </c>
      <c r="E357" s="102">
        <f>VLOOKUP(Z357&amp;"_"&amp;AA357,挑战模式!$A$3:$Z$58,5+5*AB357,FALSE)</f>
        <v>305</v>
      </c>
      <c r="F357" s="57">
        <v>1</v>
      </c>
      <c r="G357" s="57">
        <v>0</v>
      </c>
      <c r="H357" s="57">
        <v>0</v>
      </c>
      <c r="I357" s="57">
        <v>0</v>
      </c>
      <c r="Z357" s="57" t="s">
        <v>3119</v>
      </c>
      <c r="AA357" s="57" t="s">
        <v>3111</v>
      </c>
      <c r="AB357" s="57" t="s">
        <v>3111</v>
      </c>
    </row>
    <row r="358" spans="2:28" x14ac:dyDescent="0.2">
      <c r="B358" s="57" t="s">
        <v>1071</v>
      </c>
      <c r="C358" s="57">
        <v>1</v>
      </c>
      <c r="D358" s="57" t="s">
        <v>1005</v>
      </c>
      <c r="E358" s="102">
        <f>VLOOKUP(Z358&amp;"_"&amp;AA358,挑战模式!$A$3:$Z$58,5+5*AB358,FALSE)</f>
        <v>204</v>
      </c>
      <c r="F358" s="57">
        <v>1</v>
      </c>
      <c r="G358" s="57">
        <v>0</v>
      </c>
      <c r="H358" s="57">
        <v>0</v>
      </c>
      <c r="I358" s="57">
        <v>0</v>
      </c>
      <c r="Z358" s="57" t="s">
        <v>3119</v>
      </c>
      <c r="AA358" s="57" t="s">
        <v>3111</v>
      </c>
      <c r="AB358" s="57" t="s">
        <v>3112</v>
      </c>
    </row>
    <row r="359" spans="2:28" x14ac:dyDescent="0.2">
      <c r="B359" s="57" t="s">
        <v>1072</v>
      </c>
      <c r="C359" s="57">
        <v>1</v>
      </c>
      <c r="D359" s="57" t="s">
        <v>1006</v>
      </c>
      <c r="E359" s="102">
        <f>VLOOKUP(Z359&amp;"_"&amp;AA359,挑战模式!$A$3:$Z$58,5+5*AB359,FALSE)</f>
        <v>210</v>
      </c>
      <c r="F359" s="57">
        <v>1</v>
      </c>
      <c r="G359" s="57">
        <v>0</v>
      </c>
      <c r="H359" s="57">
        <v>0</v>
      </c>
      <c r="I359" s="57">
        <v>0</v>
      </c>
      <c r="Z359" s="57" t="s">
        <v>3119</v>
      </c>
      <c r="AA359" s="57" t="s">
        <v>3112</v>
      </c>
      <c r="AB359" s="57" t="s">
        <v>3111</v>
      </c>
    </row>
    <row r="360" spans="2:28" x14ac:dyDescent="0.2">
      <c r="B360" s="57" t="s">
        <v>1073</v>
      </c>
      <c r="C360" s="57">
        <v>1</v>
      </c>
      <c r="D360" s="57" t="s">
        <v>1007</v>
      </c>
      <c r="E360" s="102">
        <f>VLOOKUP(Z360&amp;"_"&amp;AA360,挑战模式!$A$3:$Z$58,5+5*AB360,FALSE)</f>
        <v>419</v>
      </c>
      <c r="F360" s="57">
        <v>1</v>
      </c>
      <c r="G360" s="57">
        <v>0</v>
      </c>
      <c r="H360" s="57">
        <v>0</v>
      </c>
      <c r="I360" s="57">
        <v>0</v>
      </c>
      <c r="Z360" s="57" t="s">
        <v>3119</v>
      </c>
      <c r="AA360" s="57" t="s">
        <v>3112</v>
      </c>
      <c r="AB360" s="57" t="s">
        <v>3112</v>
      </c>
    </row>
    <row r="361" spans="2:28" x14ac:dyDescent="0.2">
      <c r="B361" s="57" t="s">
        <v>1074</v>
      </c>
      <c r="C361" s="57">
        <v>1</v>
      </c>
      <c r="D361" s="57" t="s">
        <v>1008</v>
      </c>
      <c r="E361" s="102">
        <f>VLOOKUP(Z361&amp;"_"&amp;AA361,挑战模式!$A$3:$Z$58,5+5*AB361,FALSE)</f>
        <v>411</v>
      </c>
      <c r="F361" s="57">
        <v>1</v>
      </c>
      <c r="G361" s="57">
        <v>0</v>
      </c>
      <c r="H361" s="57">
        <v>0</v>
      </c>
      <c r="I361" s="57">
        <v>0</v>
      </c>
      <c r="Z361" s="57" t="s">
        <v>3119</v>
      </c>
      <c r="AA361" s="57" t="s">
        <v>3113</v>
      </c>
      <c r="AB361" s="57" t="s">
        <v>3111</v>
      </c>
    </row>
    <row r="362" spans="2:28" x14ac:dyDescent="0.2">
      <c r="B362" s="57" t="s">
        <v>1075</v>
      </c>
      <c r="C362" s="57">
        <v>1</v>
      </c>
      <c r="D362" s="57" t="s">
        <v>1009</v>
      </c>
      <c r="E362" s="102">
        <f>VLOOKUP(Z362&amp;"_"&amp;AA362,挑战模式!$A$3:$Z$58,5+5*AB362,FALSE)</f>
        <v>822</v>
      </c>
      <c r="F362" s="57">
        <v>1</v>
      </c>
      <c r="G362" s="57">
        <v>0</v>
      </c>
      <c r="H362" s="57">
        <v>0</v>
      </c>
      <c r="I362" s="57">
        <v>0</v>
      </c>
      <c r="Z362" s="57" t="s">
        <v>3119</v>
      </c>
      <c r="AA362" s="57" t="s">
        <v>3113</v>
      </c>
      <c r="AB362" s="57" t="s">
        <v>3112</v>
      </c>
    </row>
    <row r="363" spans="2:28" x14ac:dyDescent="0.2">
      <c r="B363" s="57" t="s">
        <v>1076</v>
      </c>
      <c r="C363" s="57">
        <v>1</v>
      </c>
      <c r="D363" s="57" t="s">
        <v>1010</v>
      </c>
      <c r="E363" s="102">
        <f>VLOOKUP(Z363&amp;"_"&amp;AA363,挑战模式!$A$3:$Z$58,5+5*AB363,FALSE)</f>
        <v>411</v>
      </c>
      <c r="F363" s="57">
        <v>1</v>
      </c>
      <c r="G363" s="57">
        <v>0</v>
      </c>
      <c r="H363" s="57">
        <v>0</v>
      </c>
      <c r="I363" s="57">
        <v>0</v>
      </c>
      <c r="Z363" s="57" t="s">
        <v>3119</v>
      </c>
      <c r="AA363" s="57" t="s">
        <v>3113</v>
      </c>
      <c r="AB363" s="57" t="s">
        <v>3113</v>
      </c>
    </row>
    <row r="364" spans="2:28" x14ac:dyDescent="0.2">
      <c r="B364" s="57" t="s">
        <v>1077</v>
      </c>
      <c r="C364" s="57">
        <v>1</v>
      </c>
      <c r="D364" s="57" t="s">
        <v>1011</v>
      </c>
      <c r="E364" s="102">
        <f>VLOOKUP(Z364&amp;"_"&amp;AA364,挑战模式!$A$3:$Z$58,5+5*AB364,FALSE)</f>
        <v>1973</v>
      </c>
      <c r="F364" s="57">
        <v>1</v>
      </c>
      <c r="G364" s="57">
        <v>0</v>
      </c>
      <c r="H364" s="57">
        <v>0</v>
      </c>
      <c r="I364" s="57">
        <v>0</v>
      </c>
      <c r="Z364" s="57" t="s">
        <v>3119</v>
      </c>
      <c r="AA364" s="57" t="s">
        <v>3114</v>
      </c>
      <c r="AB364" s="57" t="s">
        <v>3111</v>
      </c>
    </row>
    <row r="365" spans="2:28" x14ac:dyDescent="0.2">
      <c r="B365" s="57" t="s">
        <v>1078</v>
      </c>
      <c r="C365" s="57">
        <v>1</v>
      </c>
      <c r="D365" s="57" t="s">
        <v>1012</v>
      </c>
      <c r="E365" s="102">
        <f>VLOOKUP(Z365&amp;"_"&amp;AA365,挑战模式!$A$3:$Z$58,5+5*AB365,FALSE)</f>
        <v>658</v>
      </c>
      <c r="F365" s="57">
        <v>1</v>
      </c>
      <c r="G365" s="57">
        <v>0</v>
      </c>
      <c r="H365" s="57">
        <v>0</v>
      </c>
      <c r="I365" s="57">
        <v>0</v>
      </c>
      <c r="Z365" s="57" t="s">
        <v>3119</v>
      </c>
      <c r="AA365" s="57" t="s">
        <v>3114</v>
      </c>
      <c r="AB365" s="57" t="s">
        <v>3112</v>
      </c>
    </row>
    <row r="366" spans="2:28" x14ac:dyDescent="0.2">
      <c r="B366" s="57" t="s">
        <v>1079</v>
      </c>
      <c r="C366" s="57">
        <v>1</v>
      </c>
      <c r="D366" s="57" t="s">
        <v>1013</v>
      </c>
      <c r="E366" s="102">
        <f>VLOOKUP(Z366&amp;"_"&amp;AA366,挑战模式!$A$3:$Z$58,5+5*AB366,FALSE)</f>
        <v>329</v>
      </c>
      <c r="F366" s="57">
        <v>1</v>
      </c>
      <c r="G366" s="57">
        <v>0</v>
      </c>
      <c r="H366" s="57">
        <v>0</v>
      </c>
      <c r="I366" s="57">
        <v>0</v>
      </c>
      <c r="Z366" s="57" t="s">
        <v>3119</v>
      </c>
      <c r="AA366" s="57" t="s">
        <v>3114</v>
      </c>
      <c r="AB366" s="57" t="s">
        <v>3113</v>
      </c>
    </row>
    <row r="367" spans="2:28" x14ac:dyDescent="0.2">
      <c r="B367" s="57" t="s">
        <v>1080</v>
      </c>
      <c r="C367" s="57">
        <v>1</v>
      </c>
      <c r="D367" s="57" t="s">
        <v>1014</v>
      </c>
      <c r="E367" s="102">
        <f>VLOOKUP(Z367&amp;"_"&amp;AA367,挑战模式!$A$3:$Z$58,5+5*AB367,FALSE)</f>
        <v>2304</v>
      </c>
      <c r="F367" s="57">
        <v>1</v>
      </c>
      <c r="G367" s="57">
        <v>0</v>
      </c>
      <c r="H367" s="57">
        <v>0</v>
      </c>
      <c r="I367" s="57">
        <v>0</v>
      </c>
      <c r="Z367" s="57" t="s">
        <v>3119</v>
      </c>
      <c r="AA367" s="57" t="s">
        <v>3115</v>
      </c>
      <c r="AB367" s="57" t="s">
        <v>3111</v>
      </c>
    </row>
    <row r="368" spans="2:28" x14ac:dyDescent="0.2">
      <c r="B368" s="57" t="s">
        <v>1081</v>
      </c>
      <c r="C368" s="57">
        <v>1</v>
      </c>
      <c r="D368" s="57" t="s">
        <v>1015</v>
      </c>
      <c r="E368" s="102">
        <f>VLOOKUP(Z368&amp;"_"&amp;AA368,挑战模式!$A$3:$Z$58,5+5*AB368,FALSE)</f>
        <v>768</v>
      </c>
      <c r="F368" s="57">
        <v>1</v>
      </c>
      <c r="G368" s="57">
        <v>0</v>
      </c>
      <c r="H368" s="57">
        <v>0</v>
      </c>
      <c r="I368" s="57">
        <v>0</v>
      </c>
      <c r="Z368" s="57" t="s">
        <v>3119</v>
      </c>
      <c r="AA368" s="57" t="s">
        <v>3115</v>
      </c>
      <c r="AB368" s="57" t="s">
        <v>3112</v>
      </c>
    </row>
    <row r="369" spans="2:28" x14ac:dyDescent="0.2">
      <c r="B369" s="57" t="s">
        <v>1082</v>
      </c>
      <c r="C369" s="57">
        <v>1</v>
      </c>
      <c r="D369" s="57" t="s">
        <v>1016</v>
      </c>
      <c r="E369" s="102">
        <f>VLOOKUP(Z369&amp;"_"&amp;AA369,挑战模式!$A$3:$Z$58,5+5*AB369,FALSE)</f>
        <v>1536</v>
      </c>
      <c r="F369" s="57">
        <v>1</v>
      </c>
      <c r="G369" s="57">
        <v>0</v>
      </c>
      <c r="H369" s="57">
        <v>0</v>
      </c>
      <c r="I369" s="57">
        <v>0</v>
      </c>
      <c r="Z369" s="57" t="s">
        <v>3119</v>
      </c>
      <c r="AA369" s="57" t="s">
        <v>3115</v>
      </c>
      <c r="AB369" s="57" t="s">
        <v>3113</v>
      </c>
    </row>
    <row r="370" spans="2:28" x14ac:dyDescent="0.2">
      <c r="B370" s="57" t="s">
        <v>3052</v>
      </c>
      <c r="C370" s="57">
        <v>1</v>
      </c>
      <c r="D370" s="57" t="s">
        <v>3099</v>
      </c>
      <c r="E370" s="102">
        <f>VLOOKUP(Z370&amp;"_"&amp;AA370,挑战模式!$A$3:$Z$58,5+5*AB370,FALSE)</f>
        <v>768</v>
      </c>
      <c r="F370" s="57">
        <v>1</v>
      </c>
      <c r="G370" s="57">
        <v>0</v>
      </c>
      <c r="H370" s="57">
        <v>0</v>
      </c>
      <c r="I370" s="57">
        <v>0</v>
      </c>
      <c r="Z370" s="57" t="s">
        <v>3119</v>
      </c>
      <c r="AA370" s="57" t="s">
        <v>3115</v>
      </c>
      <c r="AB370" s="57" t="s">
        <v>3114</v>
      </c>
    </row>
    <row r="371" spans="2:28" x14ac:dyDescent="0.2">
      <c r="B371" s="57" t="s">
        <v>1083</v>
      </c>
      <c r="C371" s="57">
        <v>1</v>
      </c>
      <c r="D371" s="57" t="s">
        <v>1017</v>
      </c>
      <c r="E371" s="102">
        <f>VLOOKUP(Z371&amp;"_"&amp;AA371,挑战模式!$A$3:$Z$58,5+5*AB371,FALSE)</f>
        <v>203</v>
      </c>
      <c r="F371" s="57">
        <v>1</v>
      </c>
      <c r="G371" s="57">
        <v>0</v>
      </c>
      <c r="H371" s="57">
        <v>0</v>
      </c>
      <c r="I371" s="57">
        <v>0</v>
      </c>
      <c r="Z371" s="57">
        <v>10</v>
      </c>
      <c r="AA371" s="57" t="s">
        <v>3111</v>
      </c>
      <c r="AB371" s="57" t="s">
        <v>3111</v>
      </c>
    </row>
    <row r="372" spans="2:28" x14ac:dyDescent="0.2">
      <c r="B372" s="57" t="s">
        <v>1084</v>
      </c>
      <c r="C372" s="57">
        <v>1</v>
      </c>
      <c r="D372" s="57" t="s">
        <v>1018</v>
      </c>
      <c r="E372" s="102">
        <f>VLOOKUP(Z372&amp;"_"&amp;AA372,挑战模式!$A$3:$Z$58,5+5*AB372,FALSE)</f>
        <v>203</v>
      </c>
      <c r="F372" s="57">
        <v>1</v>
      </c>
      <c r="G372" s="57">
        <v>0</v>
      </c>
      <c r="H372" s="57">
        <v>0</v>
      </c>
      <c r="I372" s="57">
        <v>0</v>
      </c>
      <c r="Z372" s="57">
        <v>10</v>
      </c>
      <c r="AA372" s="57" t="s">
        <v>3111</v>
      </c>
      <c r="AB372" s="57" t="s">
        <v>3112</v>
      </c>
    </row>
    <row r="373" spans="2:28" x14ac:dyDescent="0.2">
      <c r="B373" s="57" t="s">
        <v>1085</v>
      </c>
      <c r="C373" s="57">
        <v>1</v>
      </c>
      <c r="D373" s="57" t="s">
        <v>1019</v>
      </c>
      <c r="E373" s="102">
        <f>VLOOKUP(Z373&amp;"_"&amp;AA373,挑战模式!$A$3:$Z$58,5+5*AB373,FALSE)</f>
        <v>341</v>
      </c>
      <c r="F373" s="57">
        <v>1</v>
      </c>
      <c r="G373" s="57">
        <v>0</v>
      </c>
      <c r="H373" s="57">
        <v>0</v>
      </c>
      <c r="I373" s="57">
        <v>0</v>
      </c>
      <c r="Z373" s="57">
        <v>10</v>
      </c>
      <c r="AA373" s="57" t="s">
        <v>3112</v>
      </c>
      <c r="AB373" s="57" t="s">
        <v>3111</v>
      </c>
    </row>
    <row r="374" spans="2:28" x14ac:dyDescent="0.2">
      <c r="B374" s="57" t="s">
        <v>1086</v>
      </c>
      <c r="C374" s="57">
        <v>1</v>
      </c>
      <c r="D374" s="57" t="s">
        <v>1020</v>
      </c>
      <c r="E374" s="102">
        <f>VLOOKUP(Z374&amp;"_"&amp;AA374,挑战模式!$A$3:$Z$58,5+5*AB374,FALSE)</f>
        <v>341</v>
      </c>
      <c r="F374" s="57">
        <v>1</v>
      </c>
      <c r="G374" s="57">
        <v>0</v>
      </c>
      <c r="H374" s="57">
        <v>0</v>
      </c>
      <c r="I374" s="57">
        <v>0</v>
      </c>
      <c r="Z374" s="57">
        <v>10</v>
      </c>
      <c r="AA374" s="57" t="s">
        <v>3112</v>
      </c>
      <c r="AB374" s="57" t="s">
        <v>3112</v>
      </c>
    </row>
    <row r="375" spans="2:28" x14ac:dyDescent="0.2">
      <c r="B375" s="57" t="s">
        <v>1087</v>
      </c>
      <c r="C375" s="57">
        <v>1</v>
      </c>
      <c r="D375" s="57" t="s">
        <v>1021</v>
      </c>
      <c r="E375" s="102">
        <f>VLOOKUP(Z375&amp;"_"&amp;AA375,挑战模式!$A$3:$Z$58,5+5*AB375,FALSE)</f>
        <v>281</v>
      </c>
      <c r="F375" s="57">
        <v>1</v>
      </c>
      <c r="G375" s="57">
        <v>0</v>
      </c>
      <c r="H375" s="57">
        <v>0</v>
      </c>
      <c r="I375" s="57">
        <v>0</v>
      </c>
      <c r="Z375" s="57">
        <v>10</v>
      </c>
      <c r="AA375" s="57" t="s">
        <v>3113</v>
      </c>
      <c r="AB375" s="57" t="s">
        <v>3111</v>
      </c>
    </row>
    <row r="376" spans="2:28" x14ac:dyDescent="0.2">
      <c r="B376" s="57" t="s">
        <v>1088</v>
      </c>
      <c r="C376" s="57">
        <v>1</v>
      </c>
      <c r="D376" s="57" t="s">
        <v>1022</v>
      </c>
      <c r="E376" s="102">
        <f>VLOOKUP(Z376&amp;"_"&amp;AA376,挑战模式!$A$3:$Z$58,5+5*AB376,FALSE)</f>
        <v>562</v>
      </c>
      <c r="F376" s="57">
        <v>1</v>
      </c>
      <c r="G376" s="57">
        <v>0</v>
      </c>
      <c r="H376" s="57">
        <v>0</v>
      </c>
      <c r="I376" s="57">
        <v>0</v>
      </c>
      <c r="Z376" s="57">
        <v>10</v>
      </c>
      <c r="AA376" s="57" t="s">
        <v>3113</v>
      </c>
      <c r="AB376" s="57" t="s">
        <v>3112</v>
      </c>
    </row>
    <row r="377" spans="2:28" x14ac:dyDescent="0.2">
      <c r="B377" s="57" t="s">
        <v>1089</v>
      </c>
      <c r="C377" s="57">
        <v>1</v>
      </c>
      <c r="D377" s="57" t="s">
        <v>1023</v>
      </c>
      <c r="E377" s="102">
        <f>VLOOKUP(Z377&amp;"_"&amp;AA377,挑战模式!$A$3:$Z$58,5+5*AB377,FALSE)</f>
        <v>281</v>
      </c>
      <c r="F377" s="57">
        <v>1</v>
      </c>
      <c r="G377" s="57">
        <v>0</v>
      </c>
      <c r="H377" s="57">
        <v>0</v>
      </c>
      <c r="I377" s="57">
        <v>0</v>
      </c>
      <c r="Z377" s="57">
        <v>10</v>
      </c>
      <c r="AA377" s="57" t="s">
        <v>3113</v>
      </c>
      <c r="AB377" s="57" t="s">
        <v>3113</v>
      </c>
    </row>
    <row r="378" spans="2:28" x14ac:dyDescent="0.2">
      <c r="B378" s="57" t="s">
        <v>1090</v>
      </c>
      <c r="C378" s="57">
        <v>1</v>
      </c>
      <c r="D378" s="57" t="s">
        <v>1024</v>
      </c>
      <c r="E378" s="102">
        <f>VLOOKUP(Z378&amp;"_"&amp;AA378,挑战模式!$A$3:$Z$58,5+5*AB378,FALSE)</f>
        <v>1058</v>
      </c>
      <c r="F378" s="57">
        <v>1</v>
      </c>
      <c r="G378" s="57">
        <v>0</v>
      </c>
      <c r="H378" s="57">
        <v>0</v>
      </c>
      <c r="I378" s="57">
        <v>0</v>
      </c>
      <c r="Z378" s="57">
        <v>10</v>
      </c>
      <c r="AA378" s="57" t="s">
        <v>3114</v>
      </c>
      <c r="AB378" s="57" t="s">
        <v>3111</v>
      </c>
    </row>
    <row r="379" spans="2:28" x14ac:dyDescent="0.2">
      <c r="B379" s="57" t="s">
        <v>1091</v>
      </c>
      <c r="C379" s="57">
        <v>1</v>
      </c>
      <c r="D379" s="57" t="s">
        <v>1025</v>
      </c>
      <c r="E379" s="102">
        <f>VLOOKUP(Z379&amp;"_"&amp;AA379,挑战模式!$A$3:$Z$58,5+5*AB379,FALSE)</f>
        <v>705</v>
      </c>
      <c r="F379" s="57">
        <v>1</v>
      </c>
      <c r="G379" s="57">
        <v>0</v>
      </c>
      <c r="H379" s="57">
        <v>0</v>
      </c>
      <c r="I379" s="57">
        <v>0</v>
      </c>
      <c r="Z379" s="57">
        <v>10</v>
      </c>
      <c r="AA379" s="57" t="s">
        <v>3114</v>
      </c>
      <c r="AB379" s="57" t="s">
        <v>3112</v>
      </c>
    </row>
    <row r="380" spans="2:28" x14ac:dyDescent="0.2">
      <c r="B380" s="57" t="s">
        <v>1092</v>
      </c>
      <c r="C380" s="57">
        <v>1</v>
      </c>
      <c r="D380" s="57" t="s">
        <v>1026</v>
      </c>
      <c r="E380" s="102">
        <f>VLOOKUP(Z380&amp;"_"&amp;AA380,挑战模式!$A$3:$Z$58,5+5*AB380,FALSE)</f>
        <v>353</v>
      </c>
      <c r="F380" s="57">
        <v>1</v>
      </c>
      <c r="G380" s="57">
        <v>0</v>
      </c>
      <c r="H380" s="57">
        <v>0</v>
      </c>
      <c r="I380" s="57">
        <v>0</v>
      </c>
      <c r="Z380" s="57">
        <v>10</v>
      </c>
      <c r="AA380" s="57" t="s">
        <v>3114</v>
      </c>
      <c r="AB380" s="57" t="s">
        <v>3113</v>
      </c>
    </row>
    <row r="381" spans="2:28" x14ac:dyDescent="0.2">
      <c r="B381" s="57" t="s">
        <v>1093</v>
      </c>
      <c r="C381" s="57">
        <v>1</v>
      </c>
      <c r="D381" s="57" t="s">
        <v>1027</v>
      </c>
      <c r="E381" s="102">
        <f>VLOOKUP(Z381&amp;"_"&amp;AA381,挑战模式!$A$3:$Z$58,5+5*AB381,FALSE)</f>
        <v>1710</v>
      </c>
      <c r="F381" s="57">
        <v>1</v>
      </c>
      <c r="G381" s="57">
        <v>0</v>
      </c>
      <c r="H381" s="57">
        <v>0</v>
      </c>
      <c r="I381" s="57">
        <v>0</v>
      </c>
      <c r="Z381" s="57">
        <v>10</v>
      </c>
      <c r="AA381" s="57" t="s">
        <v>3115</v>
      </c>
      <c r="AB381" s="57" t="s">
        <v>3111</v>
      </c>
    </row>
    <row r="382" spans="2:28" x14ac:dyDescent="0.2">
      <c r="B382" s="57" t="s">
        <v>1094</v>
      </c>
      <c r="C382" s="57">
        <v>1</v>
      </c>
      <c r="D382" s="57" t="s">
        <v>1028</v>
      </c>
      <c r="E382" s="102">
        <f>VLOOKUP(Z382&amp;"_"&amp;AA382,挑战模式!$A$3:$Z$58,5+5*AB382,FALSE)</f>
        <v>570</v>
      </c>
      <c r="F382" s="57">
        <v>1</v>
      </c>
      <c r="G382" s="57">
        <v>0</v>
      </c>
      <c r="H382" s="57">
        <v>0</v>
      </c>
      <c r="I382" s="57">
        <v>0</v>
      </c>
      <c r="Z382" s="57">
        <v>10</v>
      </c>
      <c r="AA382" s="57" t="s">
        <v>3115</v>
      </c>
      <c r="AB382" s="57" t="s">
        <v>3112</v>
      </c>
    </row>
    <row r="383" spans="2:28" x14ac:dyDescent="0.2">
      <c r="B383" s="57" t="s">
        <v>1095</v>
      </c>
      <c r="C383" s="57">
        <v>1</v>
      </c>
      <c r="D383" s="57" t="s">
        <v>1029</v>
      </c>
      <c r="E383" s="102">
        <f>VLOOKUP(Z383&amp;"_"&amp;AA383,挑战模式!$A$3:$Z$58,5+5*AB383,FALSE)</f>
        <v>285</v>
      </c>
      <c r="F383" s="57">
        <v>1</v>
      </c>
      <c r="G383" s="57">
        <v>0</v>
      </c>
      <c r="H383" s="57">
        <v>0</v>
      </c>
      <c r="I383" s="57">
        <v>0</v>
      </c>
      <c r="Z383" s="57">
        <v>10</v>
      </c>
      <c r="AA383" s="57" t="s">
        <v>3115</v>
      </c>
      <c r="AB383" s="57" t="s">
        <v>3113</v>
      </c>
    </row>
    <row r="384" spans="2:28" x14ac:dyDescent="0.2">
      <c r="B384" s="57" t="s">
        <v>3053</v>
      </c>
      <c r="C384" s="57">
        <v>1</v>
      </c>
      <c r="D384" s="57" t="s">
        <v>3100</v>
      </c>
      <c r="E384" s="102">
        <f>VLOOKUP(Z384&amp;"_"&amp;AA384,挑战模式!$A$3:$Z$58,5+5*AB384,FALSE)</f>
        <v>1842</v>
      </c>
      <c r="F384" s="57">
        <v>1</v>
      </c>
      <c r="G384" s="57">
        <v>0</v>
      </c>
      <c r="H384" s="57">
        <v>0</v>
      </c>
      <c r="I384" s="57">
        <v>0</v>
      </c>
      <c r="Z384" s="57">
        <v>10</v>
      </c>
      <c r="AA384" s="57" t="s">
        <v>3116</v>
      </c>
      <c r="AB384" s="57" t="s">
        <v>3111</v>
      </c>
    </row>
    <row r="385" spans="2:28" x14ac:dyDescent="0.2">
      <c r="B385" s="57" t="s">
        <v>3054</v>
      </c>
      <c r="C385" s="57">
        <v>1</v>
      </c>
      <c r="D385" s="57" t="s">
        <v>3101</v>
      </c>
      <c r="E385" s="102">
        <f>VLOOKUP(Z385&amp;"_"&amp;AA385,挑战模式!$A$3:$Z$58,5+5*AB385,FALSE)</f>
        <v>614</v>
      </c>
      <c r="F385" s="57">
        <v>1</v>
      </c>
      <c r="G385" s="57">
        <v>0</v>
      </c>
      <c r="H385" s="57">
        <v>0</v>
      </c>
      <c r="I385" s="57">
        <v>0</v>
      </c>
      <c r="Z385" s="57">
        <v>10</v>
      </c>
      <c r="AA385" s="57" t="s">
        <v>3116</v>
      </c>
      <c r="AB385" s="57" t="s">
        <v>3112</v>
      </c>
    </row>
    <row r="386" spans="2:28" x14ac:dyDescent="0.2">
      <c r="B386" s="57" t="s">
        <v>3055</v>
      </c>
      <c r="C386" s="57">
        <v>1</v>
      </c>
      <c r="D386" s="57" t="s">
        <v>3102</v>
      </c>
      <c r="E386" s="102">
        <f>VLOOKUP(Z386&amp;"_"&amp;AA386,挑战模式!$A$3:$Z$58,5+5*AB386,FALSE)</f>
        <v>1228</v>
      </c>
      <c r="F386" s="57">
        <v>1</v>
      </c>
      <c r="G386" s="57">
        <v>0</v>
      </c>
      <c r="H386" s="57">
        <v>0</v>
      </c>
      <c r="I386" s="57">
        <v>0</v>
      </c>
      <c r="Z386" s="57">
        <v>10</v>
      </c>
      <c r="AA386" s="57" t="s">
        <v>3116</v>
      </c>
      <c r="AB386" s="57" t="s">
        <v>3113</v>
      </c>
    </row>
    <row r="387" spans="2:28" x14ac:dyDescent="0.2">
      <c r="B387" s="57" t="s">
        <v>3056</v>
      </c>
      <c r="C387" s="57">
        <v>1</v>
      </c>
      <c r="D387" s="57" t="s">
        <v>3103</v>
      </c>
      <c r="E387" s="102">
        <f>VLOOKUP(Z387&amp;"_"&amp;AA387,挑战模式!$A$3:$Z$58,5+5*AB387,FALSE)</f>
        <v>2126</v>
      </c>
      <c r="F387" s="57">
        <v>1</v>
      </c>
      <c r="G387" s="57">
        <v>0</v>
      </c>
      <c r="H387" s="57">
        <v>0</v>
      </c>
      <c r="I387" s="57">
        <v>0</v>
      </c>
      <c r="Z387" s="57">
        <v>10</v>
      </c>
      <c r="AA387" s="57" t="s">
        <v>3117</v>
      </c>
      <c r="AB387" s="57" t="s">
        <v>3111</v>
      </c>
    </row>
    <row r="388" spans="2:28" x14ac:dyDescent="0.2">
      <c r="B388" s="57" t="s">
        <v>3057</v>
      </c>
      <c r="C388" s="57">
        <v>1</v>
      </c>
      <c r="D388" s="57" t="s">
        <v>3104</v>
      </c>
      <c r="E388" s="102">
        <f>VLOOKUP(Z388&amp;"_"&amp;AA388,挑战模式!$A$3:$Z$58,5+5*AB388,FALSE)</f>
        <v>709</v>
      </c>
      <c r="F388" s="57">
        <v>1</v>
      </c>
      <c r="G388" s="57">
        <v>0</v>
      </c>
      <c r="H388" s="57">
        <v>0</v>
      </c>
      <c r="I388" s="57">
        <v>0</v>
      </c>
      <c r="Z388" s="57">
        <v>10</v>
      </c>
      <c r="AA388" s="57" t="s">
        <v>3117</v>
      </c>
      <c r="AB388" s="57" t="s">
        <v>3112</v>
      </c>
    </row>
    <row r="389" spans="2:28" x14ac:dyDescent="0.2">
      <c r="B389" s="57" t="s">
        <v>3058</v>
      </c>
      <c r="C389" s="57">
        <v>1</v>
      </c>
      <c r="D389" s="57" t="s">
        <v>3105</v>
      </c>
      <c r="E389" s="102">
        <f>VLOOKUP(Z389&amp;"_"&amp;AA389,挑战模式!$A$3:$Z$58,5+5*AB389,FALSE)</f>
        <v>1418</v>
      </c>
      <c r="F389" s="57">
        <v>1</v>
      </c>
      <c r="G389" s="57">
        <v>0</v>
      </c>
      <c r="H389" s="57">
        <v>0</v>
      </c>
      <c r="I389" s="57">
        <v>0</v>
      </c>
      <c r="Z389" s="57">
        <v>10</v>
      </c>
      <c r="AA389" s="57" t="s">
        <v>3117</v>
      </c>
      <c r="AB389" s="57" t="s">
        <v>3113</v>
      </c>
    </row>
    <row r="390" spans="2:28" x14ac:dyDescent="0.2">
      <c r="B390" s="57" t="s">
        <v>3059</v>
      </c>
      <c r="C390" s="57">
        <v>1</v>
      </c>
      <c r="D390" s="57" t="s">
        <v>3106</v>
      </c>
      <c r="E390" s="102">
        <f>VLOOKUP(Z390&amp;"_"&amp;AA390,挑战模式!$A$3:$Z$58,5+5*AB390,FALSE)</f>
        <v>709</v>
      </c>
      <c r="F390" s="57">
        <v>1</v>
      </c>
      <c r="G390" s="57">
        <v>0</v>
      </c>
      <c r="H390" s="57">
        <v>0</v>
      </c>
      <c r="I390" s="57">
        <v>0</v>
      </c>
      <c r="Z390" s="57">
        <v>10</v>
      </c>
      <c r="AA390" s="57" t="s">
        <v>3117</v>
      </c>
      <c r="AB390" s="57" t="s">
        <v>3114</v>
      </c>
    </row>
    <row r="391" spans="2:28" x14ac:dyDescent="0.2">
      <c r="B391" s="57" t="s">
        <v>3060</v>
      </c>
      <c r="C391" s="57">
        <v>1</v>
      </c>
      <c r="D391" s="57" t="s">
        <v>3107</v>
      </c>
      <c r="E391" s="102">
        <f>VLOOKUP(Z391&amp;"_"&amp;AA391,挑战模式!$A$3:$Z$58,5+5*AB391,FALSE)</f>
        <v>2398</v>
      </c>
      <c r="F391" s="57">
        <v>1</v>
      </c>
      <c r="G391" s="57">
        <v>0</v>
      </c>
      <c r="H391" s="57">
        <v>0</v>
      </c>
      <c r="I391" s="57">
        <v>0</v>
      </c>
      <c r="Z391" s="57">
        <v>10</v>
      </c>
      <c r="AA391" s="57" t="s">
        <v>3118</v>
      </c>
      <c r="AB391" s="57" t="s">
        <v>3111</v>
      </c>
    </row>
    <row r="392" spans="2:28" x14ac:dyDescent="0.2">
      <c r="B392" s="57" t="s">
        <v>3061</v>
      </c>
      <c r="C392" s="57">
        <v>1</v>
      </c>
      <c r="D392" s="57" t="s">
        <v>3108</v>
      </c>
      <c r="E392" s="102">
        <f>VLOOKUP(Z392&amp;"_"&amp;AA392,挑战模式!$A$3:$Z$58,5+5*AB392,FALSE)</f>
        <v>799</v>
      </c>
      <c r="F392" s="57">
        <v>1</v>
      </c>
      <c r="G392" s="57">
        <v>0</v>
      </c>
      <c r="H392" s="57">
        <v>0</v>
      </c>
      <c r="I392" s="57">
        <v>0</v>
      </c>
      <c r="Z392" s="57">
        <v>10</v>
      </c>
      <c r="AA392" s="57" t="s">
        <v>3118</v>
      </c>
      <c r="AB392" s="57" t="s">
        <v>3112</v>
      </c>
    </row>
    <row r="393" spans="2:28" x14ac:dyDescent="0.2">
      <c r="B393" s="57" t="s">
        <v>3062</v>
      </c>
      <c r="C393" s="57">
        <v>1</v>
      </c>
      <c r="D393" s="57" t="s">
        <v>3109</v>
      </c>
      <c r="E393" s="102">
        <f>VLOOKUP(Z393&amp;"_"&amp;AA393,挑战模式!$A$3:$Z$58,5+5*AB393,FALSE)</f>
        <v>1598</v>
      </c>
      <c r="F393" s="57">
        <v>1</v>
      </c>
      <c r="G393" s="57">
        <v>0</v>
      </c>
      <c r="H393" s="57">
        <v>0</v>
      </c>
      <c r="I393" s="57">
        <v>0</v>
      </c>
      <c r="Z393" s="57">
        <v>10</v>
      </c>
      <c r="AA393" s="57" t="s">
        <v>3118</v>
      </c>
      <c r="AB393" s="57" t="s">
        <v>3113</v>
      </c>
    </row>
    <row r="394" spans="2:28" x14ac:dyDescent="0.2">
      <c r="B394" s="57" t="s">
        <v>3063</v>
      </c>
      <c r="C394" s="57">
        <v>1</v>
      </c>
      <c r="D394" s="57" t="s">
        <v>3110</v>
      </c>
      <c r="E394" s="102">
        <f>VLOOKUP(Z394&amp;"_"&amp;AA394,挑战模式!$A$3:$Z$58,5+5*AB394,FALSE)</f>
        <v>15984</v>
      </c>
      <c r="F394" s="57">
        <v>20</v>
      </c>
      <c r="G394" s="57">
        <v>0</v>
      </c>
      <c r="H394" s="57">
        <v>0</v>
      </c>
      <c r="I394" s="57">
        <v>0</v>
      </c>
      <c r="Z394" s="57">
        <v>10</v>
      </c>
      <c r="AA394" s="57" t="s">
        <v>3118</v>
      </c>
      <c r="AB394" s="57" t="s">
        <v>3114</v>
      </c>
    </row>
    <row r="396" spans="2:28" x14ac:dyDescent="0.2">
      <c r="B396" t="s">
        <v>1573</v>
      </c>
      <c r="D396" t="s">
        <v>1657</v>
      </c>
      <c r="E396" s="102">
        <f>VLOOKUP(VLOOKUP(B396,MonsterWaveCallRuleCfg!$L$642:$Q$721,5,FALSE),线下模式!$A$3:$X$22,3+VLOOKUP(B396,MonsterWaveCallRuleCfg!$L$642:$Q$721,6,FALSE)*5,FALSE)</f>
        <v>208</v>
      </c>
      <c r="F396" s="57">
        <v>1</v>
      </c>
      <c r="G396" s="57">
        <v>0</v>
      </c>
      <c r="H396" s="57">
        <v>0</v>
      </c>
      <c r="I396" s="57">
        <v>0</v>
      </c>
    </row>
    <row r="397" spans="2:28" x14ac:dyDescent="0.2">
      <c r="B397" t="s">
        <v>1574</v>
      </c>
      <c r="D397" t="s">
        <v>1658</v>
      </c>
      <c r="E397" s="102">
        <f>VLOOKUP(VLOOKUP(B397,MonsterWaveCallRuleCfg!$L$642:$Q$721,5,FALSE),线下模式!$A$3:$X$22,3+VLOOKUP(B397,MonsterWaveCallRuleCfg!$L$642:$Q$721,6,FALSE)*5,FALSE)</f>
        <v>193</v>
      </c>
      <c r="F397" s="57">
        <v>1</v>
      </c>
      <c r="G397" s="57">
        <v>0</v>
      </c>
      <c r="H397" s="57">
        <v>0</v>
      </c>
      <c r="I397" s="57">
        <v>0</v>
      </c>
    </row>
    <row r="398" spans="2:28" x14ac:dyDescent="0.2">
      <c r="B398" t="s">
        <v>1575</v>
      </c>
      <c r="D398" t="s">
        <v>1659</v>
      </c>
      <c r="E398" s="102">
        <f>VLOOKUP(VLOOKUP(B398,MonsterWaveCallRuleCfg!$L$642:$Q$721,5,FALSE),线下模式!$A$3:$X$22,3+VLOOKUP(B398,MonsterWaveCallRuleCfg!$L$642:$Q$721,6,FALSE)*5,FALSE)</f>
        <v>774</v>
      </c>
      <c r="F398" s="57">
        <v>1</v>
      </c>
      <c r="G398" s="57">
        <v>0</v>
      </c>
      <c r="H398" s="57">
        <v>0</v>
      </c>
      <c r="I398" s="57">
        <v>0</v>
      </c>
    </row>
    <row r="399" spans="2:28" x14ac:dyDescent="0.2">
      <c r="B399" t="s">
        <v>1576</v>
      </c>
      <c r="D399" t="s">
        <v>1660</v>
      </c>
      <c r="E399" s="102">
        <f>VLOOKUP(VLOOKUP(B399,MonsterWaveCallRuleCfg!$L$642:$Q$721,5,FALSE),线下模式!$A$3:$X$22,3+VLOOKUP(B399,MonsterWaveCallRuleCfg!$L$642:$Q$721,6,FALSE)*5,FALSE)</f>
        <v>733</v>
      </c>
      <c r="F399" s="57">
        <v>1</v>
      </c>
      <c r="G399" s="57">
        <v>0</v>
      </c>
      <c r="H399" s="57">
        <v>0</v>
      </c>
      <c r="I399" s="57">
        <v>0</v>
      </c>
    </row>
    <row r="400" spans="2:28" x14ac:dyDescent="0.2">
      <c r="B400" t="s">
        <v>1577</v>
      </c>
      <c r="D400" t="s">
        <v>1661</v>
      </c>
      <c r="E400" s="102">
        <f>VLOOKUP(VLOOKUP(B400,MonsterWaveCallRuleCfg!$L$642:$Q$721,5,FALSE),线下模式!$A$3:$X$22,3+VLOOKUP(B400,MonsterWaveCallRuleCfg!$L$642:$Q$721,6,FALSE)*5,FALSE)</f>
        <v>183</v>
      </c>
      <c r="F400" s="57">
        <v>1</v>
      </c>
      <c r="G400" s="57">
        <v>0</v>
      </c>
      <c r="H400" s="57">
        <v>0</v>
      </c>
      <c r="I400" s="57">
        <v>0</v>
      </c>
    </row>
    <row r="401" spans="2:9" x14ac:dyDescent="0.2">
      <c r="B401" t="s">
        <v>1578</v>
      </c>
      <c r="D401" t="s">
        <v>1662</v>
      </c>
      <c r="E401" s="102">
        <f>VLOOKUP(VLOOKUP(B401,MonsterWaveCallRuleCfg!$L$642:$Q$721,5,FALSE),线下模式!$A$3:$X$22,3+VLOOKUP(B401,MonsterWaveCallRuleCfg!$L$642:$Q$721,6,FALSE)*5,FALSE)</f>
        <v>658</v>
      </c>
      <c r="F401" s="57">
        <v>1</v>
      </c>
      <c r="G401" s="57">
        <v>0</v>
      </c>
      <c r="H401" s="57">
        <v>0</v>
      </c>
      <c r="I401" s="57">
        <v>0</v>
      </c>
    </row>
    <row r="402" spans="2:9" x14ac:dyDescent="0.2">
      <c r="B402" t="s">
        <v>1579</v>
      </c>
      <c r="D402" t="s">
        <v>1663</v>
      </c>
      <c r="E402" s="102">
        <f>VLOOKUP(VLOOKUP(B402,MonsterWaveCallRuleCfg!$L$642:$Q$721,5,FALSE),线下模式!$A$3:$X$22,3+VLOOKUP(B402,MonsterWaveCallRuleCfg!$L$642:$Q$721,6,FALSE)*5,FALSE)</f>
        <v>1316</v>
      </c>
      <c r="F402" s="57">
        <v>1</v>
      </c>
      <c r="G402" s="57">
        <v>0</v>
      </c>
      <c r="H402" s="57">
        <v>0</v>
      </c>
      <c r="I402" s="57">
        <v>0</v>
      </c>
    </row>
    <row r="403" spans="2:9" x14ac:dyDescent="0.2">
      <c r="B403" t="s">
        <v>1580</v>
      </c>
      <c r="D403" t="s">
        <v>1664</v>
      </c>
      <c r="E403" s="102">
        <f>VLOOKUP(VLOOKUP(B403,MonsterWaveCallRuleCfg!$L$642:$Q$721,5,FALSE),线下模式!$A$3:$X$22,3+VLOOKUP(B403,MonsterWaveCallRuleCfg!$L$642:$Q$721,6,FALSE)*5,FALSE)</f>
        <v>80953</v>
      </c>
      <c r="F403" s="57">
        <v>10</v>
      </c>
      <c r="G403" s="57">
        <v>0</v>
      </c>
      <c r="H403" s="57">
        <v>0</v>
      </c>
      <c r="I403" s="57">
        <v>0</v>
      </c>
    </row>
    <row r="404" spans="2:9" x14ac:dyDescent="0.2">
      <c r="B404" t="s">
        <v>1581</v>
      </c>
      <c r="D404" t="s">
        <v>1665</v>
      </c>
      <c r="E404" s="102">
        <f>VLOOKUP(VLOOKUP(B404,MonsterWaveCallRuleCfg!$L$642:$Q$721,5,FALSE),线下模式!$A$3:$X$22,3+VLOOKUP(B404,MonsterWaveCallRuleCfg!$L$642:$Q$721,6,FALSE)*5,FALSE)</f>
        <v>1012</v>
      </c>
      <c r="F404" s="57">
        <v>1</v>
      </c>
      <c r="G404" s="57">
        <v>0</v>
      </c>
      <c r="H404" s="57">
        <v>0</v>
      </c>
      <c r="I404" s="57">
        <v>0</v>
      </c>
    </row>
    <row r="405" spans="2:9" x14ac:dyDescent="0.2">
      <c r="B405" t="s">
        <v>1582</v>
      </c>
      <c r="D405" t="s">
        <v>1666</v>
      </c>
      <c r="E405" s="102">
        <f>VLOOKUP(VLOOKUP(B405,MonsterWaveCallRuleCfg!$L$642:$Q$721,5,FALSE),线下模式!$A$3:$X$22,3+VLOOKUP(B405,MonsterWaveCallRuleCfg!$L$642:$Q$721,6,FALSE)*5,FALSE)</f>
        <v>1620</v>
      </c>
      <c r="F405" s="57">
        <v>1</v>
      </c>
      <c r="G405" s="57">
        <v>0</v>
      </c>
      <c r="H405" s="57">
        <v>0</v>
      </c>
      <c r="I405" s="57">
        <v>0</v>
      </c>
    </row>
    <row r="406" spans="2:9" x14ac:dyDescent="0.2">
      <c r="B406" t="s">
        <v>1583</v>
      </c>
      <c r="D406" t="s">
        <v>1667</v>
      </c>
      <c r="E406" s="102">
        <f>VLOOKUP(VLOOKUP(B406,MonsterWaveCallRuleCfg!$L$642:$Q$721,5,FALSE),线下模式!$A$3:$X$22,3+VLOOKUP(B406,MonsterWaveCallRuleCfg!$L$642:$Q$721,6,FALSE)*5,FALSE)</f>
        <v>810</v>
      </c>
      <c r="F406" s="57">
        <v>1</v>
      </c>
      <c r="G406" s="57">
        <v>0</v>
      </c>
      <c r="H406" s="57">
        <v>0</v>
      </c>
      <c r="I406" s="57">
        <v>0</v>
      </c>
    </row>
    <row r="407" spans="2:9" x14ac:dyDescent="0.2">
      <c r="B407" t="s">
        <v>1584</v>
      </c>
      <c r="D407" t="s">
        <v>1668</v>
      </c>
      <c r="E407" s="102">
        <f>VLOOKUP(VLOOKUP(B407,MonsterWaveCallRuleCfg!$L$642:$Q$721,5,FALSE),线下模式!$A$3:$X$22,3+VLOOKUP(B407,MonsterWaveCallRuleCfg!$L$642:$Q$721,6,FALSE)*5,FALSE)</f>
        <v>1556</v>
      </c>
      <c r="F407" s="57">
        <v>1</v>
      </c>
      <c r="G407" s="57">
        <v>0</v>
      </c>
      <c r="H407" s="57">
        <v>0</v>
      </c>
      <c r="I407" s="57">
        <v>0</v>
      </c>
    </row>
    <row r="408" spans="2:9" x14ac:dyDescent="0.2">
      <c r="B408" t="s">
        <v>1585</v>
      </c>
      <c r="D408" t="s">
        <v>1669</v>
      </c>
      <c r="E408" s="102">
        <f>VLOOKUP(VLOOKUP(B408,MonsterWaveCallRuleCfg!$L$642:$Q$721,5,FALSE),线下模式!$A$3:$X$22,3+VLOOKUP(B408,MonsterWaveCallRuleCfg!$L$642:$Q$721,6,FALSE)*5,FALSE)</f>
        <v>778</v>
      </c>
      <c r="F408" s="57">
        <v>1</v>
      </c>
      <c r="G408" s="57">
        <v>0</v>
      </c>
      <c r="H408" s="57">
        <v>0</v>
      </c>
      <c r="I408" s="57">
        <v>0</v>
      </c>
    </row>
    <row r="409" spans="2:9" x14ac:dyDescent="0.2">
      <c r="B409" t="s">
        <v>1586</v>
      </c>
      <c r="D409" t="s">
        <v>1670</v>
      </c>
      <c r="E409" s="102">
        <f>VLOOKUP(VLOOKUP(B409,MonsterWaveCallRuleCfg!$L$642:$Q$721,5,FALSE),线下模式!$A$3:$X$22,3+VLOOKUP(B409,MonsterWaveCallRuleCfg!$L$642:$Q$721,6,FALSE)*5,FALSE)</f>
        <v>3323</v>
      </c>
      <c r="F409" s="57">
        <v>1</v>
      </c>
      <c r="G409" s="57">
        <v>0</v>
      </c>
      <c r="H409" s="57">
        <v>0</v>
      </c>
      <c r="I409" s="57">
        <v>0</v>
      </c>
    </row>
    <row r="410" spans="2:9" x14ac:dyDescent="0.2">
      <c r="B410" t="s">
        <v>1587</v>
      </c>
      <c r="D410" t="s">
        <v>1671</v>
      </c>
      <c r="E410" s="102">
        <f>VLOOKUP(VLOOKUP(B410,MonsterWaveCallRuleCfg!$L$642:$Q$721,5,FALSE),线下模式!$A$3:$X$22,3+VLOOKUP(B410,MonsterWaveCallRuleCfg!$L$642:$Q$721,6,FALSE)*5,FALSE)</f>
        <v>4985</v>
      </c>
      <c r="F410" s="57">
        <v>1</v>
      </c>
      <c r="G410" s="57">
        <v>0</v>
      </c>
      <c r="H410" s="57">
        <v>0</v>
      </c>
      <c r="I410" s="57">
        <v>0</v>
      </c>
    </row>
    <row r="411" spans="2:9" x14ac:dyDescent="0.2">
      <c r="B411" t="s">
        <v>1588</v>
      </c>
      <c r="D411" t="s">
        <v>1672</v>
      </c>
      <c r="E411" s="102">
        <f>VLOOKUP(VLOOKUP(B411,MonsterWaveCallRuleCfg!$L$642:$Q$721,5,FALSE),线下模式!$A$3:$X$22,3+VLOOKUP(B411,MonsterWaveCallRuleCfg!$L$642:$Q$721,6,FALSE)*5,FALSE)</f>
        <v>1105</v>
      </c>
      <c r="F411" s="57">
        <v>1</v>
      </c>
      <c r="G411" s="57">
        <v>0</v>
      </c>
      <c r="H411" s="57">
        <v>0</v>
      </c>
      <c r="I411" s="57">
        <v>0</v>
      </c>
    </row>
    <row r="412" spans="2:9" x14ac:dyDescent="0.2">
      <c r="B412" t="s">
        <v>1589</v>
      </c>
      <c r="D412" t="s">
        <v>1673</v>
      </c>
      <c r="E412" s="102">
        <f>VLOOKUP(VLOOKUP(B412,MonsterWaveCallRuleCfg!$L$642:$Q$721,5,FALSE),线下模式!$A$3:$X$22,3+VLOOKUP(B412,MonsterWaveCallRuleCfg!$L$642:$Q$721,6,FALSE)*5,FALSE)</f>
        <v>1657</v>
      </c>
      <c r="F412" s="57">
        <v>1</v>
      </c>
      <c r="G412" s="57">
        <v>0</v>
      </c>
      <c r="H412" s="57">
        <v>0</v>
      </c>
      <c r="I412" s="57">
        <v>0</v>
      </c>
    </row>
    <row r="413" spans="2:9" x14ac:dyDescent="0.2">
      <c r="B413" t="s">
        <v>1590</v>
      </c>
      <c r="D413" t="s">
        <v>1674</v>
      </c>
      <c r="E413" s="102">
        <f>VLOOKUP(VLOOKUP(B413,MonsterWaveCallRuleCfg!$L$642:$Q$721,5,FALSE),线下模式!$A$3:$X$22,3+VLOOKUP(B413,MonsterWaveCallRuleCfg!$L$642:$Q$721,6,FALSE)*5,FALSE)</f>
        <v>18118</v>
      </c>
      <c r="F413" s="57">
        <v>1</v>
      </c>
      <c r="G413" s="57">
        <v>0</v>
      </c>
      <c r="H413" s="57">
        <v>0</v>
      </c>
      <c r="I413" s="57">
        <v>0</v>
      </c>
    </row>
    <row r="414" spans="2:9" x14ac:dyDescent="0.2">
      <c r="B414" t="s">
        <v>1591</v>
      </c>
      <c r="D414" t="s">
        <v>1675</v>
      </c>
      <c r="E414" s="102">
        <f>VLOOKUP(VLOOKUP(B414,MonsterWaveCallRuleCfg!$L$642:$Q$721,5,FALSE),线下模式!$A$3:$X$22,3+VLOOKUP(B414,MonsterWaveCallRuleCfg!$L$642:$Q$721,6,FALSE)*5,FALSE)</f>
        <v>120789</v>
      </c>
      <c r="F414" s="57">
        <v>10</v>
      </c>
      <c r="G414" s="57">
        <v>0</v>
      </c>
      <c r="H414" s="57">
        <v>0</v>
      </c>
      <c r="I414" s="57">
        <v>0</v>
      </c>
    </row>
    <row r="415" spans="2:9" x14ac:dyDescent="0.2">
      <c r="B415" t="s">
        <v>1592</v>
      </c>
      <c r="D415" t="s">
        <v>1676</v>
      </c>
      <c r="E415" s="102">
        <f>VLOOKUP(VLOOKUP(B415,MonsterWaveCallRuleCfg!$L$642:$Q$721,5,FALSE),线下模式!$A$3:$X$22,3+VLOOKUP(B415,MonsterWaveCallRuleCfg!$L$642:$Q$721,6,FALSE)*5,FALSE)</f>
        <v>22275</v>
      </c>
      <c r="F415" s="57">
        <v>1</v>
      </c>
      <c r="G415" s="57">
        <v>0</v>
      </c>
      <c r="H415" s="57">
        <v>0</v>
      </c>
      <c r="I415" s="57">
        <v>0</v>
      </c>
    </row>
    <row r="416" spans="2:9" x14ac:dyDescent="0.2">
      <c r="B416" t="s">
        <v>1593</v>
      </c>
      <c r="D416" t="s">
        <v>1677</v>
      </c>
      <c r="E416" s="102">
        <f>VLOOKUP(VLOOKUP(B416,MonsterWaveCallRuleCfg!$L$642:$Q$721,5,FALSE),线下模式!$A$3:$X$22,3+VLOOKUP(B416,MonsterWaveCallRuleCfg!$L$642:$Q$721,6,FALSE)*5,FALSE)</f>
        <v>14850</v>
      </c>
      <c r="F416" s="57">
        <v>1</v>
      </c>
      <c r="G416" s="57">
        <v>0</v>
      </c>
      <c r="H416" s="57">
        <v>0</v>
      </c>
      <c r="I416" s="57">
        <v>0</v>
      </c>
    </row>
    <row r="417" spans="2:9" x14ac:dyDescent="0.2">
      <c r="B417" t="s">
        <v>1594</v>
      </c>
      <c r="D417" t="s">
        <v>1678</v>
      </c>
      <c r="E417" s="102">
        <f>VLOOKUP(VLOOKUP(B417,MonsterWaveCallRuleCfg!$L$642:$Q$721,5,FALSE),线下模式!$A$3:$X$22,3+VLOOKUP(B417,MonsterWaveCallRuleCfg!$L$642:$Q$721,6,FALSE)*5,FALSE)</f>
        <v>20829</v>
      </c>
      <c r="F417" s="57">
        <v>1</v>
      </c>
      <c r="G417" s="57">
        <v>0</v>
      </c>
      <c r="H417" s="57">
        <v>0</v>
      </c>
      <c r="I417" s="57">
        <v>0</v>
      </c>
    </row>
    <row r="418" spans="2:9" x14ac:dyDescent="0.2">
      <c r="B418" t="s">
        <v>1595</v>
      </c>
      <c r="D418" t="s">
        <v>1679</v>
      </c>
      <c r="E418" s="102">
        <f>VLOOKUP(VLOOKUP(B418,MonsterWaveCallRuleCfg!$L$642:$Q$721,5,FALSE),线下模式!$A$3:$X$22,3+VLOOKUP(B418,MonsterWaveCallRuleCfg!$L$642:$Q$721,6,FALSE)*5,FALSE)</f>
        <v>7800</v>
      </c>
      <c r="F418" s="57">
        <v>1</v>
      </c>
      <c r="G418" s="57">
        <v>0</v>
      </c>
      <c r="H418" s="57">
        <v>0</v>
      </c>
      <c r="I418" s="57">
        <v>0</v>
      </c>
    </row>
    <row r="419" spans="2:9" x14ac:dyDescent="0.2">
      <c r="B419" t="s">
        <v>1596</v>
      </c>
      <c r="D419" t="s">
        <v>1680</v>
      </c>
      <c r="E419" s="102">
        <f>VLOOKUP(VLOOKUP(B419,MonsterWaveCallRuleCfg!$L$642:$Q$721,5,FALSE),线下模式!$A$3:$X$22,3+VLOOKUP(B419,MonsterWaveCallRuleCfg!$L$642:$Q$721,6,FALSE)*5,FALSE)</f>
        <v>15600</v>
      </c>
      <c r="F419" s="57">
        <v>1</v>
      </c>
      <c r="G419" s="57">
        <v>0</v>
      </c>
      <c r="H419" s="57">
        <v>0</v>
      </c>
      <c r="I419" s="57">
        <v>0</v>
      </c>
    </row>
    <row r="420" spans="2:9" x14ac:dyDescent="0.2">
      <c r="B420" t="s">
        <v>1597</v>
      </c>
      <c r="D420" t="s">
        <v>1681</v>
      </c>
      <c r="E420" s="102">
        <f>VLOOKUP(VLOOKUP(B420,MonsterWaveCallRuleCfg!$L$642:$Q$721,5,FALSE),线下模式!$A$3:$X$22,3+VLOOKUP(B420,MonsterWaveCallRuleCfg!$L$642:$Q$721,6,FALSE)*5,FALSE)</f>
        <v>5263</v>
      </c>
      <c r="F420" s="57">
        <v>1</v>
      </c>
      <c r="G420" s="57">
        <v>0</v>
      </c>
      <c r="H420" s="57">
        <v>0</v>
      </c>
      <c r="I420" s="57">
        <v>0</v>
      </c>
    </row>
    <row r="421" spans="2:9" x14ac:dyDescent="0.2">
      <c r="B421" t="s">
        <v>1598</v>
      </c>
      <c r="D421" t="s">
        <v>1682</v>
      </c>
      <c r="E421" s="102">
        <f>VLOOKUP(VLOOKUP(B421,MonsterWaveCallRuleCfg!$L$642:$Q$721,5,FALSE),线下模式!$A$3:$X$22,3+VLOOKUP(B421,MonsterWaveCallRuleCfg!$L$642:$Q$721,6,FALSE)*5,FALSE)</f>
        <v>31580</v>
      </c>
      <c r="F421" s="57">
        <v>1</v>
      </c>
      <c r="G421" s="57">
        <v>0</v>
      </c>
      <c r="H421" s="57">
        <v>0</v>
      </c>
      <c r="I421" s="57">
        <v>0</v>
      </c>
    </row>
    <row r="422" spans="2:9" x14ac:dyDescent="0.2">
      <c r="B422" t="s">
        <v>1599</v>
      </c>
      <c r="D422" t="s">
        <v>1683</v>
      </c>
      <c r="E422" s="102">
        <f>VLOOKUP(VLOOKUP(B422,MonsterWaveCallRuleCfg!$L$642:$Q$721,5,FALSE),线下模式!$A$3:$X$22,3+VLOOKUP(B422,MonsterWaveCallRuleCfg!$L$642:$Q$721,6,FALSE)*5,FALSE)</f>
        <v>3997</v>
      </c>
      <c r="F422" s="57">
        <v>1</v>
      </c>
      <c r="G422" s="57">
        <v>0</v>
      </c>
      <c r="H422" s="57">
        <v>0</v>
      </c>
      <c r="I422" s="57">
        <v>0</v>
      </c>
    </row>
    <row r="423" spans="2:9" x14ac:dyDescent="0.2">
      <c r="B423" t="s">
        <v>1600</v>
      </c>
      <c r="D423" t="s">
        <v>1684</v>
      </c>
      <c r="E423" s="102">
        <f>VLOOKUP(VLOOKUP(B423,MonsterWaveCallRuleCfg!$L$642:$Q$721,5,FALSE),线下模式!$A$3:$X$22,3+VLOOKUP(B423,MonsterWaveCallRuleCfg!$L$642:$Q$721,6,FALSE)*5,FALSE)</f>
        <v>5995</v>
      </c>
      <c r="F423" s="57">
        <v>1</v>
      </c>
      <c r="G423" s="57">
        <v>0</v>
      </c>
      <c r="H423" s="57">
        <v>0</v>
      </c>
      <c r="I423" s="57">
        <v>0</v>
      </c>
    </row>
    <row r="424" spans="2:9" x14ac:dyDescent="0.2">
      <c r="B424" t="s">
        <v>1601</v>
      </c>
      <c r="D424" t="s">
        <v>1685</v>
      </c>
      <c r="E424" s="102">
        <f>VLOOKUP(VLOOKUP(B424,MonsterWaveCallRuleCfg!$L$642:$Q$721,5,FALSE),线下模式!$A$3:$X$22,3+VLOOKUP(B424,MonsterWaveCallRuleCfg!$L$642:$Q$721,6,FALSE)*5,FALSE)</f>
        <v>79934</v>
      </c>
      <c r="F424" s="57">
        <v>10</v>
      </c>
      <c r="G424" s="57">
        <v>0</v>
      </c>
      <c r="H424" s="57">
        <v>0</v>
      </c>
      <c r="I424" s="57">
        <v>0</v>
      </c>
    </row>
    <row r="425" spans="2:9" x14ac:dyDescent="0.2">
      <c r="B425" t="s">
        <v>1602</v>
      </c>
      <c r="D425" t="s">
        <v>1686</v>
      </c>
      <c r="E425" s="102">
        <f>VLOOKUP(VLOOKUP(B425,MonsterWaveCallRuleCfg!$L$642:$Q$721,5,FALSE),线下模式!$A$3:$X$22,3+VLOOKUP(B425,MonsterWaveCallRuleCfg!$L$642:$Q$721,6,FALSE)*5,FALSE)</f>
        <v>10580</v>
      </c>
      <c r="F425" s="57">
        <v>1</v>
      </c>
      <c r="G425" s="57">
        <v>0</v>
      </c>
      <c r="H425" s="57">
        <v>0</v>
      </c>
      <c r="I425" s="57">
        <v>0</v>
      </c>
    </row>
    <row r="426" spans="2:9" x14ac:dyDescent="0.2">
      <c r="B426" t="s">
        <v>1603</v>
      </c>
      <c r="D426" t="s">
        <v>1687</v>
      </c>
      <c r="E426" s="102">
        <f>VLOOKUP(VLOOKUP(B426,MonsterWaveCallRuleCfg!$L$642:$Q$721,5,FALSE),线下模式!$A$3:$X$22,3+VLOOKUP(B426,MonsterWaveCallRuleCfg!$L$642:$Q$721,6,FALSE)*5,FALSE)</f>
        <v>21159</v>
      </c>
      <c r="F426" s="57">
        <v>1</v>
      </c>
      <c r="G426" s="57">
        <v>0</v>
      </c>
      <c r="H426" s="57">
        <v>0</v>
      </c>
      <c r="I426" s="57">
        <v>0</v>
      </c>
    </row>
    <row r="427" spans="2:9" x14ac:dyDescent="0.2">
      <c r="B427" t="s">
        <v>1604</v>
      </c>
      <c r="D427" t="s">
        <v>1688</v>
      </c>
      <c r="E427" s="102">
        <f>VLOOKUP(VLOOKUP(B427,MonsterWaveCallRuleCfg!$L$642:$Q$721,5,FALSE),线下模式!$A$3:$X$22,3+VLOOKUP(B427,MonsterWaveCallRuleCfg!$L$642:$Q$721,6,FALSE)*5,FALSE)</f>
        <v>18626</v>
      </c>
      <c r="F427" s="57">
        <v>1</v>
      </c>
      <c r="G427" s="57">
        <v>0</v>
      </c>
      <c r="H427" s="57">
        <v>0</v>
      </c>
      <c r="I427" s="57">
        <v>0</v>
      </c>
    </row>
    <row r="428" spans="2:9" x14ac:dyDescent="0.2">
      <c r="B428" t="s">
        <v>1605</v>
      </c>
      <c r="D428" t="s">
        <v>1689</v>
      </c>
      <c r="E428" s="102">
        <f>VLOOKUP(VLOOKUP(B428,MonsterWaveCallRuleCfg!$L$642:$Q$721,5,FALSE),线下模式!$A$3:$X$22,3+VLOOKUP(B428,MonsterWaveCallRuleCfg!$L$642:$Q$721,6,FALSE)*5,FALSE)</f>
        <v>9313</v>
      </c>
      <c r="F428" s="57">
        <v>1</v>
      </c>
      <c r="G428" s="57">
        <v>0</v>
      </c>
      <c r="H428" s="57">
        <v>0</v>
      </c>
      <c r="I428" s="57">
        <v>0</v>
      </c>
    </row>
    <row r="429" spans="2:9" x14ac:dyDescent="0.2">
      <c r="B429" t="s">
        <v>1606</v>
      </c>
      <c r="D429" t="s">
        <v>1690</v>
      </c>
      <c r="E429" s="102">
        <f>VLOOKUP(VLOOKUP(B429,MonsterWaveCallRuleCfg!$L$642:$Q$721,5,FALSE),线下模式!$A$3:$X$22,3+VLOOKUP(B429,MonsterWaveCallRuleCfg!$L$642:$Q$721,6,FALSE)*5,FALSE)</f>
        <v>13642</v>
      </c>
      <c r="F429" s="57">
        <v>1</v>
      </c>
      <c r="G429" s="57">
        <v>0</v>
      </c>
      <c r="H429" s="57">
        <v>0</v>
      </c>
      <c r="I429" s="57">
        <v>0</v>
      </c>
    </row>
    <row r="430" spans="2:9" x14ac:dyDescent="0.2">
      <c r="B430" t="s">
        <v>1607</v>
      </c>
      <c r="D430" t="s">
        <v>1691</v>
      </c>
      <c r="E430" s="102">
        <f>VLOOKUP(VLOOKUP(B430,MonsterWaveCallRuleCfg!$L$642:$Q$721,5,FALSE),线下模式!$A$3:$X$22,3+VLOOKUP(B430,MonsterWaveCallRuleCfg!$L$642:$Q$721,6,FALSE)*5,FALSE)</f>
        <v>6821</v>
      </c>
      <c r="F430" s="57">
        <v>1</v>
      </c>
      <c r="G430" s="57">
        <v>0</v>
      </c>
      <c r="H430" s="57">
        <v>0</v>
      </c>
      <c r="I430" s="57">
        <v>0</v>
      </c>
    </row>
    <row r="431" spans="2:9" x14ac:dyDescent="0.2">
      <c r="B431" t="s">
        <v>1608</v>
      </c>
      <c r="D431" t="s">
        <v>1692</v>
      </c>
      <c r="E431" s="102">
        <f>VLOOKUP(VLOOKUP(B431,MonsterWaveCallRuleCfg!$L$642:$Q$721,5,FALSE),线下模式!$A$3:$X$22,3+VLOOKUP(B431,MonsterWaveCallRuleCfg!$L$642:$Q$721,6,FALSE)*5,FALSE)</f>
        <v>20463</v>
      </c>
      <c r="F431" s="57">
        <v>1</v>
      </c>
      <c r="G431" s="57">
        <v>0</v>
      </c>
      <c r="H431" s="57">
        <v>0</v>
      </c>
      <c r="I431" s="57">
        <v>0</v>
      </c>
    </row>
    <row r="432" spans="2:9" x14ac:dyDescent="0.2">
      <c r="B432" t="s">
        <v>1609</v>
      </c>
      <c r="D432" t="s">
        <v>1693</v>
      </c>
      <c r="E432" s="102">
        <f>VLOOKUP(VLOOKUP(B432,MonsterWaveCallRuleCfg!$L$642:$Q$721,5,FALSE),线下模式!$A$3:$X$22,3+VLOOKUP(B432,MonsterWaveCallRuleCfg!$L$642:$Q$721,6,FALSE)*5,FALSE)</f>
        <v>11615</v>
      </c>
      <c r="F432" s="57">
        <v>1</v>
      </c>
      <c r="G432" s="57">
        <v>0</v>
      </c>
      <c r="H432" s="57">
        <v>0</v>
      </c>
      <c r="I432" s="57">
        <v>0</v>
      </c>
    </row>
    <row r="433" spans="2:28" x14ac:dyDescent="0.2">
      <c r="B433" t="s">
        <v>1610</v>
      </c>
      <c r="D433" t="s">
        <v>1694</v>
      </c>
      <c r="E433" s="102">
        <f>VLOOKUP(VLOOKUP(B433,MonsterWaveCallRuleCfg!$L$642:$Q$721,5,FALSE),线下模式!$A$3:$X$22,3+VLOOKUP(B433,MonsterWaveCallRuleCfg!$L$642:$Q$721,6,FALSE)*5,FALSE)</f>
        <v>5808</v>
      </c>
      <c r="F433" s="57">
        <v>1</v>
      </c>
      <c r="G433" s="57">
        <v>0</v>
      </c>
      <c r="H433" s="57">
        <v>0</v>
      </c>
      <c r="I433" s="57">
        <v>0</v>
      </c>
    </row>
    <row r="434" spans="2:28" x14ac:dyDescent="0.2">
      <c r="B434" t="s">
        <v>1611</v>
      </c>
      <c r="D434" t="s">
        <v>1695</v>
      </c>
      <c r="E434" s="102">
        <f>VLOOKUP(VLOOKUP(B434,MonsterWaveCallRuleCfg!$L$642:$Q$721,5,FALSE),线下模式!$A$3:$X$22,3+VLOOKUP(B434,MonsterWaveCallRuleCfg!$L$642:$Q$721,6,FALSE)*5,FALSE)</f>
        <v>17423</v>
      </c>
      <c r="F434" s="57">
        <v>1</v>
      </c>
      <c r="G434" s="57">
        <v>0</v>
      </c>
      <c r="H434" s="57">
        <v>0</v>
      </c>
      <c r="I434" s="57">
        <v>0</v>
      </c>
    </row>
    <row r="435" spans="2:28" x14ac:dyDescent="0.2">
      <c r="B435" t="s">
        <v>1612</v>
      </c>
      <c r="D435" t="s">
        <v>1696</v>
      </c>
      <c r="E435" s="102">
        <f>VLOOKUP(VLOOKUP(B435,MonsterWaveCallRuleCfg!$L$642:$Q$721,5,FALSE),线下模式!$A$3:$X$22,3+VLOOKUP(B435,MonsterWaveCallRuleCfg!$L$642:$Q$721,6,FALSE)*5,FALSE)</f>
        <v>5571</v>
      </c>
      <c r="F435" s="57">
        <v>1</v>
      </c>
      <c r="G435" s="57">
        <v>0</v>
      </c>
      <c r="H435" s="57">
        <v>0</v>
      </c>
      <c r="I435" s="57">
        <v>0</v>
      </c>
    </row>
    <row r="436" spans="2:28" x14ac:dyDescent="0.2">
      <c r="B436" t="s">
        <v>1613</v>
      </c>
      <c r="D436" t="s">
        <v>1697</v>
      </c>
      <c r="E436" s="102">
        <f>VLOOKUP(VLOOKUP(B436,MonsterWaveCallRuleCfg!$L$642:$Q$721,5,FALSE),线下模式!$A$3:$X$22,3+VLOOKUP(B436,MonsterWaveCallRuleCfg!$L$642:$Q$721,6,FALSE)*5,FALSE)</f>
        <v>111429</v>
      </c>
      <c r="F436" s="57">
        <v>10</v>
      </c>
      <c r="G436" s="57">
        <v>0</v>
      </c>
      <c r="H436" s="57">
        <v>0</v>
      </c>
      <c r="I436" s="57">
        <v>0</v>
      </c>
    </row>
    <row r="437" spans="2:28" x14ac:dyDescent="0.2">
      <c r="B437" t="s">
        <v>1614</v>
      </c>
      <c r="D437" t="s">
        <v>1698</v>
      </c>
      <c r="E437" s="102">
        <f>VLOOKUP(VLOOKUP(B437,MonsterWaveCallRuleCfg!$L$642:$Q$721,5,FALSE),线下模式!$A$3:$X$22,3+VLOOKUP(B437,MonsterWaveCallRuleCfg!$L$642:$Q$721,6,FALSE)*5,FALSE)</f>
        <v>16714</v>
      </c>
      <c r="F437" s="57">
        <v>1</v>
      </c>
      <c r="G437" s="57">
        <v>0</v>
      </c>
      <c r="H437" s="57">
        <v>0</v>
      </c>
      <c r="I437" s="57">
        <v>0</v>
      </c>
    </row>
    <row r="439" spans="2:28" x14ac:dyDescent="0.2">
      <c r="B439" s="57" t="s">
        <v>2084</v>
      </c>
      <c r="C439" s="57">
        <v>1</v>
      </c>
      <c r="D439" s="57" t="s">
        <v>2668</v>
      </c>
      <c r="E439" s="102">
        <f>VLOOKUP(Z439&amp;"_"&amp;AA439,活动关卡!$A$4:$Z$27,5+5*AB439,FALSE)</f>
        <v>95</v>
      </c>
      <c r="F439" s="57">
        <v>1</v>
      </c>
      <c r="G439" s="57">
        <v>0</v>
      </c>
      <c r="H439" s="57">
        <v>0</v>
      </c>
      <c r="I439" s="57">
        <v>0</v>
      </c>
      <c r="Z439" s="110" t="str">
        <f>LEFT(RIGHT(D439,5),1)</f>
        <v>1</v>
      </c>
      <c r="AA439" s="110" t="str">
        <f>LEFT(RIGHT(D439,3),1)</f>
        <v>1</v>
      </c>
      <c r="AB439" s="110" t="str">
        <f>RIGHT(D439,1)</f>
        <v>1</v>
      </c>
    </row>
    <row r="440" spans="2:28" x14ac:dyDescent="0.2">
      <c r="B440" s="57" t="s">
        <v>2085</v>
      </c>
      <c r="C440" s="57">
        <v>1</v>
      </c>
      <c r="D440" s="57" t="s">
        <v>2669</v>
      </c>
      <c r="E440" s="102">
        <f>VLOOKUP(Z440&amp;"_"&amp;AA440,活动关卡!$A$4:$Z$27,5+5*AB440,FALSE)</f>
        <v>381</v>
      </c>
      <c r="F440" s="57">
        <v>1</v>
      </c>
      <c r="G440" s="57">
        <v>0</v>
      </c>
      <c r="H440" s="57">
        <v>0</v>
      </c>
      <c r="I440" s="57">
        <v>0</v>
      </c>
      <c r="Z440" s="110" t="str">
        <f t="shared" ref="Z440:Z462" si="6">LEFT(RIGHT(D440,5),1)</f>
        <v>1</v>
      </c>
      <c r="AA440" s="110" t="str">
        <f t="shared" ref="AA440:AA462" si="7">LEFT(RIGHT(D440,3),1)</f>
        <v>1</v>
      </c>
      <c r="AB440" s="110" t="str">
        <f t="shared" ref="AB440:AB462" si="8">RIGHT(D440,1)</f>
        <v>2</v>
      </c>
    </row>
    <row r="441" spans="2:28" x14ac:dyDescent="0.2">
      <c r="B441" s="57" t="s">
        <v>2086</v>
      </c>
      <c r="C441" s="57">
        <v>1</v>
      </c>
      <c r="D441" s="57" t="s">
        <v>2670</v>
      </c>
      <c r="E441" s="102">
        <f>VLOOKUP(Z441&amp;"_"&amp;AA441,活动关卡!$A$4:$Z$27,5+5*AB441,FALSE)</f>
        <v>158</v>
      </c>
      <c r="F441" s="57">
        <v>1</v>
      </c>
      <c r="G441" s="57">
        <v>0</v>
      </c>
      <c r="H441" s="57">
        <v>0</v>
      </c>
      <c r="I441" s="57">
        <v>0</v>
      </c>
      <c r="Z441" s="110" t="str">
        <f t="shared" si="6"/>
        <v>1</v>
      </c>
      <c r="AA441" s="110" t="str">
        <f t="shared" si="7"/>
        <v>2</v>
      </c>
      <c r="AB441" s="110" t="str">
        <f t="shared" si="8"/>
        <v>1</v>
      </c>
    </row>
    <row r="442" spans="2:28" x14ac:dyDescent="0.2">
      <c r="B442" s="57" t="s">
        <v>2087</v>
      </c>
      <c r="C442" s="57">
        <v>1</v>
      </c>
      <c r="D442" s="57" t="s">
        <v>2671</v>
      </c>
      <c r="E442" s="102">
        <f>VLOOKUP(Z442&amp;"_"&amp;AA442,活动关卡!$A$4:$Z$27,5+5*AB442,FALSE)</f>
        <v>632</v>
      </c>
      <c r="F442" s="57">
        <v>1</v>
      </c>
      <c r="G442" s="57">
        <v>0</v>
      </c>
      <c r="H442" s="57">
        <v>0</v>
      </c>
      <c r="I442" s="57">
        <v>0</v>
      </c>
      <c r="Z442" s="110" t="str">
        <f t="shared" si="6"/>
        <v>1</v>
      </c>
      <c r="AA442" s="110" t="str">
        <f t="shared" si="7"/>
        <v>2</v>
      </c>
      <c r="AB442" s="110" t="str">
        <f t="shared" si="8"/>
        <v>2</v>
      </c>
    </row>
    <row r="443" spans="2:28" x14ac:dyDescent="0.2">
      <c r="B443" s="57" t="s">
        <v>2088</v>
      </c>
      <c r="C443" s="57">
        <v>1</v>
      </c>
      <c r="D443" s="57" t="s">
        <v>2672</v>
      </c>
      <c r="E443" s="102">
        <f>VLOOKUP(Z443&amp;"_"&amp;AA443,活动关卡!$A$4:$Z$27,5+5*AB443,FALSE)</f>
        <v>180</v>
      </c>
      <c r="F443" s="57">
        <v>1</v>
      </c>
      <c r="G443" s="57">
        <v>0</v>
      </c>
      <c r="H443" s="57">
        <v>0</v>
      </c>
      <c r="I443" s="57">
        <v>0</v>
      </c>
      <c r="Z443" s="110" t="str">
        <f t="shared" si="6"/>
        <v>1</v>
      </c>
      <c r="AA443" s="110" t="str">
        <f t="shared" si="7"/>
        <v>3</v>
      </c>
      <c r="AB443" s="110" t="str">
        <f t="shared" si="8"/>
        <v>1</v>
      </c>
    </row>
    <row r="444" spans="2:28" x14ac:dyDescent="0.2">
      <c r="B444" s="57" t="s">
        <v>2089</v>
      </c>
      <c r="C444" s="57">
        <v>1</v>
      </c>
      <c r="D444" s="57" t="s">
        <v>2673</v>
      </c>
      <c r="E444" s="102">
        <f>VLOOKUP(Z444&amp;"_"&amp;AA444,活动关卡!$A$4:$Z$27,5+5*AB444,FALSE)</f>
        <v>720</v>
      </c>
      <c r="F444" s="57">
        <v>1</v>
      </c>
      <c r="G444" s="57">
        <v>0</v>
      </c>
      <c r="H444" s="57">
        <v>0</v>
      </c>
      <c r="I444" s="57">
        <v>0</v>
      </c>
      <c r="Z444" s="110" t="str">
        <f t="shared" si="6"/>
        <v>1</v>
      </c>
      <c r="AA444" s="110" t="str">
        <f t="shared" si="7"/>
        <v>3</v>
      </c>
      <c r="AB444" s="110" t="str">
        <f t="shared" si="8"/>
        <v>2</v>
      </c>
    </row>
    <row r="445" spans="2:28" x14ac:dyDescent="0.2">
      <c r="B445" s="57" t="s">
        <v>2090</v>
      </c>
      <c r="C445" s="57">
        <v>1</v>
      </c>
      <c r="D445" s="57" t="s">
        <v>2674</v>
      </c>
      <c r="E445" s="102">
        <f>VLOOKUP(Z445&amp;"_"&amp;AA445,活动关卡!$A$4:$Z$27,5+5*AB445,FALSE)</f>
        <v>720</v>
      </c>
      <c r="F445" s="57">
        <v>1</v>
      </c>
      <c r="G445" s="57">
        <v>0</v>
      </c>
      <c r="H445" s="57">
        <v>0</v>
      </c>
      <c r="I445" s="57">
        <v>0</v>
      </c>
      <c r="Z445" s="110" t="str">
        <f t="shared" si="6"/>
        <v>1</v>
      </c>
      <c r="AA445" s="110" t="str">
        <f t="shared" si="7"/>
        <v>3</v>
      </c>
      <c r="AB445" s="110" t="str">
        <f t="shared" si="8"/>
        <v>3</v>
      </c>
    </row>
    <row r="446" spans="2:28" x14ac:dyDescent="0.2">
      <c r="B446" s="57" t="s">
        <v>2091</v>
      </c>
      <c r="C446" s="57">
        <v>1</v>
      </c>
      <c r="D446" s="57" t="s">
        <v>2675</v>
      </c>
      <c r="E446" s="102">
        <f>VLOOKUP(Z446&amp;"_"&amp;AA446,活动关卡!$A$4:$Z$27,5+5*AB446,FALSE)</f>
        <v>180</v>
      </c>
      <c r="F446" s="57">
        <v>1</v>
      </c>
      <c r="G446" s="57">
        <v>0</v>
      </c>
      <c r="H446" s="57">
        <v>0</v>
      </c>
      <c r="I446" s="57">
        <v>0</v>
      </c>
      <c r="Z446" s="110" t="str">
        <f t="shared" si="6"/>
        <v>2</v>
      </c>
      <c r="AA446" s="110" t="str">
        <f t="shared" si="7"/>
        <v>1</v>
      </c>
      <c r="AB446" s="110" t="str">
        <f t="shared" si="8"/>
        <v>1</v>
      </c>
    </row>
    <row r="447" spans="2:28" x14ac:dyDescent="0.2">
      <c r="B447" s="57" t="s">
        <v>2092</v>
      </c>
      <c r="C447" s="57">
        <v>1</v>
      </c>
      <c r="D447" s="57" t="s">
        <v>2676</v>
      </c>
      <c r="E447" s="102">
        <f>VLOOKUP(Z447&amp;"_"&amp;AA447,活动关卡!$A$4:$Z$27,5+5*AB447,FALSE)</f>
        <v>360</v>
      </c>
      <c r="F447" s="57">
        <v>1</v>
      </c>
      <c r="G447" s="57">
        <v>0</v>
      </c>
      <c r="H447" s="57">
        <v>0</v>
      </c>
      <c r="I447" s="57">
        <v>0</v>
      </c>
      <c r="Z447" s="110" t="str">
        <f t="shared" si="6"/>
        <v>2</v>
      </c>
      <c r="AA447" s="110" t="str">
        <f t="shared" si="7"/>
        <v>1</v>
      </c>
      <c r="AB447" s="110" t="str">
        <f t="shared" si="8"/>
        <v>2</v>
      </c>
    </row>
    <row r="448" spans="2:28" x14ac:dyDescent="0.2">
      <c r="B448" s="57" t="s">
        <v>2093</v>
      </c>
      <c r="C448" s="57">
        <v>1</v>
      </c>
      <c r="D448" s="57" t="s">
        <v>2677</v>
      </c>
      <c r="E448" s="102">
        <f>VLOOKUP(Z448&amp;"_"&amp;AA448,活动关卡!$A$4:$Z$27,5+5*AB448,FALSE)</f>
        <v>288</v>
      </c>
      <c r="F448" s="57">
        <v>1</v>
      </c>
      <c r="G448" s="57">
        <v>0</v>
      </c>
      <c r="H448" s="57">
        <v>0</v>
      </c>
      <c r="I448" s="57">
        <v>0</v>
      </c>
      <c r="Z448" s="110" t="str">
        <f t="shared" si="6"/>
        <v>2</v>
      </c>
      <c r="AA448" s="110" t="str">
        <f t="shared" si="7"/>
        <v>2</v>
      </c>
      <c r="AB448" s="110" t="str">
        <f t="shared" si="8"/>
        <v>1</v>
      </c>
    </row>
    <row r="449" spans="2:28" x14ac:dyDescent="0.2">
      <c r="B449" s="57" t="s">
        <v>2094</v>
      </c>
      <c r="C449" s="57">
        <v>1</v>
      </c>
      <c r="D449" s="57" t="s">
        <v>2678</v>
      </c>
      <c r="E449" s="102">
        <f>VLOOKUP(Z449&amp;"_"&amp;AA449,活动关卡!$A$4:$Z$27,5+5*AB449,FALSE)</f>
        <v>576</v>
      </c>
      <c r="F449" s="57">
        <v>1</v>
      </c>
      <c r="G449" s="57">
        <v>0</v>
      </c>
      <c r="H449" s="57">
        <v>0</v>
      </c>
      <c r="I449" s="57">
        <v>0</v>
      </c>
      <c r="Z449" s="110" t="str">
        <f t="shared" si="6"/>
        <v>2</v>
      </c>
      <c r="AA449" s="110" t="str">
        <f t="shared" si="7"/>
        <v>2</v>
      </c>
      <c r="AB449" s="110" t="str">
        <f t="shared" si="8"/>
        <v>2</v>
      </c>
    </row>
    <row r="450" spans="2:28" x14ac:dyDescent="0.2">
      <c r="B450" s="57" t="s">
        <v>2095</v>
      </c>
      <c r="C450" s="57">
        <v>1</v>
      </c>
      <c r="D450" s="57" t="s">
        <v>2679</v>
      </c>
      <c r="E450" s="102">
        <f>VLOOKUP(Z450&amp;"_"&amp;AA450,活动关卡!$A$4:$Z$27,5+5*AB450,FALSE)</f>
        <v>576</v>
      </c>
      <c r="F450" s="57">
        <v>1</v>
      </c>
      <c r="G450" s="57">
        <v>0</v>
      </c>
      <c r="H450" s="57">
        <v>0</v>
      </c>
      <c r="I450" s="57">
        <v>0</v>
      </c>
      <c r="Z450" s="110" t="str">
        <f t="shared" si="6"/>
        <v>2</v>
      </c>
      <c r="AA450" s="110" t="str">
        <f t="shared" si="7"/>
        <v>2</v>
      </c>
      <c r="AB450" s="110" t="str">
        <f t="shared" si="8"/>
        <v>3</v>
      </c>
    </row>
    <row r="451" spans="2:28" x14ac:dyDescent="0.2">
      <c r="B451" s="57" t="s">
        <v>2096</v>
      </c>
      <c r="C451" s="57">
        <v>1</v>
      </c>
      <c r="D451" s="57" t="s">
        <v>2680</v>
      </c>
      <c r="E451" s="102">
        <f>VLOOKUP(Z451&amp;"_"&amp;AA451,活动关卡!$A$4:$Z$27,5+5*AB451,FALSE)</f>
        <v>309</v>
      </c>
      <c r="F451" s="57">
        <v>1</v>
      </c>
      <c r="G451" s="57">
        <v>0</v>
      </c>
      <c r="H451" s="57">
        <v>0</v>
      </c>
      <c r="I451" s="57">
        <v>0</v>
      </c>
      <c r="Z451" s="110" t="str">
        <f t="shared" si="6"/>
        <v>2</v>
      </c>
      <c r="AA451" s="110" t="str">
        <f t="shared" si="7"/>
        <v>3</v>
      </c>
      <c r="AB451" s="110" t="str">
        <f t="shared" si="8"/>
        <v>1</v>
      </c>
    </row>
    <row r="452" spans="2:28" x14ac:dyDescent="0.2">
      <c r="B452" s="57" t="s">
        <v>2097</v>
      </c>
      <c r="C452" s="57">
        <v>1</v>
      </c>
      <c r="D452" s="57" t="s">
        <v>2681</v>
      </c>
      <c r="E452" s="102">
        <f>VLOOKUP(Z452&amp;"_"&amp;AA452,活动关卡!$A$4:$Z$27,5+5*AB452,FALSE)</f>
        <v>154</v>
      </c>
      <c r="F452" s="57">
        <v>1</v>
      </c>
      <c r="G452" s="57">
        <v>0</v>
      </c>
      <c r="H452" s="57">
        <v>0</v>
      </c>
      <c r="I452" s="57">
        <v>0</v>
      </c>
      <c r="Z452" s="110" t="str">
        <f t="shared" si="6"/>
        <v>2</v>
      </c>
      <c r="AA452" s="110" t="str">
        <f t="shared" si="7"/>
        <v>3</v>
      </c>
      <c r="AB452" s="110" t="str">
        <f t="shared" si="8"/>
        <v>2</v>
      </c>
    </row>
    <row r="453" spans="2:28" x14ac:dyDescent="0.2">
      <c r="B453" s="57" t="s">
        <v>2098</v>
      </c>
      <c r="C453" s="57">
        <v>1</v>
      </c>
      <c r="D453" s="57" t="s">
        <v>2682</v>
      </c>
      <c r="E453" s="102">
        <f>VLOOKUP(Z453&amp;"_"&amp;AA453,活动关卡!$A$4:$Z$27,5+5*AB453,FALSE)</f>
        <v>617</v>
      </c>
      <c r="F453" s="57">
        <v>1</v>
      </c>
      <c r="G453" s="57">
        <v>0</v>
      </c>
      <c r="H453" s="57">
        <v>0</v>
      </c>
      <c r="I453" s="57">
        <v>0</v>
      </c>
      <c r="Z453" s="110" t="str">
        <f t="shared" si="6"/>
        <v>2</v>
      </c>
      <c r="AA453" s="110" t="str">
        <f t="shared" si="7"/>
        <v>3</v>
      </c>
      <c r="AB453" s="110" t="str">
        <f t="shared" si="8"/>
        <v>3</v>
      </c>
    </row>
    <row r="454" spans="2:28" x14ac:dyDescent="0.2">
      <c r="B454" s="57" t="s">
        <v>2099</v>
      </c>
      <c r="C454" s="57">
        <v>1</v>
      </c>
      <c r="D454" s="57" t="s">
        <v>2683</v>
      </c>
      <c r="E454" s="102">
        <f>VLOOKUP(Z454&amp;"_"&amp;AA454,活动关卡!$A$4:$Z$27,5+5*AB454,FALSE)</f>
        <v>400</v>
      </c>
      <c r="F454" s="57">
        <v>1</v>
      </c>
      <c r="G454" s="57">
        <v>0</v>
      </c>
      <c r="H454" s="57">
        <v>0</v>
      </c>
      <c r="I454" s="57">
        <v>0</v>
      </c>
      <c r="Z454" s="110" t="str">
        <f t="shared" si="6"/>
        <v>2</v>
      </c>
      <c r="AA454" s="110" t="str">
        <f t="shared" si="7"/>
        <v>4</v>
      </c>
      <c r="AB454" s="110" t="str">
        <f t="shared" si="8"/>
        <v>1</v>
      </c>
    </row>
    <row r="455" spans="2:28" x14ac:dyDescent="0.2">
      <c r="B455" s="57" t="s">
        <v>2100</v>
      </c>
      <c r="C455" s="57">
        <v>1</v>
      </c>
      <c r="D455" s="57" t="s">
        <v>2684</v>
      </c>
      <c r="E455" s="102">
        <f>VLOOKUP(Z455&amp;"_"&amp;AA455,活动关卡!$A$4:$Z$27,5+5*AB455,FALSE)</f>
        <v>200</v>
      </c>
      <c r="F455" s="57">
        <v>1</v>
      </c>
      <c r="G455" s="57">
        <v>0</v>
      </c>
      <c r="H455" s="57">
        <v>0</v>
      </c>
      <c r="I455" s="57">
        <v>0</v>
      </c>
      <c r="Z455" s="110" t="str">
        <f t="shared" si="6"/>
        <v>2</v>
      </c>
      <c r="AA455" s="110" t="str">
        <f t="shared" si="7"/>
        <v>4</v>
      </c>
      <c r="AB455" s="110" t="str">
        <f t="shared" si="8"/>
        <v>2</v>
      </c>
    </row>
    <row r="456" spans="2:28" x14ac:dyDescent="0.2">
      <c r="B456" s="57" t="s">
        <v>2101</v>
      </c>
      <c r="C456" s="57">
        <v>1</v>
      </c>
      <c r="D456" s="57" t="s">
        <v>2685</v>
      </c>
      <c r="E456" s="102">
        <f>VLOOKUP(Z456&amp;"_"&amp;AA456,活动关卡!$A$4:$Z$27,5+5*AB456,FALSE)</f>
        <v>800</v>
      </c>
      <c r="F456" s="57">
        <v>1</v>
      </c>
      <c r="G456" s="57">
        <v>0</v>
      </c>
      <c r="H456" s="57">
        <v>0</v>
      </c>
      <c r="I456" s="57">
        <v>0</v>
      </c>
      <c r="Z456" s="110" t="str">
        <f t="shared" si="6"/>
        <v>2</v>
      </c>
      <c r="AA456" s="110" t="str">
        <f t="shared" si="7"/>
        <v>4</v>
      </c>
      <c r="AB456" s="110" t="str">
        <f t="shared" si="8"/>
        <v>3</v>
      </c>
    </row>
    <row r="457" spans="2:28" x14ac:dyDescent="0.2">
      <c r="B457" s="57" t="s">
        <v>2102</v>
      </c>
      <c r="C457" s="57">
        <v>1</v>
      </c>
      <c r="D457" s="57" t="s">
        <v>2686</v>
      </c>
      <c r="E457" s="102">
        <f>VLOOKUP(Z457&amp;"_"&amp;AA457,活动关卡!$A$4:$Z$27,5+5*AB457,FALSE)</f>
        <v>800</v>
      </c>
      <c r="F457" s="57">
        <v>1</v>
      </c>
      <c r="G457" s="57">
        <v>0</v>
      </c>
      <c r="H457" s="57">
        <v>0</v>
      </c>
      <c r="I457" s="57">
        <v>0</v>
      </c>
      <c r="Z457" s="110" t="str">
        <f t="shared" si="6"/>
        <v>2</v>
      </c>
      <c r="AA457" s="110" t="str">
        <f t="shared" si="7"/>
        <v>4</v>
      </c>
      <c r="AB457" s="110" t="str">
        <f t="shared" si="8"/>
        <v>4</v>
      </c>
    </row>
    <row r="458" spans="2:28" x14ac:dyDescent="0.2">
      <c r="B458" s="57" t="s">
        <v>2103</v>
      </c>
      <c r="C458" s="57">
        <v>1</v>
      </c>
      <c r="D458" s="57" t="s">
        <v>2687</v>
      </c>
      <c r="E458" s="102">
        <f>VLOOKUP(Z458&amp;"_"&amp;AA458,活动关卡!$A$4:$Z$27,5+5*AB458,FALSE)</f>
        <v>563</v>
      </c>
      <c r="F458" s="57">
        <v>1</v>
      </c>
      <c r="G458" s="57">
        <v>0</v>
      </c>
      <c r="H458" s="57">
        <v>0</v>
      </c>
      <c r="I458" s="57">
        <v>0</v>
      </c>
      <c r="Z458" s="110" t="str">
        <f t="shared" si="6"/>
        <v>2</v>
      </c>
      <c r="AA458" s="110" t="str">
        <f t="shared" si="7"/>
        <v>5</v>
      </c>
      <c r="AB458" s="110" t="str">
        <f t="shared" si="8"/>
        <v>1</v>
      </c>
    </row>
    <row r="459" spans="2:28" x14ac:dyDescent="0.2">
      <c r="B459" s="57" t="s">
        <v>2104</v>
      </c>
      <c r="C459" s="57">
        <v>1</v>
      </c>
      <c r="D459" s="57" t="s">
        <v>2688</v>
      </c>
      <c r="E459" s="102">
        <f>VLOOKUP(Z459&amp;"_"&amp;AA459,活动关卡!$A$4:$Z$27,5+5*AB459,FALSE)</f>
        <v>281</v>
      </c>
      <c r="F459" s="57">
        <v>1</v>
      </c>
      <c r="G459" s="57">
        <v>0</v>
      </c>
      <c r="H459" s="57">
        <v>0</v>
      </c>
      <c r="I459" s="57">
        <v>0</v>
      </c>
      <c r="Z459" s="110" t="str">
        <f t="shared" si="6"/>
        <v>2</v>
      </c>
      <c r="AA459" s="110" t="str">
        <f t="shared" si="7"/>
        <v>5</v>
      </c>
      <c r="AB459" s="110" t="str">
        <f t="shared" si="8"/>
        <v>2</v>
      </c>
    </row>
    <row r="460" spans="2:28" x14ac:dyDescent="0.2">
      <c r="B460" s="57" t="s">
        <v>2105</v>
      </c>
      <c r="C460" s="57">
        <v>1</v>
      </c>
      <c r="D460" s="57" t="s">
        <v>2689</v>
      </c>
      <c r="E460" s="102">
        <f>VLOOKUP(Z460&amp;"_"&amp;AA460,活动关卡!$A$4:$Z$27,5+5*AB460,FALSE)</f>
        <v>1125</v>
      </c>
      <c r="F460" s="57">
        <v>1</v>
      </c>
      <c r="G460" s="57">
        <v>0</v>
      </c>
      <c r="H460" s="57">
        <v>0</v>
      </c>
      <c r="I460" s="57">
        <v>0</v>
      </c>
      <c r="Z460" s="110" t="str">
        <f t="shared" si="6"/>
        <v>2</v>
      </c>
      <c r="AA460" s="110" t="str">
        <f t="shared" si="7"/>
        <v>5</v>
      </c>
      <c r="AB460" s="110" t="str">
        <f t="shared" si="8"/>
        <v>3</v>
      </c>
    </row>
    <row r="461" spans="2:28" x14ac:dyDescent="0.2">
      <c r="B461" s="57" t="s">
        <v>2106</v>
      </c>
      <c r="C461" s="57">
        <v>1</v>
      </c>
      <c r="D461" s="57" t="s">
        <v>2690</v>
      </c>
      <c r="E461" s="102">
        <f>VLOOKUP(Z461&amp;"_"&amp;AA461,活动关卡!$A$4:$Z$27,5+5*AB461,FALSE)</f>
        <v>1125</v>
      </c>
      <c r="F461" s="57">
        <v>1</v>
      </c>
      <c r="G461" s="57">
        <v>0</v>
      </c>
      <c r="H461" s="57">
        <v>0</v>
      </c>
      <c r="I461" s="57">
        <v>0</v>
      </c>
      <c r="Z461" s="110" t="str">
        <f t="shared" si="6"/>
        <v>2</v>
      </c>
      <c r="AA461" s="110" t="str">
        <f t="shared" si="7"/>
        <v>5</v>
      </c>
      <c r="AB461" s="110" t="str">
        <f t="shared" si="8"/>
        <v>4</v>
      </c>
    </row>
    <row r="462" spans="2:28" x14ac:dyDescent="0.2">
      <c r="B462" s="57" t="s">
        <v>2107</v>
      </c>
      <c r="C462" s="57">
        <v>1</v>
      </c>
      <c r="D462" s="57" t="s">
        <v>2691</v>
      </c>
      <c r="E462" s="102">
        <f>VLOOKUP(Z462&amp;"_"&amp;AA462,活动关卡!$A$4:$Z$27,5+5*AB462,FALSE)</f>
        <v>278</v>
      </c>
      <c r="F462" s="57">
        <v>1</v>
      </c>
      <c r="G462" s="57">
        <v>0</v>
      </c>
      <c r="H462" s="57">
        <v>0</v>
      </c>
      <c r="I462" s="57">
        <v>0</v>
      </c>
      <c r="Z462" s="110" t="str">
        <f t="shared" si="6"/>
        <v>3</v>
      </c>
      <c r="AA462" s="110" t="str">
        <f t="shared" si="7"/>
        <v>1</v>
      </c>
      <c r="AB462" s="110" t="str">
        <f t="shared" si="8"/>
        <v>1</v>
      </c>
    </row>
    <row r="463" spans="2:28" x14ac:dyDescent="0.2">
      <c r="B463" s="57" t="s">
        <v>2108</v>
      </c>
      <c r="C463" s="57">
        <v>1</v>
      </c>
      <c r="D463" s="57" t="s">
        <v>2692</v>
      </c>
      <c r="E463" s="102">
        <f>VLOOKUP(Z463&amp;"_"&amp;AA463,活动关卡!$A$4:$Z$27,5+5*AB463,FALSE)</f>
        <v>370</v>
      </c>
      <c r="F463" s="57">
        <v>1</v>
      </c>
      <c r="G463" s="57">
        <v>0</v>
      </c>
      <c r="H463" s="57">
        <v>0</v>
      </c>
      <c r="I463" s="57">
        <v>0</v>
      </c>
      <c r="Z463" s="110" t="str">
        <f t="shared" ref="Z463:Z526" si="9">LEFT(RIGHT(D463,5),1)</f>
        <v>3</v>
      </c>
      <c r="AA463" s="110" t="str">
        <f t="shared" ref="AA463:AA526" si="10">LEFT(RIGHT(D463,3),1)</f>
        <v>1</v>
      </c>
      <c r="AB463" s="110" t="str">
        <f t="shared" ref="AB463:AB526" si="11">RIGHT(D463,1)</f>
        <v>2</v>
      </c>
    </row>
    <row r="464" spans="2:28" x14ac:dyDescent="0.2">
      <c r="B464" s="57" t="s">
        <v>2109</v>
      </c>
      <c r="C464" s="57">
        <v>1</v>
      </c>
      <c r="D464" s="57" t="s">
        <v>2693</v>
      </c>
      <c r="E464" s="102">
        <f>VLOOKUP(Z464&amp;"_"&amp;AA464,活动关卡!$A$4:$Z$27,5+5*AB464,FALSE)</f>
        <v>450</v>
      </c>
      <c r="F464" s="57">
        <v>1</v>
      </c>
      <c r="G464" s="57">
        <v>0</v>
      </c>
      <c r="H464" s="57">
        <v>0</v>
      </c>
      <c r="I464" s="57">
        <v>0</v>
      </c>
      <c r="Z464" s="110" t="str">
        <f t="shared" si="9"/>
        <v>3</v>
      </c>
      <c r="AA464" s="110" t="str">
        <f t="shared" si="10"/>
        <v>2</v>
      </c>
      <c r="AB464" s="110" t="str">
        <f t="shared" si="11"/>
        <v>1</v>
      </c>
    </row>
    <row r="465" spans="2:28" x14ac:dyDescent="0.2">
      <c r="B465" s="57" t="s">
        <v>2110</v>
      </c>
      <c r="C465" s="57">
        <v>1</v>
      </c>
      <c r="D465" s="57" t="s">
        <v>2694</v>
      </c>
      <c r="E465" s="102">
        <f>VLOOKUP(Z465&amp;"_"&amp;AA465,活动关卡!$A$4:$Z$27,5+5*AB465,FALSE)</f>
        <v>300</v>
      </c>
      <c r="F465" s="57">
        <v>1</v>
      </c>
      <c r="G465" s="57">
        <v>0</v>
      </c>
      <c r="H465" s="57">
        <v>0</v>
      </c>
      <c r="I465" s="57">
        <v>0</v>
      </c>
      <c r="Z465" s="110" t="str">
        <f t="shared" si="9"/>
        <v>3</v>
      </c>
      <c r="AA465" s="110" t="str">
        <f t="shared" si="10"/>
        <v>2</v>
      </c>
      <c r="AB465" s="110" t="str">
        <f t="shared" si="11"/>
        <v>2</v>
      </c>
    </row>
    <row r="466" spans="2:28" x14ac:dyDescent="0.2">
      <c r="B466" s="57" t="s">
        <v>2111</v>
      </c>
      <c r="C466" s="57">
        <v>1</v>
      </c>
      <c r="D466" s="57" t="s">
        <v>2695</v>
      </c>
      <c r="E466" s="102">
        <f>VLOOKUP(Z466&amp;"_"&amp;AA466,活动关卡!$A$4:$Z$27,5+5*AB466,FALSE)</f>
        <v>600</v>
      </c>
      <c r="F466" s="57">
        <v>1</v>
      </c>
      <c r="G466" s="57">
        <v>0</v>
      </c>
      <c r="H466" s="57">
        <v>0</v>
      </c>
      <c r="I466" s="57">
        <v>0</v>
      </c>
      <c r="Z466" s="110" t="str">
        <f t="shared" si="9"/>
        <v>3</v>
      </c>
      <c r="AA466" s="110" t="str">
        <f t="shared" si="10"/>
        <v>2</v>
      </c>
      <c r="AB466" s="110" t="str">
        <f t="shared" si="11"/>
        <v>3</v>
      </c>
    </row>
    <row r="467" spans="2:28" x14ac:dyDescent="0.2">
      <c r="B467" s="57" t="s">
        <v>2112</v>
      </c>
      <c r="C467" s="57">
        <v>1</v>
      </c>
      <c r="D467" s="57" t="s">
        <v>2696</v>
      </c>
      <c r="E467" s="102">
        <f>VLOOKUP(Z467&amp;"_"&amp;AA467,活动关卡!$A$4:$Z$27,5+5*AB467,FALSE)</f>
        <v>689</v>
      </c>
      <c r="F467" s="57">
        <v>1</v>
      </c>
      <c r="G467" s="57">
        <v>0</v>
      </c>
      <c r="H467" s="57">
        <v>0</v>
      </c>
      <c r="I467" s="57">
        <v>0</v>
      </c>
      <c r="Z467" s="110" t="str">
        <f t="shared" si="9"/>
        <v>3</v>
      </c>
      <c r="AA467" s="110" t="str">
        <f t="shared" si="10"/>
        <v>3</v>
      </c>
      <c r="AB467" s="110" t="str">
        <f t="shared" si="11"/>
        <v>1</v>
      </c>
    </row>
    <row r="468" spans="2:28" x14ac:dyDescent="0.2">
      <c r="B468" s="57" t="s">
        <v>2113</v>
      </c>
      <c r="C468" s="57">
        <v>1</v>
      </c>
      <c r="D468" s="57" t="s">
        <v>2697</v>
      </c>
      <c r="E468" s="102">
        <f>VLOOKUP(Z468&amp;"_"&amp;AA468,活动关卡!$A$4:$Z$27,5+5*AB468,FALSE)</f>
        <v>115</v>
      </c>
      <c r="F468" s="57">
        <v>1</v>
      </c>
      <c r="G468" s="57">
        <v>0</v>
      </c>
      <c r="H468" s="57">
        <v>0</v>
      </c>
      <c r="I468" s="57">
        <v>0</v>
      </c>
      <c r="Z468" s="110" t="str">
        <f t="shared" si="9"/>
        <v>3</v>
      </c>
      <c r="AA468" s="110" t="str">
        <f t="shared" si="10"/>
        <v>3</v>
      </c>
      <c r="AB468" s="110" t="str">
        <f t="shared" si="11"/>
        <v>2</v>
      </c>
    </row>
    <row r="469" spans="2:28" x14ac:dyDescent="0.2">
      <c r="B469" s="57" t="s">
        <v>2114</v>
      </c>
      <c r="C469" s="57">
        <v>1</v>
      </c>
      <c r="D469" s="57" t="s">
        <v>2698</v>
      </c>
      <c r="E469" s="102">
        <f>VLOOKUP(Z469&amp;"_"&amp;AA469,活动关卡!$A$4:$Z$27,5+5*AB469,FALSE)</f>
        <v>918</v>
      </c>
      <c r="F469" s="57">
        <v>1</v>
      </c>
      <c r="G469" s="57">
        <v>0</v>
      </c>
      <c r="H469" s="57">
        <v>0</v>
      </c>
      <c r="I469" s="57">
        <v>0</v>
      </c>
      <c r="Z469" s="110" t="str">
        <f t="shared" si="9"/>
        <v>3</v>
      </c>
      <c r="AA469" s="110" t="str">
        <f t="shared" si="10"/>
        <v>3</v>
      </c>
      <c r="AB469" s="110" t="str">
        <f t="shared" si="11"/>
        <v>3</v>
      </c>
    </row>
    <row r="470" spans="2:28" x14ac:dyDescent="0.2">
      <c r="B470" s="57" t="s">
        <v>2115</v>
      </c>
      <c r="C470" s="57">
        <v>1</v>
      </c>
      <c r="D470" s="57" t="s">
        <v>2699</v>
      </c>
      <c r="E470" s="102">
        <f>VLOOKUP(Z470&amp;"_"&amp;AA470,活动关卡!$A$4:$Z$27,5+5*AB470,FALSE)</f>
        <v>150</v>
      </c>
      <c r="F470" s="57">
        <v>1</v>
      </c>
      <c r="G470" s="57">
        <v>0</v>
      </c>
      <c r="H470" s="57">
        <v>0</v>
      </c>
      <c r="I470" s="57">
        <v>0</v>
      </c>
      <c r="Z470" s="110" t="str">
        <f t="shared" si="9"/>
        <v>4</v>
      </c>
      <c r="AA470" s="110" t="str">
        <f t="shared" si="10"/>
        <v>1</v>
      </c>
      <c r="AB470" s="110" t="str">
        <f t="shared" si="11"/>
        <v>1</v>
      </c>
    </row>
    <row r="471" spans="2:28" x14ac:dyDescent="0.2">
      <c r="B471" s="57" t="s">
        <v>2116</v>
      </c>
      <c r="C471" s="57">
        <v>1</v>
      </c>
      <c r="D471" s="57" t="s">
        <v>2700</v>
      </c>
      <c r="E471" s="102">
        <f>VLOOKUP(Z471&amp;"_"&amp;AA471,活动关卡!$A$4:$Z$27,5+5*AB471,FALSE)</f>
        <v>600</v>
      </c>
      <c r="F471" s="57">
        <v>1</v>
      </c>
      <c r="G471" s="57">
        <v>0</v>
      </c>
      <c r="H471" s="57">
        <v>0</v>
      </c>
      <c r="I471" s="57">
        <v>0</v>
      </c>
      <c r="Z471" s="110" t="str">
        <f t="shared" si="9"/>
        <v>4</v>
      </c>
      <c r="AA471" s="110" t="str">
        <f t="shared" si="10"/>
        <v>1</v>
      </c>
      <c r="AB471" s="110" t="str">
        <f t="shared" si="11"/>
        <v>2</v>
      </c>
    </row>
    <row r="472" spans="2:28" x14ac:dyDescent="0.2">
      <c r="B472" s="57" t="s">
        <v>2117</v>
      </c>
      <c r="C472" s="57">
        <v>1</v>
      </c>
      <c r="D472" s="57" t="s">
        <v>2701</v>
      </c>
      <c r="E472" s="102">
        <f>VLOOKUP(Z472&amp;"_"&amp;AA472,活动关卡!$A$4:$Z$27,5+5*AB472,FALSE)</f>
        <v>224</v>
      </c>
      <c r="F472" s="57">
        <v>1</v>
      </c>
      <c r="G472" s="57">
        <v>0</v>
      </c>
      <c r="H472" s="57">
        <v>0</v>
      </c>
      <c r="I472" s="57">
        <v>0</v>
      </c>
      <c r="Z472" s="110" t="str">
        <f t="shared" si="9"/>
        <v>4</v>
      </c>
      <c r="AA472" s="110" t="str">
        <f t="shared" si="10"/>
        <v>2</v>
      </c>
      <c r="AB472" s="110" t="str">
        <f t="shared" si="11"/>
        <v>1</v>
      </c>
    </row>
    <row r="473" spans="2:28" x14ac:dyDescent="0.2">
      <c r="B473" s="57" t="s">
        <v>2118</v>
      </c>
      <c r="C473" s="57">
        <v>1</v>
      </c>
      <c r="D473" s="57" t="s">
        <v>2702</v>
      </c>
      <c r="E473" s="102">
        <f>VLOOKUP(Z473&amp;"_"&amp;AA473,活动关卡!$A$4:$Z$27,5+5*AB473,FALSE)</f>
        <v>448</v>
      </c>
      <c r="F473" s="57">
        <v>1</v>
      </c>
      <c r="G473" s="57">
        <v>0</v>
      </c>
      <c r="H473" s="57">
        <v>0</v>
      </c>
      <c r="I473" s="57">
        <v>0</v>
      </c>
      <c r="Z473" s="110" t="str">
        <f t="shared" si="9"/>
        <v>4</v>
      </c>
      <c r="AA473" s="110" t="str">
        <f t="shared" si="10"/>
        <v>2</v>
      </c>
      <c r="AB473" s="110" t="str">
        <f t="shared" si="11"/>
        <v>2</v>
      </c>
    </row>
    <row r="474" spans="2:28" x14ac:dyDescent="0.2">
      <c r="B474" s="57" t="s">
        <v>2119</v>
      </c>
      <c r="C474" s="57">
        <v>1</v>
      </c>
      <c r="D474" s="57" t="s">
        <v>2703</v>
      </c>
      <c r="E474" s="102">
        <f>VLOOKUP(Z474&amp;"_"&amp;AA474,活动关卡!$A$4:$Z$27,5+5*AB474,FALSE)</f>
        <v>896</v>
      </c>
      <c r="F474" s="57">
        <v>1</v>
      </c>
      <c r="G474" s="57">
        <v>0</v>
      </c>
      <c r="H474" s="57">
        <v>0</v>
      </c>
      <c r="I474" s="57">
        <v>0</v>
      </c>
      <c r="Z474" s="110" t="str">
        <f t="shared" si="9"/>
        <v>4</v>
      </c>
      <c r="AA474" s="110" t="str">
        <f t="shared" si="10"/>
        <v>2</v>
      </c>
      <c r="AB474" s="110" t="str">
        <f t="shared" si="11"/>
        <v>3</v>
      </c>
    </row>
    <row r="475" spans="2:28" x14ac:dyDescent="0.2">
      <c r="B475" s="57" t="s">
        <v>2120</v>
      </c>
      <c r="C475" s="57">
        <v>1</v>
      </c>
      <c r="D475" s="57" t="s">
        <v>2704</v>
      </c>
      <c r="E475" s="102">
        <f>VLOOKUP(Z475&amp;"_"&amp;AA475,活动关卡!$A$4:$Z$27,5+5*AB475,FALSE)</f>
        <v>227</v>
      </c>
      <c r="F475" s="57">
        <v>1</v>
      </c>
      <c r="G475" s="57">
        <v>0</v>
      </c>
      <c r="H475" s="57">
        <v>0</v>
      </c>
      <c r="I475" s="57">
        <v>0</v>
      </c>
      <c r="Z475" s="110" t="str">
        <f t="shared" si="9"/>
        <v>4</v>
      </c>
      <c r="AA475" s="110" t="str">
        <f t="shared" si="10"/>
        <v>3</v>
      </c>
      <c r="AB475" s="110" t="str">
        <f t="shared" si="11"/>
        <v>1</v>
      </c>
    </row>
    <row r="476" spans="2:28" x14ac:dyDescent="0.2">
      <c r="B476" s="57" t="s">
        <v>2121</v>
      </c>
      <c r="C476" s="57">
        <v>1</v>
      </c>
      <c r="D476" s="57" t="s">
        <v>2705</v>
      </c>
      <c r="E476" s="102">
        <f>VLOOKUP(Z476&amp;"_"&amp;AA476,活动关卡!$A$4:$Z$27,5+5*AB476,FALSE)</f>
        <v>114</v>
      </c>
      <c r="F476" s="57">
        <v>1</v>
      </c>
      <c r="G476" s="57">
        <v>0</v>
      </c>
      <c r="H476" s="57">
        <v>0</v>
      </c>
      <c r="I476" s="57">
        <v>0</v>
      </c>
      <c r="Z476" s="110" t="str">
        <f t="shared" si="9"/>
        <v>4</v>
      </c>
      <c r="AA476" s="110" t="str">
        <f t="shared" si="10"/>
        <v>3</v>
      </c>
      <c r="AB476" s="110" t="str">
        <f t="shared" si="11"/>
        <v>2</v>
      </c>
    </row>
    <row r="477" spans="2:28" x14ac:dyDescent="0.2">
      <c r="B477" s="57" t="s">
        <v>2122</v>
      </c>
      <c r="C477" s="57">
        <v>1</v>
      </c>
      <c r="D477" s="57" t="s">
        <v>2706</v>
      </c>
      <c r="E477" s="102">
        <f>VLOOKUP(Z477&amp;"_"&amp;AA477,活动关卡!$A$4:$Z$27,5+5*AB477,FALSE)</f>
        <v>909</v>
      </c>
      <c r="F477" s="57">
        <v>1</v>
      </c>
      <c r="G477" s="57">
        <v>0</v>
      </c>
      <c r="H477" s="57">
        <v>0</v>
      </c>
      <c r="I477" s="57">
        <v>0</v>
      </c>
      <c r="Z477" s="110" t="str">
        <f t="shared" si="9"/>
        <v>4</v>
      </c>
      <c r="AA477" s="110" t="str">
        <f t="shared" si="10"/>
        <v>3</v>
      </c>
      <c r="AB477" s="110" t="str">
        <f t="shared" si="11"/>
        <v>3</v>
      </c>
    </row>
    <row r="478" spans="2:28" x14ac:dyDescent="0.2">
      <c r="B478" s="57" t="s">
        <v>2123</v>
      </c>
      <c r="C478" s="57">
        <v>1</v>
      </c>
      <c r="D478" s="57" t="s">
        <v>2707</v>
      </c>
      <c r="E478" s="102">
        <f>VLOOKUP(Z478&amp;"_"&amp;AA478,活动关卡!$A$4:$Z$27,5+5*AB478,FALSE)</f>
        <v>354</v>
      </c>
      <c r="F478" s="57">
        <v>1</v>
      </c>
      <c r="G478" s="57">
        <v>0</v>
      </c>
      <c r="H478" s="57">
        <v>0</v>
      </c>
      <c r="I478" s="57">
        <v>0</v>
      </c>
      <c r="Z478" s="110" t="str">
        <f t="shared" si="9"/>
        <v>4</v>
      </c>
      <c r="AA478" s="110" t="str">
        <f t="shared" si="10"/>
        <v>4</v>
      </c>
      <c r="AB478" s="110" t="str">
        <f t="shared" si="11"/>
        <v>1</v>
      </c>
    </row>
    <row r="479" spans="2:28" x14ac:dyDescent="0.2">
      <c r="B479" s="57" t="s">
        <v>2124</v>
      </c>
      <c r="C479" s="57">
        <v>1</v>
      </c>
      <c r="D479" s="57" t="s">
        <v>2708</v>
      </c>
      <c r="E479" s="102">
        <f>VLOOKUP(Z479&amp;"_"&amp;AA479,活动关卡!$A$4:$Z$27,5+5*AB479,FALSE)</f>
        <v>354</v>
      </c>
      <c r="F479" s="57">
        <v>1</v>
      </c>
      <c r="G479" s="57">
        <v>0</v>
      </c>
      <c r="H479" s="57">
        <v>0</v>
      </c>
      <c r="I479" s="57">
        <v>0</v>
      </c>
      <c r="Z479" s="110" t="str">
        <f t="shared" si="9"/>
        <v>4</v>
      </c>
      <c r="AA479" s="110" t="str">
        <f t="shared" si="10"/>
        <v>4</v>
      </c>
      <c r="AB479" s="110" t="str">
        <f t="shared" si="11"/>
        <v>2</v>
      </c>
    </row>
    <row r="480" spans="2:28" x14ac:dyDescent="0.2">
      <c r="B480" s="57" t="s">
        <v>2125</v>
      </c>
      <c r="C480" s="57">
        <v>1</v>
      </c>
      <c r="D480" s="57" t="s">
        <v>2709</v>
      </c>
      <c r="E480" s="102">
        <f>VLOOKUP(Z480&amp;"_"&amp;AA480,活动关卡!$A$4:$Z$27,5+5*AB480,FALSE)</f>
        <v>1418</v>
      </c>
      <c r="F480" s="57">
        <v>1</v>
      </c>
      <c r="G480" s="57">
        <v>0</v>
      </c>
      <c r="H480" s="57">
        <v>0</v>
      </c>
      <c r="I480" s="57">
        <v>0</v>
      </c>
      <c r="Z480" s="110" t="str">
        <f t="shared" si="9"/>
        <v>4</v>
      </c>
      <c r="AA480" s="110" t="str">
        <f t="shared" si="10"/>
        <v>4</v>
      </c>
      <c r="AB480" s="110" t="str">
        <f t="shared" si="11"/>
        <v>3</v>
      </c>
    </row>
    <row r="481" spans="2:28" x14ac:dyDescent="0.2">
      <c r="B481" s="57" t="s">
        <v>2126</v>
      </c>
      <c r="C481" s="57">
        <v>1</v>
      </c>
      <c r="D481" s="57" t="s">
        <v>2710</v>
      </c>
      <c r="E481" s="102">
        <f>VLOOKUP(Z481&amp;"_"&amp;AA481,活动关卡!$A$4:$Z$27,5+5*AB481,FALSE)</f>
        <v>396</v>
      </c>
      <c r="F481" s="57">
        <v>1</v>
      </c>
      <c r="G481" s="57">
        <v>0</v>
      </c>
      <c r="H481" s="57">
        <v>0</v>
      </c>
      <c r="I481" s="57">
        <v>0</v>
      </c>
      <c r="Z481" s="110" t="str">
        <f t="shared" si="9"/>
        <v>4</v>
      </c>
      <c r="AA481" s="110" t="str">
        <f t="shared" si="10"/>
        <v>5</v>
      </c>
      <c r="AB481" s="110" t="str">
        <f t="shared" si="11"/>
        <v>1</v>
      </c>
    </row>
    <row r="482" spans="2:28" x14ac:dyDescent="0.2">
      <c r="B482" s="57" t="s">
        <v>2127</v>
      </c>
      <c r="C482" s="57">
        <v>1</v>
      </c>
      <c r="D482" s="57" t="s">
        <v>2711</v>
      </c>
      <c r="E482" s="102">
        <f>VLOOKUP(Z482&amp;"_"&amp;AA482,活动关卡!$A$4:$Z$27,5+5*AB482,FALSE)</f>
        <v>1188</v>
      </c>
      <c r="F482" s="57">
        <v>1</v>
      </c>
      <c r="G482" s="57">
        <v>0</v>
      </c>
      <c r="H482" s="57">
        <v>0</v>
      </c>
      <c r="I482" s="57">
        <v>0</v>
      </c>
      <c r="Z482" s="110" t="str">
        <f t="shared" si="9"/>
        <v>4</v>
      </c>
      <c r="AA482" s="110" t="str">
        <f t="shared" si="10"/>
        <v>5</v>
      </c>
      <c r="AB482" s="110" t="str">
        <f t="shared" si="11"/>
        <v>2</v>
      </c>
    </row>
    <row r="483" spans="2:28" x14ac:dyDescent="0.2">
      <c r="B483" s="57" t="s">
        <v>2128</v>
      </c>
      <c r="C483" s="57">
        <v>1</v>
      </c>
      <c r="D483" s="57" t="s">
        <v>2712</v>
      </c>
      <c r="E483" s="102">
        <f>VLOOKUP(Z483&amp;"_"&amp;AA483,活动关卡!$A$4:$Z$27,5+5*AB483,FALSE)</f>
        <v>1584</v>
      </c>
      <c r="F483" s="57">
        <v>1</v>
      </c>
      <c r="G483" s="57">
        <v>0</v>
      </c>
      <c r="H483" s="57">
        <v>0</v>
      </c>
      <c r="I483" s="57">
        <v>0</v>
      </c>
      <c r="Z483" s="110" t="str">
        <f t="shared" si="9"/>
        <v>4</v>
      </c>
      <c r="AA483" s="110" t="str">
        <f t="shared" si="10"/>
        <v>5</v>
      </c>
      <c r="AB483" s="110" t="str">
        <f t="shared" si="11"/>
        <v>3</v>
      </c>
    </row>
    <row r="484" spans="2:28" x14ac:dyDescent="0.2">
      <c r="B484" s="57" t="s">
        <v>2129</v>
      </c>
      <c r="C484" s="57">
        <v>1</v>
      </c>
      <c r="D484" s="57" t="s">
        <v>2713</v>
      </c>
      <c r="E484" s="102">
        <f>VLOOKUP(Z484&amp;"_"&amp;AA484,活动关卡!$A$4:$Z$27,5+5*AB484,FALSE)</f>
        <v>675</v>
      </c>
      <c r="F484" s="57">
        <v>1</v>
      </c>
      <c r="G484" s="57">
        <v>0</v>
      </c>
      <c r="H484" s="57">
        <v>0</v>
      </c>
      <c r="I484" s="57">
        <v>0</v>
      </c>
      <c r="Z484" s="110" t="str">
        <f t="shared" si="9"/>
        <v>5</v>
      </c>
      <c r="AA484" s="110" t="str">
        <f t="shared" si="10"/>
        <v>1</v>
      </c>
      <c r="AB484" s="110" t="str">
        <f t="shared" si="11"/>
        <v>1</v>
      </c>
    </row>
    <row r="485" spans="2:28" x14ac:dyDescent="0.2">
      <c r="B485" s="57" t="s">
        <v>2130</v>
      </c>
      <c r="C485" s="57">
        <v>1</v>
      </c>
      <c r="D485" s="57" t="s">
        <v>2714</v>
      </c>
      <c r="E485" s="102">
        <f>VLOOKUP(Z485&amp;"_"&amp;AA485,活动关卡!$A$4:$Z$27,5+5*AB485,FALSE)</f>
        <v>675</v>
      </c>
      <c r="F485" s="57">
        <v>1</v>
      </c>
      <c r="G485" s="57">
        <v>0</v>
      </c>
      <c r="H485" s="57">
        <v>0</v>
      </c>
      <c r="I485" s="57">
        <v>0</v>
      </c>
      <c r="Z485" s="110" t="str">
        <f t="shared" si="9"/>
        <v>5</v>
      </c>
      <c r="AA485" s="110" t="str">
        <f t="shared" si="10"/>
        <v>1</v>
      </c>
      <c r="AB485" s="110" t="str">
        <f t="shared" si="11"/>
        <v>2</v>
      </c>
    </row>
    <row r="486" spans="2:28" x14ac:dyDescent="0.2">
      <c r="B486" s="57" t="s">
        <v>2131</v>
      </c>
      <c r="C486" s="57">
        <v>1</v>
      </c>
      <c r="D486" s="57" t="s">
        <v>2715</v>
      </c>
      <c r="E486" s="102">
        <f>VLOOKUP(Z486&amp;"_"&amp;AA486,活动关卡!$A$4:$Z$27,5+5*AB486,FALSE)</f>
        <v>946</v>
      </c>
      <c r="F486" s="57">
        <v>1</v>
      </c>
      <c r="G486" s="57">
        <v>0</v>
      </c>
      <c r="H486" s="57">
        <v>0</v>
      </c>
      <c r="I486" s="57">
        <v>0</v>
      </c>
      <c r="Z486" s="110" t="str">
        <f t="shared" si="9"/>
        <v>5</v>
      </c>
      <c r="AA486" s="110" t="str">
        <f t="shared" si="10"/>
        <v>2</v>
      </c>
      <c r="AB486" s="110" t="str">
        <f t="shared" si="11"/>
        <v>1</v>
      </c>
    </row>
    <row r="487" spans="2:28" x14ac:dyDescent="0.2">
      <c r="B487" s="57" t="s">
        <v>2132</v>
      </c>
      <c r="C487" s="57">
        <v>1</v>
      </c>
      <c r="D487" s="57" t="s">
        <v>2716</v>
      </c>
      <c r="E487" s="102">
        <f>VLOOKUP(Z487&amp;"_"&amp;AA487,活动关卡!$A$4:$Z$27,5+5*AB487,FALSE)</f>
        <v>118</v>
      </c>
      <c r="F487" s="57">
        <v>1</v>
      </c>
      <c r="G487" s="57">
        <v>0</v>
      </c>
      <c r="H487" s="57">
        <v>0</v>
      </c>
      <c r="I487" s="57">
        <v>0</v>
      </c>
      <c r="Z487" s="110" t="str">
        <f t="shared" si="9"/>
        <v>5</v>
      </c>
      <c r="AA487" s="110" t="str">
        <f t="shared" si="10"/>
        <v>2</v>
      </c>
      <c r="AB487" s="110" t="str">
        <f t="shared" si="11"/>
        <v>2</v>
      </c>
    </row>
    <row r="488" spans="2:28" x14ac:dyDescent="0.2">
      <c r="B488" s="57" t="s">
        <v>2133</v>
      </c>
      <c r="C488" s="57">
        <v>1</v>
      </c>
      <c r="D488" s="57" t="s">
        <v>2717</v>
      </c>
      <c r="E488" s="102">
        <f>VLOOKUP(Z488&amp;"_"&amp;AA488,活动关卡!$A$4:$Z$27,5+5*AB488,FALSE)</f>
        <v>946</v>
      </c>
      <c r="F488" s="57">
        <v>1</v>
      </c>
      <c r="G488" s="57">
        <v>0</v>
      </c>
      <c r="H488" s="57">
        <v>0</v>
      </c>
      <c r="I488" s="57">
        <v>0</v>
      </c>
      <c r="Z488" s="110" t="str">
        <f t="shared" si="9"/>
        <v>5</v>
      </c>
      <c r="AA488" s="110" t="str">
        <f t="shared" si="10"/>
        <v>2</v>
      </c>
      <c r="AB488" s="110" t="str">
        <f t="shared" si="11"/>
        <v>3</v>
      </c>
    </row>
    <row r="489" spans="2:28" x14ac:dyDescent="0.2">
      <c r="B489" s="57" t="s">
        <v>2134</v>
      </c>
      <c r="C489" s="57">
        <v>1</v>
      </c>
      <c r="D489" s="57" t="s">
        <v>2718</v>
      </c>
      <c r="E489" s="102">
        <f>VLOOKUP(Z489&amp;"_"&amp;AA489,活动关卡!$A$4:$Z$27,5+5*AB489,FALSE)</f>
        <v>972</v>
      </c>
      <c r="F489" s="57">
        <v>1</v>
      </c>
      <c r="G489" s="57">
        <v>0</v>
      </c>
      <c r="H489" s="57">
        <v>0</v>
      </c>
      <c r="I489" s="57">
        <v>0</v>
      </c>
      <c r="Z489" s="110" t="str">
        <f t="shared" si="9"/>
        <v>5</v>
      </c>
      <c r="AA489" s="110" t="str">
        <f t="shared" si="10"/>
        <v>3</v>
      </c>
      <c r="AB489" s="110" t="str">
        <f t="shared" si="11"/>
        <v>1</v>
      </c>
    </row>
    <row r="490" spans="2:28" x14ac:dyDescent="0.2">
      <c r="B490" s="57" t="s">
        <v>2135</v>
      </c>
      <c r="C490" s="57">
        <v>1</v>
      </c>
      <c r="D490" s="57" t="s">
        <v>2719</v>
      </c>
      <c r="E490" s="102">
        <f>VLOOKUP(Z490&amp;"_"&amp;AA490,活动关卡!$A$4:$Z$27,5+5*AB490,FALSE)</f>
        <v>243</v>
      </c>
      <c r="F490" s="57">
        <v>1</v>
      </c>
      <c r="G490" s="57">
        <v>0</v>
      </c>
      <c r="H490" s="57">
        <v>0</v>
      </c>
      <c r="I490" s="57">
        <v>0</v>
      </c>
      <c r="Z490" s="110" t="str">
        <f t="shared" si="9"/>
        <v>5</v>
      </c>
      <c r="AA490" s="110" t="str">
        <f t="shared" si="10"/>
        <v>3</v>
      </c>
      <c r="AB490" s="110" t="str">
        <f t="shared" si="11"/>
        <v>2</v>
      </c>
    </row>
    <row r="491" spans="2:28" x14ac:dyDescent="0.2">
      <c r="B491" s="57" t="s">
        <v>2136</v>
      </c>
      <c r="C491" s="57">
        <v>1</v>
      </c>
      <c r="D491" s="57" t="s">
        <v>2720</v>
      </c>
      <c r="E491" s="102">
        <f>VLOOKUP(Z491&amp;"_"&amp;AA491,活动关卡!$A$4:$Z$27,5+5*AB491,FALSE)</f>
        <v>243</v>
      </c>
      <c r="F491" s="57">
        <v>1</v>
      </c>
      <c r="G491" s="57">
        <v>0</v>
      </c>
      <c r="H491" s="57">
        <v>0</v>
      </c>
      <c r="I491" s="57">
        <v>0</v>
      </c>
      <c r="Z491" s="110" t="str">
        <f t="shared" si="9"/>
        <v>5</v>
      </c>
      <c r="AA491" s="110" t="str">
        <f t="shared" si="10"/>
        <v>3</v>
      </c>
      <c r="AB491" s="110" t="str">
        <f t="shared" si="11"/>
        <v>3</v>
      </c>
    </row>
    <row r="492" spans="2:28" x14ac:dyDescent="0.2">
      <c r="B492" s="57" t="s">
        <v>2137</v>
      </c>
      <c r="C492" s="57">
        <v>1</v>
      </c>
      <c r="D492" s="57" t="s">
        <v>2721</v>
      </c>
      <c r="E492" s="102">
        <f>VLOOKUP(Z492&amp;"_"&amp;AA492,活动关卡!$A$4:$Z$27,5+5*AB492,FALSE)</f>
        <v>972</v>
      </c>
      <c r="F492" s="57">
        <v>1</v>
      </c>
      <c r="G492" s="57">
        <v>0</v>
      </c>
      <c r="H492" s="57">
        <v>0</v>
      </c>
      <c r="I492" s="57">
        <v>0</v>
      </c>
      <c r="Z492" s="110" t="str">
        <f t="shared" si="9"/>
        <v>5</v>
      </c>
      <c r="AA492" s="110" t="str">
        <f t="shared" si="10"/>
        <v>3</v>
      </c>
      <c r="AB492" s="110" t="str">
        <f t="shared" si="11"/>
        <v>4</v>
      </c>
    </row>
    <row r="493" spans="2:28" x14ac:dyDescent="0.2">
      <c r="B493" s="57" t="s">
        <v>2138</v>
      </c>
      <c r="C493" s="57">
        <v>1</v>
      </c>
      <c r="D493" s="57" t="s">
        <v>2722</v>
      </c>
      <c r="E493" s="102">
        <f>VLOOKUP(Z493&amp;"_"&amp;AA493,活动关卡!$A$4:$Z$27,5+5*AB493,FALSE)</f>
        <v>1452</v>
      </c>
      <c r="F493" s="57">
        <v>1</v>
      </c>
      <c r="G493" s="57">
        <v>0</v>
      </c>
      <c r="H493" s="57">
        <v>0</v>
      </c>
      <c r="I493" s="57">
        <v>0</v>
      </c>
      <c r="Z493" s="110" t="str">
        <f t="shared" si="9"/>
        <v>5</v>
      </c>
      <c r="AA493" s="110" t="str">
        <f t="shared" si="10"/>
        <v>4</v>
      </c>
      <c r="AB493" s="110" t="str">
        <f t="shared" si="11"/>
        <v>1</v>
      </c>
    </row>
    <row r="494" spans="2:28" x14ac:dyDescent="0.2">
      <c r="B494" s="57" t="s">
        <v>2139</v>
      </c>
      <c r="C494" s="57">
        <v>1</v>
      </c>
      <c r="D494" s="57" t="s">
        <v>2723</v>
      </c>
      <c r="E494" s="102">
        <f>VLOOKUP(Z494&amp;"_"&amp;AA494,活动关卡!$A$4:$Z$27,5+5*AB494,FALSE)</f>
        <v>363</v>
      </c>
      <c r="F494" s="57">
        <v>1</v>
      </c>
      <c r="G494" s="57">
        <v>0</v>
      </c>
      <c r="H494" s="57">
        <v>0</v>
      </c>
      <c r="I494" s="57">
        <v>0</v>
      </c>
      <c r="Z494" s="110" t="str">
        <f t="shared" si="9"/>
        <v>5</v>
      </c>
      <c r="AA494" s="110" t="str">
        <f t="shared" si="10"/>
        <v>4</v>
      </c>
      <c r="AB494" s="110" t="str">
        <f t="shared" si="11"/>
        <v>2</v>
      </c>
    </row>
    <row r="495" spans="2:28" x14ac:dyDescent="0.2">
      <c r="B495" s="57" t="s">
        <v>2140</v>
      </c>
      <c r="C495" s="57">
        <v>1</v>
      </c>
      <c r="D495" s="57" t="s">
        <v>2724</v>
      </c>
      <c r="E495" s="102">
        <f>VLOOKUP(Z495&amp;"_"&amp;AA495,活动关卡!$A$4:$Z$27,5+5*AB495,FALSE)</f>
        <v>1452</v>
      </c>
      <c r="F495" s="57">
        <v>1</v>
      </c>
      <c r="G495" s="57">
        <v>0</v>
      </c>
      <c r="H495" s="57">
        <v>0</v>
      </c>
      <c r="I495" s="57">
        <v>0</v>
      </c>
      <c r="Z495" s="110" t="str">
        <f t="shared" si="9"/>
        <v>5</v>
      </c>
      <c r="AA495" s="110" t="str">
        <f t="shared" si="10"/>
        <v>4</v>
      </c>
      <c r="AB495" s="110" t="str">
        <f t="shared" si="11"/>
        <v>3</v>
      </c>
    </row>
    <row r="496" spans="2:28" x14ac:dyDescent="0.2">
      <c r="B496" s="57" t="s">
        <v>2141</v>
      </c>
      <c r="C496" s="57">
        <v>1</v>
      </c>
      <c r="D496" s="57" t="s">
        <v>2725</v>
      </c>
      <c r="E496" s="102">
        <f>VLOOKUP(Z496&amp;"_"&amp;AA496,活动关卡!$A$4:$Z$27,5+5*AB496,FALSE)</f>
        <v>1069</v>
      </c>
      <c r="F496" s="57">
        <v>1</v>
      </c>
      <c r="G496" s="57">
        <v>0</v>
      </c>
      <c r="H496" s="57">
        <v>0</v>
      </c>
      <c r="I496" s="57">
        <v>0</v>
      </c>
      <c r="Z496" s="110" t="str">
        <f t="shared" si="9"/>
        <v>5</v>
      </c>
      <c r="AA496" s="110" t="str">
        <f t="shared" si="10"/>
        <v>5</v>
      </c>
      <c r="AB496" s="110" t="str">
        <f t="shared" si="11"/>
        <v>1</v>
      </c>
    </row>
    <row r="497" spans="2:28" x14ac:dyDescent="0.2">
      <c r="B497" s="57" t="s">
        <v>2142</v>
      </c>
      <c r="C497" s="57">
        <v>1</v>
      </c>
      <c r="D497" s="57" t="s">
        <v>2726</v>
      </c>
      <c r="E497" s="102">
        <f>VLOOKUP(Z497&amp;"_"&amp;AA497,活动关卡!$A$4:$Z$27,5+5*AB497,FALSE)</f>
        <v>267</v>
      </c>
      <c r="F497" s="57">
        <v>1</v>
      </c>
      <c r="G497" s="57">
        <v>0</v>
      </c>
      <c r="H497" s="57">
        <v>0</v>
      </c>
      <c r="I497" s="57">
        <v>0</v>
      </c>
      <c r="Z497" s="110" t="str">
        <f t="shared" si="9"/>
        <v>5</v>
      </c>
      <c r="AA497" s="110" t="str">
        <f t="shared" si="10"/>
        <v>5</v>
      </c>
      <c r="AB497" s="110" t="str">
        <f t="shared" si="11"/>
        <v>2</v>
      </c>
    </row>
    <row r="498" spans="2:28" x14ac:dyDescent="0.2">
      <c r="B498" s="57" t="s">
        <v>2143</v>
      </c>
      <c r="C498" s="57">
        <v>1</v>
      </c>
      <c r="D498" s="57" t="s">
        <v>2727</v>
      </c>
      <c r="E498" s="102">
        <f>VLOOKUP(Z498&amp;"_"&amp;AA498,活动关卡!$A$4:$Z$27,5+5*AB498,FALSE)</f>
        <v>802</v>
      </c>
      <c r="F498" s="57">
        <v>1</v>
      </c>
      <c r="G498" s="57">
        <v>0</v>
      </c>
      <c r="H498" s="57">
        <v>0</v>
      </c>
      <c r="I498" s="57">
        <v>0</v>
      </c>
      <c r="Z498" s="110" t="str">
        <f t="shared" si="9"/>
        <v>5</v>
      </c>
      <c r="AA498" s="110" t="str">
        <f t="shared" si="10"/>
        <v>5</v>
      </c>
      <c r="AB498" s="110" t="str">
        <f t="shared" si="11"/>
        <v>3</v>
      </c>
    </row>
    <row r="499" spans="2:28" x14ac:dyDescent="0.2">
      <c r="B499" s="57" t="s">
        <v>2144</v>
      </c>
      <c r="C499" s="57">
        <v>1</v>
      </c>
      <c r="D499" s="57" t="s">
        <v>2728</v>
      </c>
      <c r="E499" s="102">
        <f>VLOOKUP(Z499&amp;"_"&amp;AA499,活动关卡!$A$4:$Z$27,5+5*AB499,FALSE)</f>
        <v>1069</v>
      </c>
      <c r="F499" s="57">
        <v>1</v>
      </c>
      <c r="G499" s="57">
        <v>0</v>
      </c>
      <c r="H499" s="57">
        <v>0</v>
      </c>
      <c r="I499" s="57">
        <v>0</v>
      </c>
      <c r="Z499" s="110" t="str">
        <f t="shared" si="9"/>
        <v>5</v>
      </c>
      <c r="AA499" s="110" t="str">
        <f t="shared" si="10"/>
        <v>5</v>
      </c>
      <c r="AB499" s="110" t="str">
        <f t="shared" si="11"/>
        <v>4</v>
      </c>
    </row>
    <row r="500" spans="2:28" x14ac:dyDescent="0.2">
      <c r="B500" s="57" t="s">
        <v>2145</v>
      </c>
      <c r="C500" s="57">
        <v>1</v>
      </c>
      <c r="D500" s="57" t="s">
        <v>2729</v>
      </c>
      <c r="E500" s="102">
        <f>VLOOKUP(Z500&amp;"_"&amp;AA500,活动关卡!$A$4:$Z$27,5+5*AB500,FALSE)</f>
        <v>1568</v>
      </c>
      <c r="F500" s="57">
        <v>1</v>
      </c>
      <c r="G500" s="57">
        <v>0</v>
      </c>
      <c r="H500" s="57">
        <v>0</v>
      </c>
      <c r="I500" s="57">
        <v>0</v>
      </c>
      <c r="Z500" s="110" t="str">
        <f t="shared" si="9"/>
        <v>5</v>
      </c>
      <c r="AA500" s="110" t="str">
        <f t="shared" si="10"/>
        <v>6</v>
      </c>
      <c r="AB500" s="110" t="str">
        <f t="shared" si="11"/>
        <v>1</v>
      </c>
    </row>
    <row r="501" spans="2:28" x14ac:dyDescent="0.2">
      <c r="B501" s="57" t="s">
        <v>2146</v>
      </c>
      <c r="C501" s="57">
        <v>1</v>
      </c>
      <c r="D501" s="57" t="s">
        <v>2730</v>
      </c>
      <c r="E501" s="102">
        <f>VLOOKUP(Z501&amp;"_"&amp;AA501,活动关卡!$A$4:$Z$27,5+5*AB501,FALSE)</f>
        <v>2352</v>
      </c>
      <c r="F501" s="57">
        <v>1</v>
      </c>
      <c r="G501" s="57">
        <v>0</v>
      </c>
      <c r="H501" s="57">
        <v>0</v>
      </c>
      <c r="I501" s="57">
        <v>0</v>
      </c>
      <c r="Z501" s="110" t="str">
        <f t="shared" si="9"/>
        <v>5</v>
      </c>
      <c r="AA501" s="110" t="str">
        <f t="shared" si="10"/>
        <v>6</v>
      </c>
      <c r="AB501" s="110" t="str">
        <f t="shared" si="11"/>
        <v>2</v>
      </c>
    </row>
    <row r="502" spans="2:28" x14ac:dyDescent="0.2">
      <c r="B502" s="57" t="s">
        <v>2147</v>
      </c>
      <c r="C502" s="57">
        <v>1</v>
      </c>
      <c r="D502" s="57" t="s">
        <v>2731</v>
      </c>
      <c r="E502" s="102">
        <f>VLOOKUP(Z502&amp;"_"&amp;AA502,活动关卡!$A$4:$Z$27,5+5*AB502,FALSE)</f>
        <v>784</v>
      </c>
      <c r="F502" s="57">
        <v>1</v>
      </c>
      <c r="G502" s="57">
        <v>0</v>
      </c>
      <c r="H502" s="57">
        <v>0</v>
      </c>
      <c r="I502" s="57">
        <v>0</v>
      </c>
      <c r="Z502" s="110" t="str">
        <f t="shared" si="9"/>
        <v>5</v>
      </c>
      <c r="AA502" s="110" t="str">
        <f t="shared" si="10"/>
        <v>6</v>
      </c>
      <c r="AB502" s="110" t="str">
        <f t="shared" si="11"/>
        <v>3</v>
      </c>
    </row>
    <row r="503" spans="2:28" x14ac:dyDescent="0.2">
      <c r="B503" s="57" t="s">
        <v>2148</v>
      </c>
      <c r="C503" s="57">
        <v>1</v>
      </c>
      <c r="D503" s="57" t="s">
        <v>2732</v>
      </c>
      <c r="E503" s="102">
        <f>VLOOKUP(Z503&amp;"_"&amp;AA503,活动关卡!$A$4:$Z$27,5+5*AB503,FALSE)</f>
        <v>1568</v>
      </c>
      <c r="F503" s="57">
        <v>1</v>
      </c>
      <c r="G503" s="57">
        <v>0</v>
      </c>
      <c r="H503" s="57">
        <v>0</v>
      </c>
      <c r="I503" s="57">
        <v>0</v>
      </c>
      <c r="Z503" s="110" t="str">
        <f t="shared" si="9"/>
        <v>5</v>
      </c>
      <c r="AA503" s="110" t="str">
        <f t="shared" si="10"/>
        <v>6</v>
      </c>
      <c r="AB503" s="110" t="str">
        <f t="shared" si="11"/>
        <v>4</v>
      </c>
    </row>
    <row r="504" spans="2:28" x14ac:dyDescent="0.2">
      <c r="B504" s="57" t="s">
        <v>2149</v>
      </c>
      <c r="C504" s="57">
        <v>1</v>
      </c>
      <c r="D504" s="57" t="s">
        <v>2733</v>
      </c>
      <c r="E504" s="102">
        <f>VLOOKUP(Z504&amp;"_"&amp;AA504,活动关卡!$A$4:$Z$27,5+5*AB504,FALSE)</f>
        <v>2268</v>
      </c>
      <c r="F504" s="57">
        <v>1</v>
      </c>
      <c r="G504" s="57">
        <v>0</v>
      </c>
      <c r="H504" s="57">
        <v>0</v>
      </c>
      <c r="I504" s="57">
        <v>0</v>
      </c>
      <c r="Z504" s="110" t="str">
        <f t="shared" si="9"/>
        <v>5</v>
      </c>
      <c r="AA504" s="110" t="str">
        <f t="shared" si="10"/>
        <v>7</v>
      </c>
      <c r="AB504" s="110" t="str">
        <f t="shared" si="11"/>
        <v>1</v>
      </c>
    </row>
    <row r="505" spans="2:28" x14ac:dyDescent="0.2">
      <c r="B505" s="57" t="s">
        <v>2150</v>
      </c>
      <c r="C505" s="57">
        <v>1</v>
      </c>
      <c r="D505" s="57" t="s">
        <v>2734</v>
      </c>
      <c r="E505" s="102">
        <f>VLOOKUP(Z505&amp;"_"&amp;AA505,活动关卡!$A$4:$Z$27,5+5*AB505,FALSE)</f>
        <v>1134</v>
      </c>
      <c r="F505" s="57">
        <v>1</v>
      </c>
      <c r="G505" s="57">
        <v>0</v>
      </c>
      <c r="H505" s="57">
        <v>0</v>
      </c>
      <c r="I505" s="57">
        <v>0</v>
      </c>
      <c r="Z505" s="110" t="str">
        <f t="shared" si="9"/>
        <v>5</v>
      </c>
      <c r="AA505" s="110" t="str">
        <f t="shared" si="10"/>
        <v>7</v>
      </c>
      <c r="AB505" s="110" t="str">
        <f t="shared" si="11"/>
        <v>2</v>
      </c>
    </row>
    <row r="506" spans="2:28" x14ac:dyDescent="0.2">
      <c r="B506" s="57" t="s">
        <v>2151</v>
      </c>
      <c r="C506" s="57">
        <v>1</v>
      </c>
      <c r="D506" s="57" t="s">
        <v>2735</v>
      </c>
      <c r="E506" s="102">
        <f>VLOOKUP(Z506&amp;"_"&amp;AA506,活动关卡!$A$4:$Z$27,5+5*AB506,FALSE)</f>
        <v>567</v>
      </c>
      <c r="F506" s="57">
        <v>1</v>
      </c>
      <c r="G506" s="57">
        <v>0</v>
      </c>
      <c r="H506" s="57">
        <v>0</v>
      </c>
      <c r="I506" s="57">
        <v>0</v>
      </c>
      <c r="Z506" s="110" t="str">
        <f t="shared" si="9"/>
        <v>5</v>
      </c>
      <c r="AA506" s="110" t="str">
        <f t="shared" si="10"/>
        <v>7</v>
      </c>
      <c r="AB506" s="110" t="str">
        <f t="shared" si="11"/>
        <v>3</v>
      </c>
    </row>
    <row r="507" spans="2:28" x14ac:dyDescent="0.2">
      <c r="B507" s="57" t="s">
        <v>2152</v>
      </c>
      <c r="C507" s="57">
        <v>1</v>
      </c>
      <c r="D507" s="57" t="s">
        <v>2736</v>
      </c>
      <c r="E507" s="102">
        <f>VLOOKUP(Z507&amp;"_"&amp;AA507,活动关卡!$A$4:$Z$27,5+5*AB507,FALSE)</f>
        <v>2268</v>
      </c>
      <c r="F507" s="57">
        <v>1</v>
      </c>
      <c r="G507" s="57">
        <v>0</v>
      </c>
      <c r="H507" s="57">
        <v>0</v>
      </c>
      <c r="I507" s="57">
        <v>0</v>
      </c>
      <c r="Z507" s="110" t="str">
        <f t="shared" si="9"/>
        <v>5</v>
      </c>
      <c r="AA507" s="110" t="str">
        <f t="shared" si="10"/>
        <v>7</v>
      </c>
      <c r="AB507" s="110" t="str">
        <f t="shared" si="11"/>
        <v>4</v>
      </c>
    </row>
    <row r="508" spans="2:28" x14ac:dyDescent="0.2">
      <c r="B508" s="57" t="s">
        <v>2153</v>
      </c>
      <c r="C508" s="57">
        <v>1</v>
      </c>
      <c r="D508" s="57" t="s">
        <v>2737</v>
      </c>
      <c r="E508" s="102">
        <f>VLOOKUP(Z508&amp;"_"&amp;AA508,活动关卡!$A$4:$Z$27,5+5*AB508,FALSE)</f>
        <v>23718</v>
      </c>
      <c r="F508" s="57">
        <v>1</v>
      </c>
      <c r="G508" s="57">
        <v>0</v>
      </c>
      <c r="H508" s="57">
        <v>0</v>
      </c>
      <c r="I508" s="57">
        <v>0</v>
      </c>
      <c r="Z508" s="110" t="str">
        <f t="shared" si="9"/>
        <v>5</v>
      </c>
      <c r="AA508" s="110" t="str">
        <f t="shared" si="10"/>
        <v>8</v>
      </c>
      <c r="AB508" s="110" t="str">
        <f t="shared" si="11"/>
        <v>1</v>
      </c>
    </row>
    <row r="509" spans="2:28" x14ac:dyDescent="0.2">
      <c r="B509" s="57" t="s">
        <v>2154</v>
      </c>
      <c r="C509" s="57">
        <v>1</v>
      </c>
      <c r="D509" s="57" t="s">
        <v>2738</v>
      </c>
      <c r="E509" s="102">
        <f>VLOOKUP(Z509&amp;"_"&amp;AA509,活动关卡!$A$4:$Z$27,5+5*AB509,FALSE)</f>
        <v>1186</v>
      </c>
      <c r="F509" s="57">
        <v>1</v>
      </c>
      <c r="G509" s="57">
        <v>0</v>
      </c>
      <c r="H509" s="57">
        <v>0</v>
      </c>
      <c r="I509" s="57">
        <v>0</v>
      </c>
      <c r="Z509" s="110" t="str">
        <f t="shared" si="9"/>
        <v>5</v>
      </c>
      <c r="AA509" s="110" t="str">
        <f t="shared" si="10"/>
        <v>8</v>
      </c>
      <c r="AB509" s="110" t="str">
        <f t="shared" si="11"/>
        <v>2</v>
      </c>
    </row>
    <row r="510" spans="2:28" x14ac:dyDescent="0.2">
      <c r="B510" s="57" t="s">
        <v>2155</v>
      </c>
      <c r="C510" s="57">
        <v>1</v>
      </c>
      <c r="D510" s="57" t="s">
        <v>2739</v>
      </c>
      <c r="E510" s="102">
        <f>VLOOKUP(Z510&amp;"_"&amp;AA510,活动关卡!$A$4:$Z$27,5+5*AB510,FALSE)</f>
        <v>3558</v>
      </c>
      <c r="F510" s="57">
        <v>1</v>
      </c>
      <c r="G510" s="57">
        <v>0</v>
      </c>
      <c r="H510" s="57">
        <v>0</v>
      </c>
      <c r="I510" s="57">
        <v>0</v>
      </c>
      <c r="Z510" s="110" t="str">
        <f t="shared" si="9"/>
        <v>5</v>
      </c>
      <c r="AA510" s="110" t="str">
        <f t="shared" si="10"/>
        <v>8</v>
      </c>
      <c r="AB510" s="110" t="str">
        <f t="shared" si="11"/>
        <v>3</v>
      </c>
    </row>
    <row r="511" spans="2:28" x14ac:dyDescent="0.2">
      <c r="B511" s="57" t="s">
        <v>2156</v>
      </c>
      <c r="C511" s="57">
        <v>1</v>
      </c>
      <c r="D511" s="57" t="s">
        <v>2740</v>
      </c>
      <c r="E511" s="102">
        <f>VLOOKUP(Z511&amp;"_"&amp;AA511,活动关卡!$A$4:$Z$27,5+5*AB511,FALSE)</f>
        <v>4744</v>
      </c>
      <c r="F511" s="57">
        <v>1</v>
      </c>
      <c r="G511" s="57">
        <v>0</v>
      </c>
      <c r="H511" s="57">
        <v>0</v>
      </c>
      <c r="I511" s="57">
        <v>0</v>
      </c>
      <c r="Z511" s="110" t="str">
        <f t="shared" si="9"/>
        <v>5</v>
      </c>
      <c r="AA511" s="110" t="str">
        <f t="shared" si="10"/>
        <v>8</v>
      </c>
      <c r="AB511" s="110" t="str">
        <f t="shared" si="11"/>
        <v>4</v>
      </c>
    </row>
    <row r="512" spans="2:28" x14ac:dyDescent="0.2">
      <c r="Z512" s="110" t="str">
        <f t="shared" si="9"/>
        <v/>
      </c>
      <c r="AA512" s="110" t="str">
        <f t="shared" si="10"/>
        <v/>
      </c>
      <c r="AB512" s="110" t="str">
        <f t="shared" si="11"/>
        <v/>
      </c>
    </row>
    <row r="513" spans="2:28" x14ac:dyDescent="0.2">
      <c r="B513" s="57" t="s">
        <v>2157</v>
      </c>
      <c r="C513" s="57">
        <v>1</v>
      </c>
      <c r="D513" s="57" t="s">
        <v>2741</v>
      </c>
      <c r="E513" s="102">
        <f>VLOOKUP(Z513&amp;"_"&amp;AA513,活动关卡!$A$32:$Z$55,5+5*AB513,FALSE)</f>
        <v>27</v>
      </c>
      <c r="F513" s="57">
        <v>1</v>
      </c>
      <c r="G513" s="57">
        <v>0</v>
      </c>
      <c r="H513" s="57">
        <v>0</v>
      </c>
      <c r="I513" s="57">
        <v>0</v>
      </c>
      <c r="Z513" s="110" t="str">
        <f t="shared" si="9"/>
        <v>1</v>
      </c>
      <c r="AA513" s="110" t="str">
        <f t="shared" si="10"/>
        <v>1</v>
      </c>
      <c r="AB513" s="110" t="str">
        <f t="shared" si="11"/>
        <v>1</v>
      </c>
    </row>
    <row r="514" spans="2:28" x14ac:dyDescent="0.2">
      <c r="B514" s="57" t="s">
        <v>2158</v>
      </c>
      <c r="C514" s="57">
        <v>1</v>
      </c>
      <c r="D514" s="57" t="s">
        <v>2742</v>
      </c>
      <c r="E514" s="102">
        <f>VLOOKUP(Z514&amp;"_"&amp;AA514,活动关卡!$A$32:$Z$55,5+5*AB514,FALSE)</f>
        <v>877</v>
      </c>
      <c r="F514" s="57">
        <v>5</v>
      </c>
      <c r="G514" s="57">
        <v>0</v>
      </c>
      <c r="H514" s="57">
        <v>0</v>
      </c>
      <c r="I514" s="57">
        <v>0</v>
      </c>
      <c r="Z514" s="110" t="str">
        <f t="shared" si="9"/>
        <v>1</v>
      </c>
      <c r="AA514" s="110" t="str">
        <f t="shared" si="10"/>
        <v>1</v>
      </c>
      <c r="AB514" s="110" t="str">
        <f t="shared" si="11"/>
        <v>2</v>
      </c>
    </row>
    <row r="515" spans="2:28" x14ac:dyDescent="0.2">
      <c r="B515" s="57" t="s">
        <v>2159</v>
      </c>
      <c r="C515" s="57">
        <v>1</v>
      </c>
      <c r="D515" s="57" t="s">
        <v>2743</v>
      </c>
      <c r="E515" s="102">
        <f>VLOOKUP(Z515&amp;"_"&amp;AA515,活动关卡!$A$32:$Z$55,5+5*AB515,FALSE)</f>
        <v>42</v>
      </c>
      <c r="F515" s="57">
        <v>1</v>
      </c>
      <c r="G515" s="57">
        <v>0</v>
      </c>
      <c r="H515" s="57">
        <v>0</v>
      </c>
      <c r="I515" s="57">
        <v>0</v>
      </c>
      <c r="Z515" s="110" t="str">
        <f t="shared" si="9"/>
        <v>1</v>
      </c>
      <c r="AA515" s="110" t="str">
        <f t="shared" si="10"/>
        <v>2</v>
      </c>
      <c r="AB515" s="110" t="str">
        <f t="shared" si="11"/>
        <v>1</v>
      </c>
    </row>
    <row r="516" spans="2:28" x14ac:dyDescent="0.2">
      <c r="B516" s="57" t="s">
        <v>2160</v>
      </c>
      <c r="C516" s="57">
        <v>1</v>
      </c>
      <c r="D516" s="57" t="s">
        <v>2744</v>
      </c>
      <c r="E516" s="102">
        <f>VLOOKUP(Z516&amp;"_"&amp;AA516,活动关卡!$A$32:$Z$55,5+5*AB516,FALSE)</f>
        <v>1359</v>
      </c>
      <c r="F516" s="57">
        <v>5</v>
      </c>
      <c r="G516" s="57">
        <v>0</v>
      </c>
      <c r="H516" s="57">
        <v>0</v>
      </c>
      <c r="I516" s="57">
        <v>0</v>
      </c>
      <c r="Z516" s="110" t="str">
        <f t="shared" si="9"/>
        <v>1</v>
      </c>
      <c r="AA516" s="110" t="str">
        <f t="shared" si="10"/>
        <v>2</v>
      </c>
      <c r="AB516" s="110" t="str">
        <f t="shared" si="11"/>
        <v>2</v>
      </c>
    </row>
    <row r="517" spans="2:28" x14ac:dyDescent="0.2">
      <c r="B517" s="57" t="s">
        <v>2161</v>
      </c>
      <c r="C517" s="57">
        <v>1</v>
      </c>
      <c r="D517" s="57" t="s">
        <v>2745</v>
      </c>
      <c r="E517" s="102">
        <f>VLOOKUP(Z517&amp;"_"&amp;AA517,活动关卡!$A$32:$Z$55,5+5*AB517,FALSE)</f>
        <v>50</v>
      </c>
      <c r="F517" s="57">
        <v>1</v>
      </c>
      <c r="G517" s="57">
        <v>0</v>
      </c>
      <c r="H517" s="57">
        <v>0</v>
      </c>
      <c r="I517" s="57">
        <v>0</v>
      </c>
      <c r="Z517" s="110" t="str">
        <f t="shared" si="9"/>
        <v>1</v>
      </c>
      <c r="AA517" s="110" t="str">
        <f t="shared" si="10"/>
        <v>3</v>
      </c>
      <c r="AB517" s="110" t="str">
        <f t="shared" si="11"/>
        <v>1</v>
      </c>
    </row>
    <row r="518" spans="2:28" x14ac:dyDescent="0.2">
      <c r="B518" s="57" t="s">
        <v>2162</v>
      </c>
      <c r="C518" s="57">
        <v>1</v>
      </c>
      <c r="D518" s="57" t="s">
        <v>2746</v>
      </c>
      <c r="E518" s="102">
        <f>VLOOKUP(Z518&amp;"_"&amp;AA518,活动关卡!$A$32:$Z$55,5+5*AB518,FALSE)</f>
        <v>200</v>
      </c>
      <c r="F518" s="57">
        <v>1</v>
      </c>
      <c r="G518" s="57">
        <v>0</v>
      </c>
      <c r="H518" s="57">
        <v>0</v>
      </c>
      <c r="I518" s="57">
        <v>0</v>
      </c>
      <c r="Z518" s="110" t="str">
        <f t="shared" si="9"/>
        <v>1</v>
      </c>
      <c r="AA518" s="110" t="str">
        <f t="shared" si="10"/>
        <v>3</v>
      </c>
      <c r="AB518" s="110" t="str">
        <f t="shared" si="11"/>
        <v>2</v>
      </c>
    </row>
    <row r="519" spans="2:28" x14ac:dyDescent="0.2">
      <c r="B519" s="57" t="s">
        <v>2163</v>
      </c>
      <c r="C519" s="57">
        <v>1</v>
      </c>
      <c r="D519" s="57" t="s">
        <v>2747</v>
      </c>
      <c r="E519" s="102">
        <f>VLOOKUP(Z519&amp;"_"&amp;AA519,活动关卡!$A$32:$Z$55,5+5*AB519,FALSE)</f>
        <v>1598</v>
      </c>
      <c r="F519" s="57">
        <v>5</v>
      </c>
      <c r="G519" s="57">
        <v>0</v>
      </c>
      <c r="H519" s="57">
        <v>0</v>
      </c>
      <c r="I519" s="57">
        <v>0</v>
      </c>
      <c r="Z519" s="110" t="str">
        <f t="shared" si="9"/>
        <v>1</v>
      </c>
      <c r="AA519" s="110" t="str">
        <f t="shared" si="10"/>
        <v>3</v>
      </c>
      <c r="AB519" s="110" t="str">
        <f t="shared" si="11"/>
        <v>3</v>
      </c>
    </row>
    <row r="520" spans="2:28" x14ac:dyDescent="0.2">
      <c r="B520" s="57" t="s">
        <v>2164</v>
      </c>
      <c r="C520" s="57">
        <v>1</v>
      </c>
      <c r="D520" s="57" t="s">
        <v>2748</v>
      </c>
      <c r="E520" s="102">
        <f>VLOOKUP(Z520&amp;"_"&amp;AA520,活动关卡!$A$32:$Z$55,5+5*AB520,FALSE)</f>
        <v>58</v>
      </c>
      <c r="F520" s="57">
        <v>1</v>
      </c>
      <c r="G520" s="57">
        <v>0</v>
      </c>
      <c r="H520" s="57">
        <v>0</v>
      </c>
      <c r="I520" s="57">
        <v>0</v>
      </c>
      <c r="Z520" s="110" t="str">
        <f t="shared" si="9"/>
        <v>2</v>
      </c>
      <c r="AA520" s="110" t="str">
        <f t="shared" si="10"/>
        <v>1</v>
      </c>
      <c r="AB520" s="110" t="str">
        <f t="shared" si="11"/>
        <v>1</v>
      </c>
    </row>
    <row r="521" spans="2:28" x14ac:dyDescent="0.2">
      <c r="B521" s="57" t="s">
        <v>2165</v>
      </c>
      <c r="C521" s="57">
        <v>1</v>
      </c>
      <c r="D521" s="57" t="s">
        <v>2749</v>
      </c>
      <c r="E521" s="102">
        <f>VLOOKUP(Z521&amp;"_"&amp;AA521,活动关卡!$A$32:$Z$55,5+5*AB521,FALSE)</f>
        <v>934</v>
      </c>
      <c r="F521" s="57">
        <v>5</v>
      </c>
      <c r="G521" s="57">
        <v>0</v>
      </c>
      <c r="H521" s="57">
        <v>0</v>
      </c>
      <c r="I521" s="57">
        <v>0</v>
      </c>
      <c r="Z521" s="110" t="str">
        <f t="shared" si="9"/>
        <v>2</v>
      </c>
      <c r="AA521" s="110" t="str">
        <f t="shared" si="10"/>
        <v>1</v>
      </c>
      <c r="AB521" s="110" t="str">
        <f t="shared" si="11"/>
        <v>2</v>
      </c>
    </row>
    <row r="522" spans="2:28" x14ac:dyDescent="0.2">
      <c r="B522" s="57" t="s">
        <v>2166</v>
      </c>
      <c r="C522" s="57">
        <v>1</v>
      </c>
      <c r="D522" s="57" t="s">
        <v>2750</v>
      </c>
      <c r="E522" s="102">
        <f>VLOOKUP(Z522&amp;"_"&amp;AA522,活动关卡!$A$32:$Z$55,5+5*AB522,FALSE)</f>
        <v>86</v>
      </c>
      <c r="F522" s="57">
        <v>1</v>
      </c>
      <c r="G522" s="57">
        <v>0</v>
      </c>
      <c r="H522" s="57">
        <v>0</v>
      </c>
      <c r="I522" s="57">
        <v>0</v>
      </c>
      <c r="Z522" s="110" t="str">
        <f t="shared" si="9"/>
        <v>2</v>
      </c>
      <c r="AA522" s="110" t="str">
        <f t="shared" si="10"/>
        <v>2</v>
      </c>
      <c r="AB522" s="110" t="str">
        <f t="shared" si="11"/>
        <v>1</v>
      </c>
    </row>
    <row r="523" spans="2:28" x14ac:dyDescent="0.2">
      <c r="B523" s="57" t="s">
        <v>2167</v>
      </c>
      <c r="C523" s="57">
        <v>1</v>
      </c>
      <c r="D523" s="57" t="s">
        <v>2751</v>
      </c>
      <c r="E523" s="102">
        <f>VLOOKUP(Z523&amp;"_"&amp;AA523,活动关卡!$A$32:$Z$55,5+5*AB523,FALSE)</f>
        <v>173</v>
      </c>
      <c r="F523" s="57">
        <v>1</v>
      </c>
      <c r="G523" s="57">
        <v>0</v>
      </c>
      <c r="H523" s="57">
        <v>0</v>
      </c>
      <c r="I523" s="57">
        <v>0</v>
      </c>
      <c r="Z523" s="110" t="str">
        <f t="shared" si="9"/>
        <v>2</v>
      </c>
      <c r="AA523" s="110" t="str">
        <f t="shared" si="10"/>
        <v>2</v>
      </c>
      <c r="AB523" s="110" t="str">
        <f t="shared" si="11"/>
        <v>2</v>
      </c>
    </row>
    <row r="524" spans="2:28" x14ac:dyDescent="0.2">
      <c r="B524" s="57" t="s">
        <v>2168</v>
      </c>
      <c r="C524" s="57">
        <v>1</v>
      </c>
      <c r="D524" s="57" t="s">
        <v>2752</v>
      </c>
      <c r="E524" s="102">
        <f>VLOOKUP(Z524&amp;"_"&amp;AA524,活动关卡!$A$32:$Z$55,5+5*AB524,FALSE)</f>
        <v>1382</v>
      </c>
      <c r="F524" s="57">
        <v>5</v>
      </c>
      <c r="G524" s="57">
        <v>0</v>
      </c>
      <c r="H524" s="57">
        <v>0</v>
      </c>
      <c r="I524" s="57">
        <v>0</v>
      </c>
      <c r="Z524" s="110" t="str">
        <f t="shared" si="9"/>
        <v>2</v>
      </c>
      <c r="AA524" s="110" t="str">
        <f t="shared" si="10"/>
        <v>2</v>
      </c>
      <c r="AB524" s="110" t="str">
        <f t="shared" si="11"/>
        <v>3</v>
      </c>
    </row>
    <row r="525" spans="2:28" x14ac:dyDescent="0.2">
      <c r="B525" s="57" t="s">
        <v>2169</v>
      </c>
      <c r="C525" s="57">
        <v>1</v>
      </c>
      <c r="D525" s="57" t="s">
        <v>2753</v>
      </c>
      <c r="E525" s="102">
        <f>VLOOKUP(Z525&amp;"_"&amp;AA525,活动关卡!$A$32:$Z$55,5+5*AB525,FALSE)</f>
        <v>92</v>
      </c>
      <c r="F525" s="57">
        <v>1</v>
      </c>
      <c r="G525" s="57">
        <v>0</v>
      </c>
      <c r="H525" s="57">
        <v>0</v>
      </c>
      <c r="I525" s="57">
        <v>0</v>
      </c>
      <c r="Z525" s="110" t="str">
        <f t="shared" si="9"/>
        <v>2</v>
      </c>
      <c r="AA525" s="110" t="str">
        <f t="shared" si="10"/>
        <v>3</v>
      </c>
      <c r="AB525" s="110" t="str">
        <f t="shared" si="11"/>
        <v>1</v>
      </c>
    </row>
    <row r="526" spans="2:28" x14ac:dyDescent="0.2">
      <c r="B526" s="57" t="s">
        <v>2170</v>
      </c>
      <c r="C526" s="57">
        <v>1</v>
      </c>
      <c r="D526" s="57" t="s">
        <v>2754</v>
      </c>
      <c r="E526" s="102">
        <f>VLOOKUP(Z526&amp;"_"&amp;AA526,活动关卡!$A$32:$Z$55,5+5*AB526,FALSE)</f>
        <v>46</v>
      </c>
      <c r="F526" s="57">
        <v>1</v>
      </c>
      <c r="G526" s="57">
        <v>0</v>
      </c>
      <c r="H526" s="57">
        <v>0</v>
      </c>
      <c r="I526" s="57">
        <v>0</v>
      </c>
      <c r="Z526" s="110" t="str">
        <f t="shared" si="9"/>
        <v>2</v>
      </c>
      <c r="AA526" s="110" t="str">
        <f t="shared" si="10"/>
        <v>3</v>
      </c>
      <c r="AB526" s="110" t="str">
        <f t="shared" si="11"/>
        <v>2</v>
      </c>
    </row>
    <row r="527" spans="2:28" x14ac:dyDescent="0.2">
      <c r="B527" s="57" t="s">
        <v>2171</v>
      </c>
      <c r="C527" s="57">
        <v>1</v>
      </c>
      <c r="D527" s="57" t="s">
        <v>2755</v>
      </c>
      <c r="E527" s="102">
        <f>VLOOKUP(Z527&amp;"_"&amp;AA527,活动关卡!$A$32:$Z$55,5+5*AB527,FALSE)</f>
        <v>1471</v>
      </c>
      <c r="F527" s="57">
        <v>5</v>
      </c>
      <c r="G527" s="57">
        <v>0</v>
      </c>
      <c r="H527" s="57">
        <v>0</v>
      </c>
      <c r="I527" s="57">
        <v>0</v>
      </c>
      <c r="Z527" s="110" t="str">
        <f t="shared" ref="Z527:Z590" si="12">LEFT(RIGHT(D527,5),1)</f>
        <v>2</v>
      </c>
      <c r="AA527" s="110" t="str">
        <f t="shared" ref="AA527:AA590" si="13">LEFT(RIGHT(D527,3),1)</f>
        <v>3</v>
      </c>
      <c r="AB527" s="110" t="str">
        <f t="shared" ref="AB527:AB590" si="14">RIGHT(D527,1)</f>
        <v>3</v>
      </c>
    </row>
    <row r="528" spans="2:28" x14ac:dyDescent="0.2">
      <c r="B528" s="57" t="s">
        <v>2172</v>
      </c>
      <c r="C528" s="57">
        <v>1</v>
      </c>
      <c r="D528" s="57" t="s">
        <v>2756</v>
      </c>
      <c r="E528" s="102">
        <f>VLOOKUP(Z528&amp;"_"&amp;AA528,活动关卡!$A$32:$Z$55,5+5*AB528,FALSE)</f>
        <v>119</v>
      </c>
      <c r="F528" s="57">
        <v>1</v>
      </c>
      <c r="G528" s="57">
        <v>0</v>
      </c>
      <c r="H528" s="57">
        <v>0</v>
      </c>
      <c r="I528" s="57">
        <v>0</v>
      </c>
      <c r="Z528" s="110" t="str">
        <f t="shared" si="12"/>
        <v>2</v>
      </c>
      <c r="AA528" s="110" t="str">
        <f t="shared" si="13"/>
        <v>4</v>
      </c>
      <c r="AB528" s="110" t="str">
        <f t="shared" si="14"/>
        <v>1</v>
      </c>
    </row>
    <row r="529" spans="2:28" x14ac:dyDescent="0.2">
      <c r="B529" s="57" t="s">
        <v>2173</v>
      </c>
      <c r="C529" s="57">
        <v>1</v>
      </c>
      <c r="D529" s="57" t="s">
        <v>2757</v>
      </c>
      <c r="E529" s="102">
        <f>VLOOKUP(Z529&amp;"_"&amp;AA529,活动关卡!$A$32:$Z$55,5+5*AB529,FALSE)</f>
        <v>59</v>
      </c>
      <c r="F529" s="57">
        <v>1</v>
      </c>
      <c r="G529" s="57">
        <v>0</v>
      </c>
      <c r="H529" s="57">
        <v>0</v>
      </c>
      <c r="I529" s="57">
        <v>0</v>
      </c>
      <c r="Z529" s="110" t="str">
        <f t="shared" si="12"/>
        <v>2</v>
      </c>
      <c r="AA529" s="110" t="str">
        <f t="shared" si="13"/>
        <v>4</v>
      </c>
      <c r="AB529" s="110" t="str">
        <f t="shared" si="14"/>
        <v>2</v>
      </c>
    </row>
    <row r="530" spans="2:28" x14ac:dyDescent="0.2">
      <c r="B530" s="57" t="s">
        <v>2174</v>
      </c>
      <c r="C530" s="57">
        <v>1</v>
      </c>
      <c r="D530" s="57" t="s">
        <v>2758</v>
      </c>
      <c r="E530" s="102">
        <f>VLOOKUP(Z530&amp;"_"&amp;AA530,活动关卡!$A$32:$Z$55,5+5*AB530,FALSE)</f>
        <v>238</v>
      </c>
      <c r="F530" s="57">
        <v>1</v>
      </c>
      <c r="G530" s="57">
        <v>0</v>
      </c>
      <c r="H530" s="57">
        <v>0</v>
      </c>
      <c r="I530" s="57">
        <v>0</v>
      </c>
      <c r="Z530" s="110" t="str">
        <f t="shared" si="12"/>
        <v>2</v>
      </c>
      <c r="AA530" s="110" t="str">
        <f t="shared" si="13"/>
        <v>4</v>
      </c>
      <c r="AB530" s="110" t="str">
        <f t="shared" si="14"/>
        <v>3</v>
      </c>
    </row>
    <row r="531" spans="2:28" x14ac:dyDescent="0.2">
      <c r="B531" s="57" t="s">
        <v>2175</v>
      </c>
      <c r="C531" s="57">
        <v>1</v>
      </c>
      <c r="D531" s="57" t="s">
        <v>2759</v>
      </c>
      <c r="E531" s="102">
        <f>VLOOKUP(Z531&amp;"_"&amp;AA531,活动关卡!$A$32:$Z$55,5+5*AB531,FALSE)</f>
        <v>1902</v>
      </c>
      <c r="F531" s="57">
        <v>5</v>
      </c>
      <c r="G531" s="57">
        <v>0</v>
      </c>
      <c r="H531" s="57">
        <v>0</v>
      </c>
      <c r="I531" s="57">
        <v>0</v>
      </c>
      <c r="Z531" s="110" t="str">
        <f t="shared" si="12"/>
        <v>2</v>
      </c>
      <c r="AA531" s="110" t="str">
        <f t="shared" si="13"/>
        <v>4</v>
      </c>
      <c r="AB531" s="110" t="str">
        <f t="shared" si="14"/>
        <v>4</v>
      </c>
    </row>
    <row r="532" spans="2:28" x14ac:dyDescent="0.2">
      <c r="B532" s="57" t="s">
        <v>2176</v>
      </c>
      <c r="C532" s="57">
        <v>1</v>
      </c>
      <c r="D532" s="57" t="s">
        <v>2760</v>
      </c>
      <c r="E532" s="102">
        <f>VLOOKUP(Z532&amp;"_"&amp;AA532,活动关卡!$A$32:$Z$55,5+5*AB532,FALSE)</f>
        <v>152</v>
      </c>
      <c r="F532" s="57">
        <v>1</v>
      </c>
      <c r="G532" s="57">
        <v>0</v>
      </c>
      <c r="H532" s="57">
        <v>0</v>
      </c>
      <c r="I532" s="57">
        <v>0</v>
      </c>
      <c r="Z532" s="110" t="str">
        <f t="shared" si="12"/>
        <v>2</v>
      </c>
      <c r="AA532" s="110" t="str">
        <f t="shared" si="13"/>
        <v>5</v>
      </c>
      <c r="AB532" s="110" t="str">
        <f t="shared" si="14"/>
        <v>1</v>
      </c>
    </row>
    <row r="533" spans="2:28" x14ac:dyDescent="0.2">
      <c r="B533" s="57" t="s">
        <v>2177</v>
      </c>
      <c r="C533" s="57">
        <v>1</v>
      </c>
      <c r="D533" s="57" t="s">
        <v>2761</v>
      </c>
      <c r="E533" s="102">
        <f>VLOOKUP(Z533&amp;"_"&amp;AA533,活动关卡!$A$32:$Z$55,5+5*AB533,FALSE)</f>
        <v>76</v>
      </c>
      <c r="F533" s="57">
        <v>1</v>
      </c>
      <c r="G533" s="57">
        <v>0</v>
      </c>
      <c r="H533" s="57">
        <v>0</v>
      </c>
      <c r="I533" s="57">
        <v>0</v>
      </c>
      <c r="Z533" s="110" t="str">
        <f t="shared" si="12"/>
        <v>2</v>
      </c>
      <c r="AA533" s="110" t="str">
        <f t="shared" si="13"/>
        <v>5</v>
      </c>
      <c r="AB533" s="110" t="str">
        <f t="shared" si="14"/>
        <v>2</v>
      </c>
    </row>
    <row r="534" spans="2:28" x14ac:dyDescent="0.2">
      <c r="B534" s="57" t="s">
        <v>2178</v>
      </c>
      <c r="C534" s="57">
        <v>1</v>
      </c>
      <c r="D534" s="57" t="s">
        <v>2762</v>
      </c>
      <c r="E534" s="102">
        <f>VLOOKUP(Z534&amp;"_"&amp;AA534,活动关卡!$A$32:$Z$55,5+5*AB534,FALSE)</f>
        <v>304</v>
      </c>
      <c r="F534" s="57">
        <v>1</v>
      </c>
      <c r="G534" s="57">
        <v>0</v>
      </c>
      <c r="H534" s="57">
        <v>0</v>
      </c>
      <c r="I534" s="57">
        <v>0</v>
      </c>
      <c r="Z534" s="110" t="str">
        <f t="shared" si="12"/>
        <v>2</v>
      </c>
      <c r="AA534" s="110" t="str">
        <f t="shared" si="13"/>
        <v>5</v>
      </c>
      <c r="AB534" s="110" t="str">
        <f t="shared" si="14"/>
        <v>3</v>
      </c>
    </row>
    <row r="535" spans="2:28" x14ac:dyDescent="0.2">
      <c r="B535" s="57" t="s">
        <v>2179</v>
      </c>
      <c r="C535" s="57">
        <v>1</v>
      </c>
      <c r="D535" s="57" t="s">
        <v>2763</v>
      </c>
      <c r="E535" s="102">
        <f>VLOOKUP(Z535&amp;"_"&amp;AA535,活动关卡!$A$32:$Z$55,5+5*AB535,FALSE)</f>
        <v>2430</v>
      </c>
      <c r="F535" s="57">
        <v>5</v>
      </c>
      <c r="G535" s="57">
        <v>0</v>
      </c>
      <c r="H535" s="57">
        <v>0</v>
      </c>
      <c r="I535" s="57">
        <v>0</v>
      </c>
      <c r="Z535" s="110" t="str">
        <f t="shared" si="12"/>
        <v>2</v>
      </c>
      <c r="AA535" s="110" t="str">
        <f t="shared" si="13"/>
        <v>5</v>
      </c>
      <c r="AB535" s="110" t="str">
        <f t="shared" si="14"/>
        <v>4</v>
      </c>
    </row>
    <row r="536" spans="2:28" x14ac:dyDescent="0.2">
      <c r="B536" s="57" t="s">
        <v>2180</v>
      </c>
      <c r="C536" s="57">
        <v>1</v>
      </c>
      <c r="D536" s="57" t="s">
        <v>2764</v>
      </c>
      <c r="E536" s="102">
        <f>VLOOKUP(Z536&amp;"_"&amp;AA536,活动关卡!$A$32:$Z$55,5+5*AB536,FALSE)</f>
        <v>190</v>
      </c>
      <c r="F536" s="57">
        <v>1</v>
      </c>
      <c r="G536" s="57">
        <v>0</v>
      </c>
      <c r="H536" s="57">
        <v>0</v>
      </c>
      <c r="I536" s="57">
        <v>0</v>
      </c>
      <c r="Z536" s="110" t="str">
        <f t="shared" si="12"/>
        <v>3</v>
      </c>
      <c r="AA536" s="110" t="str">
        <f t="shared" si="13"/>
        <v>1</v>
      </c>
      <c r="AB536" s="110" t="str">
        <f t="shared" si="14"/>
        <v>1</v>
      </c>
    </row>
    <row r="537" spans="2:28" x14ac:dyDescent="0.2">
      <c r="B537" s="57" t="s">
        <v>2181</v>
      </c>
      <c r="C537" s="57">
        <v>1</v>
      </c>
      <c r="D537" s="57" t="s">
        <v>2765</v>
      </c>
      <c r="E537" s="102">
        <f>VLOOKUP(Z537&amp;"_"&amp;AA537,活动关卡!$A$32:$Z$55,5+5*AB537,FALSE)</f>
        <v>1011</v>
      </c>
      <c r="F537" s="57">
        <v>10</v>
      </c>
      <c r="G537" s="57">
        <v>0</v>
      </c>
      <c r="H537" s="57">
        <v>0</v>
      </c>
      <c r="I537" s="57">
        <v>0</v>
      </c>
      <c r="Z537" s="110" t="str">
        <f t="shared" si="12"/>
        <v>3</v>
      </c>
      <c r="AA537" s="110" t="str">
        <f t="shared" si="13"/>
        <v>1</v>
      </c>
      <c r="AB537" s="110" t="str">
        <f t="shared" si="14"/>
        <v>2</v>
      </c>
    </row>
    <row r="538" spans="2:28" x14ac:dyDescent="0.2">
      <c r="B538" s="57" t="s">
        <v>2182</v>
      </c>
      <c r="C538" s="57">
        <v>1</v>
      </c>
      <c r="D538" s="57" t="s">
        <v>2766</v>
      </c>
      <c r="E538" s="102">
        <f>VLOOKUP(Z538&amp;"_"&amp;AA538,活动关卡!$A$32:$Z$55,5+5*AB538,FALSE)</f>
        <v>287</v>
      </c>
      <c r="F538" s="57">
        <v>1</v>
      </c>
      <c r="G538" s="57">
        <v>0</v>
      </c>
      <c r="H538" s="57">
        <v>0</v>
      </c>
      <c r="I538" s="57">
        <v>0</v>
      </c>
      <c r="Z538" s="110" t="str">
        <f t="shared" si="12"/>
        <v>3</v>
      </c>
      <c r="AA538" s="110" t="str">
        <f t="shared" si="13"/>
        <v>2</v>
      </c>
      <c r="AB538" s="110" t="str">
        <f t="shared" si="14"/>
        <v>1</v>
      </c>
    </row>
    <row r="539" spans="2:28" x14ac:dyDescent="0.2">
      <c r="B539" s="57" t="s">
        <v>2183</v>
      </c>
      <c r="C539" s="57">
        <v>1</v>
      </c>
      <c r="D539" s="57" t="s">
        <v>2767</v>
      </c>
      <c r="E539" s="102">
        <f>VLOOKUP(Z539&amp;"_"&amp;AA539,活动关卡!$A$32:$Z$55,5+5*AB539,FALSE)</f>
        <v>192</v>
      </c>
      <c r="F539" s="57">
        <v>1</v>
      </c>
      <c r="G539" s="57">
        <v>0</v>
      </c>
      <c r="H539" s="57">
        <v>0</v>
      </c>
      <c r="I539" s="57">
        <v>0</v>
      </c>
      <c r="Z539" s="110" t="str">
        <f t="shared" si="12"/>
        <v>3</v>
      </c>
      <c r="AA539" s="110" t="str">
        <f t="shared" si="13"/>
        <v>2</v>
      </c>
      <c r="AB539" s="110" t="str">
        <f t="shared" si="14"/>
        <v>2</v>
      </c>
    </row>
    <row r="540" spans="2:28" x14ac:dyDescent="0.2">
      <c r="B540" s="57" t="s">
        <v>2184</v>
      </c>
      <c r="C540" s="57">
        <v>1</v>
      </c>
      <c r="D540" s="57" t="s">
        <v>2768</v>
      </c>
      <c r="E540" s="102">
        <f>VLOOKUP(Z540&amp;"_"&amp;AA540,活动关卡!$A$32:$Z$55,5+5*AB540,FALSE)</f>
        <v>1533</v>
      </c>
      <c r="F540" s="57">
        <v>10</v>
      </c>
      <c r="G540" s="57">
        <v>0</v>
      </c>
      <c r="H540" s="57">
        <v>0</v>
      </c>
      <c r="I540" s="57">
        <v>0</v>
      </c>
      <c r="Z540" s="110" t="str">
        <f t="shared" si="12"/>
        <v>3</v>
      </c>
      <c r="AA540" s="110" t="str">
        <f t="shared" si="13"/>
        <v>2</v>
      </c>
      <c r="AB540" s="110" t="str">
        <f t="shared" si="14"/>
        <v>3</v>
      </c>
    </row>
    <row r="541" spans="2:28" x14ac:dyDescent="0.2">
      <c r="B541" s="57" t="s">
        <v>2185</v>
      </c>
      <c r="C541" s="57">
        <v>1</v>
      </c>
      <c r="D541" s="57" t="s">
        <v>2769</v>
      </c>
      <c r="E541" s="102">
        <f>VLOOKUP(Z541&amp;"_"&amp;AA541,活动关卡!$A$32:$Z$55,5+5*AB541,FALSE)</f>
        <v>318</v>
      </c>
      <c r="F541" s="57">
        <v>1</v>
      </c>
      <c r="G541" s="57">
        <v>0</v>
      </c>
      <c r="H541" s="57">
        <v>0</v>
      </c>
      <c r="I541" s="57">
        <v>0</v>
      </c>
      <c r="Z541" s="110" t="str">
        <f t="shared" si="12"/>
        <v>3</v>
      </c>
      <c r="AA541" s="110" t="str">
        <f t="shared" si="13"/>
        <v>3</v>
      </c>
      <c r="AB541" s="110" t="str">
        <f t="shared" si="14"/>
        <v>1</v>
      </c>
    </row>
    <row r="542" spans="2:28" x14ac:dyDescent="0.2">
      <c r="B542" s="57" t="s">
        <v>2186</v>
      </c>
      <c r="C542" s="57">
        <v>1</v>
      </c>
      <c r="D542" s="57" t="s">
        <v>2770</v>
      </c>
      <c r="E542" s="102">
        <f>VLOOKUP(Z542&amp;"_"&amp;AA542,活动关卡!$A$32:$Z$55,5+5*AB542,FALSE)</f>
        <v>53</v>
      </c>
      <c r="F542" s="57">
        <v>1</v>
      </c>
      <c r="G542" s="57">
        <v>0</v>
      </c>
      <c r="H542" s="57">
        <v>0</v>
      </c>
      <c r="I542" s="57">
        <v>0</v>
      </c>
      <c r="Z542" s="110" t="str">
        <f t="shared" si="12"/>
        <v>3</v>
      </c>
      <c r="AA542" s="110" t="str">
        <f t="shared" si="13"/>
        <v>3</v>
      </c>
      <c r="AB542" s="110" t="str">
        <f t="shared" si="14"/>
        <v>2</v>
      </c>
    </row>
    <row r="543" spans="2:28" x14ac:dyDescent="0.2">
      <c r="B543" s="57" t="s">
        <v>2187</v>
      </c>
      <c r="C543" s="57">
        <v>1</v>
      </c>
      <c r="D543" s="57" t="s">
        <v>2771</v>
      </c>
      <c r="E543" s="102">
        <f>VLOOKUP(Z543&amp;"_"&amp;AA543,活动关卡!$A$32:$Z$55,5+5*AB543,FALSE)</f>
        <v>1696</v>
      </c>
      <c r="F543" s="57">
        <v>10</v>
      </c>
      <c r="G543" s="57">
        <v>0</v>
      </c>
      <c r="H543" s="57">
        <v>0</v>
      </c>
      <c r="I543" s="57">
        <v>0</v>
      </c>
      <c r="Z543" s="110" t="str">
        <f t="shared" si="12"/>
        <v>3</v>
      </c>
      <c r="AA543" s="110" t="str">
        <f t="shared" si="13"/>
        <v>3</v>
      </c>
      <c r="AB543" s="110" t="str">
        <f t="shared" si="14"/>
        <v>3</v>
      </c>
    </row>
    <row r="544" spans="2:28" x14ac:dyDescent="0.2">
      <c r="B544" s="57" t="s">
        <v>2188</v>
      </c>
      <c r="C544" s="57">
        <v>1</v>
      </c>
      <c r="D544" s="57" t="s">
        <v>2772</v>
      </c>
      <c r="E544" s="102">
        <f>VLOOKUP(Z544&amp;"_"&amp;AA544,活动关卡!$A$32:$Z$55,5+5*AB544,FALSE)</f>
        <v>145</v>
      </c>
      <c r="F544" s="57">
        <v>1</v>
      </c>
      <c r="G544" s="57">
        <v>0</v>
      </c>
      <c r="H544" s="57">
        <v>0</v>
      </c>
      <c r="I544" s="57">
        <v>0</v>
      </c>
      <c r="Z544" s="110" t="str">
        <f t="shared" si="12"/>
        <v>4</v>
      </c>
      <c r="AA544" s="110" t="str">
        <f t="shared" si="13"/>
        <v>1</v>
      </c>
      <c r="AB544" s="110" t="str">
        <f t="shared" si="14"/>
        <v>1</v>
      </c>
    </row>
    <row r="545" spans="2:28" x14ac:dyDescent="0.2">
      <c r="B545" s="57" t="s">
        <v>2189</v>
      </c>
      <c r="C545" s="57">
        <v>1</v>
      </c>
      <c r="D545" s="57" t="s">
        <v>2773</v>
      </c>
      <c r="E545" s="102">
        <f>VLOOKUP(Z545&amp;"_"&amp;AA545,活动关卡!$A$32:$Z$55,5+5*AB545,FALSE)</f>
        <v>2326</v>
      </c>
      <c r="F545" s="57">
        <v>10</v>
      </c>
      <c r="G545" s="57">
        <v>0</v>
      </c>
      <c r="H545" s="57">
        <v>0</v>
      </c>
      <c r="I545" s="57">
        <v>0</v>
      </c>
      <c r="Z545" s="110" t="str">
        <f t="shared" si="12"/>
        <v>4</v>
      </c>
      <c r="AA545" s="110" t="str">
        <f t="shared" si="13"/>
        <v>1</v>
      </c>
      <c r="AB545" s="110" t="str">
        <f t="shared" si="14"/>
        <v>2</v>
      </c>
    </row>
    <row r="546" spans="2:28" x14ac:dyDescent="0.2">
      <c r="B546" s="57" t="s">
        <v>2190</v>
      </c>
      <c r="C546" s="57">
        <v>1</v>
      </c>
      <c r="D546" s="57" t="s">
        <v>2774</v>
      </c>
      <c r="E546" s="102">
        <f>VLOOKUP(Z546&amp;"_"&amp;AA546,活动关卡!$A$32:$Z$55,5+5*AB546,FALSE)</f>
        <v>216</v>
      </c>
      <c r="F546" s="57">
        <v>1</v>
      </c>
      <c r="G546" s="57">
        <v>0</v>
      </c>
      <c r="H546" s="57">
        <v>0</v>
      </c>
      <c r="I546" s="57">
        <v>0</v>
      </c>
      <c r="Z546" s="110" t="str">
        <f t="shared" si="12"/>
        <v>4</v>
      </c>
      <c r="AA546" s="110" t="str">
        <f t="shared" si="13"/>
        <v>2</v>
      </c>
      <c r="AB546" s="110" t="str">
        <f t="shared" si="14"/>
        <v>1</v>
      </c>
    </row>
    <row r="547" spans="2:28" x14ac:dyDescent="0.2">
      <c r="B547" s="57" t="s">
        <v>2191</v>
      </c>
      <c r="C547" s="57">
        <v>1</v>
      </c>
      <c r="D547" s="57" t="s">
        <v>2775</v>
      </c>
      <c r="E547" s="102">
        <f>VLOOKUP(Z547&amp;"_"&amp;AA547,活动关卡!$A$32:$Z$55,5+5*AB547,FALSE)</f>
        <v>432</v>
      </c>
      <c r="F547" s="57">
        <v>1</v>
      </c>
      <c r="G547" s="57">
        <v>0</v>
      </c>
      <c r="H547" s="57">
        <v>0</v>
      </c>
      <c r="I547" s="57">
        <v>0</v>
      </c>
      <c r="Z547" s="110" t="str">
        <f t="shared" si="12"/>
        <v>4</v>
      </c>
      <c r="AA547" s="110" t="str">
        <f t="shared" si="13"/>
        <v>2</v>
      </c>
      <c r="AB547" s="110" t="str">
        <f t="shared" si="14"/>
        <v>2</v>
      </c>
    </row>
    <row r="548" spans="2:28" x14ac:dyDescent="0.2">
      <c r="B548" s="57" t="s">
        <v>2192</v>
      </c>
      <c r="C548" s="57">
        <v>1</v>
      </c>
      <c r="D548" s="57" t="s">
        <v>2776</v>
      </c>
      <c r="E548" s="102">
        <f>VLOOKUP(Z548&amp;"_"&amp;AA548,活动关卡!$A$32:$Z$55,5+5*AB548,FALSE)</f>
        <v>3456</v>
      </c>
      <c r="F548" s="57">
        <v>10</v>
      </c>
      <c r="G548" s="57">
        <v>0</v>
      </c>
      <c r="H548" s="57">
        <v>0</v>
      </c>
      <c r="I548" s="57">
        <v>0</v>
      </c>
      <c r="Z548" s="110" t="str">
        <f t="shared" si="12"/>
        <v>4</v>
      </c>
      <c r="AA548" s="110" t="str">
        <f t="shared" si="13"/>
        <v>2</v>
      </c>
      <c r="AB548" s="110" t="str">
        <f t="shared" si="14"/>
        <v>3</v>
      </c>
    </row>
    <row r="549" spans="2:28" x14ac:dyDescent="0.2">
      <c r="B549" s="57" t="s">
        <v>2193</v>
      </c>
      <c r="C549" s="57">
        <v>1</v>
      </c>
      <c r="D549" s="57" t="s">
        <v>2777</v>
      </c>
      <c r="E549" s="102">
        <f>VLOOKUP(Z549&amp;"_"&amp;AA549,活动关卡!$A$32:$Z$55,5+5*AB549,FALSE)</f>
        <v>233</v>
      </c>
      <c r="F549" s="57">
        <v>1</v>
      </c>
      <c r="G549" s="57">
        <v>0</v>
      </c>
      <c r="H549" s="57">
        <v>0</v>
      </c>
      <c r="I549" s="57">
        <v>0</v>
      </c>
      <c r="Z549" s="110" t="str">
        <f t="shared" si="12"/>
        <v>4</v>
      </c>
      <c r="AA549" s="110" t="str">
        <f t="shared" si="13"/>
        <v>3</v>
      </c>
      <c r="AB549" s="110" t="str">
        <f t="shared" si="14"/>
        <v>1</v>
      </c>
    </row>
    <row r="550" spans="2:28" x14ac:dyDescent="0.2">
      <c r="B550" s="57" t="s">
        <v>2194</v>
      </c>
      <c r="C550" s="57">
        <v>1</v>
      </c>
      <c r="D550" s="57" t="s">
        <v>2778</v>
      </c>
      <c r="E550" s="102">
        <f>VLOOKUP(Z550&amp;"_"&amp;AA550,活动关卡!$A$32:$Z$55,5+5*AB550,FALSE)</f>
        <v>117</v>
      </c>
      <c r="F550" s="57">
        <v>1</v>
      </c>
      <c r="G550" s="57">
        <v>0</v>
      </c>
      <c r="H550" s="57">
        <v>0</v>
      </c>
      <c r="I550" s="57">
        <v>0</v>
      </c>
      <c r="Z550" s="110" t="str">
        <f t="shared" si="12"/>
        <v>4</v>
      </c>
      <c r="AA550" s="110" t="str">
        <f t="shared" si="13"/>
        <v>3</v>
      </c>
      <c r="AB550" s="110" t="str">
        <f t="shared" si="14"/>
        <v>2</v>
      </c>
    </row>
    <row r="551" spans="2:28" x14ac:dyDescent="0.2">
      <c r="B551" s="57" t="s">
        <v>2195</v>
      </c>
      <c r="C551" s="57">
        <v>1</v>
      </c>
      <c r="D551" s="57" t="s">
        <v>2779</v>
      </c>
      <c r="E551" s="102">
        <f>VLOOKUP(Z551&amp;"_"&amp;AA551,活动关卡!$A$32:$Z$55,5+5*AB551,FALSE)</f>
        <v>3728</v>
      </c>
      <c r="F551" s="57">
        <v>10</v>
      </c>
      <c r="G551" s="57">
        <v>0</v>
      </c>
      <c r="H551" s="57">
        <v>0</v>
      </c>
      <c r="I551" s="57">
        <v>0</v>
      </c>
      <c r="Z551" s="110" t="str">
        <f t="shared" si="12"/>
        <v>4</v>
      </c>
      <c r="AA551" s="110" t="str">
        <f t="shared" si="13"/>
        <v>3</v>
      </c>
      <c r="AB551" s="110" t="str">
        <f t="shared" si="14"/>
        <v>3</v>
      </c>
    </row>
    <row r="552" spans="2:28" x14ac:dyDescent="0.2">
      <c r="B552" s="57" t="s">
        <v>2196</v>
      </c>
      <c r="C552" s="57">
        <v>1</v>
      </c>
      <c r="D552" s="57" t="s">
        <v>2780</v>
      </c>
      <c r="E552" s="102">
        <f>VLOOKUP(Z552&amp;"_"&amp;AA552,活动关卡!$A$32:$Z$55,5+5*AB552,FALSE)</f>
        <v>351</v>
      </c>
      <c r="F552" s="57">
        <v>1</v>
      </c>
      <c r="G552" s="57">
        <v>0</v>
      </c>
      <c r="H552" s="57">
        <v>0</v>
      </c>
      <c r="I552" s="57">
        <v>0</v>
      </c>
      <c r="Z552" s="110" t="str">
        <f t="shared" si="12"/>
        <v>4</v>
      </c>
      <c r="AA552" s="110" t="str">
        <f t="shared" si="13"/>
        <v>4</v>
      </c>
      <c r="AB552" s="110" t="str">
        <f t="shared" si="14"/>
        <v>1</v>
      </c>
    </row>
    <row r="553" spans="2:28" x14ac:dyDescent="0.2">
      <c r="B553" s="57" t="s">
        <v>2197</v>
      </c>
      <c r="C553" s="57">
        <v>1</v>
      </c>
      <c r="D553" s="57" t="s">
        <v>2781</v>
      </c>
      <c r="E553" s="102">
        <f>VLOOKUP(Z553&amp;"_"&amp;AA553,活动关卡!$A$32:$Z$55,5+5*AB553,FALSE)</f>
        <v>351</v>
      </c>
      <c r="F553" s="57">
        <v>1</v>
      </c>
      <c r="G553" s="57">
        <v>0</v>
      </c>
      <c r="H553" s="57">
        <v>0</v>
      </c>
      <c r="I553" s="57">
        <v>0</v>
      </c>
      <c r="Z553" s="110" t="str">
        <f t="shared" si="12"/>
        <v>4</v>
      </c>
      <c r="AA553" s="110" t="str">
        <f t="shared" si="13"/>
        <v>4</v>
      </c>
      <c r="AB553" s="110" t="str">
        <f t="shared" si="14"/>
        <v>2</v>
      </c>
    </row>
    <row r="554" spans="2:28" x14ac:dyDescent="0.2">
      <c r="B554" s="57" t="s">
        <v>2198</v>
      </c>
      <c r="C554" s="57">
        <v>1</v>
      </c>
      <c r="D554" s="57" t="s">
        <v>2782</v>
      </c>
      <c r="E554" s="102">
        <f>VLOOKUP(Z554&amp;"_"&amp;AA554,活动关卡!$A$32:$Z$55,5+5*AB554,FALSE)</f>
        <v>5616</v>
      </c>
      <c r="F554" s="57">
        <v>10</v>
      </c>
      <c r="G554" s="57">
        <v>0</v>
      </c>
      <c r="H554" s="57">
        <v>0</v>
      </c>
      <c r="I554" s="57">
        <v>0</v>
      </c>
      <c r="Z554" s="110" t="str">
        <f t="shared" si="12"/>
        <v>4</v>
      </c>
      <c r="AA554" s="110" t="str">
        <f t="shared" si="13"/>
        <v>4</v>
      </c>
      <c r="AB554" s="110" t="str">
        <f t="shared" si="14"/>
        <v>3</v>
      </c>
    </row>
    <row r="555" spans="2:28" x14ac:dyDescent="0.2">
      <c r="B555" s="57" t="s">
        <v>2199</v>
      </c>
      <c r="C555" s="57">
        <v>1</v>
      </c>
      <c r="D555" s="57" t="s">
        <v>2783</v>
      </c>
      <c r="E555" s="102">
        <f>VLOOKUP(Z555&amp;"_"&amp;AA555,活动关卡!$A$32:$Z$55,5+5*AB555,FALSE)</f>
        <v>360</v>
      </c>
      <c r="F555" s="57">
        <v>1</v>
      </c>
      <c r="G555" s="57">
        <v>0</v>
      </c>
      <c r="H555" s="57">
        <v>0</v>
      </c>
      <c r="I555" s="57">
        <v>0</v>
      </c>
      <c r="Z555" s="110" t="str">
        <f t="shared" si="12"/>
        <v>4</v>
      </c>
      <c r="AA555" s="110" t="str">
        <f t="shared" si="13"/>
        <v>5</v>
      </c>
      <c r="AB555" s="110" t="str">
        <f t="shared" si="14"/>
        <v>1</v>
      </c>
    </row>
    <row r="556" spans="2:28" x14ac:dyDescent="0.2">
      <c r="B556" s="57" t="s">
        <v>2200</v>
      </c>
      <c r="C556" s="57">
        <v>1</v>
      </c>
      <c r="D556" s="57" t="s">
        <v>2784</v>
      </c>
      <c r="E556" s="102">
        <f>VLOOKUP(Z556&amp;"_"&amp;AA556,活动关卡!$A$32:$Z$55,5+5*AB556,FALSE)</f>
        <v>1080</v>
      </c>
      <c r="F556" s="57">
        <v>1</v>
      </c>
      <c r="G556" s="57">
        <v>0</v>
      </c>
      <c r="H556" s="57">
        <v>0</v>
      </c>
      <c r="I556" s="57">
        <v>0</v>
      </c>
      <c r="Z556" s="110" t="str">
        <f t="shared" si="12"/>
        <v>4</v>
      </c>
      <c r="AA556" s="110" t="str">
        <f t="shared" si="13"/>
        <v>5</v>
      </c>
      <c r="AB556" s="110" t="str">
        <f t="shared" si="14"/>
        <v>2</v>
      </c>
    </row>
    <row r="557" spans="2:28" x14ac:dyDescent="0.2">
      <c r="B557" s="57" t="s">
        <v>2201</v>
      </c>
      <c r="C557" s="57">
        <v>1</v>
      </c>
      <c r="D557" s="57" t="s">
        <v>2785</v>
      </c>
      <c r="E557" s="102">
        <f>VLOOKUP(Z557&amp;"_"&amp;AA557,活动关卡!$A$32:$Z$55,5+5*AB557,FALSE)</f>
        <v>5760</v>
      </c>
      <c r="F557" s="57">
        <v>10</v>
      </c>
      <c r="G557" s="57">
        <v>0</v>
      </c>
      <c r="H557" s="57">
        <v>0</v>
      </c>
      <c r="I557" s="57">
        <v>0</v>
      </c>
      <c r="Z557" s="110" t="str">
        <f t="shared" si="12"/>
        <v>4</v>
      </c>
      <c r="AA557" s="110" t="str">
        <f t="shared" si="13"/>
        <v>5</v>
      </c>
      <c r="AB557" s="110" t="str">
        <f t="shared" si="14"/>
        <v>3</v>
      </c>
    </row>
    <row r="558" spans="2:28" x14ac:dyDescent="0.2">
      <c r="B558" s="57" t="s">
        <v>2202</v>
      </c>
      <c r="C558" s="57">
        <v>1</v>
      </c>
      <c r="D558" s="57" t="s">
        <v>2786</v>
      </c>
      <c r="E558" s="102">
        <f>VLOOKUP(Z558&amp;"_"&amp;AA558,活动关卡!$A$32:$Z$55,5+5*AB558,FALSE)</f>
        <v>456</v>
      </c>
      <c r="F558" s="57">
        <v>1</v>
      </c>
      <c r="G558" s="57">
        <v>0</v>
      </c>
      <c r="H558" s="57">
        <v>0</v>
      </c>
      <c r="I558" s="57">
        <v>0</v>
      </c>
      <c r="Z558" s="110" t="str">
        <f t="shared" si="12"/>
        <v>5</v>
      </c>
      <c r="AA558" s="110" t="str">
        <f t="shared" si="13"/>
        <v>1</v>
      </c>
      <c r="AB558" s="110" t="str">
        <f t="shared" si="14"/>
        <v>1</v>
      </c>
    </row>
    <row r="559" spans="2:28" x14ac:dyDescent="0.2">
      <c r="B559" s="57" t="s">
        <v>2203</v>
      </c>
      <c r="C559" s="57">
        <v>1</v>
      </c>
      <c r="D559" s="57" t="s">
        <v>2787</v>
      </c>
      <c r="E559" s="102">
        <f>VLOOKUP(Z559&amp;"_"&amp;AA559,活动关卡!$A$32:$Z$55,5+5*AB559,FALSE)</f>
        <v>1823</v>
      </c>
      <c r="F559" s="57">
        <v>10</v>
      </c>
      <c r="G559" s="57">
        <v>0</v>
      </c>
      <c r="H559" s="57">
        <v>0</v>
      </c>
      <c r="I559" s="57">
        <v>0</v>
      </c>
      <c r="Z559" s="110" t="str">
        <f t="shared" si="12"/>
        <v>5</v>
      </c>
      <c r="AA559" s="110" t="str">
        <f t="shared" si="13"/>
        <v>1</v>
      </c>
      <c r="AB559" s="110" t="str">
        <f t="shared" si="14"/>
        <v>2</v>
      </c>
    </row>
    <row r="560" spans="2:28" x14ac:dyDescent="0.2">
      <c r="B560" s="57" t="s">
        <v>2204</v>
      </c>
      <c r="C560" s="57">
        <v>1</v>
      </c>
      <c r="D560" s="57" t="s">
        <v>2788</v>
      </c>
      <c r="E560" s="102">
        <f>VLOOKUP(Z560&amp;"_"&amp;AA560,活动关卡!$A$32:$Z$55,5+5*AB560,FALSE)</f>
        <v>715</v>
      </c>
      <c r="F560" s="57">
        <v>1</v>
      </c>
      <c r="G560" s="57">
        <v>0</v>
      </c>
      <c r="H560" s="57">
        <v>0</v>
      </c>
      <c r="I560" s="57">
        <v>0</v>
      </c>
      <c r="Z560" s="110" t="str">
        <f t="shared" si="12"/>
        <v>5</v>
      </c>
      <c r="AA560" s="110" t="str">
        <f t="shared" si="13"/>
        <v>2</v>
      </c>
      <c r="AB560" s="110" t="str">
        <f t="shared" si="14"/>
        <v>1</v>
      </c>
    </row>
    <row r="561" spans="2:28" x14ac:dyDescent="0.2">
      <c r="B561" s="57" t="s">
        <v>2205</v>
      </c>
      <c r="C561" s="57">
        <v>1</v>
      </c>
      <c r="D561" s="57" t="s">
        <v>2789</v>
      </c>
      <c r="E561" s="102">
        <f>VLOOKUP(Z561&amp;"_"&amp;AA561,活动关卡!$A$32:$Z$55,5+5*AB561,FALSE)</f>
        <v>89</v>
      </c>
      <c r="F561" s="57">
        <v>1</v>
      </c>
      <c r="G561" s="57">
        <v>0</v>
      </c>
      <c r="H561" s="57">
        <v>0</v>
      </c>
      <c r="I561" s="57">
        <v>0</v>
      </c>
      <c r="Z561" s="110" t="str">
        <f t="shared" si="12"/>
        <v>5</v>
      </c>
      <c r="AA561" s="110" t="str">
        <f t="shared" si="13"/>
        <v>2</v>
      </c>
      <c r="AB561" s="110" t="str">
        <f t="shared" si="14"/>
        <v>2</v>
      </c>
    </row>
    <row r="562" spans="2:28" x14ac:dyDescent="0.2">
      <c r="B562" s="57" t="s">
        <v>2206</v>
      </c>
      <c r="C562" s="57">
        <v>1</v>
      </c>
      <c r="D562" s="57" t="s">
        <v>2790</v>
      </c>
      <c r="E562" s="102">
        <f>VLOOKUP(Z562&amp;"_"&amp;AA562,活动关卡!$A$32:$Z$55,5+5*AB562,FALSE)</f>
        <v>2859</v>
      </c>
      <c r="F562" s="57">
        <v>10</v>
      </c>
      <c r="G562" s="57">
        <v>0</v>
      </c>
      <c r="H562" s="57">
        <v>0</v>
      </c>
      <c r="I562" s="57">
        <v>0</v>
      </c>
      <c r="Z562" s="110" t="str">
        <f t="shared" si="12"/>
        <v>5</v>
      </c>
      <c r="AA562" s="110" t="str">
        <f t="shared" si="13"/>
        <v>2</v>
      </c>
      <c r="AB562" s="110" t="str">
        <f t="shared" si="14"/>
        <v>3</v>
      </c>
    </row>
    <row r="563" spans="2:28" x14ac:dyDescent="0.2">
      <c r="B563" s="57" t="s">
        <v>2207</v>
      </c>
      <c r="C563" s="57">
        <v>1</v>
      </c>
      <c r="D563" s="57" t="s">
        <v>2791</v>
      </c>
      <c r="E563" s="102">
        <f>VLOOKUP(Z563&amp;"_"&amp;AA563,活动关卡!$A$32:$Z$55,5+5*AB563,FALSE)</f>
        <v>724</v>
      </c>
      <c r="F563" s="57">
        <v>1</v>
      </c>
      <c r="G563" s="57">
        <v>0</v>
      </c>
      <c r="H563" s="57">
        <v>0</v>
      </c>
      <c r="I563" s="57">
        <v>0</v>
      </c>
      <c r="Z563" s="110" t="str">
        <f t="shared" si="12"/>
        <v>5</v>
      </c>
      <c r="AA563" s="110" t="str">
        <f t="shared" si="13"/>
        <v>3</v>
      </c>
      <c r="AB563" s="110" t="str">
        <f t="shared" si="14"/>
        <v>1</v>
      </c>
    </row>
    <row r="564" spans="2:28" x14ac:dyDescent="0.2">
      <c r="B564" s="57" t="s">
        <v>2208</v>
      </c>
      <c r="C564" s="57">
        <v>1</v>
      </c>
      <c r="D564" s="57" t="s">
        <v>2792</v>
      </c>
      <c r="E564" s="102">
        <f>VLOOKUP(Z564&amp;"_"&amp;AA564,活动关卡!$A$32:$Z$55,5+5*AB564,FALSE)</f>
        <v>181</v>
      </c>
      <c r="F564" s="57">
        <v>1</v>
      </c>
      <c r="G564" s="57">
        <v>0</v>
      </c>
      <c r="H564" s="57">
        <v>0</v>
      </c>
      <c r="I564" s="57">
        <v>0</v>
      </c>
      <c r="Z564" s="110" t="str">
        <f t="shared" si="12"/>
        <v>5</v>
      </c>
      <c r="AA564" s="110" t="str">
        <f t="shared" si="13"/>
        <v>3</v>
      </c>
      <c r="AB564" s="110" t="str">
        <f t="shared" si="14"/>
        <v>2</v>
      </c>
    </row>
    <row r="565" spans="2:28" x14ac:dyDescent="0.2">
      <c r="B565" s="57" t="s">
        <v>2209</v>
      </c>
      <c r="C565" s="57">
        <v>1</v>
      </c>
      <c r="D565" s="57" t="s">
        <v>2793</v>
      </c>
      <c r="E565" s="102">
        <f>VLOOKUP(Z565&amp;"_"&amp;AA565,活动关卡!$A$32:$Z$55,5+5*AB565,FALSE)</f>
        <v>181</v>
      </c>
      <c r="F565" s="57">
        <v>1</v>
      </c>
      <c r="G565" s="57">
        <v>0</v>
      </c>
      <c r="H565" s="57">
        <v>0</v>
      </c>
      <c r="I565" s="57">
        <v>0</v>
      </c>
      <c r="Z565" s="110" t="str">
        <f t="shared" si="12"/>
        <v>5</v>
      </c>
      <c r="AA565" s="110" t="str">
        <f t="shared" si="13"/>
        <v>3</v>
      </c>
      <c r="AB565" s="110" t="str">
        <f t="shared" si="14"/>
        <v>3</v>
      </c>
    </row>
    <row r="566" spans="2:28" x14ac:dyDescent="0.2">
      <c r="B566" s="57" t="s">
        <v>2210</v>
      </c>
      <c r="C566" s="57">
        <v>1</v>
      </c>
      <c r="D566" s="57" t="s">
        <v>2794</v>
      </c>
      <c r="E566" s="102">
        <f>VLOOKUP(Z566&amp;"_"&amp;AA566,活动关卡!$A$32:$Z$55,5+5*AB566,FALSE)</f>
        <v>2895</v>
      </c>
      <c r="F566" s="57">
        <v>10</v>
      </c>
      <c r="G566" s="57">
        <v>0</v>
      </c>
      <c r="H566" s="57">
        <v>0</v>
      </c>
      <c r="I566" s="57">
        <v>0</v>
      </c>
      <c r="Z566" s="110" t="str">
        <f t="shared" si="12"/>
        <v>5</v>
      </c>
      <c r="AA566" s="110" t="str">
        <f t="shared" si="13"/>
        <v>3</v>
      </c>
      <c r="AB566" s="110" t="str">
        <f t="shared" si="14"/>
        <v>4</v>
      </c>
    </row>
    <row r="567" spans="2:28" x14ac:dyDescent="0.2">
      <c r="B567" s="57" t="s">
        <v>2211</v>
      </c>
      <c r="C567" s="57">
        <v>1</v>
      </c>
      <c r="D567" s="57" t="s">
        <v>2795</v>
      </c>
      <c r="E567" s="102">
        <f>VLOOKUP(Z567&amp;"_"&amp;AA567,活动关卡!$A$32:$Z$55,5+5*AB567,FALSE)</f>
        <v>1002</v>
      </c>
      <c r="F567" s="57">
        <v>1</v>
      </c>
      <c r="G567" s="57">
        <v>0</v>
      </c>
      <c r="H567" s="57">
        <v>0</v>
      </c>
      <c r="I567" s="57">
        <v>0</v>
      </c>
      <c r="Z567" s="110" t="str">
        <f t="shared" si="12"/>
        <v>5</v>
      </c>
      <c r="AA567" s="110" t="str">
        <f t="shared" si="13"/>
        <v>4</v>
      </c>
      <c r="AB567" s="110" t="str">
        <f t="shared" si="14"/>
        <v>1</v>
      </c>
    </row>
    <row r="568" spans="2:28" x14ac:dyDescent="0.2">
      <c r="B568" s="57" t="s">
        <v>2212</v>
      </c>
      <c r="C568" s="57">
        <v>1</v>
      </c>
      <c r="D568" s="57" t="s">
        <v>2796</v>
      </c>
      <c r="E568" s="102">
        <f>VLOOKUP(Z568&amp;"_"&amp;AA568,活动关卡!$A$32:$Z$55,5+5*AB568,FALSE)</f>
        <v>250</v>
      </c>
      <c r="F568" s="57">
        <v>1</v>
      </c>
      <c r="G568" s="57">
        <v>0</v>
      </c>
      <c r="H568" s="57">
        <v>0</v>
      </c>
      <c r="I568" s="57">
        <v>0</v>
      </c>
      <c r="Z568" s="110" t="str">
        <f t="shared" si="12"/>
        <v>5</v>
      </c>
      <c r="AA568" s="110" t="str">
        <f t="shared" si="13"/>
        <v>4</v>
      </c>
      <c r="AB568" s="110" t="str">
        <f t="shared" si="14"/>
        <v>2</v>
      </c>
    </row>
    <row r="569" spans="2:28" x14ac:dyDescent="0.2">
      <c r="B569" s="57" t="s">
        <v>2213</v>
      </c>
      <c r="C569" s="57">
        <v>1</v>
      </c>
      <c r="D569" s="57" t="s">
        <v>2797</v>
      </c>
      <c r="E569" s="102">
        <f>VLOOKUP(Z569&amp;"_"&amp;AA569,活动关卡!$A$32:$Z$55,5+5*AB569,FALSE)</f>
        <v>4007</v>
      </c>
      <c r="F569" s="57">
        <v>10</v>
      </c>
      <c r="G569" s="57">
        <v>0</v>
      </c>
      <c r="H569" s="57">
        <v>0</v>
      </c>
      <c r="I569" s="57">
        <v>0</v>
      </c>
      <c r="Z569" s="110" t="str">
        <f t="shared" si="12"/>
        <v>5</v>
      </c>
      <c r="AA569" s="110" t="str">
        <f t="shared" si="13"/>
        <v>4</v>
      </c>
      <c r="AB569" s="110" t="str">
        <f t="shared" si="14"/>
        <v>3</v>
      </c>
    </row>
    <row r="570" spans="2:28" x14ac:dyDescent="0.2">
      <c r="B570" s="57" t="s">
        <v>2214</v>
      </c>
      <c r="C570" s="57">
        <v>1</v>
      </c>
      <c r="D570" s="57" t="s">
        <v>2798</v>
      </c>
      <c r="E570" s="102">
        <f>VLOOKUP(Z570&amp;"_"&amp;AA570,活动关卡!$A$32:$Z$55,5+5*AB570,FALSE)</f>
        <v>1203</v>
      </c>
      <c r="F570" s="57">
        <v>1</v>
      </c>
      <c r="G570" s="57">
        <v>0</v>
      </c>
      <c r="H570" s="57">
        <v>0</v>
      </c>
      <c r="I570" s="57">
        <v>0</v>
      </c>
      <c r="Z570" s="110" t="str">
        <f t="shared" si="12"/>
        <v>5</v>
      </c>
      <c r="AA570" s="110" t="str">
        <f t="shared" si="13"/>
        <v>5</v>
      </c>
      <c r="AB570" s="110" t="str">
        <f t="shared" si="14"/>
        <v>1</v>
      </c>
    </row>
    <row r="571" spans="2:28" x14ac:dyDescent="0.2">
      <c r="B571" s="57" t="s">
        <v>2215</v>
      </c>
      <c r="C571" s="57">
        <v>1</v>
      </c>
      <c r="D571" s="57" t="s">
        <v>2799</v>
      </c>
      <c r="E571" s="102">
        <f>VLOOKUP(Z571&amp;"_"&amp;AA571,活动关卡!$A$32:$Z$55,5+5*AB571,FALSE)</f>
        <v>301</v>
      </c>
      <c r="F571" s="57">
        <v>1</v>
      </c>
      <c r="G571" s="57">
        <v>0</v>
      </c>
      <c r="H571" s="57">
        <v>0</v>
      </c>
      <c r="I571" s="57">
        <v>0</v>
      </c>
      <c r="Z571" s="110" t="str">
        <f t="shared" si="12"/>
        <v>5</v>
      </c>
      <c r="AA571" s="110" t="str">
        <f t="shared" si="13"/>
        <v>5</v>
      </c>
      <c r="AB571" s="110" t="str">
        <f t="shared" si="14"/>
        <v>2</v>
      </c>
    </row>
    <row r="572" spans="2:28" x14ac:dyDescent="0.2">
      <c r="B572" s="57" t="s">
        <v>2216</v>
      </c>
      <c r="C572" s="57">
        <v>1</v>
      </c>
      <c r="D572" s="57" t="s">
        <v>2800</v>
      </c>
      <c r="E572" s="102">
        <f>VLOOKUP(Z572&amp;"_"&amp;AA572,活动关卡!$A$32:$Z$55,5+5*AB572,FALSE)</f>
        <v>902</v>
      </c>
      <c r="F572" s="57">
        <v>1</v>
      </c>
      <c r="G572" s="57">
        <v>0</v>
      </c>
      <c r="H572" s="57">
        <v>0</v>
      </c>
      <c r="I572" s="57">
        <v>0</v>
      </c>
      <c r="Z572" s="110" t="str">
        <f t="shared" si="12"/>
        <v>5</v>
      </c>
      <c r="AA572" s="110" t="str">
        <f t="shared" si="13"/>
        <v>5</v>
      </c>
      <c r="AB572" s="110" t="str">
        <f t="shared" si="14"/>
        <v>3</v>
      </c>
    </row>
    <row r="573" spans="2:28" x14ac:dyDescent="0.2">
      <c r="B573" s="57" t="s">
        <v>2217</v>
      </c>
      <c r="C573" s="57">
        <v>1</v>
      </c>
      <c r="D573" s="57" t="s">
        <v>2801</v>
      </c>
      <c r="E573" s="102">
        <f>VLOOKUP(Z573&amp;"_"&amp;AA573,活动关卡!$A$32:$Z$55,5+5*AB573,FALSE)</f>
        <v>4812</v>
      </c>
      <c r="F573" s="57">
        <v>10</v>
      </c>
      <c r="G573" s="57">
        <v>0</v>
      </c>
      <c r="H573" s="57">
        <v>0</v>
      </c>
      <c r="I573" s="57">
        <v>0</v>
      </c>
      <c r="Z573" s="110" t="str">
        <f t="shared" si="12"/>
        <v>5</v>
      </c>
      <c r="AA573" s="110" t="str">
        <f t="shared" si="13"/>
        <v>5</v>
      </c>
      <c r="AB573" s="110" t="str">
        <f t="shared" si="14"/>
        <v>4</v>
      </c>
    </row>
    <row r="574" spans="2:28" x14ac:dyDescent="0.2">
      <c r="B574" s="57" t="s">
        <v>2218</v>
      </c>
      <c r="C574" s="57">
        <v>1</v>
      </c>
      <c r="D574" s="57" t="s">
        <v>2802</v>
      </c>
      <c r="E574" s="102">
        <f>VLOOKUP(Z574&amp;"_"&amp;AA574,活动关卡!$A$32:$Z$55,5+5*AB574,FALSE)</f>
        <v>1157</v>
      </c>
      <c r="F574" s="57">
        <v>1</v>
      </c>
      <c r="G574" s="57">
        <v>0</v>
      </c>
      <c r="H574" s="57">
        <v>0</v>
      </c>
      <c r="I574" s="57">
        <v>0</v>
      </c>
      <c r="Z574" s="110" t="str">
        <f t="shared" si="12"/>
        <v>5</v>
      </c>
      <c r="AA574" s="110" t="str">
        <f t="shared" si="13"/>
        <v>6</v>
      </c>
      <c r="AB574" s="110" t="str">
        <f t="shared" si="14"/>
        <v>1</v>
      </c>
    </row>
    <row r="575" spans="2:28" x14ac:dyDescent="0.2">
      <c r="B575" s="57" t="s">
        <v>2219</v>
      </c>
      <c r="C575" s="57">
        <v>1</v>
      </c>
      <c r="D575" s="57" t="s">
        <v>2803</v>
      </c>
      <c r="E575" s="102">
        <f>VLOOKUP(Z575&amp;"_"&amp;AA575,活动关卡!$A$32:$Z$55,5+5*AB575,FALSE)</f>
        <v>1736</v>
      </c>
      <c r="F575" s="57">
        <v>1</v>
      </c>
      <c r="G575" s="57">
        <v>0</v>
      </c>
      <c r="H575" s="57">
        <v>0</v>
      </c>
      <c r="I575" s="57">
        <v>0</v>
      </c>
      <c r="Z575" s="110" t="str">
        <f t="shared" si="12"/>
        <v>5</v>
      </c>
      <c r="AA575" s="110" t="str">
        <f t="shared" si="13"/>
        <v>6</v>
      </c>
      <c r="AB575" s="110" t="str">
        <f t="shared" si="14"/>
        <v>2</v>
      </c>
    </row>
    <row r="576" spans="2:28" x14ac:dyDescent="0.2">
      <c r="B576" s="57" t="s">
        <v>2220</v>
      </c>
      <c r="C576" s="57">
        <v>1</v>
      </c>
      <c r="D576" s="57" t="s">
        <v>2804</v>
      </c>
      <c r="E576" s="102">
        <f>VLOOKUP(Z576&amp;"_"&amp;AA576,活动关卡!$A$32:$Z$55,5+5*AB576,FALSE)</f>
        <v>579</v>
      </c>
      <c r="F576" s="57">
        <v>1</v>
      </c>
      <c r="G576" s="57">
        <v>0</v>
      </c>
      <c r="H576" s="57">
        <v>0</v>
      </c>
      <c r="I576" s="57">
        <v>0</v>
      </c>
      <c r="Z576" s="110" t="str">
        <f t="shared" si="12"/>
        <v>5</v>
      </c>
      <c r="AA576" s="110" t="str">
        <f t="shared" si="13"/>
        <v>6</v>
      </c>
      <c r="AB576" s="110" t="str">
        <f t="shared" si="14"/>
        <v>3</v>
      </c>
    </row>
    <row r="577" spans="2:28" x14ac:dyDescent="0.2">
      <c r="B577" s="57" t="s">
        <v>2221</v>
      </c>
      <c r="C577" s="57">
        <v>1</v>
      </c>
      <c r="D577" s="57" t="s">
        <v>2805</v>
      </c>
      <c r="E577" s="102">
        <f>VLOOKUP(Z577&amp;"_"&amp;AA577,活动关卡!$A$32:$Z$55,5+5*AB577,FALSE)</f>
        <v>4629</v>
      </c>
      <c r="F577" s="57">
        <v>10</v>
      </c>
      <c r="G577" s="57">
        <v>0</v>
      </c>
      <c r="H577" s="57">
        <v>0</v>
      </c>
      <c r="I577" s="57">
        <v>0</v>
      </c>
      <c r="Z577" s="110" t="str">
        <f t="shared" si="12"/>
        <v>5</v>
      </c>
      <c r="AA577" s="110" t="str">
        <f t="shared" si="13"/>
        <v>6</v>
      </c>
      <c r="AB577" s="110" t="str">
        <f t="shared" si="14"/>
        <v>4</v>
      </c>
    </row>
    <row r="578" spans="2:28" x14ac:dyDescent="0.2">
      <c r="B578" s="57" t="s">
        <v>2222</v>
      </c>
      <c r="C578" s="57">
        <v>1</v>
      </c>
      <c r="D578" s="57" t="s">
        <v>2806</v>
      </c>
      <c r="E578" s="102">
        <f>VLOOKUP(Z578&amp;"_"&amp;AA578,活动关卡!$A$32:$Z$55,5+5*AB578,FALSE)</f>
        <v>1293</v>
      </c>
      <c r="F578" s="57">
        <v>1</v>
      </c>
      <c r="G578" s="57">
        <v>0</v>
      </c>
      <c r="H578" s="57">
        <v>0</v>
      </c>
      <c r="I578" s="57">
        <v>0</v>
      </c>
      <c r="Z578" s="110" t="str">
        <f t="shared" si="12"/>
        <v>5</v>
      </c>
      <c r="AA578" s="110" t="str">
        <f t="shared" si="13"/>
        <v>7</v>
      </c>
      <c r="AB578" s="110" t="str">
        <f t="shared" si="14"/>
        <v>1</v>
      </c>
    </row>
    <row r="579" spans="2:28" x14ac:dyDescent="0.2">
      <c r="B579" s="57" t="s">
        <v>2223</v>
      </c>
      <c r="C579" s="57">
        <v>1</v>
      </c>
      <c r="D579" s="57" t="s">
        <v>2807</v>
      </c>
      <c r="E579" s="102">
        <f>VLOOKUP(Z579&amp;"_"&amp;AA579,活动关卡!$A$32:$Z$55,5+5*AB579,FALSE)</f>
        <v>646</v>
      </c>
      <c r="F579" s="57">
        <v>1</v>
      </c>
      <c r="G579" s="57">
        <v>0</v>
      </c>
      <c r="H579" s="57">
        <v>0</v>
      </c>
      <c r="I579" s="57">
        <v>0</v>
      </c>
      <c r="Z579" s="110" t="str">
        <f t="shared" si="12"/>
        <v>5</v>
      </c>
      <c r="AA579" s="110" t="str">
        <f t="shared" si="13"/>
        <v>7</v>
      </c>
      <c r="AB579" s="110" t="str">
        <f t="shared" si="14"/>
        <v>2</v>
      </c>
    </row>
    <row r="580" spans="2:28" x14ac:dyDescent="0.2">
      <c r="B580" s="57" t="s">
        <v>2224</v>
      </c>
      <c r="C580" s="57">
        <v>1</v>
      </c>
      <c r="D580" s="57" t="s">
        <v>2808</v>
      </c>
      <c r="E580" s="102">
        <f>VLOOKUP(Z580&amp;"_"&amp;AA580,活动关卡!$A$32:$Z$55,5+5*AB580,FALSE)</f>
        <v>323</v>
      </c>
      <c r="F580" s="57">
        <v>1</v>
      </c>
      <c r="G580" s="57">
        <v>0</v>
      </c>
      <c r="H580" s="57">
        <v>0</v>
      </c>
      <c r="I580" s="57">
        <v>0</v>
      </c>
      <c r="Z580" s="110" t="str">
        <f t="shared" si="12"/>
        <v>5</v>
      </c>
      <c r="AA580" s="110" t="str">
        <f t="shared" si="13"/>
        <v>7</v>
      </c>
      <c r="AB580" s="110" t="str">
        <f t="shared" si="14"/>
        <v>3</v>
      </c>
    </row>
    <row r="581" spans="2:28" x14ac:dyDescent="0.2">
      <c r="B581" s="57" t="s">
        <v>2225</v>
      </c>
      <c r="C581" s="57">
        <v>1</v>
      </c>
      <c r="D581" s="57" t="s">
        <v>2809</v>
      </c>
      <c r="E581" s="102">
        <f>VLOOKUP(Z581&amp;"_"&amp;AA581,活动关卡!$A$32:$Z$55,5+5*AB581,FALSE)</f>
        <v>5172</v>
      </c>
      <c r="F581" s="57">
        <v>10</v>
      </c>
      <c r="G581" s="57">
        <v>0</v>
      </c>
      <c r="H581" s="57">
        <v>0</v>
      </c>
      <c r="I581" s="57">
        <v>0</v>
      </c>
      <c r="Z581" s="110" t="str">
        <f t="shared" si="12"/>
        <v>5</v>
      </c>
      <c r="AA581" s="110" t="str">
        <f t="shared" si="13"/>
        <v>7</v>
      </c>
      <c r="AB581" s="110" t="str">
        <f t="shared" si="14"/>
        <v>4</v>
      </c>
    </row>
    <row r="582" spans="2:28" x14ac:dyDescent="0.2">
      <c r="B582" s="57" t="s">
        <v>2226</v>
      </c>
      <c r="C582" s="57">
        <v>1</v>
      </c>
      <c r="D582" s="57" t="s">
        <v>2810</v>
      </c>
      <c r="E582" s="102">
        <f>VLOOKUP(Z582&amp;"_"&amp;AA582,活动关卡!$A$32:$Z$55,5+5*AB582,FALSE)</f>
        <v>18383</v>
      </c>
      <c r="F582" s="57">
        <v>1</v>
      </c>
      <c r="G582" s="57">
        <v>0</v>
      </c>
      <c r="H582" s="57">
        <v>0</v>
      </c>
      <c r="I582" s="57">
        <v>0</v>
      </c>
      <c r="Z582" s="110" t="str">
        <f t="shared" si="12"/>
        <v>5</v>
      </c>
      <c r="AA582" s="110" t="str">
        <f t="shared" si="13"/>
        <v>8</v>
      </c>
      <c r="AB582" s="110" t="str">
        <f t="shared" si="14"/>
        <v>1</v>
      </c>
    </row>
    <row r="583" spans="2:28" x14ac:dyDescent="0.2">
      <c r="B583" s="57" t="s">
        <v>2227</v>
      </c>
      <c r="C583" s="57">
        <v>1</v>
      </c>
      <c r="D583" s="57" t="s">
        <v>2811</v>
      </c>
      <c r="E583" s="102">
        <f>VLOOKUP(Z583&amp;"_"&amp;AA583,活动关卡!$A$32:$Z$55,5+5*AB583,FALSE)</f>
        <v>919</v>
      </c>
      <c r="F583" s="57">
        <v>1</v>
      </c>
      <c r="G583" s="57">
        <v>0</v>
      </c>
      <c r="H583" s="57">
        <v>0</v>
      </c>
      <c r="I583" s="57">
        <v>0</v>
      </c>
      <c r="Z583" s="110" t="str">
        <f t="shared" si="12"/>
        <v>5</v>
      </c>
      <c r="AA583" s="110" t="str">
        <f t="shared" si="13"/>
        <v>8</v>
      </c>
      <c r="AB583" s="110" t="str">
        <f t="shared" si="14"/>
        <v>2</v>
      </c>
    </row>
    <row r="584" spans="2:28" x14ac:dyDescent="0.2">
      <c r="B584" s="57" t="s">
        <v>2228</v>
      </c>
      <c r="C584" s="57">
        <v>1</v>
      </c>
      <c r="D584" s="57" t="s">
        <v>2812</v>
      </c>
      <c r="E584" s="102">
        <f>VLOOKUP(Z584&amp;"_"&amp;AA584,活动关卡!$A$32:$Z$55,5+5*AB584,FALSE)</f>
        <v>2757</v>
      </c>
      <c r="F584" s="57">
        <v>1</v>
      </c>
      <c r="G584" s="57">
        <v>0</v>
      </c>
      <c r="H584" s="57">
        <v>0</v>
      </c>
      <c r="I584" s="57">
        <v>0</v>
      </c>
      <c r="Z584" s="110" t="str">
        <f t="shared" si="12"/>
        <v>5</v>
      </c>
      <c r="AA584" s="110" t="str">
        <f t="shared" si="13"/>
        <v>8</v>
      </c>
      <c r="AB584" s="110" t="str">
        <f t="shared" si="14"/>
        <v>3</v>
      </c>
    </row>
    <row r="585" spans="2:28" x14ac:dyDescent="0.2">
      <c r="B585" s="57" t="s">
        <v>2229</v>
      </c>
      <c r="C585" s="57">
        <v>1</v>
      </c>
      <c r="D585" s="57" t="s">
        <v>2813</v>
      </c>
      <c r="E585" s="102">
        <f>VLOOKUP(Z585&amp;"_"&amp;AA585,活动关卡!$A$32:$Z$55,5+5*AB585,FALSE)</f>
        <v>7353</v>
      </c>
      <c r="F585" s="57">
        <v>10</v>
      </c>
      <c r="G585" s="57">
        <v>0</v>
      </c>
      <c r="H585" s="57">
        <v>0</v>
      </c>
      <c r="I585" s="57">
        <v>0</v>
      </c>
      <c r="Z585" s="110" t="str">
        <f t="shared" si="12"/>
        <v>5</v>
      </c>
      <c r="AA585" s="110" t="str">
        <f t="shared" si="13"/>
        <v>8</v>
      </c>
      <c r="AB585" s="110" t="str">
        <f t="shared" si="14"/>
        <v>4</v>
      </c>
    </row>
    <row r="586" spans="2:28" x14ac:dyDescent="0.2">
      <c r="Z586" s="110" t="str">
        <f t="shared" si="12"/>
        <v/>
      </c>
      <c r="AA586" s="110" t="str">
        <f t="shared" si="13"/>
        <v/>
      </c>
      <c r="AB586" s="110" t="str">
        <f t="shared" si="14"/>
        <v/>
      </c>
    </row>
    <row r="587" spans="2:28" x14ac:dyDescent="0.2">
      <c r="B587" s="57" t="s">
        <v>2230</v>
      </c>
      <c r="C587" s="57">
        <v>1</v>
      </c>
      <c r="D587" s="57" t="s">
        <v>2814</v>
      </c>
      <c r="E587" s="102">
        <f>VLOOKUP(Z587&amp;"_"&amp;AA587,活动关卡!$A$60:$Z$83,5+5*AB587,FALSE)</f>
        <v>47</v>
      </c>
      <c r="F587" s="57">
        <v>1</v>
      </c>
      <c r="G587" s="57">
        <v>0</v>
      </c>
      <c r="H587" s="57">
        <v>0</v>
      </c>
      <c r="I587" s="57">
        <v>0</v>
      </c>
      <c r="Z587" s="110" t="str">
        <f t="shared" si="12"/>
        <v>1</v>
      </c>
      <c r="AA587" s="110" t="str">
        <f t="shared" si="13"/>
        <v>1</v>
      </c>
      <c r="AB587" s="110" t="str">
        <f t="shared" si="14"/>
        <v>1</v>
      </c>
    </row>
    <row r="588" spans="2:28" x14ac:dyDescent="0.2">
      <c r="B588" s="57" t="s">
        <v>2231</v>
      </c>
      <c r="C588" s="57">
        <v>1</v>
      </c>
      <c r="D588" s="57" t="s">
        <v>2815</v>
      </c>
      <c r="E588" s="102">
        <f>VLOOKUP(Z588&amp;"_"&amp;AA588,活动关卡!$A$60:$Z$83,5+5*AB588,FALSE)</f>
        <v>947</v>
      </c>
      <c r="F588" s="57">
        <v>1</v>
      </c>
      <c r="G588" s="57">
        <v>0</v>
      </c>
      <c r="H588" s="57">
        <v>0</v>
      </c>
      <c r="I588" s="57">
        <v>0</v>
      </c>
      <c r="Z588" s="110" t="str">
        <f t="shared" si="12"/>
        <v>1</v>
      </c>
      <c r="AA588" s="110" t="str">
        <f t="shared" si="13"/>
        <v>1</v>
      </c>
      <c r="AB588" s="110" t="str">
        <f t="shared" si="14"/>
        <v>2</v>
      </c>
    </row>
    <row r="589" spans="2:28" x14ac:dyDescent="0.2">
      <c r="B589" s="57" t="s">
        <v>2232</v>
      </c>
      <c r="C589" s="57">
        <v>1</v>
      </c>
      <c r="D589" s="57" t="s">
        <v>2816</v>
      </c>
      <c r="E589" s="102">
        <f>VLOOKUP(Z589&amp;"_"&amp;AA589,活动关卡!$A$60:$Z$83,5+5*AB589,FALSE)</f>
        <v>79</v>
      </c>
      <c r="F589" s="57">
        <v>1</v>
      </c>
      <c r="G589" s="57">
        <v>0</v>
      </c>
      <c r="H589" s="57">
        <v>0</v>
      </c>
      <c r="I589" s="57">
        <v>0</v>
      </c>
      <c r="Z589" s="110" t="str">
        <f t="shared" si="12"/>
        <v>1</v>
      </c>
      <c r="AA589" s="110" t="str">
        <f t="shared" si="13"/>
        <v>2</v>
      </c>
      <c r="AB589" s="110" t="str">
        <f t="shared" si="14"/>
        <v>1</v>
      </c>
    </row>
    <row r="590" spans="2:28" x14ac:dyDescent="0.2">
      <c r="B590" s="57" t="s">
        <v>2233</v>
      </c>
      <c r="C590" s="57">
        <v>1</v>
      </c>
      <c r="D590" s="57" t="s">
        <v>2817</v>
      </c>
      <c r="E590" s="102">
        <f>VLOOKUP(Z590&amp;"_"&amp;AA590,活动关卡!$A$60:$Z$83,5+5*AB590,FALSE)</f>
        <v>1574</v>
      </c>
      <c r="F590" s="57">
        <v>1</v>
      </c>
      <c r="G590" s="57">
        <v>0</v>
      </c>
      <c r="H590" s="57">
        <v>0</v>
      </c>
      <c r="I590" s="57">
        <v>0</v>
      </c>
      <c r="Z590" s="110" t="str">
        <f t="shared" si="12"/>
        <v>1</v>
      </c>
      <c r="AA590" s="110" t="str">
        <f t="shared" si="13"/>
        <v>2</v>
      </c>
      <c r="AB590" s="110" t="str">
        <f t="shared" si="14"/>
        <v>2</v>
      </c>
    </row>
    <row r="591" spans="2:28" x14ac:dyDescent="0.2">
      <c r="B591" s="57" t="s">
        <v>2234</v>
      </c>
      <c r="C591" s="57">
        <v>1</v>
      </c>
      <c r="D591" s="57" t="s">
        <v>2818</v>
      </c>
      <c r="E591" s="102">
        <f>VLOOKUP(Z591&amp;"_"&amp;AA591,活动关卡!$A$60:$Z$83,5+5*AB591,FALSE)</f>
        <v>90</v>
      </c>
      <c r="F591" s="57">
        <v>1</v>
      </c>
      <c r="G591" s="57">
        <v>0</v>
      </c>
      <c r="H591" s="57">
        <v>0</v>
      </c>
      <c r="I591" s="57">
        <v>0</v>
      </c>
      <c r="Z591" s="110" t="str">
        <f t="shared" ref="Z591:Z654" si="15">LEFT(RIGHT(D591,5),1)</f>
        <v>1</v>
      </c>
      <c r="AA591" s="110" t="str">
        <f t="shared" ref="AA591:AA654" si="16">LEFT(RIGHT(D591,3),1)</f>
        <v>3</v>
      </c>
      <c r="AB591" s="110" t="str">
        <f t="shared" ref="AB591:AB654" si="17">RIGHT(D591,1)</f>
        <v>1</v>
      </c>
    </row>
    <row r="592" spans="2:28" x14ac:dyDescent="0.2">
      <c r="B592" s="57" t="s">
        <v>2235</v>
      </c>
      <c r="C592" s="57">
        <v>1</v>
      </c>
      <c r="D592" s="57" t="s">
        <v>2819</v>
      </c>
      <c r="E592" s="102">
        <f>VLOOKUP(Z592&amp;"_"&amp;AA592,活动关卡!$A$60:$Z$83,5+5*AB592,FALSE)</f>
        <v>360</v>
      </c>
      <c r="F592" s="57">
        <v>1</v>
      </c>
      <c r="G592" s="57">
        <v>0</v>
      </c>
      <c r="H592" s="57">
        <v>0</v>
      </c>
      <c r="I592" s="57">
        <v>0</v>
      </c>
      <c r="Z592" s="110" t="str">
        <f t="shared" si="15"/>
        <v>1</v>
      </c>
      <c r="AA592" s="110" t="str">
        <f t="shared" si="16"/>
        <v>3</v>
      </c>
      <c r="AB592" s="110" t="str">
        <f t="shared" si="17"/>
        <v>2</v>
      </c>
    </row>
    <row r="593" spans="2:28" x14ac:dyDescent="0.2">
      <c r="B593" s="57" t="s">
        <v>2236</v>
      </c>
      <c r="C593" s="57">
        <v>1</v>
      </c>
      <c r="D593" s="57" t="s">
        <v>2820</v>
      </c>
      <c r="E593" s="102">
        <f>VLOOKUP(Z593&amp;"_"&amp;AA593,活动关卡!$A$60:$Z$83,5+5*AB593,FALSE)</f>
        <v>1801</v>
      </c>
      <c r="F593" s="57">
        <v>1</v>
      </c>
      <c r="G593" s="57">
        <v>0</v>
      </c>
      <c r="H593" s="57">
        <v>0</v>
      </c>
      <c r="I593" s="57">
        <v>0</v>
      </c>
      <c r="Z593" s="110" t="str">
        <f t="shared" si="15"/>
        <v>1</v>
      </c>
      <c r="AA593" s="110" t="str">
        <f t="shared" si="16"/>
        <v>3</v>
      </c>
      <c r="AB593" s="110" t="str">
        <f t="shared" si="17"/>
        <v>3</v>
      </c>
    </row>
    <row r="594" spans="2:28" x14ac:dyDescent="0.2">
      <c r="B594" s="57" t="s">
        <v>2237</v>
      </c>
      <c r="C594" s="57">
        <v>1</v>
      </c>
      <c r="D594" s="57" t="s">
        <v>2821</v>
      </c>
      <c r="E594" s="102">
        <f>VLOOKUP(Z594&amp;"_"&amp;AA594,活动关卡!$A$60:$Z$83,5+5*AB594,FALSE)</f>
        <v>90</v>
      </c>
      <c r="F594" s="57">
        <v>1</v>
      </c>
      <c r="G594" s="57">
        <v>0</v>
      </c>
      <c r="H594" s="57">
        <v>0</v>
      </c>
      <c r="I594" s="57">
        <v>0</v>
      </c>
      <c r="Z594" s="110" t="str">
        <f t="shared" si="15"/>
        <v>2</v>
      </c>
      <c r="AA594" s="110" t="str">
        <f t="shared" si="16"/>
        <v>1</v>
      </c>
      <c r="AB594" s="110" t="str">
        <f t="shared" si="17"/>
        <v>1</v>
      </c>
    </row>
    <row r="595" spans="2:28" x14ac:dyDescent="0.2">
      <c r="B595" s="57" t="s">
        <v>2238</v>
      </c>
      <c r="C595" s="57">
        <v>1</v>
      </c>
      <c r="D595" s="57" t="s">
        <v>2822</v>
      </c>
      <c r="E595" s="102">
        <f>VLOOKUP(Z595&amp;"_"&amp;AA595,活动关卡!$A$60:$Z$83,5+5*AB595,FALSE)</f>
        <v>898</v>
      </c>
      <c r="F595" s="57">
        <v>1</v>
      </c>
      <c r="G595" s="57">
        <v>0</v>
      </c>
      <c r="H595" s="57">
        <v>0</v>
      </c>
      <c r="I595" s="57">
        <v>0</v>
      </c>
      <c r="Z595" s="110" t="str">
        <f t="shared" si="15"/>
        <v>2</v>
      </c>
      <c r="AA595" s="110" t="str">
        <f t="shared" si="16"/>
        <v>1</v>
      </c>
      <c r="AB595" s="110" t="str">
        <f t="shared" si="17"/>
        <v>2</v>
      </c>
    </row>
    <row r="596" spans="2:28" x14ac:dyDescent="0.2">
      <c r="B596" s="57" t="s">
        <v>2239</v>
      </c>
      <c r="C596" s="57">
        <v>1</v>
      </c>
      <c r="D596" s="57" t="s">
        <v>2823</v>
      </c>
      <c r="E596" s="102">
        <f>VLOOKUP(Z596&amp;"_"&amp;AA596,活动关卡!$A$60:$Z$83,5+5*AB596,FALSE)</f>
        <v>144</v>
      </c>
      <c r="F596" s="57">
        <v>1</v>
      </c>
      <c r="G596" s="57">
        <v>0</v>
      </c>
      <c r="H596" s="57">
        <v>0</v>
      </c>
      <c r="I596" s="57">
        <v>0</v>
      </c>
      <c r="Z596" s="110" t="str">
        <f t="shared" si="15"/>
        <v>2</v>
      </c>
      <c r="AA596" s="110" t="str">
        <f t="shared" si="16"/>
        <v>2</v>
      </c>
      <c r="AB596" s="110" t="str">
        <f t="shared" si="17"/>
        <v>1</v>
      </c>
    </row>
    <row r="597" spans="2:28" x14ac:dyDescent="0.2">
      <c r="B597" s="57" t="s">
        <v>2240</v>
      </c>
      <c r="C597" s="57">
        <v>1</v>
      </c>
      <c r="D597" s="57" t="s">
        <v>2824</v>
      </c>
      <c r="E597" s="102">
        <f>VLOOKUP(Z597&amp;"_"&amp;AA597,活动关卡!$A$60:$Z$83,5+5*AB597,FALSE)</f>
        <v>288</v>
      </c>
      <c r="F597" s="57">
        <v>1</v>
      </c>
      <c r="G597" s="57">
        <v>0</v>
      </c>
      <c r="H597" s="57">
        <v>0</v>
      </c>
      <c r="I597" s="57">
        <v>0</v>
      </c>
      <c r="Z597" s="110" t="str">
        <f t="shared" si="15"/>
        <v>2</v>
      </c>
      <c r="AA597" s="110" t="str">
        <f t="shared" si="16"/>
        <v>2</v>
      </c>
      <c r="AB597" s="110" t="str">
        <f t="shared" si="17"/>
        <v>2</v>
      </c>
    </row>
    <row r="598" spans="2:28" x14ac:dyDescent="0.2">
      <c r="B598" s="57" t="s">
        <v>2241</v>
      </c>
      <c r="C598" s="57">
        <v>1</v>
      </c>
      <c r="D598" s="57" t="s">
        <v>2825</v>
      </c>
      <c r="E598" s="102">
        <f>VLOOKUP(Z598&amp;"_"&amp;AA598,活动关卡!$A$60:$Z$83,5+5*AB598,FALSE)</f>
        <v>1440</v>
      </c>
      <c r="F598" s="57">
        <v>1</v>
      </c>
      <c r="G598" s="57">
        <v>0</v>
      </c>
      <c r="H598" s="57">
        <v>0</v>
      </c>
      <c r="I598" s="57">
        <v>0</v>
      </c>
      <c r="Z598" s="110" t="str">
        <f t="shared" si="15"/>
        <v>2</v>
      </c>
      <c r="AA598" s="110" t="str">
        <f t="shared" si="16"/>
        <v>2</v>
      </c>
      <c r="AB598" s="110" t="str">
        <f t="shared" si="17"/>
        <v>3</v>
      </c>
    </row>
    <row r="599" spans="2:28" x14ac:dyDescent="0.2">
      <c r="B599" s="57" t="s">
        <v>2242</v>
      </c>
      <c r="C599" s="57">
        <v>1</v>
      </c>
      <c r="D599" s="57" t="s">
        <v>2826</v>
      </c>
      <c r="E599" s="102">
        <f>VLOOKUP(Z599&amp;"_"&amp;AA599,活动关卡!$A$60:$Z$83,5+5*AB599,FALSE)</f>
        <v>154</v>
      </c>
      <c r="F599" s="57">
        <v>1</v>
      </c>
      <c r="G599" s="57">
        <v>0</v>
      </c>
      <c r="H599" s="57">
        <v>0</v>
      </c>
      <c r="I599" s="57">
        <v>0</v>
      </c>
      <c r="Z599" s="110" t="str">
        <f t="shared" si="15"/>
        <v>2</v>
      </c>
      <c r="AA599" s="110" t="str">
        <f t="shared" si="16"/>
        <v>3</v>
      </c>
      <c r="AB599" s="110" t="str">
        <f t="shared" si="17"/>
        <v>1</v>
      </c>
    </row>
    <row r="600" spans="2:28" x14ac:dyDescent="0.2">
      <c r="B600" s="57" t="s">
        <v>2243</v>
      </c>
      <c r="C600" s="57">
        <v>1</v>
      </c>
      <c r="D600" s="57" t="s">
        <v>2827</v>
      </c>
      <c r="E600" s="102">
        <f>VLOOKUP(Z600&amp;"_"&amp;AA600,活动关卡!$A$60:$Z$83,5+5*AB600,FALSE)</f>
        <v>77</v>
      </c>
      <c r="F600" s="57">
        <v>1</v>
      </c>
      <c r="G600" s="57">
        <v>0</v>
      </c>
      <c r="H600" s="57">
        <v>0</v>
      </c>
      <c r="I600" s="57">
        <v>0</v>
      </c>
      <c r="Z600" s="110" t="str">
        <f t="shared" si="15"/>
        <v>2</v>
      </c>
      <c r="AA600" s="110" t="str">
        <f t="shared" si="16"/>
        <v>3</v>
      </c>
      <c r="AB600" s="110" t="str">
        <f t="shared" si="17"/>
        <v>2</v>
      </c>
    </row>
    <row r="601" spans="2:28" x14ac:dyDescent="0.2">
      <c r="B601" s="57" t="s">
        <v>2244</v>
      </c>
      <c r="C601" s="57">
        <v>1</v>
      </c>
      <c r="D601" s="57" t="s">
        <v>2828</v>
      </c>
      <c r="E601" s="102">
        <f>VLOOKUP(Z601&amp;"_"&amp;AA601,活动关卡!$A$60:$Z$83,5+5*AB601,FALSE)</f>
        <v>1540</v>
      </c>
      <c r="F601" s="57">
        <v>1</v>
      </c>
      <c r="G601" s="57">
        <v>0</v>
      </c>
      <c r="H601" s="57">
        <v>0</v>
      </c>
      <c r="I601" s="57">
        <v>0</v>
      </c>
      <c r="Z601" s="110" t="str">
        <f t="shared" si="15"/>
        <v>2</v>
      </c>
      <c r="AA601" s="110" t="str">
        <f t="shared" si="16"/>
        <v>3</v>
      </c>
      <c r="AB601" s="110" t="str">
        <f t="shared" si="17"/>
        <v>3</v>
      </c>
    </row>
    <row r="602" spans="2:28" x14ac:dyDescent="0.2">
      <c r="B602" s="57" t="s">
        <v>2245</v>
      </c>
      <c r="C602" s="57">
        <v>1</v>
      </c>
      <c r="D602" s="57" t="s">
        <v>2829</v>
      </c>
      <c r="E602" s="102">
        <f>VLOOKUP(Z602&amp;"_"&amp;AA602,活动关卡!$A$60:$Z$83,5+5*AB602,FALSE)</f>
        <v>200</v>
      </c>
      <c r="F602" s="57">
        <v>1</v>
      </c>
      <c r="G602" s="57">
        <v>0</v>
      </c>
      <c r="H602" s="57">
        <v>0</v>
      </c>
      <c r="I602" s="57">
        <v>0</v>
      </c>
      <c r="Z602" s="110" t="str">
        <f t="shared" si="15"/>
        <v>2</v>
      </c>
      <c r="AA602" s="110" t="str">
        <f t="shared" si="16"/>
        <v>4</v>
      </c>
      <c r="AB602" s="110" t="str">
        <f t="shared" si="17"/>
        <v>1</v>
      </c>
    </row>
    <row r="603" spans="2:28" x14ac:dyDescent="0.2">
      <c r="B603" s="57" t="s">
        <v>2246</v>
      </c>
      <c r="C603" s="57">
        <v>1</v>
      </c>
      <c r="D603" s="57" t="s">
        <v>2830</v>
      </c>
      <c r="E603" s="102">
        <f>VLOOKUP(Z603&amp;"_"&amp;AA603,活动关卡!$A$60:$Z$83,5+5*AB603,FALSE)</f>
        <v>100</v>
      </c>
      <c r="F603" s="57">
        <v>1</v>
      </c>
      <c r="G603" s="57">
        <v>0</v>
      </c>
      <c r="H603" s="57">
        <v>0</v>
      </c>
      <c r="I603" s="57">
        <v>0</v>
      </c>
      <c r="Z603" s="110" t="str">
        <f t="shared" si="15"/>
        <v>2</v>
      </c>
      <c r="AA603" s="110" t="str">
        <f t="shared" si="16"/>
        <v>4</v>
      </c>
      <c r="AB603" s="110" t="str">
        <f t="shared" si="17"/>
        <v>2</v>
      </c>
    </row>
    <row r="604" spans="2:28" x14ac:dyDescent="0.2">
      <c r="B604" s="57" t="s">
        <v>2247</v>
      </c>
      <c r="C604" s="57">
        <v>1</v>
      </c>
      <c r="D604" s="57" t="s">
        <v>2831</v>
      </c>
      <c r="E604" s="102">
        <f>VLOOKUP(Z604&amp;"_"&amp;AA604,活动关卡!$A$60:$Z$83,5+5*AB604,FALSE)</f>
        <v>400</v>
      </c>
      <c r="F604" s="57">
        <v>1</v>
      </c>
      <c r="G604" s="57">
        <v>0</v>
      </c>
      <c r="H604" s="57">
        <v>0</v>
      </c>
      <c r="I604" s="57">
        <v>0</v>
      </c>
      <c r="Z604" s="110" t="str">
        <f t="shared" si="15"/>
        <v>2</v>
      </c>
      <c r="AA604" s="110" t="str">
        <f t="shared" si="16"/>
        <v>4</v>
      </c>
      <c r="AB604" s="110" t="str">
        <f t="shared" si="17"/>
        <v>3</v>
      </c>
    </row>
    <row r="605" spans="2:28" x14ac:dyDescent="0.2">
      <c r="B605" s="57" t="s">
        <v>2248</v>
      </c>
      <c r="C605" s="57">
        <v>1</v>
      </c>
      <c r="D605" s="57" t="s">
        <v>2832</v>
      </c>
      <c r="E605" s="102">
        <f>VLOOKUP(Z605&amp;"_"&amp;AA605,活动关卡!$A$60:$Z$83,5+5*AB605,FALSE)</f>
        <v>2002</v>
      </c>
      <c r="F605" s="57">
        <v>1</v>
      </c>
      <c r="G605" s="57">
        <v>0</v>
      </c>
      <c r="H605" s="57">
        <v>0</v>
      </c>
      <c r="I605" s="57">
        <v>0</v>
      </c>
      <c r="Z605" s="110" t="str">
        <f t="shared" si="15"/>
        <v>2</v>
      </c>
      <c r="AA605" s="110" t="str">
        <f t="shared" si="16"/>
        <v>4</v>
      </c>
      <c r="AB605" s="110" t="str">
        <f t="shared" si="17"/>
        <v>4</v>
      </c>
    </row>
    <row r="606" spans="2:28" x14ac:dyDescent="0.2">
      <c r="B606" s="57" t="s">
        <v>2249</v>
      </c>
      <c r="C606" s="57">
        <v>1</v>
      </c>
      <c r="D606" s="57" t="s">
        <v>2833</v>
      </c>
      <c r="E606" s="102">
        <f>VLOOKUP(Z606&amp;"_"&amp;AA606,活动关卡!$A$60:$Z$83,5+5*AB606,FALSE)</f>
        <v>282</v>
      </c>
      <c r="F606" s="57">
        <v>1</v>
      </c>
      <c r="G606" s="57">
        <v>0</v>
      </c>
      <c r="H606" s="57">
        <v>0</v>
      </c>
      <c r="I606" s="57">
        <v>0</v>
      </c>
      <c r="Z606" s="110" t="str">
        <f t="shared" si="15"/>
        <v>2</v>
      </c>
      <c r="AA606" s="110" t="str">
        <f t="shared" si="16"/>
        <v>5</v>
      </c>
      <c r="AB606" s="110" t="str">
        <f t="shared" si="17"/>
        <v>1</v>
      </c>
    </row>
    <row r="607" spans="2:28" x14ac:dyDescent="0.2">
      <c r="B607" s="57" t="s">
        <v>2250</v>
      </c>
      <c r="C607" s="57">
        <v>1</v>
      </c>
      <c r="D607" s="57" t="s">
        <v>2834</v>
      </c>
      <c r="E607" s="102">
        <f>VLOOKUP(Z607&amp;"_"&amp;AA607,活动关卡!$A$60:$Z$83,5+5*AB607,FALSE)</f>
        <v>141</v>
      </c>
      <c r="F607" s="57">
        <v>1</v>
      </c>
      <c r="G607" s="57">
        <v>0</v>
      </c>
      <c r="H607" s="57">
        <v>0</v>
      </c>
      <c r="I607" s="57">
        <v>0</v>
      </c>
      <c r="Z607" s="110" t="str">
        <f t="shared" si="15"/>
        <v>2</v>
      </c>
      <c r="AA607" s="110" t="str">
        <f t="shared" si="16"/>
        <v>5</v>
      </c>
      <c r="AB607" s="110" t="str">
        <f t="shared" si="17"/>
        <v>2</v>
      </c>
    </row>
    <row r="608" spans="2:28" x14ac:dyDescent="0.2">
      <c r="B608" s="57" t="s">
        <v>2251</v>
      </c>
      <c r="C608" s="57">
        <v>1</v>
      </c>
      <c r="D608" s="57" t="s">
        <v>2835</v>
      </c>
      <c r="E608" s="102">
        <f>VLOOKUP(Z608&amp;"_"&amp;AA608,活动关卡!$A$60:$Z$83,5+5*AB608,FALSE)</f>
        <v>563</v>
      </c>
      <c r="F608" s="57">
        <v>1</v>
      </c>
      <c r="G608" s="57">
        <v>0</v>
      </c>
      <c r="H608" s="57">
        <v>0</v>
      </c>
      <c r="I608" s="57">
        <v>0</v>
      </c>
      <c r="Z608" s="110" t="str">
        <f t="shared" si="15"/>
        <v>2</v>
      </c>
      <c r="AA608" s="110" t="str">
        <f t="shared" si="16"/>
        <v>5</v>
      </c>
      <c r="AB608" s="110" t="str">
        <f t="shared" si="17"/>
        <v>3</v>
      </c>
    </row>
    <row r="609" spans="2:28" x14ac:dyDescent="0.2">
      <c r="B609" s="57" t="s">
        <v>2252</v>
      </c>
      <c r="C609" s="57">
        <v>1</v>
      </c>
      <c r="D609" s="57" t="s">
        <v>2836</v>
      </c>
      <c r="E609" s="102">
        <f>VLOOKUP(Z609&amp;"_"&amp;AA609,活动关卡!$A$60:$Z$83,5+5*AB609,FALSE)</f>
        <v>2816</v>
      </c>
      <c r="F609" s="57">
        <v>1</v>
      </c>
      <c r="G609" s="57">
        <v>0</v>
      </c>
      <c r="H609" s="57">
        <v>0</v>
      </c>
      <c r="I609" s="57">
        <v>0</v>
      </c>
      <c r="Z609" s="110" t="str">
        <f t="shared" si="15"/>
        <v>2</v>
      </c>
      <c r="AA609" s="110" t="str">
        <f t="shared" si="16"/>
        <v>5</v>
      </c>
      <c r="AB609" s="110" t="str">
        <f t="shared" si="17"/>
        <v>4</v>
      </c>
    </row>
    <row r="610" spans="2:28" x14ac:dyDescent="0.2">
      <c r="B610" s="57" t="s">
        <v>2253</v>
      </c>
      <c r="C610" s="57">
        <v>1</v>
      </c>
      <c r="D610" s="57" t="s">
        <v>2837</v>
      </c>
      <c r="E610" s="102">
        <f>VLOOKUP(Z610&amp;"_"&amp;AA610,活动关卡!$A$60:$Z$83,5+5*AB610,FALSE)</f>
        <v>278</v>
      </c>
      <c r="F610" s="57">
        <v>1</v>
      </c>
      <c r="G610" s="57">
        <v>0</v>
      </c>
      <c r="H610" s="57">
        <v>0</v>
      </c>
      <c r="I610" s="57">
        <v>0</v>
      </c>
      <c r="Z610" s="110" t="str">
        <f t="shared" si="15"/>
        <v>3</v>
      </c>
      <c r="AA610" s="110" t="str">
        <f t="shared" si="16"/>
        <v>1</v>
      </c>
      <c r="AB610" s="110" t="str">
        <f t="shared" si="17"/>
        <v>1</v>
      </c>
    </row>
    <row r="611" spans="2:28" x14ac:dyDescent="0.2">
      <c r="B611" s="57" t="s">
        <v>2254</v>
      </c>
      <c r="C611" s="57">
        <v>1</v>
      </c>
      <c r="D611" s="57" t="s">
        <v>2838</v>
      </c>
      <c r="E611" s="102">
        <f>VLOOKUP(Z611&amp;"_"&amp;AA611,活动关卡!$A$60:$Z$83,5+5*AB611,FALSE)</f>
        <v>1850</v>
      </c>
      <c r="F611" s="57">
        <v>1</v>
      </c>
      <c r="G611" s="57">
        <v>0</v>
      </c>
      <c r="H611" s="57">
        <v>0</v>
      </c>
      <c r="I611" s="57">
        <v>0</v>
      </c>
      <c r="Z611" s="110" t="str">
        <f t="shared" si="15"/>
        <v>3</v>
      </c>
      <c r="AA611" s="110" t="str">
        <f t="shared" si="16"/>
        <v>1</v>
      </c>
      <c r="AB611" s="110" t="str">
        <f t="shared" si="17"/>
        <v>2</v>
      </c>
    </row>
    <row r="612" spans="2:28" x14ac:dyDescent="0.2">
      <c r="B612" s="57" t="s">
        <v>2255</v>
      </c>
      <c r="C612" s="57">
        <v>1</v>
      </c>
      <c r="D612" s="57" t="s">
        <v>2839</v>
      </c>
      <c r="E612" s="102">
        <f>VLOOKUP(Z612&amp;"_"&amp;AA612,活动关卡!$A$60:$Z$83,5+5*AB612,FALSE)</f>
        <v>449</v>
      </c>
      <c r="F612" s="57">
        <v>1</v>
      </c>
      <c r="G612" s="57">
        <v>0</v>
      </c>
      <c r="H612" s="57">
        <v>0</v>
      </c>
      <c r="I612" s="57">
        <v>0</v>
      </c>
      <c r="Z612" s="110" t="str">
        <f t="shared" si="15"/>
        <v>3</v>
      </c>
      <c r="AA612" s="110" t="str">
        <f t="shared" si="16"/>
        <v>2</v>
      </c>
      <c r="AB612" s="110" t="str">
        <f t="shared" si="17"/>
        <v>1</v>
      </c>
    </row>
    <row r="613" spans="2:28" x14ac:dyDescent="0.2">
      <c r="B613" s="57" t="s">
        <v>2256</v>
      </c>
      <c r="C613" s="57">
        <v>1</v>
      </c>
      <c r="D613" s="57" t="s">
        <v>2840</v>
      </c>
      <c r="E613" s="102">
        <f>VLOOKUP(Z613&amp;"_"&amp;AA613,活动关卡!$A$60:$Z$83,5+5*AB613,FALSE)</f>
        <v>300</v>
      </c>
      <c r="F613" s="57">
        <v>1</v>
      </c>
      <c r="G613" s="57">
        <v>0</v>
      </c>
      <c r="H613" s="57">
        <v>0</v>
      </c>
      <c r="I613" s="57">
        <v>0</v>
      </c>
      <c r="Z613" s="110" t="str">
        <f t="shared" si="15"/>
        <v>3</v>
      </c>
      <c r="AA613" s="110" t="str">
        <f t="shared" si="16"/>
        <v>2</v>
      </c>
      <c r="AB613" s="110" t="str">
        <f t="shared" si="17"/>
        <v>2</v>
      </c>
    </row>
    <row r="614" spans="2:28" x14ac:dyDescent="0.2">
      <c r="B614" s="57" t="s">
        <v>2257</v>
      </c>
      <c r="C614" s="57">
        <v>1</v>
      </c>
      <c r="D614" s="57" t="s">
        <v>2841</v>
      </c>
      <c r="E614" s="102">
        <f>VLOOKUP(Z614&amp;"_"&amp;AA614,活动关卡!$A$60:$Z$83,5+5*AB614,FALSE)</f>
        <v>2995</v>
      </c>
      <c r="F614" s="57">
        <v>1</v>
      </c>
      <c r="G614" s="57">
        <v>0</v>
      </c>
      <c r="H614" s="57">
        <v>0</v>
      </c>
      <c r="I614" s="57">
        <v>0</v>
      </c>
      <c r="Z614" s="110" t="str">
        <f t="shared" si="15"/>
        <v>3</v>
      </c>
      <c r="AA614" s="110" t="str">
        <f t="shared" si="16"/>
        <v>2</v>
      </c>
      <c r="AB614" s="110" t="str">
        <f t="shared" si="17"/>
        <v>3</v>
      </c>
    </row>
    <row r="615" spans="2:28" x14ac:dyDescent="0.2">
      <c r="B615" s="57" t="s">
        <v>2258</v>
      </c>
      <c r="C615" s="57">
        <v>1</v>
      </c>
      <c r="D615" s="57" t="s">
        <v>2842</v>
      </c>
      <c r="E615" s="102">
        <f>VLOOKUP(Z615&amp;"_"&amp;AA615,活动关卡!$A$60:$Z$83,5+5*AB615,FALSE)</f>
        <v>688</v>
      </c>
      <c r="F615" s="57">
        <v>1</v>
      </c>
      <c r="G615" s="57">
        <v>0</v>
      </c>
      <c r="H615" s="57">
        <v>0</v>
      </c>
      <c r="I615" s="57">
        <v>0</v>
      </c>
      <c r="Z615" s="110" t="str">
        <f t="shared" si="15"/>
        <v>3</v>
      </c>
      <c r="AA615" s="110" t="str">
        <f t="shared" si="16"/>
        <v>3</v>
      </c>
      <c r="AB615" s="110" t="str">
        <f t="shared" si="17"/>
        <v>1</v>
      </c>
    </row>
    <row r="616" spans="2:28" x14ac:dyDescent="0.2">
      <c r="B616" s="57" t="s">
        <v>2259</v>
      </c>
      <c r="C616" s="57">
        <v>1</v>
      </c>
      <c r="D616" s="57" t="s">
        <v>2843</v>
      </c>
      <c r="E616" s="102">
        <f>VLOOKUP(Z616&amp;"_"&amp;AA616,活动关卡!$A$60:$Z$83,5+5*AB616,FALSE)</f>
        <v>115</v>
      </c>
      <c r="F616" s="57">
        <v>1</v>
      </c>
      <c r="G616" s="57">
        <v>0</v>
      </c>
      <c r="H616" s="57">
        <v>0</v>
      </c>
      <c r="I616" s="57">
        <v>0</v>
      </c>
      <c r="Z616" s="110" t="str">
        <f t="shared" si="15"/>
        <v>3</v>
      </c>
      <c r="AA616" s="110" t="str">
        <f t="shared" si="16"/>
        <v>3</v>
      </c>
      <c r="AB616" s="110" t="str">
        <f t="shared" si="17"/>
        <v>2</v>
      </c>
    </row>
    <row r="617" spans="2:28" x14ac:dyDescent="0.2">
      <c r="B617" s="57" t="s">
        <v>2260</v>
      </c>
      <c r="C617" s="57">
        <v>1</v>
      </c>
      <c r="D617" s="57" t="s">
        <v>2844</v>
      </c>
      <c r="E617" s="102">
        <f>VLOOKUP(Z617&amp;"_"&amp;AA617,活动关卡!$A$60:$Z$83,5+5*AB617,FALSE)</f>
        <v>4585</v>
      </c>
      <c r="F617" s="57">
        <v>1</v>
      </c>
      <c r="G617" s="57">
        <v>0</v>
      </c>
      <c r="H617" s="57">
        <v>0</v>
      </c>
      <c r="I617" s="57">
        <v>0</v>
      </c>
      <c r="Z617" s="110" t="str">
        <f t="shared" si="15"/>
        <v>3</v>
      </c>
      <c r="AA617" s="110" t="str">
        <f t="shared" si="16"/>
        <v>3</v>
      </c>
      <c r="AB617" s="110" t="str">
        <f t="shared" si="17"/>
        <v>3</v>
      </c>
    </row>
    <row r="618" spans="2:28" x14ac:dyDescent="0.2">
      <c r="B618" s="57" t="s">
        <v>2261</v>
      </c>
      <c r="C618" s="57">
        <v>1</v>
      </c>
      <c r="D618" s="57" t="s">
        <v>2845</v>
      </c>
      <c r="E618" s="102">
        <f>VLOOKUP(Z618&amp;"_"&amp;AA618,活动关卡!$A$60:$Z$83,5+5*AB618,FALSE)</f>
        <v>150</v>
      </c>
      <c r="F618" s="57">
        <v>1</v>
      </c>
      <c r="G618" s="57">
        <v>0</v>
      </c>
      <c r="H618" s="57">
        <v>0</v>
      </c>
      <c r="I618" s="57">
        <v>0</v>
      </c>
      <c r="Z618" s="110" t="str">
        <f t="shared" si="15"/>
        <v>4</v>
      </c>
      <c r="AA618" s="110" t="str">
        <f t="shared" si="16"/>
        <v>1</v>
      </c>
      <c r="AB618" s="110" t="str">
        <f t="shared" si="17"/>
        <v>1</v>
      </c>
    </row>
    <row r="619" spans="2:28" x14ac:dyDescent="0.2">
      <c r="B619" s="57" t="s">
        <v>2262</v>
      </c>
      <c r="C619" s="57">
        <v>1</v>
      </c>
      <c r="D619" s="57" t="s">
        <v>2846</v>
      </c>
      <c r="E619" s="102">
        <f>VLOOKUP(Z619&amp;"_"&amp;AA619,活动关卡!$A$60:$Z$83,5+5*AB619,FALSE)</f>
        <v>3008</v>
      </c>
      <c r="F619" s="57">
        <v>1</v>
      </c>
      <c r="G619" s="57">
        <v>0</v>
      </c>
      <c r="H619" s="57">
        <v>0</v>
      </c>
      <c r="I619" s="57">
        <v>0</v>
      </c>
      <c r="Z619" s="110" t="str">
        <f t="shared" si="15"/>
        <v>4</v>
      </c>
      <c r="AA619" s="110" t="str">
        <f t="shared" si="16"/>
        <v>1</v>
      </c>
      <c r="AB619" s="110" t="str">
        <f t="shared" si="17"/>
        <v>2</v>
      </c>
    </row>
    <row r="620" spans="2:28" x14ac:dyDescent="0.2">
      <c r="B620" s="57" t="s">
        <v>2263</v>
      </c>
      <c r="C620" s="57">
        <v>1</v>
      </c>
      <c r="D620" s="57" t="s">
        <v>2847</v>
      </c>
      <c r="E620" s="102">
        <f>VLOOKUP(Z620&amp;"_"&amp;AA620,活动关卡!$A$60:$Z$83,5+5*AB620,FALSE)</f>
        <v>224</v>
      </c>
      <c r="F620" s="57">
        <v>1</v>
      </c>
      <c r="G620" s="57">
        <v>0</v>
      </c>
      <c r="H620" s="57">
        <v>0</v>
      </c>
      <c r="I620" s="57">
        <v>0</v>
      </c>
      <c r="Z620" s="110" t="str">
        <f t="shared" si="15"/>
        <v>4</v>
      </c>
      <c r="AA620" s="110" t="str">
        <f t="shared" si="16"/>
        <v>2</v>
      </c>
      <c r="AB620" s="110" t="str">
        <f t="shared" si="17"/>
        <v>1</v>
      </c>
    </row>
    <row r="621" spans="2:28" x14ac:dyDescent="0.2">
      <c r="B621" s="57" t="s">
        <v>2264</v>
      </c>
      <c r="C621" s="57">
        <v>1</v>
      </c>
      <c r="D621" s="57" t="s">
        <v>2848</v>
      </c>
      <c r="E621" s="102">
        <f>VLOOKUP(Z621&amp;"_"&amp;AA621,活动关卡!$A$60:$Z$83,5+5*AB621,FALSE)</f>
        <v>448</v>
      </c>
      <c r="F621" s="57">
        <v>1</v>
      </c>
      <c r="G621" s="57">
        <v>0</v>
      </c>
      <c r="H621" s="57">
        <v>0</v>
      </c>
      <c r="I621" s="57">
        <v>0</v>
      </c>
      <c r="Z621" s="110" t="str">
        <f t="shared" si="15"/>
        <v>4</v>
      </c>
      <c r="AA621" s="110" t="str">
        <f t="shared" si="16"/>
        <v>2</v>
      </c>
      <c r="AB621" s="110" t="str">
        <f t="shared" si="17"/>
        <v>2</v>
      </c>
    </row>
    <row r="622" spans="2:28" x14ac:dyDescent="0.2">
      <c r="B622" s="57" t="s">
        <v>2265</v>
      </c>
      <c r="C622" s="57">
        <v>1</v>
      </c>
      <c r="D622" s="57" t="s">
        <v>2849</v>
      </c>
      <c r="E622" s="102">
        <f>VLOOKUP(Z622&amp;"_"&amp;AA622,活动关卡!$A$60:$Z$83,5+5*AB622,FALSE)</f>
        <v>4478</v>
      </c>
      <c r="F622" s="57">
        <v>1</v>
      </c>
      <c r="G622" s="57">
        <v>0</v>
      </c>
      <c r="H622" s="57">
        <v>0</v>
      </c>
      <c r="I622" s="57">
        <v>0</v>
      </c>
      <c r="Z622" s="110" t="str">
        <f t="shared" si="15"/>
        <v>4</v>
      </c>
      <c r="AA622" s="110" t="str">
        <f t="shared" si="16"/>
        <v>2</v>
      </c>
      <c r="AB622" s="110" t="str">
        <f t="shared" si="17"/>
        <v>3</v>
      </c>
    </row>
    <row r="623" spans="2:28" x14ac:dyDescent="0.2">
      <c r="B623" s="57" t="s">
        <v>2266</v>
      </c>
      <c r="C623" s="57">
        <v>1</v>
      </c>
      <c r="D623" s="57" t="s">
        <v>2850</v>
      </c>
      <c r="E623" s="102">
        <f>VLOOKUP(Z623&amp;"_"&amp;AA623,活动关卡!$A$60:$Z$83,5+5*AB623,FALSE)</f>
        <v>227</v>
      </c>
      <c r="F623" s="57">
        <v>1</v>
      </c>
      <c r="G623" s="57">
        <v>0</v>
      </c>
      <c r="H623" s="57">
        <v>0</v>
      </c>
      <c r="I623" s="57">
        <v>0</v>
      </c>
      <c r="Z623" s="110" t="str">
        <f t="shared" si="15"/>
        <v>4</v>
      </c>
      <c r="AA623" s="110" t="str">
        <f t="shared" si="16"/>
        <v>3</v>
      </c>
      <c r="AB623" s="110" t="str">
        <f t="shared" si="17"/>
        <v>1</v>
      </c>
    </row>
    <row r="624" spans="2:28" x14ac:dyDescent="0.2">
      <c r="B624" s="57" t="s">
        <v>2267</v>
      </c>
      <c r="C624" s="57">
        <v>1</v>
      </c>
      <c r="D624" s="57" t="s">
        <v>2851</v>
      </c>
      <c r="E624" s="102">
        <f>VLOOKUP(Z624&amp;"_"&amp;AA624,活动关卡!$A$60:$Z$83,5+5*AB624,FALSE)</f>
        <v>113</v>
      </c>
      <c r="F624" s="57">
        <v>1</v>
      </c>
      <c r="G624" s="57">
        <v>0</v>
      </c>
      <c r="H624" s="57">
        <v>0</v>
      </c>
      <c r="I624" s="57">
        <v>0</v>
      </c>
      <c r="Z624" s="110" t="str">
        <f t="shared" si="15"/>
        <v>4</v>
      </c>
      <c r="AA624" s="110" t="str">
        <f t="shared" si="16"/>
        <v>3</v>
      </c>
      <c r="AB624" s="110" t="str">
        <f t="shared" si="17"/>
        <v>2</v>
      </c>
    </row>
    <row r="625" spans="2:28" x14ac:dyDescent="0.2">
      <c r="B625" s="57" t="s">
        <v>2268</v>
      </c>
      <c r="C625" s="57">
        <v>1</v>
      </c>
      <c r="D625" s="57" t="s">
        <v>2852</v>
      </c>
      <c r="E625" s="102">
        <f>VLOOKUP(Z625&amp;"_"&amp;AA625,活动关卡!$A$60:$Z$83,5+5*AB625,FALSE)</f>
        <v>4536</v>
      </c>
      <c r="F625" s="57">
        <v>1</v>
      </c>
      <c r="G625" s="57">
        <v>0</v>
      </c>
      <c r="H625" s="57">
        <v>0</v>
      </c>
      <c r="I625" s="57">
        <v>0</v>
      </c>
      <c r="Z625" s="110" t="str">
        <f t="shared" si="15"/>
        <v>4</v>
      </c>
      <c r="AA625" s="110" t="str">
        <f t="shared" si="16"/>
        <v>3</v>
      </c>
      <c r="AB625" s="110" t="str">
        <f t="shared" si="17"/>
        <v>3</v>
      </c>
    </row>
    <row r="626" spans="2:28" x14ac:dyDescent="0.2">
      <c r="B626" s="57" t="s">
        <v>2269</v>
      </c>
      <c r="C626" s="57">
        <v>1</v>
      </c>
      <c r="D626" s="57" t="s">
        <v>2853</v>
      </c>
      <c r="E626" s="102">
        <f>VLOOKUP(Z626&amp;"_"&amp;AA626,活动关卡!$A$60:$Z$83,5+5*AB626,FALSE)</f>
        <v>355</v>
      </c>
      <c r="F626" s="57">
        <v>1</v>
      </c>
      <c r="G626" s="57">
        <v>0</v>
      </c>
      <c r="H626" s="57">
        <v>0</v>
      </c>
      <c r="I626" s="57">
        <v>0</v>
      </c>
      <c r="Z626" s="110" t="str">
        <f t="shared" si="15"/>
        <v>4</v>
      </c>
      <c r="AA626" s="110" t="str">
        <f t="shared" si="16"/>
        <v>4</v>
      </c>
      <c r="AB626" s="110" t="str">
        <f t="shared" si="17"/>
        <v>1</v>
      </c>
    </row>
    <row r="627" spans="2:28" x14ac:dyDescent="0.2">
      <c r="B627" s="57" t="s">
        <v>2270</v>
      </c>
      <c r="C627" s="57">
        <v>1</v>
      </c>
      <c r="D627" s="57" t="s">
        <v>2854</v>
      </c>
      <c r="E627" s="102">
        <f>VLOOKUP(Z627&amp;"_"&amp;AA627,活动关卡!$A$60:$Z$83,5+5*AB627,FALSE)</f>
        <v>355</v>
      </c>
      <c r="F627" s="57">
        <v>1</v>
      </c>
      <c r="G627" s="57">
        <v>0</v>
      </c>
      <c r="H627" s="57">
        <v>0</v>
      </c>
      <c r="I627" s="57">
        <v>0</v>
      </c>
      <c r="Z627" s="110" t="str">
        <f t="shared" si="15"/>
        <v>4</v>
      </c>
      <c r="AA627" s="110" t="str">
        <f t="shared" si="16"/>
        <v>4</v>
      </c>
      <c r="AB627" s="110" t="str">
        <f t="shared" si="17"/>
        <v>2</v>
      </c>
    </row>
    <row r="628" spans="2:28" x14ac:dyDescent="0.2">
      <c r="B628" s="57" t="s">
        <v>2271</v>
      </c>
      <c r="C628" s="57">
        <v>1</v>
      </c>
      <c r="D628" s="57" t="s">
        <v>2855</v>
      </c>
      <c r="E628" s="102">
        <f>VLOOKUP(Z628&amp;"_"&amp;AA628,活动关卡!$A$60:$Z$83,5+5*AB628,FALSE)</f>
        <v>7093</v>
      </c>
      <c r="F628" s="57">
        <v>1</v>
      </c>
      <c r="G628" s="57">
        <v>0</v>
      </c>
      <c r="H628" s="57">
        <v>0</v>
      </c>
      <c r="I628" s="57">
        <v>0</v>
      </c>
      <c r="Z628" s="110" t="str">
        <f t="shared" si="15"/>
        <v>4</v>
      </c>
      <c r="AA628" s="110" t="str">
        <f t="shared" si="16"/>
        <v>4</v>
      </c>
      <c r="AB628" s="110" t="str">
        <f t="shared" si="17"/>
        <v>3</v>
      </c>
    </row>
    <row r="629" spans="2:28" x14ac:dyDescent="0.2">
      <c r="B629" s="57" t="s">
        <v>2272</v>
      </c>
      <c r="C629" s="57">
        <v>1</v>
      </c>
      <c r="D629" s="57" t="s">
        <v>2856</v>
      </c>
      <c r="E629" s="102">
        <f>VLOOKUP(Z629&amp;"_"&amp;AA629,活动关卡!$A$60:$Z$83,5+5*AB629,FALSE)</f>
        <v>396</v>
      </c>
      <c r="F629" s="57">
        <v>1</v>
      </c>
      <c r="G629" s="57">
        <v>0</v>
      </c>
      <c r="H629" s="57">
        <v>0</v>
      </c>
      <c r="I629" s="57">
        <v>0</v>
      </c>
      <c r="Z629" s="110" t="str">
        <f t="shared" si="15"/>
        <v>4</v>
      </c>
      <c r="AA629" s="110" t="str">
        <f t="shared" si="16"/>
        <v>5</v>
      </c>
      <c r="AB629" s="110" t="str">
        <f t="shared" si="17"/>
        <v>1</v>
      </c>
    </row>
    <row r="630" spans="2:28" x14ac:dyDescent="0.2">
      <c r="B630" s="57" t="s">
        <v>2273</v>
      </c>
      <c r="C630" s="57">
        <v>1</v>
      </c>
      <c r="D630" s="57" t="s">
        <v>2857</v>
      </c>
      <c r="E630" s="102">
        <f>VLOOKUP(Z630&amp;"_"&amp;AA630,活动关卡!$A$60:$Z$83,5+5*AB630,FALSE)</f>
        <v>1187</v>
      </c>
      <c r="F630" s="57">
        <v>1</v>
      </c>
      <c r="G630" s="57">
        <v>0</v>
      </c>
      <c r="H630" s="57">
        <v>0</v>
      </c>
      <c r="I630" s="57">
        <v>0</v>
      </c>
      <c r="Z630" s="110" t="str">
        <f t="shared" si="15"/>
        <v>4</v>
      </c>
      <c r="AA630" s="110" t="str">
        <f t="shared" si="16"/>
        <v>5</v>
      </c>
      <c r="AB630" s="110" t="str">
        <f t="shared" si="17"/>
        <v>2</v>
      </c>
    </row>
    <row r="631" spans="2:28" x14ac:dyDescent="0.2">
      <c r="B631" s="57" t="s">
        <v>2274</v>
      </c>
      <c r="C631" s="57">
        <v>1</v>
      </c>
      <c r="D631" s="57" t="s">
        <v>2858</v>
      </c>
      <c r="E631" s="102">
        <f>VLOOKUP(Z631&amp;"_"&amp;AA631,活动关卡!$A$60:$Z$83,5+5*AB631,FALSE)</f>
        <v>7916</v>
      </c>
      <c r="F631" s="57">
        <v>1</v>
      </c>
      <c r="G631" s="57">
        <v>0</v>
      </c>
      <c r="H631" s="57">
        <v>0</v>
      </c>
      <c r="I631" s="57">
        <v>0</v>
      </c>
      <c r="Z631" s="110" t="str">
        <f t="shared" si="15"/>
        <v>4</v>
      </c>
      <c r="AA631" s="110" t="str">
        <f t="shared" si="16"/>
        <v>5</v>
      </c>
      <c r="AB631" s="110" t="str">
        <f t="shared" si="17"/>
        <v>3</v>
      </c>
    </row>
    <row r="632" spans="2:28" x14ac:dyDescent="0.2">
      <c r="B632" s="57" t="s">
        <v>2275</v>
      </c>
      <c r="C632" s="57">
        <v>1</v>
      </c>
      <c r="D632" s="57" t="s">
        <v>2859</v>
      </c>
      <c r="E632" s="102">
        <f>VLOOKUP(Z632&amp;"_"&amp;AA632,活动关卡!$A$60:$Z$83,5+5*AB632,FALSE)</f>
        <v>675</v>
      </c>
      <c r="F632" s="57">
        <v>1</v>
      </c>
      <c r="G632" s="57">
        <v>0</v>
      </c>
      <c r="H632" s="57">
        <v>0</v>
      </c>
      <c r="I632" s="57">
        <v>0</v>
      </c>
      <c r="Z632" s="110" t="str">
        <f t="shared" si="15"/>
        <v>5</v>
      </c>
      <c r="AA632" s="110" t="str">
        <f t="shared" si="16"/>
        <v>1</v>
      </c>
      <c r="AB632" s="110" t="str">
        <f t="shared" si="17"/>
        <v>1</v>
      </c>
    </row>
    <row r="633" spans="2:28" x14ac:dyDescent="0.2">
      <c r="B633" s="57" t="s">
        <v>2276</v>
      </c>
      <c r="C633" s="57">
        <v>1</v>
      </c>
      <c r="D633" s="57" t="s">
        <v>2860</v>
      </c>
      <c r="E633" s="102">
        <f>VLOOKUP(Z633&amp;"_"&amp;AA633,活动关卡!$A$60:$Z$83,5+5*AB633,FALSE)</f>
        <v>3375</v>
      </c>
      <c r="F633" s="57">
        <v>1</v>
      </c>
      <c r="G633" s="57">
        <v>0</v>
      </c>
      <c r="H633" s="57">
        <v>0</v>
      </c>
      <c r="I633" s="57">
        <v>0</v>
      </c>
      <c r="Z633" s="110" t="str">
        <f t="shared" si="15"/>
        <v>5</v>
      </c>
      <c r="AA633" s="110" t="str">
        <f t="shared" si="16"/>
        <v>1</v>
      </c>
      <c r="AB633" s="110" t="str">
        <f t="shared" si="17"/>
        <v>2</v>
      </c>
    </row>
    <row r="634" spans="2:28" x14ac:dyDescent="0.2">
      <c r="B634" s="57" t="s">
        <v>2277</v>
      </c>
      <c r="C634" s="57">
        <v>1</v>
      </c>
      <c r="D634" s="57" t="s">
        <v>2861</v>
      </c>
      <c r="E634" s="102">
        <f>VLOOKUP(Z634&amp;"_"&amp;AA634,活动关卡!$A$60:$Z$83,5+5*AB634,FALSE)</f>
        <v>945</v>
      </c>
      <c r="F634" s="57">
        <v>1</v>
      </c>
      <c r="G634" s="57">
        <v>0</v>
      </c>
      <c r="H634" s="57">
        <v>0</v>
      </c>
      <c r="I634" s="57">
        <v>0</v>
      </c>
      <c r="Z634" s="110" t="str">
        <f t="shared" si="15"/>
        <v>5</v>
      </c>
      <c r="AA634" s="110" t="str">
        <f t="shared" si="16"/>
        <v>2</v>
      </c>
      <c r="AB634" s="110" t="str">
        <f t="shared" si="17"/>
        <v>1</v>
      </c>
    </row>
    <row r="635" spans="2:28" x14ac:dyDescent="0.2">
      <c r="B635" s="57" t="s">
        <v>2278</v>
      </c>
      <c r="C635" s="57">
        <v>1</v>
      </c>
      <c r="D635" s="57" t="s">
        <v>2862</v>
      </c>
      <c r="E635" s="102">
        <f>VLOOKUP(Z635&amp;"_"&amp;AA635,活动关卡!$A$60:$Z$83,5+5*AB635,FALSE)</f>
        <v>118</v>
      </c>
      <c r="F635" s="57">
        <v>1</v>
      </c>
      <c r="G635" s="57">
        <v>0</v>
      </c>
      <c r="H635" s="57">
        <v>0</v>
      </c>
      <c r="I635" s="57">
        <v>0</v>
      </c>
      <c r="Z635" s="110" t="str">
        <f t="shared" si="15"/>
        <v>5</v>
      </c>
      <c r="AA635" s="110" t="str">
        <f t="shared" si="16"/>
        <v>2</v>
      </c>
      <c r="AB635" s="110" t="str">
        <f t="shared" si="17"/>
        <v>2</v>
      </c>
    </row>
    <row r="636" spans="2:28" x14ac:dyDescent="0.2">
      <c r="B636" s="57" t="s">
        <v>2279</v>
      </c>
      <c r="C636" s="57">
        <v>1</v>
      </c>
      <c r="D636" s="57" t="s">
        <v>2863</v>
      </c>
      <c r="E636" s="102">
        <f>VLOOKUP(Z636&amp;"_"&amp;AA636,活动关卡!$A$60:$Z$83,5+5*AB636,FALSE)</f>
        <v>4727</v>
      </c>
      <c r="F636" s="57">
        <v>1</v>
      </c>
      <c r="G636" s="57">
        <v>0</v>
      </c>
      <c r="H636" s="57">
        <v>0</v>
      </c>
      <c r="I636" s="57">
        <v>0</v>
      </c>
      <c r="Z636" s="110" t="str">
        <f t="shared" si="15"/>
        <v>5</v>
      </c>
      <c r="AA636" s="110" t="str">
        <f t="shared" si="16"/>
        <v>2</v>
      </c>
      <c r="AB636" s="110" t="str">
        <f t="shared" si="17"/>
        <v>3</v>
      </c>
    </row>
    <row r="637" spans="2:28" x14ac:dyDescent="0.2">
      <c r="B637" s="57" t="s">
        <v>2280</v>
      </c>
      <c r="C637" s="57">
        <v>1</v>
      </c>
      <c r="D637" s="57" t="s">
        <v>2864</v>
      </c>
      <c r="E637" s="102">
        <f>VLOOKUP(Z637&amp;"_"&amp;AA637,活动关卡!$A$60:$Z$83,5+5*AB637,FALSE)</f>
        <v>972</v>
      </c>
      <c r="F637" s="57">
        <v>1</v>
      </c>
      <c r="G637" s="57">
        <v>0</v>
      </c>
      <c r="H637" s="57">
        <v>0</v>
      </c>
      <c r="I637" s="57">
        <v>0</v>
      </c>
      <c r="Z637" s="110" t="str">
        <f t="shared" si="15"/>
        <v>5</v>
      </c>
      <c r="AA637" s="110" t="str">
        <f t="shared" si="16"/>
        <v>3</v>
      </c>
      <c r="AB637" s="110" t="str">
        <f t="shared" si="17"/>
        <v>1</v>
      </c>
    </row>
    <row r="638" spans="2:28" x14ac:dyDescent="0.2">
      <c r="B638" s="57" t="s">
        <v>2281</v>
      </c>
      <c r="C638" s="57">
        <v>1</v>
      </c>
      <c r="D638" s="57" t="s">
        <v>2865</v>
      </c>
      <c r="E638" s="102">
        <f>VLOOKUP(Z638&amp;"_"&amp;AA638,活动关卡!$A$60:$Z$83,5+5*AB638,FALSE)</f>
        <v>243</v>
      </c>
      <c r="F638" s="57">
        <v>1</v>
      </c>
      <c r="G638" s="57">
        <v>0</v>
      </c>
      <c r="H638" s="57">
        <v>0</v>
      </c>
      <c r="I638" s="57">
        <v>0</v>
      </c>
      <c r="Z638" s="110" t="str">
        <f t="shared" si="15"/>
        <v>5</v>
      </c>
      <c r="AA638" s="110" t="str">
        <f t="shared" si="16"/>
        <v>3</v>
      </c>
      <c r="AB638" s="110" t="str">
        <f t="shared" si="17"/>
        <v>2</v>
      </c>
    </row>
    <row r="639" spans="2:28" x14ac:dyDescent="0.2">
      <c r="B639" s="57" t="s">
        <v>2282</v>
      </c>
      <c r="C639" s="57">
        <v>1</v>
      </c>
      <c r="D639" s="57" t="s">
        <v>2866</v>
      </c>
      <c r="E639" s="102">
        <f>VLOOKUP(Z639&amp;"_"&amp;AA639,活动关卡!$A$60:$Z$83,5+5*AB639,FALSE)</f>
        <v>243</v>
      </c>
      <c r="F639" s="57">
        <v>1</v>
      </c>
      <c r="G639" s="57">
        <v>0</v>
      </c>
      <c r="H639" s="57">
        <v>0</v>
      </c>
      <c r="I639" s="57">
        <v>0</v>
      </c>
      <c r="Z639" s="110" t="str">
        <f t="shared" si="15"/>
        <v>5</v>
      </c>
      <c r="AA639" s="110" t="str">
        <f t="shared" si="16"/>
        <v>3</v>
      </c>
      <c r="AB639" s="110" t="str">
        <f t="shared" si="17"/>
        <v>3</v>
      </c>
    </row>
    <row r="640" spans="2:28" x14ac:dyDescent="0.2">
      <c r="B640" s="57" t="s">
        <v>2283</v>
      </c>
      <c r="C640" s="57">
        <v>1</v>
      </c>
      <c r="D640" s="57" t="s">
        <v>2867</v>
      </c>
      <c r="E640" s="102">
        <f>VLOOKUP(Z640&amp;"_"&amp;AA640,活动关卡!$A$60:$Z$83,5+5*AB640,FALSE)</f>
        <v>4860</v>
      </c>
      <c r="F640" s="57">
        <v>1</v>
      </c>
      <c r="G640" s="57">
        <v>0</v>
      </c>
      <c r="H640" s="57">
        <v>0</v>
      </c>
      <c r="I640" s="57">
        <v>0</v>
      </c>
      <c r="Z640" s="110" t="str">
        <f t="shared" si="15"/>
        <v>5</v>
      </c>
      <c r="AA640" s="110" t="str">
        <f t="shared" si="16"/>
        <v>3</v>
      </c>
      <c r="AB640" s="110" t="str">
        <f t="shared" si="17"/>
        <v>4</v>
      </c>
    </row>
    <row r="641" spans="2:28" x14ac:dyDescent="0.2">
      <c r="B641" s="57" t="s">
        <v>2284</v>
      </c>
      <c r="C641" s="57">
        <v>1</v>
      </c>
      <c r="D641" s="57" t="s">
        <v>2868</v>
      </c>
      <c r="E641" s="102">
        <f>VLOOKUP(Z641&amp;"_"&amp;AA641,活动关卡!$A$60:$Z$83,5+5*AB641,FALSE)</f>
        <v>1452</v>
      </c>
      <c r="F641" s="57">
        <v>1</v>
      </c>
      <c r="G641" s="57">
        <v>0</v>
      </c>
      <c r="H641" s="57">
        <v>0</v>
      </c>
      <c r="I641" s="57">
        <v>0</v>
      </c>
      <c r="Z641" s="110" t="str">
        <f t="shared" si="15"/>
        <v>5</v>
      </c>
      <c r="AA641" s="110" t="str">
        <f t="shared" si="16"/>
        <v>4</v>
      </c>
      <c r="AB641" s="110" t="str">
        <f t="shared" si="17"/>
        <v>1</v>
      </c>
    </row>
    <row r="642" spans="2:28" x14ac:dyDescent="0.2">
      <c r="B642" s="57" t="s">
        <v>2285</v>
      </c>
      <c r="C642" s="57">
        <v>1</v>
      </c>
      <c r="D642" s="57" t="s">
        <v>2869</v>
      </c>
      <c r="E642" s="102">
        <f>VLOOKUP(Z642&amp;"_"&amp;AA642,活动关卡!$A$60:$Z$83,5+5*AB642,FALSE)</f>
        <v>363</v>
      </c>
      <c r="F642" s="57">
        <v>1</v>
      </c>
      <c r="G642" s="57">
        <v>0</v>
      </c>
      <c r="H642" s="57">
        <v>0</v>
      </c>
      <c r="I642" s="57">
        <v>0</v>
      </c>
      <c r="Z642" s="110" t="str">
        <f t="shared" si="15"/>
        <v>5</v>
      </c>
      <c r="AA642" s="110" t="str">
        <f t="shared" si="16"/>
        <v>4</v>
      </c>
      <c r="AB642" s="110" t="str">
        <f t="shared" si="17"/>
        <v>2</v>
      </c>
    </row>
    <row r="643" spans="2:28" x14ac:dyDescent="0.2">
      <c r="B643" s="57" t="s">
        <v>2286</v>
      </c>
      <c r="C643" s="57">
        <v>1</v>
      </c>
      <c r="D643" s="57" t="s">
        <v>2870</v>
      </c>
      <c r="E643" s="102">
        <f>VLOOKUP(Z643&amp;"_"&amp;AA643,活动关卡!$A$60:$Z$83,5+5*AB643,FALSE)</f>
        <v>7260</v>
      </c>
      <c r="F643" s="57">
        <v>1</v>
      </c>
      <c r="G643" s="57">
        <v>0</v>
      </c>
      <c r="H643" s="57">
        <v>0</v>
      </c>
      <c r="I643" s="57">
        <v>0</v>
      </c>
      <c r="Z643" s="110" t="str">
        <f t="shared" si="15"/>
        <v>5</v>
      </c>
      <c r="AA643" s="110" t="str">
        <f t="shared" si="16"/>
        <v>4</v>
      </c>
      <c r="AB643" s="110" t="str">
        <f t="shared" si="17"/>
        <v>3</v>
      </c>
    </row>
    <row r="644" spans="2:28" x14ac:dyDescent="0.2">
      <c r="B644" s="57" t="s">
        <v>2287</v>
      </c>
      <c r="C644" s="57">
        <v>1</v>
      </c>
      <c r="D644" s="57" t="s">
        <v>2871</v>
      </c>
      <c r="E644" s="102">
        <f>VLOOKUP(Z644&amp;"_"&amp;AA644,活动关卡!$A$60:$Z$83,5+5*AB644,FALSE)</f>
        <v>1070</v>
      </c>
      <c r="F644" s="57">
        <v>1</v>
      </c>
      <c r="G644" s="57">
        <v>0</v>
      </c>
      <c r="H644" s="57">
        <v>0</v>
      </c>
      <c r="I644" s="57">
        <v>0</v>
      </c>
      <c r="Z644" s="110" t="str">
        <f t="shared" si="15"/>
        <v>5</v>
      </c>
      <c r="AA644" s="110" t="str">
        <f t="shared" si="16"/>
        <v>5</v>
      </c>
      <c r="AB644" s="110" t="str">
        <f t="shared" si="17"/>
        <v>1</v>
      </c>
    </row>
    <row r="645" spans="2:28" x14ac:dyDescent="0.2">
      <c r="B645" s="57" t="s">
        <v>2288</v>
      </c>
      <c r="C645" s="57">
        <v>1</v>
      </c>
      <c r="D645" s="57" t="s">
        <v>2872</v>
      </c>
      <c r="E645" s="102">
        <f>VLOOKUP(Z645&amp;"_"&amp;AA645,活动关卡!$A$60:$Z$83,5+5*AB645,FALSE)</f>
        <v>267</v>
      </c>
      <c r="F645" s="57">
        <v>1</v>
      </c>
      <c r="G645" s="57">
        <v>0</v>
      </c>
      <c r="H645" s="57">
        <v>0</v>
      </c>
      <c r="I645" s="57">
        <v>0</v>
      </c>
      <c r="Z645" s="110" t="str">
        <f t="shared" si="15"/>
        <v>5</v>
      </c>
      <c r="AA645" s="110" t="str">
        <f t="shared" si="16"/>
        <v>5</v>
      </c>
      <c r="AB645" s="110" t="str">
        <f t="shared" si="17"/>
        <v>2</v>
      </c>
    </row>
    <row r="646" spans="2:28" x14ac:dyDescent="0.2">
      <c r="B646" s="57" t="s">
        <v>2289</v>
      </c>
      <c r="C646" s="57">
        <v>1</v>
      </c>
      <c r="D646" s="57" t="s">
        <v>2873</v>
      </c>
      <c r="E646" s="102">
        <f>VLOOKUP(Z646&amp;"_"&amp;AA646,活动关卡!$A$60:$Z$83,5+5*AB646,FALSE)</f>
        <v>802</v>
      </c>
      <c r="F646" s="57">
        <v>1</v>
      </c>
      <c r="G646" s="57">
        <v>0</v>
      </c>
      <c r="H646" s="57">
        <v>0</v>
      </c>
      <c r="I646" s="57">
        <v>0</v>
      </c>
      <c r="Z646" s="110" t="str">
        <f t="shared" si="15"/>
        <v>5</v>
      </c>
      <c r="AA646" s="110" t="str">
        <f t="shared" si="16"/>
        <v>5</v>
      </c>
      <c r="AB646" s="110" t="str">
        <f t="shared" si="17"/>
        <v>3</v>
      </c>
    </row>
    <row r="647" spans="2:28" x14ac:dyDescent="0.2">
      <c r="B647" s="57" t="s">
        <v>2290</v>
      </c>
      <c r="C647" s="57">
        <v>1</v>
      </c>
      <c r="D647" s="57" t="s">
        <v>2874</v>
      </c>
      <c r="E647" s="102">
        <f>VLOOKUP(Z647&amp;"_"&amp;AA647,活动关卡!$A$60:$Z$83,5+5*AB647,FALSE)</f>
        <v>5348</v>
      </c>
      <c r="F647" s="57">
        <v>1</v>
      </c>
      <c r="G647" s="57">
        <v>0</v>
      </c>
      <c r="H647" s="57">
        <v>0</v>
      </c>
      <c r="I647" s="57">
        <v>0</v>
      </c>
      <c r="Z647" s="110" t="str">
        <f t="shared" si="15"/>
        <v>5</v>
      </c>
      <c r="AA647" s="110" t="str">
        <f t="shared" si="16"/>
        <v>5</v>
      </c>
      <c r="AB647" s="110" t="str">
        <f t="shared" si="17"/>
        <v>4</v>
      </c>
    </row>
    <row r="648" spans="2:28" x14ac:dyDescent="0.2">
      <c r="B648" s="57" t="s">
        <v>2291</v>
      </c>
      <c r="C648" s="57">
        <v>1</v>
      </c>
      <c r="D648" s="57" t="s">
        <v>2875</v>
      </c>
      <c r="E648" s="102">
        <f>VLOOKUP(Z648&amp;"_"&amp;AA648,活动关卡!$A$60:$Z$83,5+5*AB648,FALSE)</f>
        <v>1567</v>
      </c>
      <c r="F648" s="57">
        <v>1</v>
      </c>
      <c r="G648" s="57">
        <v>0</v>
      </c>
      <c r="H648" s="57">
        <v>0</v>
      </c>
      <c r="I648" s="57">
        <v>0</v>
      </c>
      <c r="Z648" s="110" t="str">
        <f t="shared" si="15"/>
        <v>5</v>
      </c>
      <c r="AA648" s="110" t="str">
        <f t="shared" si="16"/>
        <v>6</v>
      </c>
      <c r="AB648" s="110" t="str">
        <f t="shared" si="17"/>
        <v>1</v>
      </c>
    </row>
    <row r="649" spans="2:28" x14ac:dyDescent="0.2">
      <c r="B649" s="57" t="s">
        <v>2292</v>
      </c>
      <c r="C649" s="57">
        <v>1</v>
      </c>
      <c r="D649" s="57" t="s">
        <v>2876</v>
      </c>
      <c r="E649" s="102">
        <f>VLOOKUP(Z649&amp;"_"&amp;AA649,活动关卡!$A$60:$Z$83,5+5*AB649,FALSE)</f>
        <v>2351</v>
      </c>
      <c r="F649" s="57">
        <v>1</v>
      </c>
      <c r="G649" s="57">
        <v>0</v>
      </c>
      <c r="H649" s="57">
        <v>0</v>
      </c>
      <c r="I649" s="57">
        <v>0</v>
      </c>
      <c r="Z649" s="110" t="str">
        <f t="shared" si="15"/>
        <v>5</v>
      </c>
      <c r="AA649" s="110" t="str">
        <f t="shared" si="16"/>
        <v>6</v>
      </c>
      <c r="AB649" s="110" t="str">
        <f t="shared" si="17"/>
        <v>2</v>
      </c>
    </row>
    <row r="650" spans="2:28" x14ac:dyDescent="0.2">
      <c r="B650" s="57" t="s">
        <v>2293</v>
      </c>
      <c r="C650" s="57">
        <v>1</v>
      </c>
      <c r="D650" s="57" t="s">
        <v>2877</v>
      </c>
      <c r="E650" s="102">
        <f>VLOOKUP(Z650&amp;"_"&amp;AA650,活动关卡!$A$60:$Z$83,5+5*AB650,FALSE)</f>
        <v>784</v>
      </c>
      <c r="F650" s="57">
        <v>1</v>
      </c>
      <c r="G650" s="57">
        <v>0</v>
      </c>
      <c r="H650" s="57">
        <v>0</v>
      </c>
      <c r="I650" s="57">
        <v>0</v>
      </c>
      <c r="Z650" s="110" t="str">
        <f t="shared" si="15"/>
        <v>5</v>
      </c>
      <c r="AA650" s="110" t="str">
        <f t="shared" si="16"/>
        <v>6</v>
      </c>
      <c r="AB650" s="110" t="str">
        <f t="shared" si="17"/>
        <v>3</v>
      </c>
    </row>
    <row r="651" spans="2:28" x14ac:dyDescent="0.2">
      <c r="B651" s="57" t="s">
        <v>2294</v>
      </c>
      <c r="C651" s="57">
        <v>1</v>
      </c>
      <c r="D651" s="57" t="s">
        <v>2878</v>
      </c>
      <c r="E651" s="102">
        <f>VLOOKUP(Z651&amp;"_"&amp;AA651,活动关卡!$A$60:$Z$83,5+5*AB651,FALSE)</f>
        <v>7837</v>
      </c>
      <c r="F651" s="57">
        <v>1</v>
      </c>
      <c r="G651" s="57">
        <v>0</v>
      </c>
      <c r="H651" s="57">
        <v>0</v>
      </c>
      <c r="I651" s="57">
        <v>0</v>
      </c>
      <c r="Z651" s="110" t="str">
        <f t="shared" si="15"/>
        <v>5</v>
      </c>
      <c r="AA651" s="110" t="str">
        <f t="shared" si="16"/>
        <v>6</v>
      </c>
      <c r="AB651" s="110" t="str">
        <f t="shared" si="17"/>
        <v>4</v>
      </c>
    </row>
    <row r="652" spans="2:28" x14ac:dyDescent="0.2">
      <c r="B652" s="57" t="s">
        <v>2295</v>
      </c>
      <c r="C652" s="57">
        <v>1</v>
      </c>
      <c r="D652" s="57" t="s">
        <v>2879</v>
      </c>
      <c r="E652" s="102">
        <f>VLOOKUP(Z652&amp;"_"&amp;AA652,活动关卡!$A$60:$Z$83,5+5*AB652,FALSE)</f>
        <v>2268</v>
      </c>
      <c r="F652" s="57">
        <v>1</v>
      </c>
      <c r="G652" s="57">
        <v>0</v>
      </c>
      <c r="H652" s="57">
        <v>0</v>
      </c>
      <c r="I652" s="57">
        <v>0</v>
      </c>
      <c r="Z652" s="110" t="str">
        <f t="shared" si="15"/>
        <v>5</v>
      </c>
      <c r="AA652" s="110" t="str">
        <f t="shared" si="16"/>
        <v>7</v>
      </c>
      <c r="AB652" s="110" t="str">
        <f t="shared" si="17"/>
        <v>1</v>
      </c>
    </row>
    <row r="653" spans="2:28" x14ac:dyDescent="0.2">
      <c r="B653" s="57" t="s">
        <v>2296</v>
      </c>
      <c r="C653" s="57">
        <v>1</v>
      </c>
      <c r="D653" s="57" t="s">
        <v>2880</v>
      </c>
      <c r="E653" s="102">
        <f>VLOOKUP(Z653&amp;"_"&amp;AA653,活动关卡!$A$60:$Z$83,5+5*AB653,FALSE)</f>
        <v>1134</v>
      </c>
      <c r="F653" s="57">
        <v>1</v>
      </c>
      <c r="G653" s="57">
        <v>0</v>
      </c>
      <c r="H653" s="57">
        <v>0</v>
      </c>
      <c r="I653" s="57">
        <v>0</v>
      </c>
      <c r="Z653" s="110" t="str">
        <f t="shared" si="15"/>
        <v>5</v>
      </c>
      <c r="AA653" s="110" t="str">
        <f t="shared" si="16"/>
        <v>7</v>
      </c>
      <c r="AB653" s="110" t="str">
        <f t="shared" si="17"/>
        <v>2</v>
      </c>
    </row>
    <row r="654" spans="2:28" x14ac:dyDescent="0.2">
      <c r="B654" s="57" t="s">
        <v>2297</v>
      </c>
      <c r="C654" s="57">
        <v>1</v>
      </c>
      <c r="D654" s="57" t="s">
        <v>2881</v>
      </c>
      <c r="E654" s="102">
        <f>VLOOKUP(Z654&amp;"_"&amp;AA654,活动关卡!$A$60:$Z$83,5+5*AB654,FALSE)</f>
        <v>567</v>
      </c>
      <c r="F654" s="57">
        <v>1</v>
      </c>
      <c r="G654" s="57">
        <v>0</v>
      </c>
      <c r="H654" s="57">
        <v>0</v>
      </c>
      <c r="I654" s="57">
        <v>0</v>
      </c>
      <c r="Z654" s="110" t="str">
        <f t="shared" si="15"/>
        <v>5</v>
      </c>
      <c r="AA654" s="110" t="str">
        <f t="shared" si="16"/>
        <v>7</v>
      </c>
      <c r="AB654" s="110" t="str">
        <f t="shared" si="17"/>
        <v>3</v>
      </c>
    </row>
    <row r="655" spans="2:28" x14ac:dyDescent="0.2">
      <c r="B655" s="57" t="s">
        <v>2298</v>
      </c>
      <c r="C655" s="57">
        <v>1</v>
      </c>
      <c r="D655" s="57" t="s">
        <v>2882</v>
      </c>
      <c r="E655" s="102">
        <f>VLOOKUP(Z655&amp;"_"&amp;AA655,活动关卡!$A$60:$Z$83,5+5*AB655,FALSE)</f>
        <v>11340</v>
      </c>
      <c r="F655" s="57">
        <v>1</v>
      </c>
      <c r="G655" s="57">
        <v>0</v>
      </c>
      <c r="H655" s="57">
        <v>0</v>
      </c>
      <c r="I655" s="57">
        <v>0</v>
      </c>
      <c r="Z655" s="110" t="str">
        <f t="shared" ref="Z655:Z718" si="18">LEFT(RIGHT(D655,5),1)</f>
        <v>5</v>
      </c>
      <c r="AA655" s="110" t="str">
        <f t="shared" ref="AA655:AA718" si="19">LEFT(RIGHT(D655,3),1)</f>
        <v>7</v>
      </c>
      <c r="AB655" s="110" t="str">
        <f t="shared" ref="AB655:AB718" si="20">RIGHT(D655,1)</f>
        <v>4</v>
      </c>
    </row>
    <row r="656" spans="2:28" x14ac:dyDescent="0.2">
      <c r="B656" s="57" t="s">
        <v>2299</v>
      </c>
      <c r="C656" s="57">
        <v>1</v>
      </c>
      <c r="D656" s="57" t="s">
        <v>2883</v>
      </c>
      <c r="E656" s="102">
        <f>VLOOKUP(Z656&amp;"_"&amp;AA656,活动关卡!$A$60:$Z$83,5+5*AB656,FALSE)</f>
        <v>23709</v>
      </c>
      <c r="F656" s="57">
        <v>1</v>
      </c>
      <c r="G656" s="57">
        <v>0</v>
      </c>
      <c r="H656" s="57">
        <v>0</v>
      </c>
      <c r="I656" s="57">
        <v>0</v>
      </c>
      <c r="Z656" s="110" t="str">
        <f t="shared" si="18"/>
        <v>5</v>
      </c>
      <c r="AA656" s="110" t="str">
        <f t="shared" si="19"/>
        <v>8</v>
      </c>
      <c r="AB656" s="110" t="str">
        <f t="shared" si="20"/>
        <v>1</v>
      </c>
    </row>
    <row r="657" spans="2:28" x14ac:dyDescent="0.2">
      <c r="B657" s="57" t="s">
        <v>2300</v>
      </c>
      <c r="C657" s="57">
        <v>1</v>
      </c>
      <c r="D657" s="57" t="s">
        <v>2884</v>
      </c>
      <c r="E657" s="102">
        <f>VLOOKUP(Z657&amp;"_"&amp;AA657,活动关卡!$A$60:$Z$83,5+5*AB657,FALSE)</f>
        <v>1185</v>
      </c>
      <c r="F657" s="57">
        <v>1</v>
      </c>
      <c r="G657" s="57">
        <v>0</v>
      </c>
      <c r="H657" s="57">
        <v>0</v>
      </c>
      <c r="I657" s="57">
        <v>0</v>
      </c>
      <c r="Z657" s="110" t="str">
        <f t="shared" si="18"/>
        <v>5</v>
      </c>
      <c r="AA657" s="110" t="str">
        <f t="shared" si="19"/>
        <v>8</v>
      </c>
      <c r="AB657" s="110" t="str">
        <f t="shared" si="20"/>
        <v>2</v>
      </c>
    </row>
    <row r="658" spans="2:28" x14ac:dyDescent="0.2">
      <c r="B658" s="57" t="s">
        <v>2301</v>
      </c>
      <c r="C658" s="57">
        <v>1</v>
      </c>
      <c r="D658" s="57" t="s">
        <v>2885</v>
      </c>
      <c r="E658" s="102">
        <f>VLOOKUP(Z658&amp;"_"&amp;AA658,活动关卡!$A$60:$Z$83,5+5*AB658,FALSE)</f>
        <v>3556</v>
      </c>
      <c r="F658" s="57">
        <v>1</v>
      </c>
      <c r="G658" s="57">
        <v>0</v>
      </c>
      <c r="H658" s="57">
        <v>0</v>
      </c>
      <c r="I658" s="57">
        <v>0</v>
      </c>
      <c r="Z658" s="110" t="str">
        <f t="shared" si="18"/>
        <v>5</v>
      </c>
      <c r="AA658" s="110" t="str">
        <f t="shared" si="19"/>
        <v>8</v>
      </c>
      <c r="AB658" s="110" t="str">
        <f t="shared" si="20"/>
        <v>3</v>
      </c>
    </row>
    <row r="659" spans="2:28" x14ac:dyDescent="0.2">
      <c r="B659" s="57" t="s">
        <v>2302</v>
      </c>
      <c r="C659" s="57">
        <v>1</v>
      </c>
      <c r="D659" s="57" t="s">
        <v>2886</v>
      </c>
      <c r="E659" s="102">
        <f>VLOOKUP(Z659&amp;"_"&amp;AA659,活动关卡!$A$60:$Z$83,5+5*AB659,FALSE)</f>
        <v>23709</v>
      </c>
      <c r="F659" s="57">
        <v>1</v>
      </c>
      <c r="G659" s="57">
        <v>0</v>
      </c>
      <c r="H659" s="57">
        <v>0</v>
      </c>
      <c r="I659" s="57">
        <v>0</v>
      </c>
      <c r="Z659" s="110" t="str">
        <f t="shared" si="18"/>
        <v>5</v>
      </c>
      <c r="AA659" s="110" t="str">
        <f t="shared" si="19"/>
        <v>8</v>
      </c>
      <c r="AB659" s="110" t="str">
        <f t="shared" si="20"/>
        <v>4</v>
      </c>
    </row>
    <row r="660" spans="2:28" x14ac:dyDescent="0.2">
      <c r="Z660" s="110" t="str">
        <f t="shared" si="18"/>
        <v/>
      </c>
      <c r="AA660" s="110" t="str">
        <f t="shared" si="19"/>
        <v/>
      </c>
      <c r="AB660" s="110" t="str">
        <f t="shared" si="20"/>
        <v/>
      </c>
    </row>
    <row r="661" spans="2:28" x14ac:dyDescent="0.2">
      <c r="B661" s="57" t="s">
        <v>2303</v>
      </c>
      <c r="C661" s="57">
        <v>1</v>
      </c>
      <c r="D661" s="57" t="s">
        <v>2887</v>
      </c>
      <c r="E661" s="102">
        <f>VLOOKUP(Z661&amp;"_"&amp;AA661,活动关卡!$A$88:$Z$111,5+5*AB661,FALSE)</f>
        <v>95</v>
      </c>
      <c r="F661" s="57">
        <v>1</v>
      </c>
      <c r="G661" s="57">
        <v>0</v>
      </c>
      <c r="H661" s="57">
        <v>0</v>
      </c>
      <c r="I661" s="57">
        <v>0</v>
      </c>
      <c r="J661" s="57">
        <f>IF(LEFT(VLOOKUP(Z661&amp;"_"&amp;AA661,活动关卡!$A$88:$Z$111,7+5*(UnitPropertyCfg!AB661-1),FALSE),2)="乌龟",75,0)</f>
        <v>0</v>
      </c>
      <c r="Z661" s="110" t="str">
        <f t="shared" si="18"/>
        <v>1</v>
      </c>
      <c r="AA661" s="110" t="str">
        <f t="shared" si="19"/>
        <v>1</v>
      </c>
      <c r="AB661" s="110" t="str">
        <f t="shared" si="20"/>
        <v>1</v>
      </c>
    </row>
    <row r="662" spans="2:28" x14ac:dyDescent="0.2">
      <c r="B662" s="57" t="s">
        <v>2304</v>
      </c>
      <c r="C662" s="57">
        <v>1</v>
      </c>
      <c r="D662" s="57" t="s">
        <v>2888</v>
      </c>
      <c r="E662" s="102">
        <f>VLOOKUP(Z662&amp;"_"&amp;AA662,活动关卡!$A$88:$Z$111,5+5*AB662,FALSE)</f>
        <v>381</v>
      </c>
      <c r="F662" s="57">
        <v>1</v>
      </c>
      <c r="G662" s="57">
        <v>0</v>
      </c>
      <c r="H662" s="57">
        <v>0</v>
      </c>
      <c r="I662" s="57">
        <v>0</v>
      </c>
      <c r="J662" s="57">
        <f>IF(LEFT(VLOOKUP(Z662&amp;"_"&amp;AA662,活动关卡!$A$88:$Z$111,7+5*(UnitPropertyCfg!AB662-1),FALSE),2)="乌龟",75,0)</f>
        <v>75</v>
      </c>
      <c r="Z662" s="110" t="str">
        <f t="shared" si="18"/>
        <v>1</v>
      </c>
      <c r="AA662" s="110" t="str">
        <f t="shared" si="19"/>
        <v>1</v>
      </c>
      <c r="AB662" s="110" t="str">
        <f t="shared" si="20"/>
        <v>2</v>
      </c>
    </row>
    <row r="663" spans="2:28" x14ac:dyDescent="0.2">
      <c r="B663" s="57" t="s">
        <v>2305</v>
      </c>
      <c r="C663" s="57">
        <v>1</v>
      </c>
      <c r="D663" s="57" t="s">
        <v>2889</v>
      </c>
      <c r="E663" s="102">
        <f>VLOOKUP(Z663&amp;"_"&amp;AA663,活动关卡!$A$88:$Z$111,5+5*AB663,FALSE)</f>
        <v>158</v>
      </c>
      <c r="F663" s="57">
        <v>1</v>
      </c>
      <c r="G663" s="57">
        <v>0</v>
      </c>
      <c r="H663" s="57">
        <v>0</v>
      </c>
      <c r="I663" s="57">
        <v>0</v>
      </c>
      <c r="J663" s="57">
        <f>IF(LEFT(VLOOKUP(Z663&amp;"_"&amp;AA663,活动关卡!$A$88:$Z$111,7+5*(UnitPropertyCfg!AB663-1),FALSE),2)="乌龟",75,0)</f>
        <v>0</v>
      </c>
      <c r="Z663" s="110" t="str">
        <f t="shared" si="18"/>
        <v>1</v>
      </c>
      <c r="AA663" s="110" t="str">
        <f t="shared" si="19"/>
        <v>2</v>
      </c>
      <c r="AB663" s="110" t="str">
        <f t="shared" si="20"/>
        <v>1</v>
      </c>
    </row>
    <row r="664" spans="2:28" x14ac:dyDescent="0.2">
      <c r="B664" s="57" t="s">
        <v>2306</v>
      </c>
      <c r="C664" s="57">
        <v>1</v>
      </c>
      <c r="D664" s="57" t="s">
        <v>2890</v>
      </c>
      <c r="E664" s="102">
        <f>VLOOKUP(Z664&amp;"_"&amp;AA664,活动关卡!$A$88:$Z$111,5+5*AB664,FALSE)</f>
        <v>632</v>
      </c>
      <c r="F664" s="57">
        <v>1</v>
      </c>
      <c r="G664" s="57">
        <v>0</v>
      </c>
      <c r="H664" s="57">
        <v>0</v>
      </c>
      <c r="I664" s="57">
        <v>0</v>
      </c>
      <c r="J664" s="57">
        <f>IF(LEFT(VLOOKUP(Z664&amp;"_"&amp;AA664,活动关卡!$A$88:$Z$111,7+5*(UnitPropertyCfg!AB664-1),FALSE),2)="乌龟",75,0)</f>
        <v>75</v>
      </c>
      <c r="Z664" s="110" t="str">
        <f t="shared" si="18"/>
        <v>1</v>
      </c>
      <c r="AA664" s="110" t="str">
        <f t="shared" si="19"/>
        <v>2</v>
      </c>
      <c r="AB664" s="110" t="str">
        <f t="shared" si="20"/>
        <v>2</v>
      </c>
    </row>
    <row r="665" spans="2:28" x14ac:dyDescent="0.2">
      <c r="B665" s="57" t="s">
        <v>2307</v>
      </c>
      <c r="C665" s="57">
        <v>1</v>
      </c>
      <c r="D665" s="57" t="s">
        <v>2891</v>
      </c>
      <c r="E665" s="102">
        <f>VLOOKUP(Z665&amp;"_"&amp;AA665,活动关卡!$A$88:$Z$111,5+5*AB665,FALSE)</f>
        <v>180</v>
      </c>
      <c r="F665" s="57">
        <v>1</v>
      </c>
      <c r="G665" s="57">
        <v>0</v>
      </c>
      <c r="H665" s="57">
        <v>0</v>
      </c>
      <c r="I665" s="57">
        <v>0</v>
      </c>
      <c r="J665" s="57">
        <f>IF(LEFT(VLOOKUP(Z665&amp;"_"&amp;AA665,活动关卡!$A$88:$Z$111,7+5*(UnitPropertyCfg!AB665-1),FALSE),2)="乌龟",75,0)</f>
        <v>0</v>
      </c>
      <c r="Z665" s="110" t="str">
        <f t="shared" si="18"/>
        <v>1</v>
      </c>
      <c r="AA665" s="110" t="str">
        <f t="shared" si="19"/>
        <v>3</v>
      </c>
      <c r="AB665" s="110" t="str">
        <f t="shared" si="20"/>
        <v>1</v>
      </c>
    </row>
    <row r="666" spans="2:28" x14ac:dyDescent="0.2">
      <c r="B666" s="57" t="s">
        <v>2308</v>
      </c>
      <c r="C666" s="57">
        <v>1</v>
      </c>
      <c r="D666" s="57" t="s">
        <v>2892</v>
      </c>
      <c r="E666" s="102">
        <f>VLOOKUP(Z666&amp;"_"&amp;AA666,活动关卡!$A$88:$Z$111,5+5*AB666,FALSE)</f>
        <v>720</v>
      </c>
      <c r="F666" s="57">
        <v>1</v>
      </c>
      <c r="G666" s="57">
        <v>0</v>
      </c>
      <c r="H666" s="57">
        <v>0</v>
      </c>
      <c r="I666" s="57">
        <v>0</v>
      </c>
      <c r="J666" s="57">
        <f>IF(LEFT(VLOOKUP(Z666&amp;"_"&amp;AA666,活动关卡!$A$88:$Z$111,7+5*(UnitPropertyCfg!AB666-1),FALSE),2)="乌龟",75,0)</f>
        <v>0</v>
      </c>
      <c r="Z666" s="110" t="str">
        <f t="shared" si="18"/>
        <v>1</v>
      </c>
      <c r="AA666" s="110" t="str">
        <f t="shared" si="19"/>
        <v>3</v>
      </c>
      <c r="AB666" s="110" t="str">
        <f t="shared" si="20"/>
        <v>2</v>
      </c>
    </row>
    <row r="667" spans="2:28" x14ac:dyDescent="0.2">
      <c r="B667" s="57" t="s">
        <v>2309</v>
      </c>
      <c r="C667" s="57">
        <v>1</v>
      </c>
      <c r="D667" s="57" t="s">
        <v>2893</v>
      </c>
      <c r="E667" s="102">
        <f>VLOOKUP(Z667&amp;"_"&amp;AA667,活动关卡!$A$88:$Z$111,5+5*AB667,FALSE)</f>
        <v>720</v>
      </c>
      <c r="F667" s="57">
        <v>1</v>
      </c>
      <c r="G667" s="57">
        <v>0</v>
      </c>
      <c r="H667" s="57">
        <v>0</v>
      </c>
      <c r="I667" s="57">
        <v>0</v>
      </c>
      <c r="J667" s="57">
        <f>IF(LEFT(VLOOKUP(Z667&amp;"_"&amp;AA667,活动关卡!$A$88:$Z$111,7+5*(UnitPropertyCfg!AB667-1),FALSE),2)="乌龟",75,0)</f>
        <v>75</v>
      </c>
      <c r="Z667" s="110" t="str">
        <f t="shared" si="18"/>
        <v>1</v>
      </c>
      <c r="AA667" s="110" t="str">
        <f t="shared" si="19"/>
        <v>3</v>
      </c>
      <c r="AB667" s="110" t="str">
        <f t="shared" si="20"/>
        <v>3</v>
      </c>
    </row>
    <row r="668" spans="2:28" x14ac:dyDescent="0.2">
      <c r="B668" s="57" t="s">
        <v>2310</v>
      </c>
      <c r="C668" s="57">
        <v>1</v>
      </c>
      <c r="D668" s="57" t="s">
        <v>2894</v>
      </c>
      <c r="E668" s="102">
        <f>VLOOKUP(Z668&amp;"_"&amp;AA668,活动关卡!$A$88:$Z$111,5+5*AB668,FALSE)</f>
        <v>180</v>
      </c>
      <c r="F668" s="57">
        <v>1</v>
      </c>
      <c r="G668" s="57">
        <v>0</v>
      </c>
      <c r="H668" s="57">
        <v>0</v>
      </c>
      <c r="I668" s="57">
        <v>0</v>
      </c>
      <c r="J668" s="57">
        <f>IF(LEFT(VLOOKUP(Z668&amp;"_"&amp;AA668,活动关卡!$A$88:$Z$111,7+5*(UnitPropertyCfg!AB668-1),FALSE),2)="乌龟",75,0)</f>
        <v>0</v>
      </c>
      <c r="Z668" s="110" t="str">
        <f t="shared" si="18"/>
        <v>2</v>
      </c>
      <c r="AA668" s="110" t="str">
        <f t="shared" si="19"/>
        <v>1</v>
      </c>
      <c r="AB668" s="110" t="str">
        <f t="shared" si="20"/>
        <v>1</v>
      </c>
    </row>
    <row r="669" spans="2:28" x14ac:dyDescent="0.2">
      <c r="B669" s="57" t="s">
        <v>2311</v>
      </c>
      <c r="C669" s="57">
        <v>1</v>
      </c>
      <c r="D669" s="57" t="s">
        <v>2895</v>
      </c>
      <c r="E669" s="102">
        <f>VLOOKUP(Z669&amp;"_"&amp;AA669,活动关卡!$A$88:$Z$111,5+5*AB669,FALSE)</f>
        <v>360</v>
      </c>
      <c r="F669" s="57">
        <v>1</v>
      </c>
      <c r="G669" s="57">
        <v>0</v>
      </c>
      <c r="H669" s="57">
        <v>0</v>
      </c>
      <c r="I669" s="57">
        <v>0</v>
      </c>
      <c r="J669" s="57">
        <f>IF(LEFT(VLOOKUP(Z669&amp;"_"&amp;AA669,活动关卡!$A$88:$Z$111,7+5*(UnitPropertyCfg!AB669-1),FALSE),2)="乌龟",75,0)</f>
        <v>75</v>
      </c>
      <c r="Z669" s="110" t="str">
        <f t="shared" si="18"/>
        <v>2</v>
      </c>
      <c r="AA669" s="110" t="str">
        <f t="shared" si="19"/>
        <v>1</v>
      </c>
      <c r="AB669" s="110" t="str">
        <f t="shared" si="20"/>
        <v>2</v>
      </c>
    </row>
    <row r="670" spans="2:28" x14ac:dyDescent="0.2">
      <c r="B670" s="57" t="s">
        <v>2312</v>
      </c>
      <c r="C670" s="57">
        <v>1</v>
      </c>
      <c r="D670" s="57" t="s">
        <v>2896</v>
      </c>
      <c r="E670" s="102">
        <f>VLOOKUP(Z670&amp;"_"&amp;AA670,活动关卡!$A$88:$Z$111,5+5*AB670,FALSE)</f>
        <v>288</v>
      </c>
      <c r="F670" s="57">
        <v>1</v>
      </c>
      <c r="G670" s="57">
        <v>0</v>
      </c>
      <c r="H670" s="57">
        <v>0</v>
      </c>
      <c r="I670" s="57">
        <v>0</v>
      </c>
      <c r="J670" s="57">
        <f>IF(LEFT(VLOOKUP(Z670&amp;"_"&amp;AA670,活动关卡!$A$88:$Z$111,7+5*(UnitPropertyCfg!AB670-1),FALSE),2)="乌龟",75,0)</f>
        <v>0</v>
      </c>
      <c r="Z670" s="110" t="str">
        <f t="shared" si="18"/>
        <v>2</v>
      </c>
      <c r="AA670" s="110" t="str">
        <f t="shared" si="19"/>
        <v>2</v>
      </c>
      <c r="AB670" s="110" t="str">
        <f t="shared" si="20"/>
        <v>1</v>
      </c>
    </row>
    <row r="671" spans="2:28" x14ac:dyDescent="0.2">
      <c r="B671" s="57" t="s">
        <v>2313</v>
      </c>
      <c r="C671" s="57">
        <v>1</v>
      </c>
      <c r="D671" s="57" t="s">
        <v>2897</v>
      </c>
      <c r="E671" s="102">
        <f>VLOOKUP(Z671&amp;"_"&amp;AA671,活动关卡!$A$88:$Z$111,5+5*AB671,FALSE)</f>
        <v>576</v>
      </c>
      <c r="F671" s="57">
        <v>1</v>
      </c>
      <c r="G671" s="57">
        <v>0</v>
      </c>
      <c r="H671" s="57">
        <v>0</v>
      </c>
      <c r="I671" s="57">
        <v>0</v>
      </c>
      <c r="J671" s="57">
        <f>IF(LEFT(VLOOKUP(Z671&amp;"_"&amp;AA671,活动关卡!$A$88:$Z$111,7+5*(UnitPropertyCfg!AB671-1),FALSE),2)="乌龟",75,0)</f>
        <v>0</v>
      </c>
      <c r="Z671" s="110" t="str">
        <f t="shared" si="18"/>
        <v>2</v>
      </c>
      <c r="AA671" s="110" t="str">
        <f t="shared" si="19"/>
        <v>2</v>
      </c>
      <c r="AB671" s="110" t="str">
        <f t="shared" si="20"/>
        <v>2</v>
      </c>
    </row>
    <row r="672" spans="2:28" x14ac:dyDescent="0.2">
      <c r="B672" s="57" t="s">
        <v>2314</v>
      </c>
      <c r="C672" s="57">
        <v>1</v>
      </c>
      <c r="D672" s="57" t="s">
        <v>2898</v>
      </c>
      <c r="E672" s="102">
        <f>VLOOKUP(Z672&amp;"_"&amp;AA672,活动关卡!$A$88:$Z$111,5+5*AB672,FALSE)</f>
        <v>576</v>
      </c>
      <c r="F672" s="57">
        <v>1</v>
      </c>
      <c r="G672" s="57">
        <v>0</v>
      </c>
      <c r="H672" s="57">
        <v>0</v>
      </c>
      <c r="I672" s="57">
        <v>0</v>
      </c>
      <c r="J672" s="57">
        <f>IF(LEFT(VLOOKUP(Z672&amp;"_"&amp;AA672,活动关卡!$A$88:$Z$111,7+5*(UnitPropertyCfg!AB672-1),FALSE),2)="乌龟",75,0)</f>
        <v>75</v>
      </c>
      <c r="Z672" s="110" t="str">
        <f t="shared" si="18"/>
        <v>2</v>
      </c>
      <c r="AA672" s="110" t="str">
        <f t="shared" si="19"/>
        <v>2</v>
      </c>
      <c r="AB672" s="110" t="str">
        <f t="shared" si="20"/>
        <v>3</v>
      </c>
    </row>
    <row r="673" spans="2:28" x14ac:dyDescent="0.2">
      <c r="B673" s="57" t="s">
        <v>2315</v>
      </c>
      <c r="C673" s="57">
        <v>1</v>
      </c>
      <c r="D673" s="57" t="s">
        <v>2899</v>
      </c>
      <c r="E673" s="102">
        <f>VLOOKUP(Z673&amp;"_"&amp;AA673,活动关卡!$A$88:$Z$111,5+5*AB673,FALSE)</f>
        <v>309</v>
      </c>
      <c r="F673" s="57">
        <v>1</v>
      </c>
      <c r="G673" s="57">
        <v>0</v>
      </c>
      <c r="H673" s="57">
        <v>0</v>
      </c>
      <c r="I673" s="57">
        <v>0</v>
      </c>
      <c r="J673" s="57">
        <f>IF(LEFT(VLOOKUP(Z673&amp;"_"&amp;AA673,活动关卡!$A$88:$Z$111,7+5*(UnitPropertyCfg!AB673-1),FALSE),2)="乌龟",75,0)</f>
        <v>0</v>
      </c>
      <c r="Z673" s="110" t="str">
        <f t="shared" si="18"/>
        <v>2</v>
      </c>
      <c r="AA673" s="110" t="str">
        <f t="shared" si="19"/>
        <v>3</v>
      </c>
      <c r="AB673" s="110" t="str">
        <f t="shared" si="20"/>
        <v>1</v>
      </c>
    </row>
    <row r="674" spans="2:28" x14ac:dyDescent="0.2">
      <c r="B674" s="57" t="s">
        <v>2316</v>
      </c>
      <c r="C674" s="57">
        <v>1</v>
      </c>
      <c r="D674" s="57" t="s">
        <v>2900</v>
      </c>
      <c r="E674" s="102">
        <f>VLOOKUP(Z674&amp;"_"&amp;AA674,活动关卡!$A$88:$Z$111,5+5*AB674,FALSE)</f>
        <v>154</v>
      </c>
      <c r="F674" s="57">
        <v>1</v>
      </c>
      <c r="G674" s="57">
        <v>0</v>
      </c>
      <c r="H674" s="57">
        <v>0</v>
      </c>
      <c r="I674" s="57">
        <v>0</v>
      </c>
      <c r="J674" s="57">
        <f>IF(LEFT(VLOOKUP(Z674&amp;"_"&amp;AA674,活动关卡!$A$88:$Z$111,7+5*(UnitPropertyCfg!AB674-1),FALSE),2)="乌龟",75,0)</f>
        <v>0</v>
      </c>
      <c r="Z674" s="110" t="str">
        <f t="shared" si="18"/>
        <v>2</v>
      </c>
      <c r="AA674" s="110" t="str">
        <f t="shared" si="19"/>
        <v>3</v>
      </c>
      <c r="AB674" s="110" t="str">
        <f t="shared" si="20"/>
        <v>2</v>
      </c>
    </row>
    <row r="675" spans="2:28" x14ac:dyDescent="0.2">
      <c r="B675" s="57" t="s">
        <v>2317</v>
      </c>
      <c r="C675" s="57">
        <v>1</v>
      </c>
      <c r="D675" s="57" t="s">
        <v>2901</v>
      </c>
      <c r="E675" s="102">
        <f>VLOOKUP(Z675&amp;"_"&amp;AA675,活动关卡!$A$88:$Z$111,5+5*AB675,FALSE)</f>
        <v>617</v>
      </c>
      <c r="F675" s="57">
        <v>1</v>
      </c>
      <c r="G675" s="57">
        <v>0</v>
      </c>
      <c r="H675" s="57">
        <v>0</v>
      </c>
      <c r="I675" s="57">
        <v>0</v>
      </c>
      <c r="J675" s="57">
        <f>IF(LEFT(VLOOKUP(Z675&amp;"_"&amp;AA675,活动关卡!$A$88:$Z$111,7+5*(UnitPropertyCfg!AB675-1),FALSE),2)="乌龟",75,0)</f>
        <v>75</v>
      </c>
      <c r="Z675" s="110" t="str">
        <f t="shared" si="18"/>
        <v>2</v>
      </c>
      <c r="AA675" s="110" t="str">
        <f t="shared" si="19"/>
        <v>3</v>
      </c>
      <c r="AB675" s="110" t="str">
        <f t="shared" si="20"/>
        <v>3</v>
      </c>
    </row>
    <row r="676" spans="2:28" x14ac:dyDescent="0.2">
      <c r="B676" s="57" t="s">
        <v>2318</v>
      </c>
      <c r="C676" s="57">
        <v>1</v>
      </c>
      <c r="D676" s="57" t="s">
        <v>2902</v>
      </c>
      <c r="E676" s="102">
        <f>VLOOKUP(Z676&amp;"_"&amp;AA676,活动关卡!$A$88:$Z$111,5+5*AB676,FALSE)</f>
        <v>400</v>
      </c>
      <c r="F676" s="57">
        <v>1</v>
      </c>
      <c r="G676" s="57">
        <v>0</v>
      </c>
      <c r="H676" s="57">
        <v>0</v>
      </c>
      <c r="I676" s="57">
        <v>0</v>
      </c>
      <c r="J676" s="57">
        <f>IF(LEFT(VLOOKUP(Z676&amp;"_"&amp;AA676,活动关卡!$A$88:$Z$111,7+5*(UnitPropertyCfg!AB676-1),FALSE),2)="乌龟",75,0)</f>
        <v>0</v>
      </c>
      <c r="Z676" s="110" t="str">
        <f t="shared" si="18"/>
        <v>2</v>
      </c>
      <c r="AA676" s="110" t="str">
        <f t="shared" si="19"/>
        <v>4</v>
      </c>
      <c r="AB676" s="110" t="str">
        <f t="shared" si="20"/>
        <v>1</v>
      </c>
    </row>
    <row r="677" spans="2:28" x14ac:dyDescent="0.2">
      <c r="B677" s="57" t="s">
        <v>2319</v>
      </c>
      <c r="C677" s="57">
        <v>1</v>
      </c>
      <c r="D677" s="57" t="s">
        <v>2903</v>
      </c>
      <c r="E677" s="102">
        <f>VLOOKUP(Z677&amp;"_"&amp;AA677,活动关卡!$A$88:$Z$111,5+5*AB677,FALSE)</f>
        <v>200</v>
      </c>
      <c r="F677" s="57">
        <v>1</v>
      </c>
      <c r="G677" s="57">
        <v>0</v>
      </c>
      <c r="H677" s="57">
        <v>0</v>
      </c>
      <c r="I677" s="57">
        <v>0</v>
      </c>
      <c r="J677" s="57">
        <f>IF(LEFT(VLOOKUP(Z677&amp;"_"&amp;AA677,活动关卡!$A$88:$Z$111,7+5*(UnitPropertyCfg!AB677-1),FALSE),2)="乌龟",75,0)</f>
        <v>0</v>
      </c>
      <c r="Z677" s="110" t="str">
        <f t="shared" si="18"/>
        <v>2</v>
      </c>
      <c r="AA677" s="110" t="str">
        <f t="shared" si="19"/>
        <v>4</v>
      </c>
      <c r="AB677" s="110" t="str">
        <f t="shared" si="20"/>
        <v>2</v>
      </c>
    </row>
    <row r="678" spans="2:28" x14ac:dyDescent="0.2">
      <c r="B678" s="57" t="s">
        <v>2320</v>
      </c>
      <c r="C678" s="57">
        <v>1</v>
      </c>
      <c r="D678" s="57" t="s">
        <v>2904</v>
      </c>
      <c r="E678" s="102">
        <f>VLOOKUP(Z678&amp;"_"&amp;AA678,活动关卡!$A$88:$Z$111,5+5*AB678,FALSE)</f>
        <v>800</v>
      </c>
      <c r="F678" s="57">
        <v>1</v>
      </c>
      <c r="G678" s="57">
        <v>0</v>
      </c>
      <c r="H678" s="57">
        <v>0</v>
      </c>
      <c r="I678" s="57">
        <v>0</v>
      </c>
      <c r="J678" s="57">
        <f>IF(LEFT(VLOOKUP(Z678&amp;"_"&amp;AA678,活动关卡!$A$88:$Z$111,7+5*(UnitPropertyCfg!AB678-1),FALSE),2)="乌龟",75,0)</f>
        <v>0</v>
      </c>
      <c r="Z678" s="110" t="str">
        <f t="shared" si="18"/>
        <v>2</v>
      </c>
      <c r="AA678" s="110" t="str">
        <f t="shared" si="19"/>
        <v>4</v>
      </c>
      <c r="AB678" s="110" t="str">
        <f t="shared" si="20"/>
        <v>3</v>
      </c>
    </row>
    <row r="679" spans="2:28" x14ac:dyDescent="0.2">
      <c r="B679" s="57" t="s">
        <v>2321</v>
      </c>
      <c r="C679" s="57">
        <v>1</v>
      </c>
      <c r="D679" s="57" t="s">
        <v>2905</v>
      </c>
      <c r="E679" s="102">
        <f>VLOOKUP(Z679&amp;"_"&amp;AA679,活动关卡!$A$88:$Z$111,5+5*AB679,FALSE)</f>
        <v>800</v>
      </c>
      <c r="F679" s="57">
        <v>1</v>
      </c>
      <c r="G679" s="57">
        <v>0</v>
      </c>
      <c r="H679" s="57">
        <v>0</v>
      </c>
      <c r="I679" s="57">
        <v>0</v>
      </c>
      <c r="J679" s="57">
        <f>IF(LEFT(VLOOKUP(Z679&amp;"_"&amp;AA679,活动关卡!$A$88:$Z$111,7+5*(UnitPropertyCfg!AB679-1),FALSE),2)="乌龟",75,0)</f>
        <v>75</v>
      </c>
      <c r="Z679" s="110" t="str">
        <f t="shared" si="18"/>
        <v>2</v>
      </c>
      <c r="AA679" s="110" t="str">
        <f t="shared" si="19"/>
        <v>4</v>
      </c>
      <c r="AB679" s="110" t="str">
        <f t="shared" si="20"/>
        <v>4</v>
      </c>
    </row>
    <row r="680" spans="2:28" x14ac:dyDescent="0.2">
      <c r="B680" s="57" t="s">
        <v>2322</v>
      </c>
      <c r="C680" s="57">
        <v>1</v>
      </c>
      <c r="D680" s="57" t="s">
        <v>2906</v>
      </c>
      <c r="E680" s="102">
        <f>VLOOKUP(Z680&amp;"_"&amp;AA680,活动关卡!$A$88:$Z$111,5+5*AB680,FALSE)</f>
        <v>563</v>
      </c>
      <c r="F680" s="57">
        <v>1</v>
      </c>
      <c r="G680" s="57">
        <v>0</v>
      </c>
      <c r="H680" s="57">
        <v>0</v>
      </c>
      <c r="I680" s="57">
        <v>0</v>
      </c>
      <c r="J680" s="57">
        <f>IF(LEFT(VLOOKUP(Z680&amp;"_"&amp;AA680,活动关卡!$A$88:$Z$111,7+5*(UnitPropertyCfg!AB680-1),FALSE),2)="乌龟",75,0)</f>
        <v>0</v>
      </c>
      <c r="Z680" s="110" t="str">
        <f t="shared" si="18"/>
        <v>2</v>
      </c>
      <c r="AA680" s="110" t="str">
        <f t="shared" si="19"/>
        <v>5</v>
      </c>
      <c r="AB680" s="110" t="str">
        <f t="shared" si="20"/>
        <v>1</v>
      </c>
    </row>
    <row r="681" spans="2:28" x14ac:dyDescent="0.2">
      <c r="B681" s="57" t="s">
        <v>2323</v>
      </c>
      <c r="C681" s="57">
        <v>1</v>
      </c>
      <c r="D681" s="57" t="s">
        <v>2907</v>
      </c>
      <c r="E681" s="102">
        <f>VLOOKUP(Z681&amp;"_"&amp;AA681,活动关卡!$A$88:$Z$111,5+5*AB681,FALSE)</f>
        <v>281</v>
      </c>
      <c r="F681" s="57">
        <v>1</v>
      </c>
      <c r="G681" s="57">
        <v>0</v>
      </c>
      <c r="H681" s="57">
        <v>0</v>
      </c>
      <c r="I681" s="57">
        <v>0</v>
      </c>
      <c r="J681" s="57">
        <f>IF(LEFT(VLOOKUP(Z681&amp;"_"&amp;AA681,活动关卡!$A$88:$Z$111,7+5*(UnitPropertyCfg!AB681-1),FALSE),2)="乌龟",75,0)</f>
        <v>0</v>
      </c>
      <c r="Z681" s="110" t="str">
        <f t="shared" si="18"/>
        <v>2</v>
      </c>
      <c r="AA681" s="110" t="str">
        <f t="shared" si="19"/>
        <v>5</v>
      </c>
      <c r="AB681" s="110" t="str">
        <f t="shared" si="20"/>
        <v>2</v>
      </c>
    </row>
    <row r="682" spans="2:28" x14ac:dyDescent="0.2">
      <c r="B682" s="57" t="s">
        <v>2324</v>
      </c>
      <c r="C682" s="57">
        <v>1</v>
      </c>
      <c r="D682" s="57" t="s">
        <v>2908</v>
      </c>
      <c r="E682" s="102">
        <f>VLOOKUP(Z682&amp;"_"&amp;AA682,活动关卡!$A$88:$Z$111,5+5*AB682,FALSE)</f>
        <v>1125</v>
      </c>
      <c r="F682" s="57">
        <v>1</v>
      </c>
      <c r="G682" s="57">
        <v>0</v>
      </c>
      <c r="H682" s="57">
        <v>0</v>
      </c>
      <c r="I682" s="57">
        <v>0</v>
      </c>
      <c r="J682" s="57">
        <f>IF(LEFT(VLOOKUP(Z682&amp;"_"&amp;AA682,活动关卡!$A$88:$Z$111,7+5*(UnitPropertyCfg!AB682-1),FALSE),2)="乌龟",75,0)</f>
        <v>0</v>
      </c>
      <c r="Z682" s="110" t="str">
        <f t="shared" si="18"/>
        <v>2</v>
      </c>
      <c r="AA682" s="110" t="str">
        <f t="shared" si="19"/>
        <v>5</v>
      </c>
      <c r="AB682" s="110" t="str">
        <f t="shared" si="20"/>
        <v>3</v>
      </c>
    </row>
    <row r="683" spans="2:28" x14ac:dyDescent="0.2">
      <c r="B683" s="57" t="s">
        <v>2325</v>
      </c>
      <c r="C683" s="57">
        <v>1</v>
      </c>
      <c r="D683" s="57" t="s">
        <v>2909</v>
      </c>
      <c r="E683" s="102">
        <f>VLOOKUP(Z683&amp;"_"&amp;AA683,活动关卡!$A$88:$Z$111,5+5*AB683,FALSE)</f>
        <v>1125</v>
      </c>
      <c r="F683" s="57">
        <v>1</v>
      </c>
      <c r="G683" s="57">
        <v>0</v>
      </c>
      <c r="H683" s="57">
        <v>0</v>
      </c>
      <c r="I683" s="57">
        <v>0</v>
      </c>
      <c r="J683" s="57">
        <f>IF(LEFT(VLOOKUP(Z683&amp;"_"&amp;AA683,活动关卡!$A$88:$Z$111,7+5*(UnitPropertyCfg!AB683-1),FALSE),2)="乌龟",75,0)</f>
        <v>75</v>
      </c>
      <c r="Z683" s="110" t="str">
        <f t="shared" si="18"/>
        <v>2</v>
      </c>
      <c r="AA683" s="110" t="str">
        <f t="shared" si="19"/>
        <v>5</v>
      </c>
      <c r="AB683" s="110" t="str">
        <f t="shared" si="20"/>
        <v>4</v>
      </c>
    </row>
    <row r="684" spans="2:28" x14ac:dyDescent="0.2">
      <c r="B684" s="57" t="s">
        <v>2326</v>
      </c>
      <c r="C684" s="57">
        <v>1</v>
      </c>
      <c r="D684" s="57" t="s">
        <v>2910</v>
      </c>
      <c r="E684" s="102">
        <f>VLOOKUP(Z684&amp;"_"&amp;AA684,活动关卡!$A$88:$Z$111,5+5*AB684,FALSE)</f>
        <v>278</v>
      </c>
      <c r="F684" s="57">
        <v>1</v>
      </c>
      <c r="G684" s="57">
        <v>0</v>
      </c>
      <c r="H684" s="57">
        <v>0</v>
      </c>
      <c r="I684" s="57">
        <v>0</v>
      </c>
      <c r="J684" s="57">
        <f>IF(LEFT(VLOOKUP(Z684&amp;"_"&amp;AA684,活动关卡!$A$88:$Z$111,7+5*(UnitPropertyCfg!AB684-1),FALSE),2)="乌龟",75,0)</f>
        <v>0</v>
      </c>
      <c r="Z684" s="110" t="str">
        <f t="shared" si="18"/>
        <v>3</v>
      </c>
      <c r="AA684" s="110" t="str">
        <f t="shared" si="19"/>
        <v>1</v>
      </c>
      <c r="AB684" s="110" t="str">
        <f t="shared" si="20"/>
        <v>1</v>
      </c>
    </row>
    <row r="685" spans="2:28" x14ac:dyDescent="0.2">
      <c r="B685" s="57" t="s">
        <v>2327</v>
      </c>
      <c r="C685" s="57">
        <v>1</v>
      </c>
      <c r="D685" s="57" t="s">
        <v>2911</v>
      </c>
      <c r="E685" s="102">
        <f>VLOOKUP(Z685&amp;"_"&amp;AA685,活动关卡!$A$88:$Z$111,5+5*AB685,FALSE)</f>
        <v>370</v>
      </c>
      <c r="F685" s="57">
        <v>1</v>
      </c>
      <c r="G685" s="57">
        <v>0</v>
      </c>
      <c r="H685" s="57">
        <v>0</v>
      </c>
      <c r="I685" s="57">
        <v>0</v>
      </c>
      <c r="J685" s="57">
        <f>IF(LEFT(VLOOKUP(Z685&amp;"_"&amp;AA685,活动关卡!$A$88:$Z$111,7+5*(UnitPropertyCfg!AB685-1),FALSE),2)="乌龟",75,0)</f>
        <v>75</v>
      </c>
      <c r="Z685" s="110" t="str">
        <f t="shared" si="18"/>
        <v>3</v>
      </c>
      <c r="AA685" s="110" t="str">
        <f t="shared" si="19"/>
        <v>1</v>
      </c>
      <c r="AB685" s="110" t="str">
        <f t="shared" si="20"/>
        <v>2</v>
      </c>
    </row>
    <row r="686" spans="2:28" x14ac:dyDescent="0.2">
      <c r="B686" s="57" t="s">
        <v>2328</v>
      </c>
      <c r="C686" s="57">
        <v>1</v>
      </c>
      <c r="D686" s="57" t="s">
        <v>2912</v>
      </c>
      <c r="E686" s="102">
        <f>VLOOKUP(Z686&amp;"_"&amp;AA686,活动关卡!$A$88:$Z$111,5+5*AB686,FALSE)</f>
        <v>450</v>
      </c>
      <c r="F686" s="57">
        <v>1</v>
      </c>
      <c r="G686" s="57">
        <v>0</v>
      </c>
      <c r="H686" s="57">
        <v>0</v>
      </c>
      <c r="I686" s="57">
        <v>0</v>
      </c>
      <c r="J686" s="57">
        <f>IF(LEFT(VLOOKUP(Z686&amp;"_"&amp;AA686,活动关卡!$A$88:$Z$111,7+5*(UnitPropertyCfg!AB686-1),FALSE),2)="乌龟",75,0)</f>
        <v>0</v>
      </c>
      <c r="Z686" s="110" t="str">
        <f t="shared" si="18"/>
        <v>3</v>
      </c>
      <c r="AA686" s="110" t="str">
        <f t="shared" si="19"/>
        <v>2</v>
      </c>
      <c r="AB686" s="110" t="str">
        <f t="shared" si="20"/>
        <v>1</v>
      </c>
    </row>
    <row r="687" spans="2:28" x14ac:dyDescent="0.2">
      <c r="B687" s="57" t="s">
        <v>2329</v>
      </c>
      <c r="C687" s="57">
        <v>1</v>
      </c>
      <c r="D687" s="57" t="s">
        <v>2913</v>
      </c>
      <c r="E687" s="102">
        <f>VLOOKUP(Z687&amp;"_"&amp;AA687,活动关卡!$A$88:$Z$111,5+5*AB687,FALSE)</f>
        <v>300</v>
      </c>
      <c r="F687" s="57">
        <v>1</v>
      </c>
      <c r="G687" s="57">
        <v>0</v>
      </c>
      <c r="H687" s="57">
        <v>0</v>
      </c>
      <c r="I687" s="57">
        <v>0</v>
      </c>
      <c r="J687" s="57">
        <f>IF(LEFT(VLOOKUP(Z687&amp;"_"&amp;AA687,活动关卡!$A$88:$Z$111,7+5*(UnitPropertyCfg!AB687-1),FALSE),2)="乌龟",75,0)</f>
        <v>0</v>
      </c>
      <c r="Z687" s="110" t="str">
        <f t="shared" si="18"/>
        <v>3</v>
      </c>
      <c r="AA687" s="110" t="str">
        <f t="shared" si="19"/>
        <v>2</v>
      </c>
      <c r="AB687" s="110" t="str">
        <f t="shared" si="20"/>
        <v>2</v>
      </c>
    </row>
    <row r="688" spans="2:28" x14ac:dyDescent="0.2">
      <c r="B688" s="57" t="s">
        <v>2330</v>
      </c>
      <c r="C688" s="57">
        <v>1</v>
      </c>
      <c r="D688" s="57" t="s">
        <v>2914</v>
      </c>
      <c r="E688" s="102">
        <f>VLOOKUP(Z688&amp;"_"&amp;AA688,活动关卡!$A$88:$Z$111,5+5*AB688,FALSE)</f>
        <v>600</v>
      </c>
      <c r="F688" s="57">
        <v>1</v>
      </c>
      <c r="G688" s="57">
        <v>0</v>
      </c>
      <c r="H688" s="57">
        <v>0</v>
      </c>
      <c r="I688" s="57">
        <v>0</v>
      </c>
      <c r="J688" s="57">
        <f>IF(LEFT(VLOOKUP(Z688&amp;"_"&amp;AA688,活动关卡!$A$88:$Z$111,7+5*(UnitPropertyCfg!AB688-1),FALSE),2)="乌龟",75,0)</f>
        <v>75</v>
      </c>
      <c r="Z688" s="110" t="str">
        <f t="shared" si="18"/>
        <v>3</v>
      </c>
      <c r="AA688" s="110" t="str">
        <f t="shared" si="19"/>
        <v>2</v>
      </c>
      <c r="AB688" s="110" t="str">
        <f t="shared" si="20"/>
        <v>3</v>
      </c>
    </row>
    <row r="689" spans="2:28" x14ac:dyDescent="0.2">
      <c r="B689" s="57" t="s">
        <v>2331</v>
      </c>
      <c r="C689" s="57">
        <v>1</v>
      </c>
      <c r="D689" s="57" t="s">
        <v>2915</v>
      </c>
      <c r="E689" s="102">
        <f>VLOOKUP(Z689&amp;"_"&amp;AA689,活动关卡!$A$88:$Z$111,5+5*AB689,FALSE)</f>
        <v>689</v>
      </c>
      <c r="F689" s="57">
        <v>1</v>
      </c>
      <c r="G689" s="57">
        <v>0</v>
      </c>
      <c r="H689" s="57">
        <v>0</v>
      </c>
      <c r="I689" s="57">
        <v>0</v>
      </c>
      <c r="J689" s="57">
        <f>IF(LEFT(VLOOKUP(Z689&amp;"_"&amp;AA689,活动关卡!$A$88:$Z$111,7+5*(UnitPropertyCfg!AB689-1),FALSE),2)="乌龟",75,0)</f>
        <v>0</v>
      </c>
      <c r="Z689" s="110" t="str">
        <f t="shared" si="18"/>
        <v>3</v>
      </c>
      <c r="AA689" s="110" t="str">
        <f t="shared" si="19"/>
        <v>3</v>
      </c>
      <c r="AB689" s="110" t="str">
        <f t="shared" si="20"/>
        <v>1</v>
      </c>
    </row>
    <row r="690" spans="2:28" x14ac:dyDescent="0.2">
      <c r="B690" s="57" t="s">
        <v>2332</v>
      </c>
      <c r="C690" s="57">
        <v>1</v>
      </c>
      <c r="D690" s="57" t="s">
        <v>2916</v>
      </c>
      <c r="E690" s="102">
        <f>VLOOKUP(Z690&amp;"_"&amp;AA690,活动关卡!$A$88:$Z$111,5+5*AB690,FALSE)</f>
        <v>115</v>
      </c>
      <c r="F690" s="57">
        <v>1</v>
      </c>
      <c r="G690" s="57">
        <v>0</v>
      </c>
      <c r="H690" s="57">
        <v>0</v>
      </c>
      <c r="I690" s="57">
        <v>0</v>
      </c>
      <c r="J690" s="57">
        <f>IF(LEFT(VLOOKUP(Z690&amp;"_"&amp;AA690,活动关卡!$A$88:$Z$111,7+5*(UnitPropertyCfg!AB690-1),FALSE),2)="乌龟",75,0)</f>
        <v>0</v>
      </c>
      <c r="Z690" s="110" t="str">
        <f t="shared" si="18"/>
        <v>3</v>
      </c>
      <c r="AA690" s="110" t="str">
        <f t="shared" si="19"/>
        <v>3</v>
      </c>
      <c r="AB690" s="110" t="str">
        <f t="shared" si="20"/>
        <v>2</v>
      </c>
    </row>
    <row r="691" spans="2:28" x14ac:dyDescent="0.2">
      <c r="B691" s="57" t="s">
        <v>2333</v>
      </c>
      <c r="C691" s="57">
        <v>1</v>
      </c>
      <c r="D691" s="57" t="s">
        <v>2917</v>
      </c>
      <c r="E691" s="102">
        <f>VLOOKUP(Z691&amp;"_"&amp;AA691,活动关卡!$A$88:$Z$111,5+5*AB691,FALSE)</f>
        <v>918</v>
      </c>
      <c r="F691" s="57">
        <v>1</v>
      </c>
      <c r="G691" s="57">
        <v>0</v>
      </c>
      <c r="H691" s="57">
        <v>0</v>
      </c>
      <c r="I691" s="57">
        <v>0</v>
      </c>
      <c r="J691" s="57">
        <f>IF(LEFT(VLOOKUP(Z691&amp;"_"&amp;AA691,活动关卡!$A$88:$Z$111,7+5*(UnitPropertyCfg!AB691-1),FALSE),2)="乌龟",75,0)</f>
        <v>75</v>
      </c>
      <c r="Z691" s="110" t="str">
        <f t="shared" si="18"/>
        <v>3</v>
      </c>
      <c r="AA691" s="110" t="str">
        <f t="shared" si="19"/>
        <v>3</v>
      </c>
      <c r="AB691" s="110" t="str">
        <f t="shared" si="20"/>
        <v>3</v>
      </c>
    </row>
    <row r="692" spans="2:28" x14ac:dyDescent="0.2">
      <c r="B692" s="57" t="s">
        <v>2334</v>
      </c>
      <c r="C692" s="57">
        <v>1</v>
      </c>
      <c r="D692" s="57" t="s">
        <v>2918</v>
      </c>
      <c r="E692" s="102">
        <f>VLOOKUP(Z692&amp;"_"&amp;AA692,活动关卡!$A$88:$Z$111,5+5*AB692,FALSE)</f>
        <v>150</v>
      </c>
      <c r="F692" s="57">
        <v>1</v>
      </c>
      <c r="G692" s="57">
        <v>0</v>
      </c>
      <c r="H692" s="57">
        <v>0</v>
      </c>
      <c r="I692" s="57">
        <v>0</v>
      </c>
      <c r="J692" s="57">
        <f>IF(LEFT(VLOOKUP(Z692&amp;"_"&amp;AA692,活动关卡!$A$88:$Z$111,7+5*(UnitPropertyCfg!AB692-1),FALSE),2)="乌龟",75,0)</f>
        <v>0</v>
      </c>
      <c r="Z692" s="110" t="str">
        <f t="shared" si="18"/>
        <v>4</v>
      </c>
      <c r="AA692" s="110" t="str">
        <f t="shared" si="19"/>
        <v>1</v>
      </c>
      <c r="AB692" s="110" t="str">
        <f t="shared" si="20"/>
        <v>1</v>
      </c>
    </row>
    <row r="693" spans="2:28" x14ac:dyDescent="0.2">
      <c r="B693" s="57" t="s">
        <v>2335</v>
      </c>
      <c r="C693" s="57">
        <v>1</v>
      </c>
      <c r="D693" s="57" t="s">
        <v>2919</v>
      </c>
      <c r="E693" s="102">
        <f>VLOOKUP(Z693&amp;"_"&amp;AA693,活动关卡!$A$88:$Z$111,5+5*AB693,FALSE)</f>
        <v>600</v>
      </c>
      <c r="F693" s="57">
        <v>1</v>
      </c>
      <c r="G693" s="57">
        <v>0</v>
      </c>
      <c r="H693" s="57">
        <v>0</v>
      </c>
      <c r="I693" s="57">
        <v>0</v>
      </c>
      <c r="J693" s="57">
        <f>IF(LEFT(VLOOKUP(Z693&amp;"_"&amp;AA693,活动关卡!$A$88:$Z$111,7+5*(UnitPropertyCfg!AB693-1),FALSE),2)="乌龟",75,0)</f>
        <v>75</v>
      </c>
      <c r="Z693" s="110" t="str">
        <f t="shared" si="18"/>
        <v>4</v>
      </c>
      <c r="AA693" s="110" t="str">
        <f t="shared" si="19"/>
        <v>1</v>
      </c>
      <c r="AB693" s="110" t="str">
        <f t="shared" si="20"/>
        <v>2</v>
      </c>
    </row>
    <row r="694" spans="2:28" x14ac:dyDescent="0.2">
      <c r="B694" s="57" t="s">
        <v>2336</v>
      </c>
      <c r="C694" s="57">
        <v>1</v>
      </c>
      <c r="D694" s="57" t="s">
        <v>2920</v>
      </c>
      <c r="E694" s="102">
        <f>VLOOKUP(Z694&amp;"_"&amp;AA694,活动关卡!$A$88:$Z$111,5+5*AB694,FALSE)</f>
        <v>224</v>
      </c>
      <c r="F694" s="57">
        <v>1</v>
      </c>
      <c r="G694" s="57">
        <v>0</v>
      </c>
      <c r="H694" s="57">
        <v>0</v>
      </c>
      <c r="I694" s="57">
        <v>0</v>
      </c>
      <c r="J694" s="57">
        <f>IF(LEFT(VLOOKUP(Z694&amp;"_"&amp;AA694,活动关卡!$A$88:$Z$111,7+5*(UnitPropertyCfg!AB694-1),FALSE),2)="乌龟",75,0)</f>
        <v>0</v>
      </c>
      <c r="Z694" s="110" t="str">
        <f t="shared" si="18"/>
        <v>4</v>
      </c>
      <c r="AA694" s="110" t="str">
        <f t="shared" si="19"/>
        <v>2</v>
      </c>
      <c r="AB694" s="110" t="str">
        <f t="shared" si="20"/>
        <v>1</v>
      </c>
    </row>
    <row r="695" spans="2:28" x14ac:dyDescent="0.2">
      <c r="B695" s="57" t="s">
        <v>2337</v>
      </c>
      <c r="C695" s="57">
        <v>1</v>
      </c>
      <c r="D695" s="57" t="s">
        <v>2921</v>
      </c>
      <c r="E695" s="102">
        <f>VLOOKUP(Z695&amp;"_"&amp;AA695,活动关卡!$A$88:$Z$111,5+5*AB695,FALSE)</f>
        <v>448</v>
      </c>
      <c r="F695" s="57">
        <v>1</v>
      </c>
      <c r="G695" s="57">
        <v>0</v>
      </c>
      <c r="H695" s="57">
        <v>0</v>
      </c>
      <c r="I695" s="57">
        <v>0</v>
      </c>
      <c r="J695" s="57">
        <f>IF(LEFT(VLOOKUP(Z695&amp;"_"&amp;AA695,活动关卡!$A$88:$Z$111,7+5*(UnitPropertyCfg!AB695-1),FALSE),2)="乌龟",75,0)</f>
        <v>0</v>
      </c>
      <c r="Z695" s="110" t="str">
        <f t="shared" si="18"/>
        <v>4</v>
      </c>
      <c r="AA695" s="110" t="str">
        <f t="shared" si="19"/>
        <v>2</v>
      </c>
      <c r="AB695" s="110" t="str">
        <f t="shared" si="20"/>
        <v>2</v>
      </c>
    </row>
    <row r="696" spans="2:28" x14ac:dyDescent="0.2">
      <c r="B696" s="57" t="s">
        <v>2338</v>
      </c>
      <c r="C696" s="57">
        <v>1</v>
      </c>
      <c r="D696" s="57" t="s">
        <v>2922</v>
      </c>
      <c r="E696" s="102">
        <f>VLOOKUP(Z696&amp;"_"&amp;AA696,活动关卡!$A$88:$Z$111,5+5*AB696,FALSE)</f>
        <v>896</v>
      </c>
      <c r="F696" s="57">
        <v>1</v>
      </c>
      <c r="G696" s="57">
        <v>0</v>
      </c>
      <c r="H696" s="57">
        <v>0</v>
      </c>
      <c r="I696" s="57">
        <v>0</v>
      </c>
      <c r="J696" s="57">
        <f>IF(LEFT(VLOOKUP(Z696&amp;"_"&amp;AA696,活动关卡!$A$88:$Z$111,7+5*(UnitPropertyCfg!AB696-1),FALSE),2)="乌龟",75,0)</f>
        <v>75</v>
      </c>
      <c r="Z696" s="110" t="str">
        <f t="shared" si="18"/>
        <v>4</v>
      </c>
      <c r="AA696" s="110" t="str">
        <f t="shared" si="19"/>
        <v>2</v>
      </c>
      <c r="AB696" s="110" t="str">
        <f t="shared" si="20"/>
        <v>3</v>
      </c>
    </row>
    <row r="697" spans="2:28" x14ac:dyDescent="0.2">
      <c r="B697" s="57" t="s">
        <v>2339</v>
      </c>
      <c r="C697" s="57">
        <v>1</v>
      </c>
      <c r="D697" s="57" t="s">
        <v>2923</v>
      </c>
      <c r="E697" s="102">
        <f>VLOOKUP(Z697&amp;"_"&amp;AA697,活动关卡!$A$88:$Z$111,5+5*AB697,FALSE)</f>
        <v>227</v>
      </c>
      <c r="F697" s="57">
        <v>1</v>
      </c>
      <c r="G697" s="57">
        <v>0</v>
      </c>
      <c r="H697" s="57">
        <v>0</v>
      </c>
      <c r="I697" s="57">
        <v>0</v>
      </c>
      <c r="J697" s="57">
        <f>IF(LEFT(VLOOKUP(Z697&amp;"_"&amp;AA697,活动关卡!$A$88:$Z$111,7+5*(UnitPropertyCfg!AB697-1),FALSE),2)="乌龟",75,0)</f>
        <v>0</v>
      </c>
      <c r="Z697" s="110" t="str">
        <f t="shared" si="18"/>
        <v>4</v>
      </c>
      <c r="AA697" s="110" t="str">
        <f t="shared" si="19"/>
        <v>3</v>
      </c>
      <c r="AB697" s="110" t="str">
        <f t="shared" si="20"/>
        <v>1</v>
      </c>
    </row>
    <row r="698" spans="2:28" x14ac:dyDescent="0.2">
      <c r="B698" s="57" t="s">
        <v>2340</v>
      </c>
      <c r="C698" s="57">
        <v>1</v>
      </c>
      <c r="D698" s="57" t="s">
        <v>2924</v>
      </c>
      <c r="E698" s="102">
        <f>VLOOKUP(Z698&amp;"_"&amp;AA698,活动关卡!$A$88:$Z$111,5+5*AB698,FALSE)</f>
        <v>114</v>
      </c>
      <c r="F698" s="57">
        <v>1</v>
      </c>
      <c r="G698" s="57">
        <v>0</v>
      </c>
      <c r="H698" s="57">
        <v>0</v>
      </c>
      <c r="I698" s="57">
        <v>0</v>
      </c>
      <c r="J698" s="57">
        <f>IF(LEFT(VLOOKUP(Z698&amp;"_"&amp;AA698,活动关卡!$A$88:$Z$111,7+5*(UnitPropertyCfg!AB698-1),FALSE),2)="乌龟",75,0)</f>
        <v>0</v>
      </c>
      <c r="Z698" s="110" t="str">
        <f t="shared" si="18"/>
        <v>4</v>
      </c>
      <c r="AA698" s="110" t="str">
        <f t="shared" si="19"/>
        <v>3</v>
      </c>
      <c r="AB698" s="110" t="str">
        <f t="shared" si="20"/>
        <v>2</v>
      </c>
    </row>
    <row r="699" spans="2:28" x14ac:dyDescent="0.2">
      <c r="B699" s="57" t="s">
        <v>2341</v>
      </c>
      <c r="C699" s="57">
        <v>1</v>
      </c>
      <c r="D699" s="57" t="s">
        <v>2925</v>
      </c>
      <c r="E699" s="102">
        <f>VLOOKUP(Z699&amp;"_"&amp;AA699,活动关卡!$A$88:$Z$111,5+5*AB699,FALSE)</f>
        <v>909</v>
      </c>
      <c r="F699" s="57">
        <v>1</v>
      </c>
      <c r="G699" s="57">
        <v>0</v>
      </c>
      <c r="H699" s="57">
        <v>0</v>
      </c>
      <c r="I699" s="57">
        <v>0</v>
      </c>
      <c r="J699" s="57">
        <f>IF(LEFT(VLOOKUP(Z699&amp;"_"&amp;AA699,活动关卡!$A$88:$Z$111,7+5*(UnitPropertyCfg!AB699-1),FALSE),2)="乌龟",75,0)</f>
        <v>75</v>
      </c>
      <c r="Z699" s="110" t="str">
        <f t="shared" si="18"/>
        <v>4</v>
      </c>
      <c r="AA699" s="110" t="str">
        <f t="shared" si="19"/>
        <v>3</v>
      </c>
      <c r="AB699" s="110" t="str">
        <f t="shared" si="20"/>
        <v>3</v>
      </c>
    </row>
    <row r="700" spans="2:28" x14ac:dyDescent="0.2">
      <c r="B700" s="57" t="s">
        <v>2342</v>
      </c>
      <c r="C700" s="57">
        <v>1</v>
      </c>
      <c r="D700" s="57" t="s">
        <v>2926</v>
      </c>
      <c r="E700" s="102">
        <f>VLOOKUP(Z700&amp;"_"&amp;AA700,活动关卡!$A$88:$Z$111,5+5*AB700,FALSE)</f>
        <v>354</v>
      </c>
      <c r="F700" s="57">
        <v>1</v>
      </c>
      <c r="G700" s="57">
        <v>0</v>
      </c>
      <c r="H700" s="57">
        <v>0</v>
      </c>
      <c r="I700" s="57">
        <v>0</v>
      </c>
      <c r="J700" s="57">
        <f>IF(LEFT(VLOOKUP(Z700&amp;"_"&amp;AA700,活动关卡!$A$88:$Z$111,7+5*(UnitPropertyCfg!AB700-1),FALSE),2)="乌龟",75,0)</f>
        <v>0</v>
      </c>
      <c r="Z700" s="110" t="str">
        <f t="shared" si="18"/>
        <v>4</v>
      </c>
      <c r="AA700" s="110" t="str">
        <f t="shared" si="19"/>
        <v>4</v>
      </c>
      <c r="AB700" s="110" t="str">
        <f t="shared" si="20"/>
        <v>1</v>
      </c>
    </row>
    <row r="701" spans="2:28" x14ac:dyDescent="0.2">
      <c r="B701" s="57" t="s">
        <v>2343</v>
      </c>
      <c r="C701" s="57">
        <v>1</v>
      </c>
      <c r="D701" s="57" t="s">
        <v>2927</v>
      </c>
      <c r="E701" s="102">
        <f>VLOOKUP(Z701&amp;"_"&amp;AA701,活动关卡!$A$88:$Z$111,5+5*AB701,FALSE)</f>
        <v>354</v>
      </c>
      <c r="F701" s="57">
        <v>1</v>
      </c>
      <c r="G701" s="57">
        <v>0</v>
      </c>
      <c r="H701" s="57">
        <v>0</v>
      </c>
      <c r="I701" s="57">
        <v>0</v>
      </c>
      <c r="J701" s="57">
        <f>IF(LEFT(VLOOKUP(Z701&amp;"_"&amp;AA701,活动关卡!$A$88:$Z$111,7+5*(UnitPropertyCfg!AB701-1),FALSE),2)="乌龟",75,0)</f>
        <v>0</v>
      </c>
      <c r="Z701" s="110" t="str">
        <f t="shared" si="18"/>
        <v>4</v>
      </c>
      <c r="AA701" s="110" t="str">
        <f t="shared" si="19"/>
        <v>4</v>
      </c>
      <c r="AB701" s="110" t="str">
        <f t="shared" si="20"/>
        <v>2</v>
      </c>
    </row>
    <row r="702" spans="2:28" x14ac:dyDescent="0.2">
      <c r="B702" s="57" t="s">
        <v>2344</v>
      </c>
      <c r="C702" s="57">
        <v>1</v>
      </c>
      <c r="D702" s="57" t="s">
        <v>2928</v>
      </c>
      <c r="E702" s="102">
        <f>VLOOKUP(Z702&amp;"_"&amp;AA702,活动关卡!$A$88:$Z$111,5+5*AB702,FALSE)</f>
        <v>1418</v>
      </c>
      <c r="F702" s="57">
        <v>1</v>
      </c>
      <c r="G702" s="57">
        <v>0</v>
      </c>
      <c r="H702" s="57">
        <v>0</v>
      </c>
      <c r="I702" s="57">
        <v>0</v>
      </c>
      <c r="J702" s="57">
        <f>IF(LEFT(VLOOKUP(Z702&amp;"_"&amp;AA702,活动关卡!$A$88:$Z$111,7+5*(UnitPropertyCfg!AB702-1),FALSE),2)="乌龟",75,0)</f>
        <v>75</v>
      </c>
      <c r="Z702" s="110" t="str">
        <f t="shared" si="18"/>
        <v>4</v>
      </c>
      <c r="AA702" s="110" t="str">
        <f t="shared" si="19"/>
        <v>4</v>
      </c>
      <c r="AB702" s="110" t="str">
        <f t="shared" si="20"/>
        <v>3</v>
      </c>
    </row>
    <row r="703" spans="2:28" x14ac:dyDescent="0.2">
      <c r="B703" s="57" t="s">
        <v>2345</v>
      </c>
      <c r="C703" s="57">
        <v>1</v>
      </c>
      <c r="D703" s="57" t="s">
        <v>2929</v>
      </c>
      <c r="E703" s="102">
        <f>VLOOKUP(Z703&amp;"_"&amp;AA703,活动关卡!$A$88:$Z$111,5+5*AB703,FALSE)</f>
        <v>396</v>
      </c>
      <c r="F703" s="57">
        <v>1</v>
      </c>
      <c r="G703" s="57">
        <v>0</v>
      </c>
      <c r="H703" s="57">
        <v>0</v>
      </c>
      <c r="I703" s="57">
        <v>0</v>
      </c>
      <c r="J703" s="57">
        <f>IF(LEFT(VLOOKUP(Z703&amp;"_"&amp;AA703,活动关卡!$A$88:$Z$111,7+5*(UnitPropertyCfg!AB703-1),FALSE),2)="乌龟",75,0)</f>
        <v>0</v>
      </c>
      <c r="Z703" s="110" t="str">
        <f t="shared" si="18"/>
        <v>4</v>
      </c>
      <c r="AA703" s="110" t="str">
        <f t="shared" si="19"/>
        <v>5</v>
      </c>
      <c r="AB703" s="110" t="str">
        <f t="shared" si="20"/>
        <v>1</v>
      </c>
    </row>
    <row r="704" spans="2:28" x14ac:dyDescent="0.2">
      <c r="B704" s="57" t="s">
        <v>2346</v>
      </c>
      <c r="C704" s="57">
        <v>1</v>
      </c>
      <c r="D704" s="57" t="s">
        <v>2930</v>
      </c>
      <c r="E704" s="102">
        <f>VLOOKUP(Z704&amp;"_"&amp;AA704,活动关卡!$A$88:$Z$111,5+5*AB704,FALSE)</f>
        <v>1188</v>
      </c>
      <c r="F704" s="57">
        <v>1</v>
      </c>
      <c r="G704" s="57">
        <v>0</v>
      </c>
      <c r="H704" s="57">
        <v>0</v>
      </c>
      <c r="I704" s="57">
        <v>0</v>
      </c>
      <c r="J704" s="57">
        <f>IF(LEFT(VLOOKUP(Z704&amp;"_"&amp;AA704,活动关卡!$A$88:$Z$111,7+5*(UnitPropertyCfg!AB704-1),FALSE),2)="乌龟",75,0)</f>
        <v>0</v>
      </c>
      <c r="Z704" s="110" t="str">
        <f t="shared" si="18"/>
        <v>4</v>
      </c>
      <c r="AA704" s="110" t="str">
        <f t="shared" si="19"/>
        <v>5</v>
      </c>
      <c r="AB704" s="110" t="str">
        <f t="shared" si="20"/>
        <v>2</v>
      </c>
    </row>
    <row r="705" spans="2:28" x14ac:dyDescent="0.2">
      <c r="B705" s="57" t="s">
        <v>2347</v>
      </c>
      <c r="C705" s="57">
        <v>1</v>
      </c>
      <c r="D705" s="57" t="s">
        <v>2931</v>
      </c>
      <c r="E705" s="102">
        <f>VLOOKUP(Z705&amp;"_"&amp;AA705,活动关卡!$A$88:$Z$111,5+5*AB705,FALSE)</f>
        <v>1584</v>
      </c>
      <c r="F705" s="57">
        <v>1</v>
      </c>
      <c r="G705" s="57">
        <v>0</v>
      </c>
      <c r="H705" s="57">
        <v>0</v>
      </c>
      <c r="I705" s="57">
        <v>0</v>
      </c>
      <c r="J705" s="57">
        <f>IF(LEFT(VLOOKUP(Z705&amp;"_"&amp;AA705,活动关卡!$A$88:$Z$111,7+5*(UnitPropertyCfg!AB705-1),FALSE),2)="乌龟",75,0)</f>
        <v>75</v>
      </c>
      <c r="Z705" s="110" t="str">
        <f t="shared" si="18"/>
        <v>4</v>
      </c>
      <c r="AA705" s="110" t="str">
        <f t="shared" si="19"/>
        <v>5</v>
      </c>
      <c r="AB705" s="110" t="str">
        <f t="shared" si="20"/>
        <v>3</v>
      </c>
    </row>
    <row r="706" spans="2:28" x14ac:dyDescent="0.2">
      <c r="B706" s="57" t="s">
        <v>2348</v>
      </c>
      <c r="C706" s="57">
        <v>1</v>
      </c>
      <c r="D706" s="57" t="s">
        <v>2932</v>
      </c>
      <c r="E706" s="102">
        <f>VLOOKUP(Z706&amp;"_"&amp;AA706,活动关卡!$A$88:$Z$111,5+5*AB706,FALSE)</f>
        <v>675</v>
      </c>
      <c r="F706" s="57">
        <v>1</v>
      </c>
      <c r="G706" s="57">
        <v>0</v>
      </c>
      <c r="H706" s="57">
        <v>0</v>
      </c>
      <c r="I706" s="57">
        <v>0</v>
      </c>
      <c r="J706" s="57">
        <f>IF(LEFT(VLOOKUP(Z706&amp;"_"&amp;AA706,活动关卡!$A$88:$Z$111,7+5*(UnitPropertyCfg!AB706-1),FALSE),2)="乌龟",75,0)</f>
        <v>0</v>
      </c>
      <c r="Z706" s="110" t="str">
        <f t="shared" si="18"/>
        <v>5</v>
      </c>
      <c r="AA706" s="110" t="str">
        <f t="shared" si="19"/>
        <v>1</v>
      </c>
      <c r="AB706" s="110" t="str">
        <f t="shared" si="20"/>
        <v>1</v>
      </c>
    </row>
    <row r="707" spans="2:28" x14ac:dyDescent="0.2">
      <c r="B707" s="57" t="s">
        <v>2349</v>
      </c>
      <c r="C707" s="57">
        <v>1</v>
      </c>
      <c r="D707" s="57" t="s">
        <v>2933</v>
      </c>
      <c r="E707" s="102">
        <f>VLOOKUP(Z707&amp;"_"&amp;AA707,活动关卡!$A$88:$Z$111,5+5*AB707,FALSE)</f>
        <v>675</v>
      </c>
      <c r="F707" s="57">
        <v>1</v>
      </c>
      <c r="G707" s="57">
        <v>0</v>
      </c>
      <c r="H707" s="57">
        <v>0</v>
      </c>
      <c r="I707" s="57">
        <v>0</v>
      </c>
      <c r="J707" s="57">
        <f>IF(LEFT(VLOOKUP(Z707&amp;"_"&amp;AA707,活动关卡!$A$88:$Z$111,7+5*(UnitPropertyCfg!AB707-1),FALSE),2)="乌龟",75,0)</f>
        <v>75</v>
      </c>
      <c r="Z707" s="110" t="str">
        <f t="shared" si="18"/>
        <v>5</v>
      </c>
      <c r="AA707" s="110" t="str">
        <f t="shared" si="19"/>
        <v>1</v>
      </c>
      <c r="AB707" s="110" t="str">
        <f t="shared" si="20"/>
        <v>2</v>
      </c>
    </row>
    <row r="708" spans="2:28" x14ac:dyDescent="0.2">
      <c r="B708" s="57" t="s">
        <v>2350</v>
      </c>
      <c r="C708" s="57">
        <v>1</v>
      </c>
      <c r="D708" s="57" t="s">
        <v>2934</v>
      </c>
      <c r="E708" s="102">
        <f>VLOOKUP(Z708&amp;"_"&amp;AA708,活动关卡!$A$88:$Z$111,5+5*AB708,FALSE)</f>
        <v>946</v>
      </c>
      <c r="F708" s="57">
        <v>1</v>
      </c>
      <c r="G708" s="57">
        <v>0</v>
      </c>
      <c r="H708" s="57">
        <v>0</v>
      </c>
      <c r="I708" s="57">
        <v>0</v>
      </c>
      <c r="J708" s="57">
        <f>IF(LEFT(VLOOKUP(Z708&amp;"_"&amp;AA708,活动关卡!$A$88:$Z$111,7+5*(UnitPropertyCfg!AB708-1),FALSE),2)="乌龟",75,0)</f>
        <v>0</v>
      </c>
      <c r="Z708" s="110" t="str">
        <f t="shared" si="18"/>
        <v>5</v>
      </c>
      <c r="AA708" s="110" t="str">
        <f t="shared" si="19"/>
        <v>2</v>
      </c>
      <c r="AB708" s="110" t="str">
        <f t="shared" si="20"/>
        <v>1</v>
      </c>
    </row>
    <row r="709" spans="2:28" x14ac:dyDescent="0.2">
      <c r="B709" s="57" t="s">
        <v>2351</v>
      </c>
      <c r="C709" s="57">
        <v>1</v>
      </c>
      <c r="D709" s="57" t="s">
        <v>2935</v>
      </c>
      <c r="E709" s="102">
        <f>VLOOKUP(Z709&amp;"_"&amp;AA709,活动关卡!$A$88:$Z$111,5+5*AB709,FALSE)</f>
        <v>118</v>
      </c>
      <c r="F709" s="57">
        <v>1</v>
      </c>
      <c r="G709" s="57">
        <v>0</v>
      </c>
      <c r="H709" s="57">
        <v>0</v>
      </c>
      <c r="I709" s="57">
        <v>0</v>
      </c>
      <c r="J709" s="57">
        <f>IF(LEFT(VLOOKUP(Z709&amp;"_"&amp;AA709,活动关卡!$A$88:$Z$111,7+5*(UnitPropertyCfg!AB709-1),FALSE),2)="乌龟",75,0)</f>
        <v>0</v>
      </c>
      <c r="Z709" s="110" t="str">
        <f t="shared" si="18"/>
        <v>5</v>
      </c>
      <c r="AA709" s="110" t="str">
        <f t="shared" si="19"/>
        <v>2</v>
      </c>
      <c r="AB709" s="110" t="str">
        <f t="shared" si="20"/>
        <v>2</v>
      </c>
    </row>
    <row r="710" spans="2:28" x14ac:dyDescent="0.2">
      <c r="B710" s="57" t="s">
        <v>2352</v>
      </c>
      <c r="C710" s="57">
        <v>1</v>
      </c>
      <c r="D710" s="57" t="s">
        <v>2936</v>
      </c>
      <c r="E710" s="102">
        <f>VLOOKUP(Z710&amp;"_"&amp;AA710,活动关卡!$A$88:$Z$111,5+5*AB710,FALSE)</f>
        <v>946</v>
      </c>
      <c r="F710" s="57">
        <v>1</v>
      </c>
      <c r="G710" s="57">
        <v>0</v>
      </c>
      <c r="H710" s="57">
        <v>0</v>
      </c>
      <c r="I710" s="57">
        <v>0</v>
      </c>
      <c r="J710" s="57">
        <f>IF(LEFT(VLOOKUP(Z710&amp;"_"&amp;AA710,活动关卡!$A$88:$Z$111,7+5*(UnitPropertyCfg!AB710-1),FALSE),2)="乌龟",75,0)</f>
        <v>75</v>
      </c>
      <c r="Z710" s="110" t="str">
        <f t="shared" si="18"/>
        <v>5</v>
      </c>
      <c r="AA710" s="110" t="str">
        <f t="shared" si="19"/>
        <v>2</v>
      </c>
      <c r="AB710" s="110" t="str">
        <f t="shared" si="20"/>
        <v>3</v>
      </c>
    </row>
    <row r="711" spans="2:28" x14ac:dyDescent="0.2">
      <c r="B711" s="57" t="s">
        <v>2353</v>
      </c>
      <c r="C711" s="57">
        <v>1</v>
      </c>
      <c r="D711" s="57" t="s">
        <v>2937</v>
      </c>
      <c r="E711" s="102">
        <f>VLOOKUP(Z711&amp;"_"&amp;AA711,活动关卡!$A$88:$Z$111,5+5*AB711,FALSE)</f>
        <v>972</v>
      </c>
      <c r="F711" s="57">
        <v>1</v>
      </c>
      <c r="G711" s="57">
        <v>0</v>
      </c>
      <c r="H711" s="57">
        <v>0</v>
      </c>
      <c r="I711" s="57">
        <v>0</v>
      </c>
      <c r="J711" s="57">
        <f>IF(LEFT(VLOOKUP(Z711&amp;"_"&amp;AA711,活动关卡!$A$88:$Z$111,7+5*(UnitPropertyCfg!AB711-1),FALSE),2)="乌龟",75,0)</f>
        <v>0</v>
      </c>
      <c r="Z711" s="110" t="str">
        <f t="shared" si="18"/>
        <v>5</v>
      </c>
      <c r="AA711" s="110" t="str">
        <f t="shared" si="19"/>
        <v>3</v>
      </c>
      <c r="AB711" s="110" t="str">
        <f t="shared" si="20"/>
        <v>1</v>
      </c>
    </row>
    <row r="712" spans="2:28" x14ac:dyDescent="0.2">
      <c r="B712" s="57" t="s">
        <v>2354</v>
      </c>
      <c r="C712" s="57">
        <v>1</v>
      </c>
      <c r="D712" s="57" t="s">
        <v>2938</v>
      </c>
      <c r="E712" s="102">
        <f>VLOOKUP(Z712&amp;"_"&amp;AA712,活动关卡!$A$88:$Z$111,5+5*AB712,FALSE)</f>
        <v>243</v>
      </c>
      <c r="F712" s="57">
        <v>1</v>
      </c>
      <c r="G712" s="57">
        <v>0</v>
      </c>
      <c r="H712" s="57">
        <v>0</v>
      </c>
      <c r="I712" s="57">
        <v>0</v>
      </c>
      <c r="J712" s="57">
        <f>IF(LEFT(VLOOKUP(Z712&amp;"_"&amp;AA712,活动关卡!$A$88:$Z$111,7+5*(UnitPropertyCfg!AB712-1),FALSE),2)="乌龟",75,0)</f>
        <v>0</v>
      </c>
      <c r="Z712" s="110" t="str">
        <f t="shared" si="18"/>
        <v>5</v>
      </c>
      <c r="AA712" s="110" t="str">
        <f t="shared" si="19"/>
        <v>3</v>
      </c>
      <c r="AB712" s="110" t="str">
        <f t="shared" si="20"/>
        <v>2</v>
      </c>
    </row>
    <row r="713" spans="2:28" x14ac:dyDescent="0.2">
      <c r="B713" s="57" t="s">
        <v>2355</v>
      </c>
      <c r="C713" s="57">
        <v>1</v>
      </c>
      <c r="D713" s="57" t="s">
        <v>2939</v>
      </c>
      <c r="E713" s="102">
        <f>VLOOKUP(Z713&amp;"_"&amp;AA713,活动关卡!$A$88:$Z$111,5+5*AB713,FALSE)</f>
        <v>243</v>
      </c>
      <c r="F713" s="57">
        <v>1</v>
      </c>
      <c r="G713" s="57">
        <v>0</v>
      </c>
      <c r="H713" s="57">
        <v>0</v>
      </c>
      <c r="I713" s="57">
        <v>0</v>
      </c>
      <c r="J713" s="57">
        <f>IF(LEFT(VLOOKUP(Z713&amp;"_"&amp;AA713,活动关卡!$A$88:$Z$111,7+5*(UnitPropertyCfg!AB713-1),FALSE),2)="乌龟",75,0)</f>
        <v>0</v>
      </c>
      <c r="Z713" s="110" t="str">
        <f t="shared" si="18"/>
        <v>5</v>
      </c>
      <c r="AA713" s="110" t="str">
        <f t="shared" si="19"/>
        <v>3</v>
      </c>
      <c r="AB713" s="110" t="str">
        <f t="shared" si="20"/>
        <v>3</v>
      </c>
    </row>
    <row r="714" spans="2:28" x14ac:dyDescent="0.2">
      <c r="B714" s="57" t="s">
        <v>2356</v>
      </c>
      <c r="C714" s="57">
        <v>1</v>
      </c>
      <c r="D714" s="57" t="s">
        <v>2940</v>
      </c>
      <c r="E714" s="102">
        <f>VLOOKUP(Z714&amp;"_"&amp;AA714,活动关卡!$A$88:$Z$111,5+5*AB714,FALSE)</f>
        <v>972</v>
      </c>
      <c r="F714" s="57">
        <v>1</v>
      </c>
      <c r="G714" s="57">
        <v>0</v>
      </c>
      <c r="H714" s="57">
        <v>0</v>
      </c>
      <c r="I714" s="57">
        <v>0</v>
      </c>
      <c r="J714" s="57">
        <f>IF(LEFT(VLOOKUP(Z714&amp;"_"&amp;AA714,活动关卡!$A$88:$Z$111,7+5*(UnitPropertyCfg!AB714-1),FALSE),2)="乌龟",75,0)</f>
        <v>75</v>
      </c>
      <c r="Z714" s="110" t="str">
        <f t="shared" si="18"/>
        <v>5</v>
      </c>
      <c r="AA714" s="110" t="str">
        <f t="shared" si="19"/>
        <v>3</v>
      </c>
      <c r="AB714" s="110" t="str">
        <f t="shared" si="20"/>
        <v>4</v>
      </c>
    </row>
    <row r="715" spans="2:28" x14ac:dyDescent="0.2">
      <c r="B715" s="57" t="s">
        <v>2357</v>
      </c>
      <c r="C715" s="57">
        <v>1</v>
      </c>
      <c r="D715" s="57" t="s">
        <v>2941</v>
      </c>
      <c r="E715" s="102">
        <f>VLOOKUP(Z715&amp;"_"&amp;AA715,活动关卡!$A$88:$Z$111,5+5*AB715,FALSE)</f>
        <v>1452</v>
      </c>
      <c r="F715" s="57">
        <v>1</v>
      </c>
      <c r="G715" s="57">
        <v>0</v>
      </c>
      <c r="H715" s="57">
        <v>0</v>
      </c>
      <c r="I715" s="57">
        <v>0</v>
      </c>
      <c r="J715" s="57">
        <f>IF(LEFT(VLOOKUP(Z715&amp;"_"&amp;AA715,活动关卡!$A$88:$Z$111,7+5*(UnitPropertyCfg!AB715-1),FALSE),2)="乌龟",75,0)</f>
        <v>0</v>
      </c>
      <c r="Z715" s="110" t="str">
        <f t="shared" si="18"/>
        <v>5</v>
      </c>
      <c r="AA715" s="110" t="str">
        <f t="shared" si="19"/>
        <v>4</v>
      </c>
      <c r="AB715" s="110" t="str">
        <f t="shared" si="20"/>
        <v>1</v>
      </c>
    </row>
    <row r="716" spans="2:28" x14ac:dyDescent="0.2">
      <c r="B716" s="57" t="s">
        <v>2358</v>
      </c>
      <c r="C716" s="57">
        <v>1</v>
      </c>
      <c r="D716" s="57" t="s">
        <v>2942</v>
      </c>
      <c r="E716" s="102">
        <f>VLOOKUP(Z716&amp;"_"&amp;AA716,活动关卡!$A$88:$Z$111,5+5*AB716,FALSE)</f>
        <v>363</v>
      </c>
      <c r="F716" s="57">
        <v>1</v>
      </c>
      <c r="G716" s="57">
        <v>0</v>
      </c>
      <c r="H716" s="57">
        <v>0</v>
      </c>
      <c r="I716" s="57">
        <v>0</v>
      </c>
      <c r="J716" s="57">
        <f>IF(LEFT(VLOOKUP(Z716&amp;"_"&amp;AA716,活动关卡!$A$88:$Z$111,7+5*(UnitPropertyCfg!AB716-1),FALSE),2)="乌龟",75,0)</f>
        <v>0</v>
      </c>
      <c r="Z716" s="110" t="str">
        <f t="shared" si="18"/>
        <v>5</v>
      </c>
      <c r="AA716" s="110" t="str">
        <f t="shared" si="19"/>
        <v>4</v>
      </c>
      <c r="AB716" s="110" t="str">
        <f t="shared" si="20"/>
        <v>2</v>
      </c>
    </row>
    <row r="717" spans="2:28" x14ac:dyDescent="0.2">
      <c r="B717" s="57" t="s">
        <v>2359</v>
      </c>
      <c r="C717" s="57">
        <v>1</v>
      </c>
      <c r="D717" s="57" t="s">
        <v>2943</v>
      </c>
      <c r="E717" s="102">
        <f>VLOOKUP(Z717&amp;"_"&amp;AA717,活动关卡!$A$88:$Z$111,5+5*AB717,FALSE)</f>
        <v>1452</v>
      </c>
      <c r="F717" s="57">
        <v>1</v>
      </c>
      <c r="G717" s="57">
        <v>0</v>
      </c>
      <c r="H717" s="57">
        <v>0</v>
      </c>
      <c r="I717" s="57">
        <v>0</v>
      </c>
      <c r="J717" s="57">
        <f>IF(LEFT(VLOOKUP(Z717&amp;"_"&amp;AA717,活动关卡!$A$88:$Z$111,7+5*(UnitPropertyCfg!AB717-1),FALSE),2)="乌龟",75,0)</f>
        <v>75</v>
      </c>
      <c r="Z717" s="110" t="str">
        <f t="shared" si="18"/>
        <v>5</v>
      </c>
      <c r="AA717" s="110" t="str">
        <f t="shared" si="19"/>
        <v>4</v>
      </c>
      <c r="AB717" s="110" t="str">
        <f t="shared" si="20"/>
        <v>3</v>
      </c>
    </row>
    <row r="718" spans="2:28" x14ac:dyDescent="0.2">
      <c r="B718" s="57" t="s">
        <v>2360</v>
      </c>
      <c r="C718" s="57">
        <v>1</v>
      </c>
      <c r="D718" s="57" t="s">
        <v>2944</v>
      </c>
      <c r="E718" s="102">
        <f>VLOOKUP(Z718&amp;"_"&amp;AA718,活动关卡!$A$88:$Z$111,5+5*AB718,FALSE)</f>
        <v>1069</v>
      </c>
      <c r="F718" s="57">
        <v>1</v>
      </c>
      <c r="G718" s="57">
        <v>0</v>
      </c>
      <c r="H718" s="57">
        <v>0</v>
      </c>
      <c r="I718" s="57">
        <v>0</v>
      </c>
      <c r="J718" s="57">
        <f>IF(LEFT(VLOOKUP(Z718&amp;"_"&amp;AA718,活动关卡!$A$88:$Z$111,7+5*(UnitPropertyCfg!AB718-1),FALSE),2)="乌龟",75,0)</f>
        <v>0</v>
      </c>
      <c r="Z718" s="110" t="str">
        <f t="shared" si="18"/>
        <v>5</v>
      </c>
      <c r="AA718" s="110" t="str">
        <f t="shared" si="19"/>
        <v>5</v>
      </c>
      <c r="AB718" s="110" t="str">
        <f t="shared" si="20"/>
        <v>1</v>
      </c>
    </row>
    <row r="719" spans="2:28" x14ac:dyDescent="0.2">
      <c r="B719" s="57" t="s">
        <v>2361</v>
      </c>
      <c r="C719" s="57">
        <v>1</v>
      </c>
      <c r="D719" s="57" t="s">
        <v>2945</v>
      </c>
      <c r="E719" s="102">
        <f>VLOOKUP(Z719&amp;"_"&amp;AA719,活动关卡!$A$88:$Z$111,5+5*AB719,FALSE)</f>
        <v>267</v>
      </c>
      <c r="F719" s="57">
        <v>1</v>
      </c>
      <c r="G719" s="57">
        <v>0</v>
      </c>
      <c r="H719" s="57">
        <v>0</v>
      </c>
      <c r="I719" s="57">
        <v>0</v>
      </c>
      <c r="J719" s="57">
        <f>IF(LEFT(VLOOKUP(Z719&amp;"_"&amp;AA719,活动关卡!$A$88:$Z$111,7+5*(UnitPropertyCfg!AB719-1),FALSE),2)="乌龟",75,0)</f>
        <v>0</v>
      </c>
      <c r="Z719" s="110" t="str">
        <f t="shared" ref="Z719:Z734" si="21">LEFT(RIGHT(D719,5),1)</f>
        <v>5</v>
      </c>
      <c r="AA719" s="110" t="str">
        <f t="shared" ref="AA719:AA734" si="22">LEFT(RIGHT(D719,3),1)</f>
        <v>5</v>
      </c>
      <c r="AB719" s="110" t="str">
        <f t="shared" ref="AB719:AB734" si="23">RIGHT(D719,1)</f>
        <v>2</v>
      </c>
    </row>
    <row r="720" spans="2:28" x14ac:dyDescent="0.2">
      <c r="B720" s="57" t="s">
        <v>2362</v>
      </c>
      <c r="C720" s="57">
        <v>1</v>
      </c>
      <c r="D720" s="57" t="s">
        <v>2946</v>
      </c>
      <c r="E720" s="102">
        <f>VLOOKUP(Z720&amp;"_"&amp;AA720,活动关卡!$A$88:$Z$111,5+5*AB720,FALSE)</f>
        <v>802</v>
      </c>
      <c r="F720" s="57">
        <v>1</v>
      </c>
      <c r="G720" s="57">
        <v>0</v>
      </c>
      <c r="H720" s="57">
        <v>0</v>
      </c>
      <c r="I720" s="57">
        <v>0</v>
      </c>
      <c r="J720" s="57">
        <f>IF(LEFT(VLOOKUP(Z720&amp;"_"&amp;AA720,活动关卡!$A$88:$Z$111,7+5*(UnitPropertyCfg!AB720-1),FALSE),2)="乌龟",75,0)</f>
        <v>0</v>
      </c>
      <c r="Z720" s="110" t="str">
        <f t="shared" si="21"/>
        <v>5</v>
      </c>
      <c r="AA720" s="110" t="str">
        <f t="shared" si="22"/>
        <v>5</v>
      </c>
      <c r="AB720" s="110" t="str">
        <f t="shared" si="23"/>
        <v>3</v>
      </c>
    </row>
    <row r="721" spans="2:28" x14ac:dyDescent="0.2">
      <c r="B721" s="57" t="s">
        <v>2363</v>
      </c>
      <c r="C721" s="57">
        <v>1</v>
      </c>
      <c r="D721" s="57" t="s">
        <v>2947</v>
      </c>
      <c r="E721" s="102">
        <f>VLOOKUP(Z721&amp;"_"&amp;AA721,活动关卡!$A$88:$Z$111,5+5*AB721,FALSE)</f>
        <v>1069</v>
      </c>
      <c r="F721" s="57">
        <v>1</v>
      </c>
      <c r="G721" s="57">
        <v>0</v>
      </c>
      <c r="H721" s="57">
        <v>0</v>
      </c>
      <c r="I721" s="57">
        <v>0</v>
      </c>
      <c r="J721" s="57">
        <f>IF(LEFT(VLOOKUP(Z721&amp;"_"&amp;AA721,活动关卡!$A$88:$Z$111,7+5*(UnitPropertyCfg!AB721-1),FALSE),2)="乌龟",75,0)</f>
        <v>75</v>
      </c>
      <c r="Z721" s="110" t="str">
        <f t="shared" si="21"/>
        <v>5</v>
      </c>
      <c r="AA721" s="110" t="str">
        <f t="shared" si="22"/>
        <v>5</v>
      </c>
      <c r="AB721" s="110" t="str">
        <f t="shared" si="23"/>
        <v>4</v>
      </c>
    </row>
    <row r="722" spans="2:28" x14ac:dyDescent="0.2">
      <c r="B722" s="57" t="s">
        <v>2364</v>
      </c>
      <c r="C722" s="57">
        <v>1</v>
      </c>
      <c r="D722" s="57" t="s">
        <v>2948</v>
      </c>
      <c r="E722" s="102">
        <f>VLOOKUP(Z722&amp;"_"&amp;AA722,活动关卡!$A$88:$Z$111,5+5*AB722,FALSE)</f>
        <v>1568</v>
      </c>
      <c r="F722" s="57">
        <v>1</v>
      </c>
      <c r="G722" s="57">
        <v>0</v>
      </c>
      <c r="H722" s="57">
        <v>0</v>
      </c>
      <c r="I722" s="57">
        <v>0</v>
      </c>
      <c r="J722" s="57">
        <f>IF(LEFT(VLOOKUP(Z722&amp;"_"&amp;AA722,活动关卡!$A$88:$Z$111,7+5*(UnitPropertyCfg!AB722-1),FALSE),2)="乌龟",75,0)</f>
        <v>0</v>
      </c>
      <c r="Z722" s="110" t="str">
        <f t="shared" si="21"/>
        <v>5</v>
      </c>
      <c r="AA722" s="110" t="str">
        <f t="shared" si="22"/>
        <v>6</v>
      </c>
      <c r="AB722" s="110" t="str">
        <f t="shared" si="23"/>
        <v>1</v>
      </c>
    </row>
    <row r="723" spans="2:28" x14ac:dyDescent="0.2">
      <c r="B723" s="57" t="s">
        <v>2365</v>
      </c>
      <c r="C723" s="57">
        <v>1</v>
      </c>
      <c r="D723" s="57" t="s">
        <v>2949</v>
      </c>
      <c r="E723" s="102">
        <f>VLOOKUP(Z723&amp;"_"&amp;AA723,活动关卡!$A$88:$Z$111,5+5*AB723,FALSE)</f>
        <v>2352</v>
      </c>
      <c r="F723" s="57">
        <v>1</v>
      </c>
      <c r="G723" s="57">
        <v>0</v>
      </c>
      <c r="H723" s="57">
        <v>0</v>
      </c>
      <c r="I723" s="57">
        <v>0</v>
      </c>
      <c r="J723" s="57">
        <f>IF(LEFT(VLOOKUP(Z723&amp;"_"&amp;AA723,活动关卡!$A$88:$Z$111,7+5*(UnitPropertyCfg!AB723-1),FALSE),2)="乌龟",75,0)</f>
        <v>0</v>
      </c>
      <c r="Z723" s="110" t="str">
        <f t="shared" si="21"/>
        <v>5</v>
      </c>
      <c r="AA723" s="110" t="str">
        <f t="shared" si="22"/>
        <v>6</v>
      </c>
      <c r="AB723" s="110" t="str">
        <f t="shared" si="23"/>
        <v>2</v>
      </c>
    </row>
    <row r="724" spans="2:28" x14ac:dyDescent="0.2">
      <c r="B724" s="57" t="s">
        <v>2366</v>
      </c>
      <c r="C724" s="57">
        <v>1</v>
      </c>
      <c r="D724" s="57" t="s">
        <v>2950</v>
      </c>
      <c r="E724" s="102">
        <f>VLOOKUP(Z724&amp;"_"&amp;AA724,活动关卡!$A$88:$Z$111,5+5*AB724,FALSE)</f>
        <v>784</v>
      </c>
      <c r="F724" s="57">
        <v>1</v>
      </c>
      <c r="G724" s="57">
        <v>0</v>
      </c>
      <c r="H724" s="57">
        <v>0</v>
      </c>
      <c r="I724" s="57">
        <v>0</v>
      </c>
      <c r="J724" s="57">
        <f>IF(LEFT(VLOOKUP(Z724&amp;"_"&amp;AA724,活动关卡!$A$88:$Z$111,7+5*(UnitPropertyCfg!AB724-1),FALSE),2)="乌龟",75,0)</f>
        <v>0</v>
      </c>
      <c r="Z724" s="110" t="str">
        <f t="shared" si="21"/>
        <v>5</v>
      </c>
      <c r="AA724" s="110" t="str">
        <f t="shared" si="22"/>
        <v>6</v>
      </c>
      <c r="AB724" s="110" t="str">
        <f t="shared" si="23"/>
        <v>3</v>
      </c>
    </row>
    <row r="725" spans="2:28" x14ac:dyDescent="0.2">
      <c r="B725" s="57" t="s">
        <v>2367</v>
      </c>
      <c r="C725" s="57">
        <v>1</v>
      </c>
      <c r="D725" s="57" t="s">
        <v>2951</v>
      </c>
      <c r="E725" s="102">
        <f>VLOOKUP(Z725&amp;"_"&amp;AA725,活动关卡!$A$88:$Z$111,5+5*AB725,FALSE)</f>
        <v>1568</v>
      </c>
      <c r="F725" s="57">
        <v>1</v>
      </c>
      <c r="G725" s="57">
        <v>0</v>
      </c>
      <c r="H725" s="57">
        <v>0</v>
      </c>
      <c r="I725" s="57">
        <v>0</v>
      </c>
      <c r="J725" s="57">
        <f>IF(LEFT(VLOOKUP(Z725&amp;"_"&amp;AA725,活动关卡!$A$88:$Z$111,7+5*(UnitPropertyCfg!AB725-1),FALSE),2)="乌龟",75,0)</f>
        <v>75</v>
      </c>
      <c r="Z725" s="110" t="str">
        <f t="shared" si="21"/>
        <v>5</v>
      </c>
      <c r="AA725" s="110" t="str">
        <f t="shared" si="22"/>
        <v>6</v>
      </c>
      <c r="AB725" s="110" t="str">
        <f t="shared" si="23"/>
        <v>4</v>
      </c>
    </row>
    <row r="726" spans="2:28" x14ac:dyDescent="0.2">
      <c r="B726" s="57" t="s">
        <v>2368</v>
      </c>
      <c r="C726" s="57">
        <v>1</v>
      </c>
      <c r="D726" s="57" t="s">
        <v>2952</v>
      </c>
      <c r="E726" s="102">
        <f>VLOOKUP(Z726&amp;"_"&amp;AA726,活动关卡!$A$88:$Z$111,5+5*AB726,FALSE)</f>
        <v>2268</v>
      </c>
      <c r="F726" s="57">
        <v>1</v>
      </c>
      <c r="G726" s="57">
        <v>0</v>
      </c>
      <c r="H726" s="57">
        <v>0</v>
      </c>
      <c r="I726" s="57">
        <v>0</v>
      </c>
      <c r="J726" s="57">
        <f>IF(LEFT(VLOOKUP(Z726&amp;"_"&amp;AA726,活动关卡!$A$88:$Z$111,7+5*(UnitPropertyCfg!AB726-1),FALSE),2)="乌龟",75,0)</f>
        <v>0</v>
      </c>
      <c r="Z726" s="110" t="str">
        <f t="shared" si="21"/>
        <v>5</v>
      </c>
      <c r="AA726" s="110" t="str">
        <f t="shared" si="22"/>
        <v>7</v>
      </c>
      <c r="AB726" s="110" t="str">
        <f t="shared" si="23"/>
        <v>1</v>
      </c>
    </row>
    <row r="727" spans="2:28" x14ac:dyDescent="0.2">
      <c r="B727" s="57" t="s">
        <v>2369</v>
      </c>
      <c r="C727" s="57">
        <v>1</v>
      </c>
      <c r="D727" s="57" t="s">
        <v>2953</v>
      </c>
      <c r="E727" s="102">
        <f>VLOOKUP(Z727&amp;"_"&amp;AA727,活动关卡!$A$88:$Z$111,5+5*AB727,FALSE)</f>
        <v>1134</v>
      </c>
      <c r="F727" s="57">
        <v>1</v>
      </c>
      <c r="G727" s="57">
        <v>0</v>
      </c>
      <c r="H727" s="57">
        <v>0</v>
      </c>
      <c r="I727" s="57">
        <v>0</v>
      </c>
      <c r="J727" s="57">
        <f>IF(LEFT(VLOOKUP(Z727&amp;"_"&amp;AA727,活动关卡!$A$88:$Z$111,7+5*(UnitPropertyCfg!AB727-1),FALSE),2)="乌龟",75,0)</f>
        <v>0</v>
      </c>
      <c r="Z727" s="110" t="str">
        <f t="shared" si="21"/>
        <v>5</v>
      </c>
      <c r="AA727" s="110" t="str">
        <f t="shared" si="22"/>
        <v>7</v>
      </c>
      <c r="AB727" s="110" t="str">
        <f t="shared" si="23"/>
        <v>2</v>
      </c>
    </row>
    <row r="728" spans="2:28" x14ac:dyDescent="0.2">
      <c r="B728" s="57" t="s">
        <v>2370</v>
      </c>
      <c r="C728" s="57">
        <v>1</v>
      </c>
      <c r="D728" s="57" t="s">
        <v>2954</v>
      </c>
      <c r="E728" s="102">
        <f>VLOOKUP(Z728&amp;"_"&amp;AA728,活动关卡!$A$88:$Z$111,5+5*AB728,FALSE)</f>
        <v>567</v>
      </c>
      <c r="F728" s="57">
        <v>1</v>
      </c>
      <c r="G728" s="57">
        <v>0</v>
      </c>
      <c r="H728" s="57">
        <v>0</v>
      </c>
      <c r="I728" s="57">
        <v>0</v>
      </c>
      <c r="J728" s="57">
        <f>IF(LEFT(VLOOKUP(Z728&amp;"_"&amp;AA728,活动关卡!$A$88:$Z$111,7+5*(UnitPropertyCfg!AB728-1),FALSE),2)="乌龟",75,0)</f>
        <v>0</v>
      </c>
      <c r="Z728" s="110" t="str">
        <f t="shared" si="21"/>
        <v>5</v>
      </c>
      <c r="AA728" s="110" t="str">
        <f t="shared" si="22"/>
        <v>7</v>
      </c>
      <c r="AB728" s="110" t="str">
        <f t="shared" si="23"/>
        <v>3</v>
      </c>
    </row>
    <row r="729" spans="2:28" x14ac:dyDescent="0.2">
      <c r="B729" s="57" t="s">
        <v>2371</v>
      </c>
      <c r="C729" s="57">
        <v>1</v>
      </c>
      <c r="D729" s="57" t="s">
        <v>2955</v>
      </c>
      <c r="E729" s="102">
        <f>VLOOKUP(Z729&amp;"_"&amp;AA729,活动关卡!$A$88:$Z$111,5+5*AB729,FALSE)</f>
        <v>2268</v>
      </c>
      <c r="F729" s="57">
        <v>1</v>
      </c>
      <c r="G729" s="57">
        <v>0</v>
      </c>
      <c r="H729" s="57">
        <v>0</v>
      </c>
      <c r="I729" s="57">
        <v>0</v>
      </c>
      <c r="J729" s="57">
        <f>IF(LEFT(VLOOKUP(Z729&amp;"_"&amp;AA729,活动关卡!$A$88:$Z$111,7+5*(UnitPropertyCfg!AB729-1),FALSE),2)="乌龟",75,0)</f>
        <v>75</v>
      </c>
      <c r="Z729" s="110" t="str">
        <f t="shared" si="21"/>
        <v>5</v>
      </c>
      <c r="AA729" s="110" t="str">
        <f t="shared" si="22"/>
        <v>7</v>
      </c>
      <c r="AB729" s="110" t="str">
        <f t="shared" si="23"/>
        <v>4</v>
      </c>
    </row>
    <row r="730" spans="2:28" x14ac:dyDescent="0.2">
      <c r="B730" s="57" t="s">
        <v>2372</v>
      </c>
      <c r="C730" s="57">
        <v>1</v>
      </c>
      <c r="D730" s="57" t="s">
        <v>2956</v>
      </c>
      <c r="E730" s="102">
        <f>VLOOKUP(Z730&amp;"_"&amp;AA730,活动关卡!$A$88:$Z$111,5+5*AB730,FALSE)</f>
        <v>23718</v>
      </c>
      <c r="F730" s="57">
        <v>1</v>
      </c>
      <c r="G730" s="57">
        <v>0</v>
      </c>
      <c r="H730" s="57">
        <v>0</v>
      </c>
      <c r="I730" s="57">
        <v>0</v>
      </c>
      <c r="J730" s="57">
        <f>IF(LEFT(VLOOKUP(Z730&amp;"_"&amp;AA730,活动关卡!$A$88:$Z$111,7+5*(UnitPropertyCfg!AB730-1),FALSE),2)="乌龟",75,0)</f>
        <v>0</v>
      </c>
      <c r="Z730" s="110" t="str">
        <f t="shared" si="21"/>
        <v>5</v>
      </c>
      <c r="AA730" s="110" t="str">
        <f t="shared" si="22"/>
        <v>8</v>
      </c>
      <c r="AB730" s="110" t="str">
        <f t="shared" si="23"/>
        <v>1</v>
      </c>
    </row>
    <row r="731" spans="2:28" x14ac:dyDescent="0.2">
      <c r="B731" s="57" t="s">
        <v>2373</v>
      </c>
      <c r="C731" s="57">
        <v>1</v>
      </c>
      <c r="D731" s="57" t="s">
        <v>2957</v>
      </c>
      <c r="E731" s="102">
        <f>VLOOKUP(Z731&amp;"_"&amp;AA731,活动关卡!$A$88:$Z$111,5+5*AB731,FALSE)</f>
        <v>1186</v>
      </c>
      <c r="F731" s="57">
        <v>1</v>
      </c>
      <c r="G731" s="57">
        <v>0</v>
      </c>
      <c r="H731" s="57">
        <v>0</v>
      </c>
      <c r="I731" s="57">
        <v>0</v>
      </c>
      <c r="J731" s="57">
        <f>IF(LEFT(VLOOKUP(Z731&amp;"_"&amp;AA731,活动关卡!$A$88:$Z$111,7+5*(UnitPropertyCfg!AB731-1),FALSE),2)="乌龟",75,0)</f>
        <v>0</v>
      </c>
      <c r="Z731" s="110" t="str">
        <f t="shared" si="21"/>
        <v>5</v>
      </c>
      <c r="AA731" s="110" t="str">
        <f t="shared" si="22"/>
        <v>8</v>
      </c>
      <c r="AB731" s="110" t="str">
        <f t="shared" si="23"/>
        <v>2</v>
      </c>
    </row>
    <row r="732" spans="2:28" x14ac:dyDescent="0.2">
      <c r="B732" s="57" t="s">
        <v>2374</v>
      </c>
      <c r="C732" s="57">
        <v>1</v>
      </c>
      <c r="D732" s="57" t="s">
        <v>2958</v>
      </c>
      <c r="E732" s="102">
        <f>VLOOKUP(Z732&amp;"_"&amp;AA732,活动关卡!$A$88:$Z$111,5+5*AB732,FALSE)</f>
        <v>3558</v>
      </c>
      <c r="F732" s="57">
        <v>1</v>
      </c>
      <c r="G732" s="57">
        <v>0</v>
      </c>
      <c r="H732" s="57">
        <v>0</v>
      </c>
      <c r="I732" s="57">
        <v>0</v>
      </c>
      <c r="J732" s="57">
        <f>IF(LEFT(VLOOKUP(Z732&amp;"_"&amp;AA732,活动关卡!$A$88:$Z$111,7+5*(UnitPropertyCfg!AB732-1),FALSE),2)="乌龟",75,0)</f>
        <v>0</v>
      </c>
      <c r="Z732" s="110" t="str">
        <f t="shared" si="21"/>
        <v>5</v>
      </c>
      <c r="AA732" s="110" t="str">
        <f t="shared" si="22"/>
        <v>8</v>
      </c>
      <c r="AB732" s="110" t="str">
        <f t="shared" si="23"/>
        <v>3</v>
      </c>
    </row>
    <row r="733" spans="2:28" x14ac:dyDescent="0.2">
      <c r="B733" s="57" t="s">
        <v>2375</v>
      </c>
      <c r="C733" s="57">
        <v>1</v>
      </c>
      <c r="D733" s="57" t="s">
        <v>2959</v>
      </c>
      <c r="E733" s="102">
        <f>VLOOKUP(Z733&amp;"_"&amp;AA733,活动关卡!$A$88:$Z$111,5+5*AB733,FALSE)</f>
        <v>4744</v>
      </c>
      <c r="F733" s="57">
        <v>1</v>
      </c>
      <c r="G733" s="57">
        <v>0</v>
      </c>
      <c r="H733" s="57">
        <v>0</v>
      </c>
      <c r="I733" s="57">
        <v>0</v>
      </c>
      <c r="J733" s="57">
        <f>IF(LEFT(VLOOKUP(Z733&amp;"_"&amp;AA733,活动关卡!$A$88:$Z$111,7+5*(UnitPropertyCfg!AB733-1),FALSE),2)="乌龟",75,0)</f>
        <v>75</v>
      </c>
      <c r="Z733" s="110" t="str">
        <f t="shared" si="21"/>
        <v>5</v>
      </c>
      <c r="AA733" s="110" t="str">
        <f t="shared" si="22"/>
        <v>8</v>
      </c>
      <c r="AB733" s="110" t="str">
        <f t="shared" si="23"/>
        <v>4</v>
      </c>
    </row>
    <row r="734" spans="2:28" x14ac:dyDescent="0.2">
      <c r="Z734" s="110" t="str">
        <f t="shared" si="21"/>
        <v/>
      </c>
      <c r="AA734" s="110" t="str">
        <f t="shared" si="22"/>
        <v/>
      </c>
      <c r="AB734" s="110" t="str">
        <f t="shared" si="23"/>
        <v/>
      </c>
    </row>
  </sheetData>
  <mergeCells count="12">
    <mergeCell ref="K3:O3"/>
    <mergeCell ref="P3:T3"/>
    <mergeCell ref="U3:Y3"/>
    <mergeCell ref="K1:O1"/>
    <mergeCell ref="P1:T1"/>
    <mergeCell ref="U1:Y1"/>
    <mergeCell ref="K2:L2"/>
    <mergeCell ref="M2:N2"/>
    <mergeCell ref="P2:Q2"/>
    <mergeCell ref="R2:S2"/>
    <mergeCell ref="U2:V2"/>
    <mergeCell ref="W2:X2"/>
  </mergeCells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28CDD-ABFC-4CE9-873F-AA8F2DE5DF02}">
  <dimension ref="A1:R1175"/>
  <sheetViews>
    <sheetView topLeftCell="B1" zoomScale="70" zoomScaleNormal="70" workbookViewId="0">
      <pane xSplit="1" ySplit="6" topLeftCell="C1131" activePane="bottomRight" state="frozen"/>
      <selection activeCell="B1" sqref="B1"/>
      <selection pane="topRight" activeCell="C1" sqref="C1"/>
      <selection pane="bottomLeft" activeCell="B7" sqref="B7"/>
      <selection pane="bottomRight" activeCell="B1123" sqref="A1123:XFD1174"/>
    </sheetView>
  </sheetViews>
  <sheetFormatPr defaultColWidth="9" defaultRowHeight="14.25" x14ac:dyDescent="0.2"/>
  <cols>
    <col min="1" max="1" width="9.25" style="57" customWidth="1"/>
    <col min="2" max="2" width="37.375" style="57" customWidth="1"/>
    <col min="3" max="3" width="11.25" style="57" customWidth="1"/>
    <col min="4" max="4" width="11" style="57" customWidth="1"/>
    <col min="5" max="7" width="13.75" style="57" customWidth="1"/>
    <col min="8" max="8" width="27.625" style="57" customWidth="1"/>
    <col min="9" max="10" width="11.125" style="57" customWidth="1"/>
    <col min="11" max="11" width="16.5" style="57" customWidth="1"/>
    <col min="12" max="12" width="32.375" style="57" bestFit="1" customWidth="1"/>
    <col min="13" max="14" width="9.5" style="57" customWidth="1"/>
    <col min="15" max="15" width="12.375" style="57" customWidth="1"/>
    <col min="16" max="18" width="5.25" style="57" customWidth="1"/>
    <col min="19" max="16384" width="9" style="57"/>
  </cols>
  <sheetData>
    <row r="1" spans="1:18" s="106" customFormat="1" x14ac:dyDescent="0.2">
      <c r="A1" s="63" t="s">
        <v>67</v>
      </c>
      <c r="B1" s="63" t="s">
        <v>432</v>
      </c>
      <c r="C1" s="63" t="s">
        <v>433</v>
      </c>
      <c r="D1" s="63" t="s">
        <v>69</v>
      </c>
      <c r="E1" s="63" t="s">
        <v>155</v>
      </c>
      <c r="F1" s="63" t="s">
        <v>434</v>
      </c>
      <c r="G1" s="63" t="s">
        <v>435</v>
      </c>
      <c r="H1" s="202" t="s">
        <v>436</v>
      </c>
      <c r="I1" s="203"/>
      <c r="J1" s="203"/>
      <c r="K1" s="203"/>
      <c r="L1" s="203"/>
      <c r="M1" s="203"/>
      <c r="N1" s="203"/>
      <c r="O1" s="203"/>
    </row>
    <row r="2" spans="1:18" s="106" customFormat="1" x14ac:dyDescent="0.2">
      <c r="A2" s="63" t="s">
        <v>67</v>
      </c>
      <c r="B2" s="63"/>
      <c r="C2" s="63"/>
      <c r="D2" s="63"/>
      <c r="E2" s="63"/>
      <c r="F2" s="63"/>
      <c r="G2" s="63"/>
      <c r="H2" s="104" t="s">
        <v>437</v>
      </c>
      <c r="I2" s="104" t="s">
        <v>438</v>
      </c>
      <c r="J2" s="104" t="s">
        <v>439</v>
      </c>
      <c r="K2" s="104" t="s">
        <v>440</v>
      </c>
      <c r="L2" s="104" t="s">
        <v>441</v>
      </c>
      <c r="M2" s="104" t="s">
        <v>181</v>
      </c>
      <c r="N2" s="104" t="s">
        <v>896</v>
      </c>
      <c r="O2" s="104" t="s">
        <v>263</v>
      </c>
    </row>
    <row r="3" spans="1:18" s="106" customFormat="1" x14ac:dyDescent="0.2">
      <c r="A3" s="63" t="s">
        <v>67</v>
      </c>
      <c r="B3" s="63"/>
      <c r="C3" s="63"/>
      <c r="D3" s="63"/>
      <c r="E3" s="63"/>
      <c r="F3" s="63"/>
      <c r="G3" s="63"/>
      <c r="H3" s="104"/>
      <c r="I3" s="105"/>
      <c r="J3" s="105"/>
      <c r="K3" s="105"/>
      <c r="L3" s="105"/>
      <c r="M3" s="105"/>
      <c r="N3" s="105"/>
      <c r="O3" s="105"/>
    </row>
    <row r="4" spans="1:18" s="108" customFormat="1" x14ac:dyDescent="0.2">
      <c r="A4" s="64" t="s">
        <v>71</v>
      </c>
      <c r="B4" s="64" t="s">
        <v>72</v>
      </c>
      <c r="C4" s="64" t="s">
        <v>73</v>
      </c>
      <c r="D4" s="64" t="s">
        <v>72</v>
      </c>
      <c r="E4" s="64" t="s">
        <v>72</v>
      </c>
      <c r="F4" s="64" t="s">
        <v>73</v>
      </c>
      <c r="G4" s="64" t="s">
        <v>74</v>
      </c>
      <c r="H4" s="204" t="s">
        <v>442</v>
      </c>
      <c r="I4" s="205"/>
      <c r="J4" s="205"/>
      <c r="K4" s="205"/>
      <c r="L4" s="205"/>
      <c r="M4" s="205"/>
      <c r="N4" s="205"/>
      <c r="O4" s="205"/>
    </row>
    <row r="5" spans="1:18" s="108" customFormat="1" x14ac:dyDescent="0.2">
      <c r="A5" s="64" t="s">
        <v>75</v>
      </c>
      <c r="B5" s="64"/>
      <c r="C5" s="64"/>
      <c r="D5" s="64"/>
      <c r="E5" s="64" t="s">
        <v>76</v>
      </c>
      <c r="F5" s="64"/>
      <c r="G5" s="64"/>
      <c r="H5" s="64"/>
      <c r="I5" s="64"/>
      <c r="J5" s="64"/>
      <c r="K5" s="64"/>
      <c r="L5" s="64"/>
      <c r="M5" s="64"/>
      <c r="N5" s="107"/>
      <c r="O5" s="107"/>
    </row>
    <row r="6" spans="1:18" s="106" customFormat="1" x14ac:dyDescent="0.2">
      <c r="A6" s="67" t="s">
        <v>77</v>
      </c>
      <c r="B6" s="67" t="s">
        <v>443</v>
      </c>
      <c r="C6" s="67" t="s">
        <v>395</v>
      </c>
      <c r="D6" s="67" t="s">
        <v>79</v>
      </c>
      <c r="E6" s="67" t="s">
        <v>80</v>
      </c>
      <c r="F6" s="67" t="s">
        <v>444</v>
      </c>
      <c r="G6" s="67" t="s">
        <v>867</v>
      </c>
      <c r="H6" s="67" t="s">
        <v>445</v>
      </c>
      <c r="I6" s="67" t="s">
        <v>446</v>
      </c>
      <c r="J6" s="67" t="s">
        <v>447</v>
      </c>
      <c r="K6" s="67" t="s">
        <v>448</v>
      </c>
      <c r="L6" s="67" t="s">
        <v>449</v>
      </c>
      <c r="M6" s="67" t="s">
        <v>450</v>
      </c>
      <c r="N6" s="109" t="s">
        <v>897</v>
      </c>
      <c r="O6" s="109" t="s">
        <v>451</v>
      </c>
      <c r="P6" s="106" t="s">
        <v>453</v>
      </c>
      <c r="Q6" s="106" t="s">
        <v>453</v>
      </c>
      <c r="R6" s="106" t="s">
        <v>453</v>
      </c>
    </row>
    <row r="7" spans="1:18" x14ac:dyDescent="0.2">
      <c r="B7" s="57" t="s">
        <v>1203</v>
      </c>
      <c r="C7" s="57">
        <v>1</v>
      </c>
      <c r="D7" s="57" t="str">
        <f>IF(C7="","","新手关卡第"&amp;C7&amp;"波")</f>
        <v>新手关卡第1波</v>
      </c>
      <c r="F7" s="57">
        <f>IF(C7="","",0)</f>
        <v>0</v>
      </c>
      <c r="G7" s="102">
        <f>IF(C7="","",180)</f>
        <v>180</v>
      </c>
      <c r="H7" s="57">
        <f>IF(I7="","",0)</f>
        <v>0</v>
      </c>
      <c r="I7" s="102">
        <f>IF(VLOOKUP(MonsterWaveCallRuleCfg!P7,新手关卡!$A$3:$X$5,5*(MonsterWaveCallRuleCfg!Q7-1)+6,FALSE)=0,"",VLOOKUP(MonsterWaveCallRuleCfg!P7,新手关卡!$A$3:$X$5,5*(MonsterWaveCallRuleCfg!Q7-1)+6,FALSE))</f>
        <v>10</v>
      </c>
      <c r="J7" s="102">
        <f>IF(I7="","",IF(I7=1,0,ROUND(VLOOKUP(P7,新手关卡!$A$3:$X$5,4,FALSE)/I7,1)))</f>
        <v>1</v>
      </c>
      <c r="K7" s="102">
        <f>IF(I7="","",1)</f>
        <v>1</v>
      </c>
      <c r="L7" s="102" t="str">
        <f>IF(K7="","","Monster_Tutorial_"&amp;P7&amp;"_"&amp;Q7)</f>
        <v>Monster_Tutorial_1_1</v>
      </c>
      <c r="M7" s="57">
        <f>IF(I7="","",1)</f>
        <v>1</v>
      </c>
      <c r="O7" s="102">
        <f>IF(VLOOKUP(MonsterWaveCallRuleCfg!P7,新手关卡!$A$3:$X$5,5*(MonsterWaveCallRuleCfg!Q7-1)+9,FALSE)=0,"",VLOOKUP(MonsterWaveCallRuleCfg!P7,新手关卡!$A$3:$X$5,5*(MonsterWaveCallRuleCfg!Q7-1)+9,FALSE))</f>
        <v>60</v>
      </c>
      <c r="P7" s="110">
        <f>IF(C7="",#REF!,C7)</f>
        <v>1</v>
      </c>
      <c r="Q7" s="110">
        <v>1</v>
      </c>
    </row>
    <row r="8" spans="1:18" x14ac:dyDescent="0.2">
      <c r="D8" s="57" t="str">
        <f t="shared" ref="D8:D18" si="0">IF(C8="","","新手关卡第"&amp;C8&amp;"波")</f>
        <v/>
      </c>
      <c r="F8" s="57" t="str">
        <f t="shared" ref="F8:F10" si="1">IF(C8="","",0)</f>
        <v/>
      </c>
      <c r="G8" s="102" t="str">
        <f t="shared" ref="G8:G10" si="2">IF(C8="","",180)</f>
        <v/>
      </c>
      <c r="H8" s="57" t="str">
        <f t="shared" ref="H8:H18" si="3">IF(I8="","",0)</f>
        <v/>
      </c>
      <c r="I8" s="102" t="str">
        <f>IF(VLOOKUP(MonsterWaveCallRuleCfg!P8,新手关卡!$A$3:$X$5,5*(MonsterWaveCallRuleCfg!Q8-1)+6,FALSE)=0,"",VLOOKUP(MonsterWaveCallRuleCfg!P8,新手关卡!$A$3:$X$5,5*(MonsterWaveCallRuleCfg!Q8-1)+6,FALSE))</f>
        <v/>
      </c>
      <c r="J8" s="102" t="str">
        <f>IF(I8="","",IF(I8=1,0,ROUND(VLOOKUP(P8,新手关卡!$A$3:$X$5,4,FALSE)/I8,1)))</f>
        <v/>
      </c>
      <c r="K8" s="102" t="str">
        <f t="shared" ref="K8:K18" si="4">IF(I8="","",1)</f>
        <v/>
      </c>
      <c r="L8" s="102" t="str">
        <f t="shared" ref="L8:L18" si="5">IF(K8="","","Monster_Tutorial_"&amp;P8&amp;"_"&amp;Q8)</f>
        <v/>
      </c>
      <c r="M8" s="57" t="str">
        <f t="shared" ref="M8:M10" si="6">IF(I8="","",1)</f>
        <v/>
      </c>
      <c r="O8" s="102" t="str">
        <f>IF(VLOOKUP(MonsterWaveCallRuleCfg!P8,新手关卡!$A$3:$X$5,5*(MonsterWaveCallRuleCfg!Q8-1)+9,FALSE)=0,"",VLOOKUP(MonsterWaveCallRuleCfg!P8,新手关卡!$A$3:$X$5,5*(MonsterWaveCallRuleCfg!Q8-1)+9,FALSE))</f>
        <v/>
      </c>
      <c r="P8" s="110">
        <f t="shared" ref="P8:P10" si="7">IF(C8="",P7,C8)</f>
        <v>1</v>
      </c>
      <c r="Q8" s="110">
        <v>2</v>
      </c>
    </row>
    <row r="9" spans="1:18" x14ac:dyDescent="0.2">
      <c r="D9" s="57" t="str">
        <f t="shared" si="0"/>
        <v/>
      </c>
      <c r="F9" s="57" t="str">
        <f t="shared" si="1"/>
        <v/>
      </c>
      <c r="G9" s="102" t="str">
        <f t="shared" si="2"/>
        <v/>
      </c>
      <c r="H9" s="57" t="str">
        <f t="shared" si="3"/>
        <v/>
      </c>
      <c r="I9" s="102" t="str">
        <f>IF(VLOOKUP(MonsterWaveCallRuleCfg!P9,新手关卡!$A$3:$X$5,5*(MonsterWaveCallRuleCfg!Q9-1)+6,FALSE)=0,"",VLOOKUP(MonsterWaveCallRuleCfg!P9,新手关卡!$A$3:$X$5,5*(MonsterWaveCallRuleCfg!Q9-1)+6,FALSE))</f>
        <v/>
      </c>
      <c r="J9" s="102" t="str">
        <f>IF(I9="","",IF(I9=1,0,ROUND(VLOOKUP(P9,新手关卡!$A$3:$X$5,4,FALSE)/I9,1)))</f>
        <v/>
      </c>
      <c r="K9" s="102" t="str">
        <f t="shared" si="4"/>
        <v/>
      </c>
      <c r="L9" s="102" t="str">
        <f t="shared" si="5"/>
        <v/>
      </c>
      <c r="M9" s="57" t="str">
        <f t="shared" si="6"/>
        <v/>
      </c>
      <c r="O9" s="102" t="str">
        <f>IF(VLOOKUP(MonsterWaveCallRuleCfg!P9,新手关卡!$A$3:$X$5,5*(MonsterWaveCallRuleCfg!Q9-1)+9,FALSE)=0,"",VLOOKUP(MonsterWaveCallRuleCfg!P9,新手关卡!$A$3:$X$5,5*(MonsterWaveCallRuleCfg!Q9-1)+9,FALSE))</f>
        <v/>
      </c>
      <c r="P9" s="110">
        <f t="shared" si="7"/>
        <v>1</v>
      </c>
      <c r="Q9" s="110">
        <v>3</v>
      </c>
    </row>
    <row r="10" spans="1:18" x14ac:dyDescent="0.2">
      <c r="D10" s="57" t="str">
        <f t="shared" si="0"/>
        <v/>
      </c>
      <c r="F10" s="57" t="str">
        <f t="shared" si="1"/>
        <v/>
      </c>
      <c r="G10" s="102" t="str">
        <f t="shared" si="2"/>
        <v/>
      </c>
      <c r="H10" s="57" t="str">
        <f t="shared" si="3"/>
        <v/>
      </c>
      <c r="I10" s="102" t="str">
        <f>IF(VLOOKUP(MonsterWaveCallRuleCfg!P10,新手关卡!$A$3:$X$5,5*(MonsterWaveCallRuleCfg!Q10-1)+6,FALSE)=0,"",VLOOKUP(MonsterWaveCallRuleCfg!P10,新手关卡!$A$3:$X$5,5*(MonsterWaveCallRuleCfg!Q10-1)+6,FALSE))</f>
        <v/>
      </c>
      <c r="J10" s="102" t="str">
        <f>IF(I10="","",IF(I10=1,0,ROUND(VLOOKUP(P10,新手关卡!$A$3:$X$5,4,FALSE)/I10,1)))</f>
        <v/>
      </c>
      <c r="K10" s="102" t="str">
        <f t="shared" si="4"/>
        <v/>
      </c>
      <c r="L10" s="102" t="str">
        <f t="shared" si="5"/>
        <v/>
      </c>
      <c r="M10" s="57" t="str">
        <f t="shared" si="6"/>
        <v/>
      </c>
      <c r="O10" s="102" t="str">
        <f>IF(VLOOKUP(MonsterWaveCallRuleCfg!P10,新手关卡!$A$3:$X$5,5*(MonsterWaveCallRuleCfg!Q10-1)+9,FALSE)=0,"",VLOOKUP(MonsterWaveCallRuleCfg!P10,新手关卡!$A$3:$X$5,5*(MonsterWaveCallRuleCfg!Q10-1)+9,FALSE))</f>
        <v/>
      </c>
      <c r="P10" s="110">
        <f t="shared" si="7"/>
        <v>1</v>
      </c>
      <c r="Q10" s="110">
        <v>4</v>
      </c>
    </row>
    <row r="11" spans="1:18" x14ac:dyDescent="0.2">
      <c r="B11" s="57" t="s">
        <v>1203</v>
      </c>
      <c r="C11" s="57">
        <v>2</v>
      </c>
      <c r="D11" s="57" t="str">
        <f t="shared" si="0"/>
        <v>新手关卡第2波</v>
      </c>
      <c r="F11" s="57">
        <f>IF(C11="","",0)</f>
        <v>0</v>
      </c>
      <c r="G11" s="102">
        <f>IF(C11="","",180)</f>
        <v>180</v>
      </c>
      <c r="H11" s="57">
        <f t="shared" si="3"/>
        <v>0</v>
      </c>
      <c r="I11" s="102">
        <f>IF(VLOOKUP(MonsterWaveCallRuleCfg!P11,新手关卡!$A$3:$X$5,5*(MonsterWaveCallRuleCfg!Q11-1)+6,FALSE)=0,"",VLOOKUP(MonsterWaveCallRuleCfg!P11,新手关卡!$A$3:$X$5,5*(MonsterWaveCallRuleCfg!Q11-1)+6,FALSE))</f>
        <v>27</v>
      </c>
      <c r="J11" s="102">
        <f>IF(I11="","",IF(I11=1,0,ROUND(VLOOKUP(P11,新手关卡!$A$3:$X$5,4,FALSE)/I11,1)))</f>
        <v>0.7</v>
      </c>
      <c r="K11" s="102">
        <f t="shared" si="4"/>
        <v>1</v>
      </c>
      <c r="L11" s="102" t="str">
        <f t="shared" si="5"/>
        <v>Monster_Tutorial_2_1</v>
      </c>
      <c r="M11" s="57">
        <f>IF(I11="","",1)</f>
        <v>1</v>
      </c>
      <c r="O11" s="102">
        <f>IF(VLOOKUP(MonsterWaveCallRuleCfg!P11,新手关卡!$A$3:$X$5,5*(MonsterWaveCallRuleCfg!Q11-1)+9,FALSE)=0,"",VLOOKUP(MonsterWaveCallRuleCfg!P11,新手关卡!$A$3:$X$5,5*(MonsterWaveCallRuleCfg!Q11-1)+9,FALSE))</f>
        <v>7</v>
      </c>
      <c r="P11" s="110">
        <f>IF(C11="",#REF!,C11)</f>
        <v>2</v>
      </c>
      <c r="Q11" s="110">
        <v>1</v>
      </c>
    </row>
    <row r="12" spans="1:18" x14ac:dyDescent="0.2">
      <c r="D12" s="57" t="str">
        <f t="shared" si="0"/>
        <v/>
      </c>
      <c r="F12" s="57" t="str">
        <f t="shared" ref="F12:F14" si="8">IF(C12="","",0)</f>
        <v/>
      </c>
      <c r="G12" s="102" t="str">
        <f t="shared" ref="G12:G14" si="9">IF(C12="","",180)</f>
        <v/>
      </c>
      <c r="H12" s="57">
        <f t="shared" si="3"/>
        <v>0</v>
      </c>
      <c r="I12" s="102">
        <f>IF(VLOOKUP(MonsterWaveCallRuleCfg!P12,新手关卡!$A$3:$X$5,5*(MonsterWaveCallRuleCfg!Q12-1)+6,FALSE)=0,"",VLOOKUP(MonsterWaveCallRuleCfg!P12,新手关卡!$A$3:$X$5,5*(MonsterWaveCallRuleCfg!Q12-1)+6,FALSE))</f>
        <v>10</v>
      </c>
      <c r="J12" s="102">
        <f>IF(I12="","",IF(I12=1,0,ROUND(VLOOKUP(P12,新手关卡!$A$3:$X$5,4,FALSE)/I12,1)))</f>
        <v>2</v>
      </c>
      <c r="K12" s="102">
        <f t="shared" si="4"/>
        <v>1</v>
      </c>
      <c r="L12" s="102" t="str">
        <f t="shared" si="5"/>
        <v>Monster_Tutorial_2_2</v>
      </c>
      <c r="M12" s="57">
        <f t="shared" ref="M12:M14" si="10">IF(I12="","",1)</f>
        <v>1</v>
      </c>
      <c r="O12" s="102">
        <f>IF(VLOOKUP(MonsterWaveCallRuleCfg!P12,新手关卡!$A$3:$X$5,5*(MonsterWaveCallRuleCfg!Q12-1)+9,FALSE)=0,"",VLOOKUP(MonsterWaveCallRuleCfg!P12,新手关卡!$A$3:$X$5,5*(MonsterWaveCallRuleCfg!Q12-1)+9,FALSE))</f>
        <v>14</v>
      </c>
      <c r="P12" s="110">
        <f t="shared" ref="P12:P14" si="11">IF(C12="",P11,C12)</f>
        <v>2</v>
      </c>
      <c r="Q12" s="110">
        <v>2</v>
      </c>
    </row>
    <row r="13" spans="1:18" x14ac:dyDescent="0.2">
      <c r="D13" s="57" t="str">
        <f t="shared" si="0"/>
        <v/>
      </c>
      <c r="F13" s="57" t="str">
        <f t="shared" si="8"/>
        <v/>
      </c>
      <c r="G13" s="102" t="str">
        <f t="shared" si="9"/>
        <v/>
      </c>
      <c r="H13" s="57">
        <v>10</v>
      </c>
      <c r="I13" s="102">
        <f>IF(VLOOKUP(MonsterWaveCallRuleCfg!P13,新手关卡!$A$3:$X$5,5*(MonsterWaveCallRuleCfg!Q13-1)+6,FALSE)=0,"",VLOOKUP(MonsterWaveCallRuleCfg!P13,新手关卡!$A$3:$X$5,5*(MonsterWaveCallRuleCfg!Q13-1)+6,FALSE))</f>
        <v>1</v>
      </c>
      <c r="J13" s="102">
        <f>IF(I13="","",IF(I13=1,0,ROUND(VLOOKUP(P13,新手关卡!$A$3:$X$5,4,FALSE)/I13,1)))</f>
        <v>0</v>
      </c>
      <c r="K13" s="102">
        <f t="shared" si="4"/>
        <v>1</v>
      </c>
      <c r="L13" s="102" t="str">
        <f t="shared" si="5"/>
        <v>Monster_Tutorial_2_3</v>
      </c>
      <c r="M13" s="57">
        <f t="shared" si="10"/>
        <v>1</v>
      </c>
      <c r="O13" s="102">
        <f>IF(VLOOKUP(MonsterWaveCallRuleCfg!P13,新手关卡!$A$3:$X$5,5*(MonsterWaveCallRuleCfg!Q13-1)+9,FALSE)=0,"",VLOOKUP(MonsterWaveCallRuleCfg!P13,新手关卡!$A$3:$X$5,5*(MonsterWaveCallRuleCfg!Q13-1)+9,FALSE))</f>
        <v>276</v>
      </c>
      <c r="P13" s="110">
        <f t="shared" si="11"/>
        <v>2</v>
      </c>
      <c r="Q13" s="110">
        <v>3</v>
      </c>
    </row>
    <row r="14" spans="1:18" x14ac:dyDescent="0.2">
      <c r="D14" s="57" t="str">
        <f t="shared" si="0"/>
        <v/>
      </c>
      <c r="F14" s="57" t="str">
        <f t="shared" si="8"/>
        <v/>
      </c>
      <c r="G14" s="102" t="str">
        <f t="shared" si="9"/>
        <v/>
      </c>
      <c r="H14" s="57" t="str">
        <f t="shared" si="3"/>
        <v/>
      </c>
      <c r="I14" s="102" t="str">
        <f>IF(VLOOKUP(MonsterWaveCallRuleCfg!P14,新手关卡!$A$3:$X$5,5*(MonsterWaveCallRuleCfg!Q14-1)+6,FALSE)=0,"",VLOOKUP(MonsterWaveCallRuleCfg!P14,新手关卡!$A$3:$X$5,5*(MonsterWaveCallRuleCfg!Q14-1)+6,FALSE))</f>
        <v/>
      </c>
      <c r="J14" s="102" t="str">
        <f>IF(I14="","",IF(I14=1,0,ROUND(VLOOKUP(P14,新手关卡!$A$3:$X$5,4,FALSE)/I14,1)))</f>
        <v/>
      </c>
      <c r="K14" s="102" t="str">
        <f t="shared" si="4"/>
        <v/>
      </c>
      <c r="L14" s="102" t="str">
        <f t="shared" si="5"/>
        <v/>
      </c>
      <c r="M14" s="57" t="str">
        <f t="shared" si="10"/>
        <v/>
      </c>
      <c r="O14" s="102" t="str">
        <f>IF(VLOOKUP(MonsterWaveCallRuleCfg!P14,新手关卡!$A$3:$X$5,5*(MonsterWaveCallRuleCfg!Q14-1)+9,FALSE)=0,"",VLOOKUP(MonsterWaveCallRuleCfg!P14,新手关卡!$A$3:$X$5,5*(MonsterWaveCallRuleCfg!Q14-1)+9,FALSE))</f>
        <v/>
      </c>
      <c r="P14" s="110">
        <f t="shared" si="11"/>
        <v>2</v>
      </c>
      <c r="Q14" s="110">
        <v>4</v>
      </c>
    </row>
    <row r="15" spans="1:18" x14ac:dyDescent="0.2">
      <c r="B15" s="57" t="s">
        <v>1203</v>
      </c>
      <c r="C15" s="57">
        <v>3</v>
      </c>
      <c r="D15" s="57" t="str">
        <f t="shared" si="0"/>
        <v>新手关卡第3波</v>
      </c>
      <c r="F15" s="57">
        <f>IF(C15="","",0)</f>
        <v>0</v>
      </c>
      <c r="G15" s="102">
        <f>IF(C15="","",180)</f>
        <v>180</v>
      </c>
      <c r="H15" s="57" t="str">
        <f t="shared" si="3"/>
        <v/>
      </c>
      <c r="I15" s="102" t="str">
        <f>IF(VLOOKUP(MonsterWaveCallRuleCfg!P15,新手关卡!$A$3:$X$5,5*(MonsterWaveCallRuleCfg!Q15-1)+6,FALSE)=0,"",VLOOKUP(MonsterWaveCallRuleCfg!P15,新手关卡!$A$3:$X$5,5*(MonsterWaveCallRuleCfg!Q15-1)+6,FALSE))</f>
        <v/>
      </c>
      <c r="J15" s="102" t="str">
        <f>IF(I15="","",IF(I15=1,0,ROUND(VLOOKUP(P15,新手关卡!$A$3:$X$5,4,FALSE)/I15,1)))</f>
        <v/>
      </c>
      <c r="K15" s="102" t="str">
        <f t="shared" si="4"/>
        <v/>
      </c>
      <c r="L15" s="102" t="str">
        <f t="shared" si="5"/>
        <v/>
      </c>
      <c r="M15" s="57" t="str">
        <f>IF(I15="","",1)</f>
        <v/>
      </c>
      <c r="O15" s="102" t="str">
        <f>IF(VLOOKUP(MonsterWaveCallRuleCfg!P15,新手关卡!$A$3:$X$5,5*(MonsterWaveCallRuleCfg!Q15-1)+9,FALSE)=0,"",VLOOKUP(MonsterWaveCallRuleCfg!P15,新手关卡!$A$3:$X$5,5*(MonsterWaveCallRuleCfg!Q15-1)+9,FALSE))</f>
        <v/>
      </c>
      <c r="P15" s="110">
        <f>IF(C15="",#REF!,C15)</f>
        <v>3</v>
      </c>
      <c r="Q15" s="110">
        <v>1</v>
      </c>
    </row>
    <row r="16" spans="1:18" x14ac:dyDescent="0.2">
      <c r="D16" s="57" t="str">
        <f t="shared" si="0"/>
        <v/>
      </c>
      <c r="F16" s="57" t="str">
        <f t="shared" ref="F16:F18" si="12">IF(C16="","",0)</f>
        <v/>
      </c>
      <c r="G16" s="102" t="str">
        <f t="shared" ref="G16:G18" si="13">IF(C16="","",180)</f>
        <v/>
      </c>
      <c r="H16" s="57" t="str">
        <f t="shared" si="3"/>
        <v/>
      </c>
      <c r="I16" s="102" t="str">
        <f>IF(VLOOKUP(MonsterWaveCallRuleCfg!P16,新手关卡!$A$3:$X$5,5*(MonsterWaveCallRuleCfg!Q16-1)+6,FALSE)=0,"",VLOOKUP(MonsterWaveCallRuleCfg!P16,新手关卡!$A$3:$X$5,5*(MonsterWaveCallRuleCfg!Q16-1)+6,FALSE))</f>
        <v/>
      </c>
      <c r="J16" s="102" t="str">
        <f>IF(I16="","",IF(I16=1,0,ROUND(VLOOKUP(P16,新手关卡!$A$3:$X$5,4,FALSE)/I16,1)))</f>
        <v/>
      </c>
      <c r="K16" s="102" t="str">
        <f t="shared" si="4"/>
        <v/>
      </c>
      <c r="L16" s="102" t="str">
        <f t="shared" si="5"/>
        <v/>
      </c>
      <c r="M16" s="57" t="str">
        <f t="shared" ref="M16:M18" si="14">IF(I16="","",1)</f>
        <v/>
      </c>
      <c r="O16" s="102" t="str">
        <f>IF(VLOOKUP(MonsterWaveCallRuleCfg!P16,新手关卡!$A$3:$X$5,5*(MonsterWaveCallRuleCfg!Q16-1)+9,FALSE)=0,"",VLOOKUP(MonsterWaveCallRuleCfg!P16,新手关卡!$A$3:$X$5,5*(MonsterWaveCallRuleCfg!Q16-1)+9,FALSE))</f>
        <v/>
      </c>
      <c r="P16" s="110">
        <f t="shared" ref="P16:P18" si="15">IF(C16="",P15,C16)</f>
        <v>3</v>
      </c>
      <c r="Q16" s="110">
        <v>2</v>
      </c>
    </row>
    <row r="17" spans="2:17" x14ac:dyDescent="0.2">
      <c r="D17" s="57" t="str">
        <f t="shared" si="0"/>
        <v/>
      </c>
      <c r="F17" s="57" t="str">
        <f t="shared" si="12"/>
        <v/>
      </c>
      <c r="G17" s="102" t="str">
        <f t="shared" si="13"/>
        <v/>
      </c>
      <c r="H17" s="57" t="str">
        <f t="shared" si="3"/>
        <v/>
      </c>
      <c r="I17" s="102" t="str">
        <f>IF(VLOOKUP(MonsterWaveCallRuleCfg!P17,新手关卡!$A$3:$X$5,5*(MonsterWaveCallRuleCfg!Q17-1)+6,FALSE)=0,"",VLOOKUP(MonsterWaveCallRuleCfg!P17,新手关卡!$A$3:$X$5,5*(MonsterWaveCallRuleCfg!Q17-1)+6,FALSE))</f>
        <v/>
      </c>
      <c r="J17" s="102" t="str">
        <f>IF(I17="","",IF(I17=1,0,ROUND(VLOOKUP(P17,新手关卡!$A$3:$X$5,4,FALSE)/I17,1)))</f>
        <v/>
      </c>
      <c r="K17" s="102" t="str">
        <f t="shared" si="4"/>
        <v/>
      </c>
      <c r="L17" s="102" t="str">
        <f t="shared" si="5"/>
        <v/>
      </c>
      <c r="M17" s="57" t="str">
        <f t="shared" si="14"/>
        <v/>
      </c>
      <c r="O17" s="102" t="str">
        <f>IF(VLOOKUP(MonsterWaveCallRuleCfg!P17,新手关卡!$A$3:$X$5,5*(MonsterWaveCallRuleCfg!Q17-1)+9,FALSE)=0,"",VLOOKUP(MonsterWaveCallRuleCfg!P17,新手关卡!$A$3:$X$5,5*(MonsterWaveCallRuleCfg!Q17-1)+9,FALSE))</f>
        <v/>
      </c>
      <c r="P17" s="110">
        <f t="shared" si="15"/>
        <v>3</v>
      </c>
      <c r="Q17" s="110">
        <v>3</v>
      </c>
    </row>
    <row r="18" spans="2:17" x14ac:dyDescent="0.2">
      <c r="D18" s="57" t="str">
        <f t="shared" si="0"/>
        <v/>
      </c>
      <c r="F18" s="57" t="str">
        <f t="shared" si="12"/>
        <v/>
      </c>
      <c r="G18" s="102" t="str">
        <f t="shared" si="13"/>
        <v/>
      </c>
      <c r="H18" s="57" t="str">
        <f t="shared" si="3"/>
        <v/>
      </c>
      <c r="I18" s="102" t="str">
        <f>IF(VLOOKUP(MonsterWaveCallRuleCfg!P18,新手关卡!$A$3:$X$5,5*(MonsterWaveCallRuleCfg!Q18-1)+6,FALSE)=0,"",VLOOKUP(MonsterWaveCallRuleCfg!P18,新手关卡!$A$3:$X$5,5*(MonsterWaveCallRuleCfg!Q18-1)+6,FALSE))</f>
        <v/>
      </c>
      <c r="J18" s="102" t="str">
        <f>IF(I18="","",IF(I18=1,0,ROUND(VLOOKUP(P18,新手关卡!$A$3:$X$5,4,FALSE)/I18,1)))</f>
        <v/>
      </c>
      <c r="K18" s="102" t="str">
        <f t="shared" si="4"/>
        <v/>
      </c>
      <c r="L18" s="102" t="str">
        <f t="shared" si="5"/>
        <v/>
      </c>
      <c r="M18" s="57" t="str">
        <f t="shared" si="14"/>
        <v/>
      </c>
      <c r="O18" s="102" t="str">
        <f>IF(VLOOKUP(MonsterWaveCallRuleCfg!P18,新手关卡!$A$3:$X$5,5*(MonsterWaveCallRuleCfg!Q18-1)+9,FALSE)=0,"",VLOOKUP(MonsterWaveCallRuleCfg!P18,新手关卡!$A$3:$X$5,5*(MonsterWaveCallRuleCfg!Q18-1)+9,FALSE))</f>
        <v/>
      </c>
      <c r="P18" s="110">
        <f t="shared" si="15"/>
        <v>3</v>
      </c>
      <c r="Q18" s="110">
        <v>4</v>
      </c>
    </row>
    <row r="23" spans="2:17" x14ac:dyDescent="0.2">
      <c r="B23" s="57" t="s">
        <v>452</v>
      </c>
      <c r="C23" s="57">
        <v>1</v>
      </c>
      <c r="D23" s="57" t="str">
        <f t="shared" ref="D23:D54" si="16">IF(C23="","","无限模式第"&amp;C23&amp;"波")</f>
        <v>无限模式第1波</v>
      </c>
      <c r="F23" s="57">
        <f>IF(C23="","",0)</f>
        <v>0</v>
      </c>
      <c r="G23" s="102">
        <f>IF(C23="","",180)</f>
        <v>180</v>
      </c>
      <c r="H23" s="57">
        <f>IF(I23="","",0)</f>
        <v>0</v>
      </c>
      <c r="I23" s="102">
        <f>IF(VLOOKUP($P23,无限模式!$A$3:$X$22,5,FALSE)="","",VLOOKUP($P23,无限模式!$A$3:$X$22,6,FALSE))</f>
        <v>7</v>
      </c>
      <c r="J23" s="102">
        <f>IF(VLOOKUP($P23,无限模式!$A$3:$X$22,5,FALSE)="","",VLOOKUP($P23,无限模式!$A$3:$X$22,7,FALSE))</f>
        <v>1.5</v>
      </c>
      <c r="K23" s="102">
        <f>IF(I23="","",1)</f>
        <v>1</v>
      </c>
      <c r="L23" s="102" t="str">
        <f>IF(VLOOKUP($P23,无限模式!$A$3:$X$22,5,FALSE)="","","Monster_Infinite_"&amp;P23&amp;"_1")</f>
        <v>Monster_Infinite_1_1</v>
      </c>
      <c r="M23" s="57">
        <f>IF(I23="","",1)</f>
        <v>1</v>
      </c>
      <c r="O23" s="102">
        <f>IF(VLOOKUP($P23,无限模式!$A$3:$X$22,5,FALSE)="","",VLOOKUP($P23,无限模式!$A$3:$X$22,9,FALSE))</f>
        <v>43</v>
      </c>
      <c r="P23" s="110">
        <f>IF(C23="",P6,C23)</f>
        <v>1</v>
      </c>
      <c r="Q23" s="110">
        <v>1</v>
      </c>
    </row>
    <row r="24" spans="2:17" x14ac:dyDescent="0.2">
      <c r="D24" s="57" t="str">
        <f t="shared" si="16"/>
        <v/>
      </c>
      <c r="F24" s="57" t="str">
        <f t="shared" ref="F24:F87" si="17">IF(C24="","",0)</f>
        <v/>
      </c>
      <c r="G24" s="102" t="str">
        <f t="shared" ref="G24:G87" si="18">IF(C24="","",180)</f>
        <v/>
      </c>
      <c r="H24" s="57" t="str">
        <f t="shared" ref="H24:H87" si="19">IF(I24="","",0)</f>
        <v/>
      </c>
      <c r="I24" s="102" t="str">
        <f>IF(VLOOKUP($P24,无限模式!$A$3:$X$22,10,FALSE)="","",VLOOKUP($P24,无限模式!$A$3:$X$22,11,FALSE))</f>
        <v/>
      </c>
      <c r="J24" s="102" t="str">
        <f>IF(VLOOKUP($P24,无限模式!$A$3:$X$22,10,FALSE)="","",VLOOKUP($P24,无限模式!$A$3:$X$22,12,FALSE))</f>
        <v/>
      </c>
      <c r="K24" s="102" t="str">
        <f t="shared" ref="K24:K87" si="20">IF(I24="","",1)</f>
        <v/>
      </c>
      <c r="L24" s="102" t="str">
        <f>IF(VLOOKUP($P24,无限模式!$A$3:$X$22,10,FALSE)="","","Monster_Infinite_"&amp;P24&amp;"_2")</f>
        <v/>
      </c>
      <c r="M24" s="57" t="str">
        <f t="shared" ref="M24:M87" si="21">IF(I24="","",1)</f>
        <v/>
      </c>
      <c r="O24" s="102" t="str">
        <f>IF(VLOOKUP($P24,无限模式!$A$3:$X$22,10,FALSE)="","",VLOOKUP($P24,无限模式!$A$3:$X$22,14,FALSE))</f>
        <v/>
      </c>
      <c r="P24" s="110">
        <f t="shared" ref="P24:P87" si="22">IF(C24="",P23,C24)</f>
        <v>1</v>
      </c>
      <c r="Q24" s="110">
        <v>2</v>
      </c>
    </row>
    <row r="25" spans="2:17" x14ac:dyDescent="0.2">
      <c r="D25" s="57" t="str">
        <f t="shared" si="16"/>
        <v/>
      </c>
      <c r="F25" s="57" t="str">
        <f t="shared" si="17"/>
        <v/>
      </c>
      <c r="G25" s="102" t="str">
        <f t="shared" si="18"/>
        <v/>
      </c>
      <c r="H25" s="57" t="str">
        <f t="shared" si="19"/>
        <v/>
      </c>
      <c r="I25" s="102" t="str">
        <f>IF(VLOOKUP($P25,无限模式!$A$3:$X$22,15,FALSE)="","",VLOOKUP($P25,无限模式!$A$3:$X$22,16,FALSE))</f>
        <v/>
      </c>
      <c r="J25" s="102" t="str">
        <f>IF(VLOOKUP($P25,无限模式!$A$3:$X$22,15,FALSE)="","",VLOOKUP($P25,无限模式!$A$3:$X$22,17,FALSE))</f>
        <v/>
      </c>
      <c r="K25" s="102" t="str">
        <f t="shared" si="20"/>
        <v/>
      </c>
      <c r="L25" s="102" t="str">
        <f>IF(VLOOKUP($P25,无限模式!$A$3:$X$22,15,FALSE)="","","Monster_Infinite_"&amp;P25&amp;"_3")</f>
        <v/>
      </c>
      <c r="M25" s="57" t="str">
        <f t="shared" si="21"/>
        <v/>
      </c>
      <c r="O25" s="102" t="str">
        <f>IF(VLOOKUP($P25,无限模式!$A$3:$X$22,15,FALSE)="","",VLOOKUP($P25,无限模式!$A$3:$X$22,19,FALSE))</f>
        <v/>
      </c>
      <c r="P25" s="110">
        <f t="shared" si="22"/>
        <v>1</v>
      </c>
      <c r="Q25" s="110">
        <v>3</v>
      </c>
    </row>
    <row r="26" spans="2:17" x14ac:dyDescent="0.2">
      <c r="D26" s="57" t="str">
        <f t="shared" si="16"/>
        <v/>
      </c>
      <c r="F26" s="57" t="str">
        <f t="shared" si="17"/>
        <v/>
      </c>
      <c r="G26" s="102" t="str">
        <f t="shared" si="18"/>
        <v/>
      </c>
      <c r="H26" s="57" t="str">
        <f t="shared" si="19"/>
        <v/>
      </c>
      <c r="I26" s="102" t="str">
        <f>IF(VLOOKUP($P26,无限模式!$A$3:$X$22,20,FALSE)="","",VLOOKUP($P26,无限模式!$A$3:$X$22,21,FALSE))</f>
        <v/>
      </c>
      <c r="J26" s="102" t="str">
        <f>IF(VLOOKUP($P26,无限模式!$A$3:$X$22,20,FALSE)="","",VLOOKUP($P26,无限模式!$A$3:$X$22,22,FALSE))</f>
        <v/>
      </c>
      <c r="K26" s="102" t="str">
        <f t="shared" si="20"/>
        <v/>
      </c>
      <c r="L26" s="102" t="str">
        <f>IF(VLOOKUP($P26,无限模式!$A$3:$X$22,20,FALSE)="","","Monster_Infinite_"&amp;P26&amp;"_4")</f>
        <v/>
      </c>
      <c r="M26" s="57" t="str">
        <f t="shared" si="21"/>
        <v/>
      </c>
      <c r="O26" s="102" t="str">
        <f>IF(VLOOKUP($P26,无限模式!$A$3:$X$22,20,FALSE)="","",VLOOKUP($P26,无限模式!$A$3:$X$22,24,FALSE))</f>
        <v/>
      </c>
      <c r="P26" s="110">
        <f t="shared" si="22"/>
        <v>1</v>
      </c>
      <c r="Q26" s="110">
        <v>4</v>
      </c>
    </row>
    <row r="27" spans="2:17" x14ac:dyDescent="0.2">
      <c r="B27" s="57" t="s">
        <v>452</v>
      </c>
      <c r="C27" s="57">
        <v>2</v>
      </c>
      <c r="D27" s="57" t="str">
        <f t="shared" si="16"/>
        <v>无限模式第2波</v>
      </c>
      <c r="F27" s="57">
        <f t="shared" si="17"/>
        <v>0</v>
      </c>
      <c r="G27" s="102">
        <f t="shared" si="18"/>
        <v>180</v>
      </c>
      <c r="H27" s="57">
        <f t="shared" si="19"/>
        <v>0</v>
      </c>
      <c r="I27" s="102">
        <f>IF(VLOOKUP($P27,无限模式!$A$3:$X$22,5,FALSE)="","",VLOOKUP($P27,无限模式!$A$3:$X$22,6,FALSE))</f>
        <v>15</v>
      </c>
      <c r="J27" s="102">
        <f>IF(VLOOKUP($P27,无限模式!$A$3:$X$22,5,FALSE)="","",VLOOKUP($P27,无限模式!$A$3:$X$22,7,FALSE))</f>
        <v>0.75</v>
      </c>
      <c r="K27" s="102">
        <f t="shared" si="20"/>
        <v>1</v>
      </c>
      <c r="L27" s="102" t="str">
        <f>IF(VLOOKUP($P27,无限模式!$A$3:$X$22,5,FALSE)="","","Monster_Infinite_"&amp;P27&amp;"_1")</f>
        <v>Monster_Infinite_2_1</v>
      </c>
      <c r="M27" s="57">
        <f t="shared" si="21"/>
        <v>1</v>
      </c>
      <c r="O27" s="102">
        <f>IF(VLOOKUP($P27,无限模式!$A$3:$X$22,5,FALSE)="","",VLOOKUP($P27,无限模式!$A$3:$X$22,9,FALSE))</f>
        <v>7</v>
      </c>
      <c r="P27" s="110">
        <f t="shared" si="22"/>
        <v>2</v>
      </c>
      <c r="Q27" s="110">
        <v>1</v>
      </c>
    </row>
    <row r="28" spans="2:17" x14ac:dyDescent="0.2">
      <c r="D28" s="57" t="str">
        <f t="shared" si="16"/>
        <v/>
      </c>
      <c r="F28" s="57" t="str">
        <f t="shared" si="17"/>
        <v/>
      </c>
      <c r="G28" s="102" t="str">
        <f t="shared" si="18"/>
        <v/>
      </c>
      <c r="H28" s="57">
        <f t="shared" si="19"/>
        <v>0</v>
      </c>
      <c r="I28" s="102">
        <f>IF(VLOOKUP($P28,无限模式!$A$3:$X$22,10,FALSE)="","",VLOOKUP($P28,无限模式!$A$3:$X$22,11,FALSE))</f>
        <v>7</v>
      </c>
      <c r="J28" s="102">
        <f>IF(VLOOKUP($P28,无限模式!$A$3:$X$22,10,FALSE)="","",VLOOKUP($P28,无限模式!$A$3:$X$22,12,FALSE))</f>
        <v>1.5</v>
      </c>
      <c r="K28" s="102">
        <f t="shared" si="20"/>
        <v>1</v>
      </c>
      <c r="L28" s="102" t="str">
        <f>IF(VLOOKUP($P28,无限模式!$A$3:$X$22,10,FALSE)="","","Monster_Infinite_"&amp;P28&amp;"_2")</f>
        <v>Monster_Infinite_2_2</v>
      </c>
      <c r="M28" s="57">
        <f t="shared" si="21"/>
        <v>1</v>
      </c>
      <c r="O28" s="102">
        <f>IF(VLOOKUP($P28,无限模式!$A$3:$X$22,10,FALSE)="","",VLOOKUP($P28,无限模式!$A$3:$X$22,14,FALSE))</f>
        <v>28</v>
      </c>
      <c r="P28" s="110">
        <f t="shared" si="22"/>
        <v>2</v>
      </c>
      <c r="Q28" s="110">
        <v>2</v>
      </c>
    </row>
    <row r="29" spans="2:17" x14ac:dyDescent="0.2">
      <c r="D29" s="57" t="str">
        <f t="shared" si="16"/>
        <v/>
      </c>
      <c r="F29" s="57" t="str">
        <f t="shared" si="17"/>
        <v/>
      </c>
      <c r="G29" s="102" t="str">
        <f t="shared" si="18"/>
        <v/>
      </c>
      <c r="H29" s="57" t="str">
        <f t="shared" si="19"/>
        <v/>
      </c>
      <c r="I29" s="102" t="str">
        <f>IF(VLOOKUP($P29,无限模式!$A$3:$X$22,15,FALSE)="","",VLOOKUP(P29,无限模式!$A$3:$X$22,16,FALSE))</f>
        <v/>
      </c>
      <c r="J29" s="102" t="str">
        <f>IF(VLOOKUP($P29,无限模式!$A$3:$X$22,15,FALSE)="","",VLOOKUP($P29,无限模式!$A$3:$X$22,17,FALSE))</f>
        <v/>
      </c>
      <c r="K29" s="102" t="str">
        <f t="shared" si="20"/>
        <v/>
      </c>
      <c r="L29" s="102" t="str">
        <f>IF(VLOOKUP($P29,无限模式!$A$3:$X$22,15,FALSE)="","","Monster_Infinite_"&amp;P29&amp;"_3")</f>
        <v/>
      </c>
      <c r="M29" s="57" t="str">
        <f t="shared" si="21"/>
        <v/>
      </c>
      <c r="O29" s="102" t="str">
        <f>IF(VLOOKUP($P29,无限模式!$A$3:$X$22,15,FALSE)="","",VLOOKUP($P29,无限模式!$A$3:$X$22,19,FALSE))</f>
        <v/>
      </c>
      <c r="P29" s="110">
        <f t="shared" si="22"/>
        <v>2</v>
      </c>
      <c r="Q29" s="110">
        <v>3</v>
      </c>
    </row>
    <row r="30" spans="2:17" x14ac:dyDescent="0.2">
      <c r="D30" s="57" t="str">
        <f t="shared" si="16"/>
        <v/>
      </c>
      <c r="F30" s="57" t="str">
        <f t="shared" si="17"/>
        <v/>
      </c>
      <c r="G30" s="102" t="str">
        <f t="shared" si="18"/>
        <v/>
      </c>
      <c r="H30" s="57" t="str">
        <f t="shared" si="19"/>
        <v/>
      </c>
      <c r="I30" s="102" t="str">
        <f>IF(VLOOKUP($P30,无限模式!$A$3:$X$22,20,FALSE)="","",VLOOKUP($P30,无限模式!$A$3:$X$22,21,FALSE))</f>
        <v/>
      </c>
      <c r="J30" s="102" t="str">
        <f>IF(VLOOKUP($P30,无限模式!$A$3:$X$22,20,FALSE)="","",VLOOKUP($P30,无限模式!$A$3:$X$22,22,FALSE))</f>
        <v/>
      </c>
      <c r="K30" s="102" t="str">
        <f t="shared" si="20"/>
        <v/>
      </c>
      <c r="L30" s="102" t="str">
        <f>IF(VLOOKUP($P30,无限模式!$A$3:$X$22,20,FALSE)="","","Monster_Infinite_"&amp;P30&amp;"_4")</f>
        <v/>
      </c>
      <c r="M30" s="57" t="str">
        <f t="shared" si="21"/>
        <v/>
      </c>
      <c r="O30" s="102" t="str">
        <f>IF(VLOOKUP($P30,无限模式!$A$3:$X$22,20,FALSE)="","",VLOOKUP($P30,无限模式!$A$3:$X$22,24,FALSE))</f>
        <v/>
      </c>
      <c r="P30" s="110">
        <f t="shared" si="22"/>
        <v>2</v>
      </c>
      <c r="Q30" s="110">
        <v>4</v>
      </c>
    </row>
    <row r="31" spans="2:17" x14ac:dyDescent="0.2">
      <c r="B31" s="57" t="s">
        <v>452</v>
      </c>
      <c r="C31" s="57">
        <v>3</v>
      </c>
      <c r="D31" s="57" t="str">
        <f t="shared" si="16"/>
        <v>无限模式第3波</v>
      </c>
      <c r="F31" s="57">
        <f t="shared" si="17"/>
        <v>0</v>
      </c>
      <c r="G31" s="102">
        <f t="shared" si="18"/>
        <v>180</v>
      </c>
      <c r="H31" s="57">
        <f t="shared" si="19"/>
        <v>0</v>
      </c>
      <c r="I31" s="102">
        <f>IF(VLOOKUP($P31,无限模式!$A$3:$X$22,5,FALSE)="","",VLOOKUP($P31,无限模式!$A$3:$X$22,6,FALSE))</f>
        <v>8</v>
      </c>
      <c r="J31" s="102">
        <f>IF(VLOOKUP($P31,无限模式!$A$3:$X$22,5,FALSE)="","",VLOOKUP($P31,无限模式!$A$3:$X$22,7,FALSE))</f>
        <v>1.5</v>
      </c>
      <c r="K31" s="102">
        <f t="shared" si="20"/>
        <v>1</v>
      </c>
      <c r="L31" s="102" t="str">
        <f>IF(VLOOKUP($P31,无限模式!$A$3:$X$22,5,FALSE)="","","Monster_Infinite_"&amp;P31&amp;"_1")</f>
        <v>Monster_Infinite_3_1</v>
      </c>
      <c r="M31" s="57">
        <f t="shared" si="21"/>
        <v>1</v>
      </c>
      <c r="O31" s="102">
        <f>IF(VLOOKUP($P31,无限模式!$A$3:$X$22,5,FALSE)="","",VLOOKUP($P31,无限模式!$A$3:$X$22,9,FALSE))</f>
        <v>13</v>
      </c>
      <c r="P31" s="110">
        <f t="shared" si="22"/>
        <v>3</v>
      </c>
      <c r="Q31" s="110">
        <v>1</v>
      </c>
    </row>
    <row r="32" spans="2:17" x14ac:dyDescent="0.2">
      <c r="D32" s="57" t="str">
        <f t="shared" si="16"/>
        <v/>
      </c>
      <c r="F32" s="57" t="str">
        <f t="shared" si="17"/>
        <v/>
      </c>
      <c r="G32" s="102" t="str">
        <f t="shared" si="18"/>
        <v/>
      </c>
      <c r="H32" s="57">
        <f t="shared" si="19"/>
        <v>0</v>
      </c>
      <c r="I32" s="102">
        <f>IF(VLOOKUP($P32,无限模式!$A$3:$X$22,10,FALSE)="","",VLOOKUP($P32,无限模式!$A$3:$X$22,11,FALSE))</f>
        <v>60</v>
      </c>
      <c r="J32" s="102">
        <f>IF(VLOOKUP($P32,无限模式!$A$3:$X$22,10,FALSE)="","",VLOOKUP($P32,无限模式!$A$3:$X$22,12,FALSE))</f>
        <v>0.2</v>
      </c>
      <c r="K32" s="102">
        <f t="shared" si="20"/>
        <v>1</v>
      </c>
      <c r="L32" s="102" t="str">
        <f>IF(VLOOKUP($P32,无限模式!$A$3:$X$22,10,FALSE)="","","Monster_Infinite_"&amp;P32&amp;"_2")</f>
        <v>Monster_Infinite_3_2</v>
      </c>
      <c r="M32" s="57">
        <f t="shared" si="21"/>
        <v>1</v>
      </c>
      <c r="O32" s="102">
        <f>IF(VLOOKUP($P32,无限模式!$A$3:$X$22,10,FALSE)="","",VLOOKUP($P32,无限模式!$A$3:$X$22,14,FALSE))</f>
        <v>3</v>
      </c>
      <c r="P32" s="110">
        <f t="shared" si="22"/>
        <v>3</v>
      </c>
      <c r="Q32" s="110">
        <v>2</v>
      </c>
    </row>
    <row r="33" spans="2:17" x14ac:dyDescent="0.2">
      <c r="D33" s="57" t="str">
        <f t="shared" si="16"/>
        <v/>
      </c>
      <c r="F33" s="57" t="str">
        <f t="shared" si="17"/>
        <v/>
      </c>
      <c r="G33" s="102" t="str">
        <f t="shared" si="18"/>
        <v/>
      </c>
      <c r="H33" s="57" t="str">
        <f t="shared" si="19"/>
        <v/>
      </c>
      <c r="I33" s="102" t="str">
        <f>IF(VLOOKUP($P33,无限模式!$A$3:$X$22,15,FALSE)="","",VLOOKUP(P33,无限模式!$A$3:$X$22,16,FALSE))</f>
        <v/>
      </c>
      <c r="J33" s="102" t="str">
        <f>IF(VLOOKUP($P33,无限模式!$A$3:$X$22,15,FALSE)="","",VLOOKUP($P33,无限模式!$A$3:$X$22,17,FALSE))</f>
        <v/>
      </c>
      <c r="K33" s="102" t="str">
        <f t="shared" si="20"/>
        <v/>
      </c>
      <c r="L33" s="102" t="str">
        <f>IF(VLOOKUP($P33,无限模式!$A$3:$X$22,15,FALSE)="","","Monster_Infinite_"&amp;P33&amp;"_3")</f>
        <v/>
      </c>
      <c r="M33" s="57" t="str">
        <f t="shared" si="21"/>
        <v/>
      </c>
      <c r="O33" s="102" t="str">
        <f>IF(VLOOKUP($P33,无限模式!$A$3:$X$22,15,FALSE)="","",VLOOKUP($P33,无限模式!$A$3:$X$22,19,FALSE))</f>
        <v/>
      </c>
      <c r="P33" s="110">
        <f t="shared" si="22"/>
        <v>3</v>
      </c>
      <c r="Q33" s="110">
        <v>3</v>
      </c>
    </row>
    <row r="34" spans="2:17" x14ac:dyDescent="0.2">
      <c r="D34" s="57" t="str">
        <f t="shared" si="16"/>
        <v/>
      </c>
      <c r="F34" s="57" t="str">
        <f t="shared" si="17"/>
        <v/>
      </c>
      <c r="G34" s="102" t="str">
        <f t="shared" si="18"/>
        <v/>
      </c>
      <c r="H34" s="57" t="str">
        <f t="shared" si="19"/>
        <v/>
      </c>
      <c r="I34" s="102" t="str">
        <f>IF(VLOOKUP($P34,无限模式!$A$3:$X$22,20,FALSE)="","",VLOOKUP($P34,无限模式!$A$3:$X$22,21,FALSE))</f>
        <v/>
      </c>
      <c r="J34" s="102" t="str">
        <f>IF(VLOOKUP($P34,无限模式!$A$3:$X$22,20,FALSE)="","",VLOOKUP($P34,无限模式!$A$3:$X$22,22,FALSE))</f>
        <v/>
      </c>
      <c r="K34" s="102" t="str">
        <f t="shared" si="20"/>
        <v/>
      </c>
      <c r="L34" s="102" t="str">
        <f>IF(VLOOKUP($P34,无限模式!$A$3:$X$22,20,FALSE)="","","Monster_Infinite_"&amp;P34&amp;"_4")</f>
        <v/>
      </c>
      <c r="M34" s="57" t="str">
        <f t="shared" si="21"/>
        <v/>
      </c>
      <c r="O34" s="102" t="str">
        <f>IF(VLOOKUP($P34,无限模式!$A$3:$X$22,20,FALSE)="","",VLOOKUP($P34,无限模式!$A$3:$X$22,24,FALSE))</f>
        <v/>
      </c>
      <c r="P34" s="110">
        <f t="shared" si="22"/>
        <v>3</v>
      </c>
      <c r="Q34" s="110">
        <v>4</v>
      </c>
    </row>
    <row r="35" spans="2:17" x14ac:dyDescent="0.2">
      <c r="B35" s="57" t="s">
        <v>452</v>
      </c>
      <c r="C35" s="57">
        <v>4</v>
      </c>
      <c r="D35" s="57" t="str">
        <f t="shared" si="16"/>
        <v>无限模式第4波</v>
      </c>
      <c r="F35" s="57">
        <f t="shared" si="17"/>
        <v>0</v>
      </c>
      <c r="G35" s="102">
        <f t="shared" si="18"/>
        <v>180</v>
      </c>
      <c r="H35" s="57">
        <f t="shared" si="19"/>
        <v>0</v>
      </c>
      <c r="I35" s="102">
        <f>IF(VLOOKUP($P35,无限模式!$A$3:$X$22,5,FALSE)="","",VLOOKUP($P35,无限模式!$A$3:$X$22,6,FALSE))</f>
        <v>1</v>
      </c>
      <c r="J35" s="102">
        <f>IF(VLOOKUP($P35,无限模式!$A$3:$X$22,5,FALSE)="","",VLOOKUP($P35,无限模式!$A$3:$X$22,7,FALSE))</f>
        <v>0</v>
      </c>
      <c r="K35" s="102">
        <f t="shared" si="20"/>
        <v>1</v>
      </c>
      <c r="L35" s="102" t="str">
        <f>IF(VLOOKUP($P35,无限模式!$A$3:$X$22,5,FALSE)="","","Monster_Infinite_"&amp;P35&amp;"_1")</f>
        <v>Monster_Infinite_4_1</v>
      </c>
      <c r="M35" s="57">
        <f t="shared" si="21"/>
        <v>1</v>
      </c>
      <c r="O35" s="102">
        <f>IF(VLOOKUP($P35,无限模式!$A$3:$X$22,5,FALSE)="","",VLOOKUP($P35,无限模式!$A$3:$X$22,9,FALSE))</f>
        <v>258</v>
      </c>
      <c r="P35" s="110">
        <f t="shared" si="22"/>
        <v>4</v>
      </c>
      <c r="Q35" s="110">
        <v>1</v>
      </c>
    </row>
    <row r="36" spans="2:17" x14ac:dyDescent="0.2">
      <c r="D36" s="57" t="str">
        <f t="shared" si="16"/>
        <v/>
      </c>
      <c r="F36" s="57" t="str">
        <f t="shared" si="17"/>
        <v/>
      </c>
      <c r="G36" s="102" t="str">
        <f t="shared" si="18"/>
        <v/>
      </c>
      <c r="H36" s="57">
        <f t="shared" si="19"/>
        <v>0</v>
      </c>
      <c r="I36" s="102">
        <f>IF(VLOOKUP($P36,无限模式!$A$3:$X$22,10,FALSE)="","",VLOOKUP($P36,无限模式!$A$3:$X$22,11,FALSE))</f>
        <v>13</v>
      </c>
      <c r="J36" s="102">
        <f>IF(VLOOKUP($P36,无限模式!$A$3:$X$22,10,FALSE)="","",VLOOKUP($P36,无限模式!$A$3:$X$22,12,FALSE))</f>
        <v>1</v>
      </c>
      <c r="K36" s="102">
        <f t="shared" si="20"/>
        <v>1</v>
      </c>
      <c r="L36" s="102" t="str">
        <f>IF(VLOOKUP($P36,无限模式!$A$3:$X$22,10,FALSE)="","","Monster_Infinite_"&amp;P36&amp;"_2")</f>
        <v>Monster_Infinite_4_2</v>
      </c>
      <c r="M36" s="57">
        <f t="shared" si="21"/>
        <v>1</v>
      </c>
      <c r="O36" s="102">
        <f>IF(VLOOKUP($P36,无限模式!$A$3:$X$22,10,FALSE)="","",VLOOKUP($P36,无限模式!$A$3:$X$22,14,FALSE))</f>
        <v>3</v>
      </c>
      <c r="P36" s="110">
        <f t="shared" si="22"/>
        <v>4</v>
      </c>
      <c r="Q36" s="110">
        <v>2</v>
      </c>
    </row>
    <row r="37" spans="2:17" x14ac:dyDescent="0.2">
      <c r="D37" s="57" t="str">
        <f t="shared" si="16"/>
        <v/>
      </c>
      <c r="F37" s="57" t="str">
        <f t="shared" si="17"/>
        <v/>
      </c>
      <c r="G37" s="102" t="str">
        <f t="shared" si="18"/>
        <v/>
      </c>
      <c r="H37" s="57" t="str">
        <f t="shared" si="19"/>
        <v/>
      </c>
      <c r="I37" s="102" t="str">
        <f>IF(VLOOKUP($P37,无限模式!$A$3:$X$22,15,FALSE)="","",VLOOKUP(P37,无限模式!$A$3:$X$22,16,FALSE))</f>
        <v/>
      </c>
      <c r="J37" s="102" t="str">
        <f>IF(VLOOKUP($P37,无限模式!$A$3:$X$22,15,FALSE)="","",VLOOKUP($P37,无限模式!$A$3:$X$22,17,FALSE))</f>
        <v/>
      </c>
      <c r="K37" s="102" t="str">
        <f t="shared" si="20"/>
        <v/>
      </c>
      <c r="L37" s="102" t="str">
        <f>IF(VLOOKUP($P37,无限模式!$A$3:$X$22,15,FALSE)="","","Monster_Infinite_"&amp;P37&amp;"_3")</f>
        <v/>
      </c>
      <c r="M37" s="57" t="str">
        <f t="shared" si="21"/>
        <v/>
      </c>
      <c r="O37" s="102" t="str">
        <f>IF(VLOOKUP($P37,无限模式!$A$3:$X$22,15,FALSE)="","",VLOOKUP($P37,无限模式!$A$3:$X$22,19,FALSE))</f>
        <v/>
      </c>
      <c r="P37" s="110">
        <f t="shared" si="22"/>
        <v>4</v>
      </c>
      <c r="Q37" s="110">
        <v>3</v>
      </c>
    </row>
    <row r="38" spans="2:17" x14ac:dyDescent="0.2">
      <c r="D38" s="57" t="str">
        <f t="shared" si="16"/>
        <v/>
      </c>
      <c r="F38" s="57" t="str">
        <f t="shared" si="17"/>
        <v/>
      </c>
      <c r="G38" s="102" t="str">
        <f t="shared" si="18"/>
        <v/>
      </c>
      <c r="H38" s="57" t="str">
        <f t="shared" si="19"/>
        <v/>
      </c>
      <c r="I38" s="102" t="str">
        <f>IF(VLOOKUP($P38,无限模式!$A$3:$X$22,20,FALSE)="","",VLOOKUP($P38,无限模式!$A$3:$X$22,21,FALSE))</f>
        <v/>
      </c>
      <c r="J38" s="102" t="str">
        <f>IF(VLOOKUP($P38,无限模式!$A$3:$X$22,20,FALSE)="","",VLOOKUP($P38,无限模式!$A$3:$X$22,22,FALSE))</f>
        <v/>
      </c>
      <c r="K38" s="102" t="str">
        <f t="shared" si="20"/>
        <v/>
      </c>
      <c r="L38" s="102" t="str">
        <f>IF(VLOOKUP($P38,无限模式!$A$3:$X$22,20,FALSE)="","","Monster_Infinite_"&amp;P38&amp;"_4")</f>
        <v/>
      </c>
      <c r="M38" s="57" t="str">
        <f t="shared" si="21"/>
        <v/>
      </c>
      <c r="O38" s="102" t="str">
        <f>IF(VLOOKUP($P38,无限模式!$A$3:$X$22,20,FALSE)="","",VLOOKUP($P38,无限模式!$A$3:$X$22,24,FALSE))</f>
        <v/>
      </c>
      <c r="P38" s="110">
        <f t="shared" si="22"/>
        <v>4</v>
      </c>
      <c r="Q38" s="110">
        <v>4</v>
      </c>
    </row>
    <row r="39" spans="2:17" x14ac:dyDescent="0.2">
      <c r="B39" s="57" t="s">
        <v>452</v>
      </c>
      <c r="C39" s="57">
        <v>5</v>
      </c>
      <c r="D39" s="57" t="str">
        <f t="shared" si="16"/>
        <v>无限模式第5波</v>
      </c>
      <c r="F39" s="57">
        <f t="shared" si="17"/>
        <v>0</v>
      </c>
      <c r="G39" s="102">
        <f t="shared" si="18"/>
        <v>180</v>
      </c>
      <c r="H39" s="57">
        <f t="shared" si="19"/>
        <v>0</v>
      </c>
      <c r="I39" s="102">
        <f>IF(VLOOKUP($P39,无限模式!$A$3:$X$22,5,FALSE)="","",VLOOKUP($P39,无限模式!$A$3:$X$22,6,FALSE))</f>
        <v>14</v>
      </c>
      <c r="J39" s="102">
        <f>IF(VLOOKUP($P39,无限模式!$A$3:$X$22,5,FALSE)="","",VLOOKUP($P39,无限模式!$A$3:$X$22,7,FALSE))</f>
        <v>1</v>
      </c>
      <c r="K39" s="102">
        <f t="shared" si="20"/>
        <v>1</v>
      </c>
      <c r="L39" s="102" t="str">
        <f>IF(VLOOKUP($P39,无限模式!$A$3:$X$22,5,FALSE)="","","Monster_Infinite_"&amp;P39&amp;"_1")</f>
        <v>Monster_Infinite_5_1</v>
      </c>
      <c r="M39" s="57">
        <f t="shared" si="21"/>
        <v>1</v>
      </c>
      <c r="O39" s="102">
        <f>IF(VLOOKUP($P39,无限模式!$A$3:$X$22,5,FALSE)="","",VLOOKUP($P39,无限模式!$A$3:$X$22,9,FALSE))</f>
        <v>14</v>
      </c>
      <c r="P39" s="110">
        <f t="shared" si="22"/>
        <v>5</v>
      </c>
      <c r="Q39" s="110">
        <v>1</v>
      </c>
    </row>
    <row r="40" spans="2:17" x14ac:dyDescent="0.2">
      <c r="D40" s="57" t="str">
        <f t="shared" si="16"/>
        <v/>
      </c>
      <c r="F40" s="57" t="str">
        <f t="shared" si="17"/>
        <v/>
      </c>
      <c r="G40" s="102" t="str">
        <f t="shared" si="18"/>
        <v/>
      </c>
      <c r="H40" s="57">
        <f t="shared" si="19"/>
        <v>0</v>
      </c>
      <c r="I40" s="102">
        <f>IF(VLOOKUP($P40,无限模式!$A$3:$X$22,10,FALSE)="","",VLOOKUP($P40,无限模式!$A$3:$X$22,11,FALSE))</f>
        <v>14</v>
      </c>
      <c r="J40" s="102">
        <f>IF(VLOOKUP($P40,无限模式!$A$3:$X$22,10,FALSE)="","",VLOOKUP($P40,无限模式!$A$3:$X$22,12,FALSE))</f>
        <v>1</v>
      </c>
      <c r="K40" s="102">
        <f t="shared" si="20"/>
        <v>1</v>
      </c>
      <c r="L40" s="102" t="str">
        <f>IF(VLOOKUP($P40,无限模式!$A$3:$X$22,10,FALSE)="","","Monster_Infinite_"&amp;P40&amp;"_2")</f>
        <v>Monster_Infinite_5_2</v>
      </c>
      <c r="M40" s="57">
        <f t="shared" si="21"/>
        <v>1</v>
      </c>
      <c r="O40" s="102">
        <f>IF(VLOOKUP($P40,无限模式!$A$3:$X$22,10,FALSE)="","",VLOOKUP($P40,无限模式!$A$3:$X$22,14,FALSE))</f>
        <v>7</v>
      </c>
      <c r="P40" s="110">
        <f t="shared" si="22"/>
        <v>5</v>
      </c>
      <c r="Q40" s="110">
        <v>2</v>
      </c>
    </row>
    <row r="41" spans="2:17" x14ac:dyDescent="0.2">
      <c r="D41" s="57" t="str">
        <f t="shared" si="16"/>
        <v/>
      </c>
      <c r="F41" s="57" t="str">
        <f t="shared" si="17"/>
        <v/>
      </c>
      <c r="G41" s="102" t="str">
        <f t="shared" si="18"/>
        <v/>
      </c>
      <c r="H41" s="57" t="str">
        <f t="shared" si="19"/>
        <v/>
      </c>
      <c r="I41" s="102" t="str">
        <f>IF(VLOOKUP($P41,无限模式!$A$3:$X$22,15,FALSE)="","",VLOOKUP(P41,无限模式!$A$3:$X$22,16,FALSE))</f>
        <v/>
      </c>
      <c r="J41" s="102" t="str">
        <f>IF(VLOOKUP($P41,无限模式!$A$3:$X$22,15,FALSE)="","",VLOOKUP($P41,无限模式!$A$3:$X$22,17,FALSE))</f>
        <v/>
      </c>
      <c r="K41" s="102" t="str">
        <f t="shared" si="20"/>
        <v/>
      </c>
      <c r="L41" s="102" t="str">
        <f>IF(VLOOKUP($P41,无限模式!$A$3:$X$22,15,FALSE)="","","Monster_Infinite_"&amp;P41&amp;"_3")</f>
        <v/>
      </c>
      <c r="M41" s="57" t="str">
        <f t="shared" si="21"/>
        <v/>
      </c>
      <c r="O41" s="102" t="str">
        <f>IF(VLOOKUP($P41,无限模式!$A$3:$X$22,15,FALSE)="","",VLOOKUP($P41,无限模式!$A$3:$X$22,19,FALSE))</f>
        <v/>
      </c>
      <c r="P41" s="110">
        <f t="shared" si="22"/>
        <v>5</v>
      </c>
      <c r="Q41" s="110">
        <v>3</v>
      </c>
    </row>
    <row r="42" spans="2:17" x14ac:dyDescent="0.2">
      <c r="D42" s="57" t="str">
        <f t="shared" si="16"/>
        <v/>
      </c>
      <c r="F42" s="57" t="str">
        <f t="shared" si="17"/>
        <v/>
      </c>
      <c r="G42" s="102" t="str">
        <f t="shared" si="18"/>
        <v/>
      </c>
      <c r="H42" s="57" t="str">
        <f t="shared" si="19"/>
        <v/>
      </c>
      <c r="I42" s="102" t="str">
        <f>IF(VLOOKUP($P42,无限模式!$A$3:$X$22,20,FALSE)="","",VLOOKUP($P42,无限模式!$A$3:$X$22,21,FALSE))</f>
        <v/>
      </c>
      <c r="J42" s="102" t="str">
        <f>IF(VLOOKUP($P42,无限模式!$A$3:$X$22,20,FALSE)="","",VLOOKUP($P42,无限模式!$A$3:$X$22,22,FALSE))</f>
        <v/>
      </c>
      <c r="K42" s="102" t="str">
        <f t="shared" si="20"/>
        <v/>
      </c>
      <c r="L42" s="102" t="str">
        <f>IF(VLOOKUP($P42,无限模式!$A$3:$X$22,20,FALSE)="","","Monster_Infinite_"&amp;P42&amp;"_4")</f>
        <v/>
      </c>
      <c r="M42" s="57" t="str">
        <f t="shared" si="21"/>
        <v/>
      </c>
      <c r="O42" s="102" t="str">
        <f>IF(VLOOKUP($P42,无限模式!$A$3:$X$22,20,FALSE)="","",VLOOKUP($P42,无限模式!$A$3:$X$22,24,FALSE))</f>
        <v/>
      </c>
      <c r="P42" s="110">
        <f t="shared" si="22"/>
        <v>5</v>
      </c>
      <c r="Q42" s="110">
        <v>4</v>
      </c>
    </row>
    <row r="43" spans="2:17" x14ac:dyDescent="0.2">
      <c r="B43" s="57" t="s">
        <v>452</v>
      </c>
      <c r="C43" s="57">
        <v>6</v>
      </c>
      <c r="D43" s="57" t="str">
        <f t="shared" si="16"/>
        <v>无限模式第6波</v>
      </c>
      <c r="F43" s="57">
        <f t="shared" si="17"/>
        <v>0</v>
      </c>
      <c r="G43" s="102">
        <f t="shared" si="18"/>
        <v>180</v>
      </c>
      <c r="H43" s="57">
        <f t="shared" si="19"/>
        <v>0</v>
      </c>
      <c r="I43" s="102">
        <f>IF(VLOOKUP($P43,无限模式!$A$3:$X$22,5,FALSE)="","",VLOOKUP($P43,无限模式!$A$3:$X$22,6,FALSE))</f>
        <v>20</v>
      </c>
      <c r="J43" s="102">
        <f>IF(VLOOKUP($P43,无限模式!$A$3:$X$22,5,FALSE)="","",VLOOKUP($P43,无限模式!$A$3:$X$22,7,FALSE))</f>
        <v>0.75</v>
      </c>
      <c r="K43" s="102">
        <f t="shared" si="20"/>
        <v>1</v>
      </c>
      <c r="L43" s="102" t="str">
        <f>IF(VLOOKUP($P43,无限模式!$A$3:$X$22,5,FALSE)="","","Monster_Infinite_"&amp;P43&amp;"_1")</f>
        <v>Monster_Infinite_6_1</v>
      </c>
      <c r="M43" s="57">
        <f t="shared" si="21"/>
        <v>1</v>
      </c>
      <c r="O43" s="102">
        <f>IF(VLOOKUP($P43,无限模式!$A$3:$X$22,5,FALSE)="","",VLOOKUP($P43,无限模式!$A$3:$X$22,9,FALSE))</f>
        <v>11</v>
      </c>
      <c r="P43" s="110">
        <f t="shared" si="22"/>
        <v>6</v>
      </c>
      <c r="Q43" s="110">
        <v>1</v>
      </c>
    </row>
    <row r="44" spans="2:17" x14ac:dyDescent="0.2">
      <c r="D44" s="57" t="str">
        <f t="shared" si="16"/>
        <v/>
      </c>
      <c r="F44" s="57" t="str">
        <f t="shared" si="17"/>
        <v/>
      </c>
      <c r="G44" s="102" t="str">
        <f t="shared" si="18"/>
        <v/>
      </c>
      <c r="H44" s="57">
        <f t="shared" si="19"/>
        <v>0</v>
      </c>
      <c r="I44" s="102">
        <f>IF(VLOOKUP($P44,无限模式!$A$3:$X$22,10,FALSE)="","",VLOOKUP($P44,无限模式!$A$3:$X$22,11,FALSE))</f>
        <v>15</v>
      </c>
      <c r="J44" s="102">
        <f>IF(VLOOKUP($P44,无限模式!$A$3:$X$22,10,FALSE)="","",VLOOKUP($P44,无限模式!$A$3:$X$22,12,FALSE))</f>
        <v>1</v>
      </c>
      <c r="K44" s="102">
        <f t="shared" si="20"/>
        <v>1</v>
      </c>
      <c r="L44" s="102" t="str">
        <f>IF(VLOOKUP($P44,无限模式!$A$3:$X$22,10,FALSE)="","","Monster_Infinite_"&amp;P44&amp;"_2")</f>
        <v>Monster_Infinite_6_2</v>
      </c>
      <c r="M44" s="57">
        <f t="shared" si="21"/>
        <v>1</v>
      </c>
      <c r="O44" s="102">
        <f>IF(VLOOKUP($P44,无限模式!$A$3:$X$22,10,FALSE)="","",VLOOKUP($P44,无限模式!$A$3:$X$22,14,FALSE))</f>
        <v>5</v>
      </c>
      <c r="P44" s="110">
        <f t="shared" si="22"/>
        <v>6</v>
      </c>
      <c r="Q44" s="110">
        <v>2</v>
      </c>
    </row>
    <row r="45" spans="2:17" x14ac:dyDescent="0.2">
      <c r="D45" s="57" t="str">
        <f t="shared" si="16"/>
        <v/>
      </c>
      <c r="F45" s="57" t="str">
        <f t="shared" si="17"/>
        <v/>
      </c>
      <c r="G45" s="102" t="str">
        <f t="shared" si="18"/>
        <v/>
      </c>
      <c r="H45" s="57" t="str">
        <f t="shared" si="19"/>
        <v/>
      </c>
      <c r="I45" s="102" t="str">
        <f>IF(VLOOKUP($P45,无限模式!$A$3:$X$22,15,FALSE)="","",VLOOKUP(P45,无限模式!$A$3:$X$22,16,FALSE))</f>
        <v/>
      </c>
      <c r="J45" s="102" t="str">
        <f>IF(VLOOKUP($P45,无限模式!$A$3:$X$22,15,FALSE)="","",VLOOKUP($P45,无限模式!$A$3:$X$22,17,FALSE))</f>
        <v/>
      </c>
      <c r="K45" s="102" t="str">
        <f t="shared" si="20"/>
        <v/>
      </c>
      <c r="L45" s="102" t="str">
        <f>IF(VLOOKUP($P45,无限模式!$A$3:$X$22,15,FALSE)="","","Monster_Infinite_"&amp;P45&amp;"_3")</f>
        <v/>
      </c>
      <c r="M45" s="57" t="str">
        <f t="shared" si="21"/>
        <v/>
      </c>
      <c r="O45" s="102" t="str">
        <f>IF(VLOOKUP($P45,无限模式!$A$3:$X$22,15,FALSE)="","",VLOOKUP($P45,无限模式!$A$3:$X$22,19,FALSE))</f>
        <v/>
      </c>
      <c r="P45" s="110">
        <f t="shared" si="22"/>
        <v>6</v>
      </c>
      <c r="Q45" s="110">
        <v>3</v>
      </c>
    </row>
    <row r="46" spans="2:17" x14ac:dyDescent="0.2">
      <c r="D46" s="57" t="str">
        <f t="shared" si="16"/>
        <v/>
      </c>
      <c r="F46" s="57" t="str">
        <f t="shared" si="17"/>
        <v/>
      </c>
      <c r="G46" s="102" t="str">
        <f t="shared" si="18"/>
        <v/>
      </c>
      <c r="H46" s="57" t="str">
        <f t="shared" si="19"/>
        <v/>
      </c>
      <c r="I46" s="102" t="str">
        <f>IF(VLOOKUP($P46,无限模式!$A$3:$X$22,20,FALSE)="","",VLOOKUP($P46,无限模式!$A$3:$X$22,21,FALSE))</f>
        <v/>
      </c>
      <c r="J46" s="102" t="str">
        <f>IF(VLOOKUP($P46,无限模式!$A$3:$X$22,20,FALSE)="","",VLOOKUP($P46,无限模式!$A$3:$X$22,22,FALSE))</f>
        <v/>
      </c>
      <c r="K46" s="102" t="str">
        <f t="shared" si="20"/>
        <v/>
      </c>
      <c r="L46" s="102" t="str">
        <f>IF(VLOOKUP($P46,无限模式!$A$3:$X$22,20,FALSE)="","","Monster_Infinite_"&amp;P46&amp;"_4")</f>
        <v/>
      </c>
      <c r="M46" s="57" t="str">
        <f t="shared" si="21"/>
        <v/>
      </c>
      <c r="O46" s="102" t="str">
        <f>IF(VLOOKUP($P46,无限模式!$A$3:$X$22,20,FALSE)="","",VLOOKUP($P46,无限模式!$A$3:$X$22,24,FALSE))</f>
        <v/>
      </c>
      <c r="P46" s="110">
        <f t="shared" si="22"/>
        <v>6</v>
      </c>
      <c r="Q46" s="110">
        <v>4</v>
      </c>
    </row>
    <row r="47" spans="2:17" x14ac:dyDescent="0.2">
      <c r="B47" s="57" t="s">
        <v>452</v>
      </c>
      <c r="C47" s="57">
        <v>7</v>
      </c>
      <c r="D47" s="57" t="str">
        <f t="shared" si="16"/>
        <v>无限模式第7波</v>
      </c>
      <c r="F47" s="57">
        <f t="shared" si="17"/>
        <v>0</v>
      </c>
      <c r="G47" s="102">
        <f t="shared" si="18"/>
        <v>180</v>
      </c>
      <c r="H47" s="57">
        <f t="shared" si="19"/>
        <v>0</v>
      </c>
      <c r="I47" s="102">
        <f>IF(VLOOKUP($P47,无限模式!$A$3:$X$22,5,FALSE)="","",VLOOKUP($P47,无限模式!$A$3:$X$22,6,FALSE))</f>
        <v>16</v>
      </c>
      <c r="J47" s="102">
        <f>IF(VLOOKUP($P47,无限模式!$A$3:$X$22,5,FALSE)="","",VLOOKUP($P47,无限模式!$A$3:$X$22,7,FALSE))</f>
        <v>1</v>
      </c>
      <c r="K47" s="102">
        <f t="shared" si="20"/>
        <v>1</v>
      </c>
      <c r="L47" s="102" t="str">
        <f>IF(VLOOKUP($P47,无限模式!$A$3:$X$22,5,FALSE)="","","Monster_Infinite_"&amp;P47&amp;"_1")</f>
        <v>Monster_Infinite_7_1</v>
      </c>
      <c r="M47" s="57">
        <f t="shared" si="21"/>
        <v>1</v>
      </c>
      <c r="O47" s="102">
        <f>IF(VLOOKUP($P47,无限模式!$A$3:$X$22,5,FALSE)="","",VLOOKUP($P47,无限模式!$A$3:$X$22,9,FALSE))</f>
        <v>4</v>
      </c>
      <c r="P47" s="110">
        <f t="shared" si="22"/>
        <v>7</v>
      </c>
      <c r="Q47" s="110">
        <v>1</v>
      </c>
    </row>
    <row r="48" spans="2:17" x14ac:dyDescent="0.2">
      <c r="D48" s="57" t="str">
        <f t="shared" si="16"/>
        <v/>
      </c>
      <c r="F48" s="57" t="str">
        <f t="shared" si="17"/>
        <v/>
      </c>
      <c r="G48" s="102" t="str">
        <f t="shared" si="18"/>
        <v/>
      </c>
      <c r="H48" s="57">
        <f t="shared" si="19"/>
        <v>0</v>
      </c>
      <c r="I48" s="102">
        <f>IF(VLOOKUP($P48,无限模式!$A$3:$X$22,10,FALSE)="","",VLOOKUP($P48,无限模式!$A$3:$X$22,11,FALSE))</f>
        <v>32</v>
      </c>
      <c r="J48" s="102">
        <f>IF(VLOOKUP($P48,无限模式!$A$3:$X$22,10,FALSE)="","",VLOOKUP($P48,无限模式!$A$3:$X$22,12,FALSE))</f>
        <v>0.5</v>
      </c>
      <c r="K48" s="102">
        <f t="shared" si="20"/>
        <v>1</v>
      </c>
      <c r="L48" s="102" t="str">
        <f>IF(VLOOKUP($P48,无限模式!$A$3:$X$22,10,FALSE)="","","Monster_Infinite_"&amp;P48&amp;"_2")</f>
        <v>Monster_Infinite_7_2</v>
      </c>
      <c r="M48" s="57">
        <f t="shared" si="21"/>
        <v>1</v>
      </c>
      <c r="O48" s="102">
        <f>IF(VLOOKUP($P48,无限模式!$A$3:$X$22,10,FALSE)="","",VLOOKUP($P48,无限模式!$A$3:$X$22,14,FALSE))</f>
        <v>8</v>
      </c>
      <c r="P48" s="110">
        <f t="shared" si="22"/>
        <v>7</v>
      </c>
      <c r="Q48" s="110">
        <v>2</v>
      </c>
    </row>
    <row r="49" spans="2:17" x14ac:dyDescent="0.2">
      <c r="D49" s="57" t="str">
        <f t="shared" si="16"/>
        <v/>
      </c>
      <c r="F49" s="57" t="str">
        <f t="shared" si="17"/>
        <v/>
      </c>
      <c r="G49" s="102" t="str">
        <f t="shared" si="18"/>
        <v/>
      </c>
      <c r="H49" s="57" t="str">
        <f t="shared" si="19"/>
        <v/>
      </c>
      <c r="I49" s="102" t="str">
        <f>IF(VLOOKUP($P49,无限模式!$A$3:$X$22,15,FALSE)="","",VLOOKUP(P49,无限模式!$A$3:$X$22,16,FALSE))</f>
        <v/>
      </c>
      <c r="J49" s="102" t="str">
        <f>IF(VLOOKUP($P49,无限模式!$A$3:$X$22,15,FALSE)="","",VLOOKUP($P49,无限模式!$A$3:$X$22,17,FALSE))</f>
        <v/>
      </c>
      <c r="K49" s="102" t="str">
        <f t="shared" si="20"/>
        <v/>
      </c>
      <c r="L49" s="102" t="str">
        <f>IF(VLOOKUP($P49,无限模式!$A$3:$X$22,15,FALSE)="","","Monster_Infinite_"&amp;P49&amp;"_3")</f>
        <v/>
      </c>
      <c r="M49" s="57" t="str">
        <f t="shared" si="21"/>
        <v/>
      </c>
      <c r="O49" s="102" t="str">
        <f>IF(VLOOKUP($P49,无限模式!$A$3:$X$22,15,FALSE)="","",VLOOKUP($P49,无限模式!$A$3:$X$22,19,FALSE))</f>
        <v/>
      </c>
      <c r="P49" s="110">
        <f t="shared" si="22"/>
        <v>7</v>
      </c>
      <c r="Q49" s="110">
        <v>3</v>
      </c>
    </row>
    <row r="50" spans="2:17" x14ac:dyDescent="0.2">
      <c r="D50" s="57" t="str">
        <f t="shared" si="16"/>
        <v/>
      </c>
      <c r="F50" s="57" t="str">
        <f t="shared" si="17"/>
        <v/>
      </c>
      <c r="G50" s="102" t="str">
        <f t="shared" si="18"/>
        <v/>
      </c>
      <c r="H50" s="57" t="str">
        <f t="shared" si="19"/>
        <v/>
      </c>
      <c r="I50" s="102" t="str">
        <f>IF(VLOOKUP($P50,无限模式!$A$3:$X$22,20,FALSE)="","",VLOOKUP($P50,无限模式!$A$3:$X$22,21,FALSE))</f>
        <v/>
      </c>
      <c r="J50" s="102" t="str">
        <f>IF(VLOOKUP($P50,无限模式!$A$3:$X$22,20,FALSE)="","",VLOOKUP($P50,无限模式!$A$3:$X$22,22,FALSE))</f>
        <v/>
      </c>
      <c r="K50" s="102" t="str">
        <f t="shared" si="20"/>
        <v/>
      </c>
      <c r="L50" s="102" t="str">
        <f>IF(VLOOKUP($P50,无限模式!$A$3:$X$22,20,FALSE)="","","Monster_Infinite_"&amp;P50&amp;"_4")</f>
        <v/>
      </c>
      <c r="M50" s="57" t="str">
        <f t="shared" si="21"/>
        <v/>
      </c>
      <c r="O50" s="102" t="str">
        <f>IF(VLOOKUP($P50,无限模式!$A$3:$X$22,20,FALSE)="","",VLOOKUP($P50,无限模式!$A$3:$X$22,24,FALSE))</f>
        <v/>
      </c>
      <c r="P50" s="110">
        <f t="shared" si="22"/>
        <v>7</v>
      </c>
      <c r="Q50" s="110">
        <v>4</v>
      </c>
    </row>
    <row r="51" spans="2:17" x14ac:dyDescent="0.2">
      <c r="B51" s="57" t="s">
        <v>452</v>
      </c>
      <c r="C51" s="57">
        <v>8</v>
      </c>
      <c r="D51" s="57" t="str">
        <f t="shared" si="16"/>
        <v>无限模式第8波</v>
      </c>
      <c r="F51" s="57">
        <f t="shared" si="17"/>
        <v>0</v>
      </c>
      <c r="G51" s="102">
        <f t="shared" si="18"/>
        <v>180</v>
      </c>
      <c r="H51" s="57">
        <f t="shared" si="19"/>
        <v>0</v>
      </c>
      <c r="I51" s="102">
        <f>IF(VLOOKUP($P51,无限模式!$A$3:$X$22,5,FALSE)="","",VLOOKUP($P51,无限模式!$A$3:$X$22,6,FALSE))</f>
        <v>17</v>
      </c>
      <c r="J51" s="102">
        <f>IF(VLOOKUP($P51,无限模式!$A$3:$X$22,5,FALSE)="","",VLOOKUP($P51,无限模式!$A$3:$X$22,7,FALSE))</f>
        <v>1</v>
      </c>
      <c r="K51" s="102">
        <f t="shared" si="20"/>
        <v>1</v>
      </c>
      <c r="L51" s="102" t="str">
        <f>IF(VLOOKUP($P51,无限模式!$A$3:$X$22,5,FALSE)="","","Monster_Infinite_"&amp;P51&amp;"_1")</f>
        <v>Monster_Infinite_8_1</v>
      </c>
      <c r="M51" s="57">
        <f t="shared" si="21"/>
        <v>1</v>
      </c>
      <c r="O51" s="102">
        <f>IF(VLOOKUP($P51,无限模式!$A$3:$X$22,5,FALSE)="","",VLOOKUP($P51,无限模式!$A$3:$X$22,9,FALSE))</f>
        <v>5</v>
      </c>
      <c r="P51" s="110">
        <f t="shared" si="22"/>
        <v>8</v>
      </c>
      <c r="Q51" s="110">
        <v>1</v>
      </c>
    </row>
    <row r="52" spans="2:17" x14ac:dyDescent="0.2">
      <c r="D52" s="57" t="str">
        <f t="shared" si="16"/>
        <v/>
      </c>
      <c r="F52" s="57" t="str">
        <f t="shared" si="17"/>
        <v/>
      </c>
      <c r="G52" s="102" t="str">
        <f t="shared" si="18"/>
        <v/>
      </c>
      <c r="H52" s="57">
        <f t="shared" si="19"/>
        <v>0</v>
      </c>
      <c r="I52" s="102">
        <f>IF(VLOOKUP($P52,无限模式!$A$3:$X$22,10,FALSE)="","",VLOOKUP($P52,无限模式!$A$3:$X$22,11,FALSE))</f>
        <v>1</v>
      </c>
      <c r="J52" s="102">
        <f>IF(VLOOKUP($P52,无限模式!$A$3:$X$22,10,FALSE)="","",VLOOKUP($P52,无限模式!$A$3:$X$22,12,FALSE))</f>
        <v>0</v>
      </c>
      <c r="K52" s="102">
        <f t="shared" si="20"/>
        <v>1</v>
      </c>
      <c r="L52" s="102" t="str">
        <f>IF(VLOOKUP($P52,无限模式!$A$3:$X$22,10,FALSE)="","","Monster_Infinite_"&amp;P52&amp;"_2")</f>
        <v>Monster_Infinite_8_2</v>
      </c>
      <c r="M52" s="57">
        <f t="shared" si="21"/>
        <v>1</v>
      </c>
      <c r="O52" s="102">
        <f>IF(VLOOKUP($P52,无限模式!$A$3:$X$22,10,FALSE)="","",VLOOKUP($P52,无限模式!$A$3:$X$22,14,FALSE))</f>
        <v>211</v>
      </c>
      <c r="P52" s="110">
        <f t="shared" si="22"/>
        <v>8</v>
      </c>
      <c r="Q52" s="110">
        <v>2</v>
      </c>
    </row>
    <row r="53" spans="2:17" x14ac:dyDescent="0.2">
      <c r="D53" s="57" t="str">
        <f t="shared" si="16"/>
        <v/>
      </c>
      <c r="F53" s="57" t="str">
        <f t="shared" si="17"/>
        <v/>
      </c>
      <c r="G53" s="102" t="str">
        <f t="shared" si="18"/>
        <v/>
      </c>
      <c r="H53" s="57" t="str">
        <f t="shared" si="19"/>
        <v/>
      </c>
      <c r="I53" s="102" t="str">
        <f>IF(VLOOKUP($P53,无限模式!$A$3:$X$22,15,FALSE)="","",VLOOKUP(P53,无限模式!$A$3:$X$22,16,FALSE))</f>
        <v/>
      </c>
      <c r="J53" s="102" t="str">
        <f>IF(VLOOKUP($P53,无限模式!$A$3:$X$22,15,FALSE)="","",VLOOKUP($P53,无限模式!$A$3:$X$22,17,FALSE))</f>
        <v/>
      </c>
      <c r="K53" s="102" t="str">
        <f t="shared" si="20"/>
        <v/>
      </c>
      <c r="L53" s="102" t="str">
        <f>IF(VLOOKUP($P53,无限模式!$A$3:$X$22,15,FALSE)="","","Monster_Infinite_"&amp;P53&amp;"_3")</f>
        <v/>
      </c>
      <c r="M53" s="57" t="str">
        <f t="shared" si="21"/>
        <v/>
      </c>
      <c r="O53" s="102" t="str">
        <f>IF(VLOOKUP($P53,无限模式!$A$3:$X$22,15,FALSE)="","",VLOOKUP($P53,无限模式!$A$3:$X$22,19,FALSE))</f>
        <v/>
      </c>
      <c r="P53" s="110">
        <f t="shared" si="22"/>
        <v>8</v>
      </c>
      <c r="Q53" s="110">
        <v>3</v>
      </c>
    </row>
    <row r="54" spans="2:17" x14ac:dyDescent="0.2">
      <c r="D54" s="57" t="str">
        <f t="shared" si="16"/>
        <v/>
      </c>
      <c r="F54" s="57" t="str">
        <f t="shared" si="17"/>
        <v/>
      </c>
      <c r="G54" s="102" t="str">
        <f t="shared" si="18"/>
        <v/>
      </c>
      <c r="H54" s="57" t="str">
        <f t="shared" si="19"/>
        <v/>
      </c>
      <c r="I54" s="102" t="str">
        <f>IF(VLOOKUP($P54,无限模式!$A$3:$X$22,20,FALSE)="","",VLOOKUP($P54,无限模式!$A$3:$X$22,21,FALSE))</f>
        <v/>
      </c>
      <c r="J54" s="102" t="str">
        <f>IF(VLOOKUP($P54,无限模式!$A$3:$X$22,20,FALSE)="","",VLOOKUP($P54,无限模式!$A$3:$X$22,22,FALSE))</f>
        <v/>
      </c>
      <c r="K54" s="102" t="str">
        <f t="shared" si="20"/>
        <v/>
      </c>
      <c r="L54" s="102" t="str">
        <f>IF(VLOOKUP($P54,无限模式!$A$3:$X$22,20,FALSE)="","","Monster_Infinite_"&amp;P54&amp;"_4")</f>
        <v/>
      </c>
      <c r="M54" s="57" t="str">
        <f t="shared" si="21"/>
        <v/>
      </c>
      <c r="O54" s="102" t="str">
        <f>IF(VLOOKUP($P54,无限模式!$A$3:$X$22,20,FALSE)="","",VLOOKUP($P54,无限模式!$A$3:$X$22,24,FALSE))</f>
        <v/>
      </c>
      <c r="P54" s="110">
        <f t="shared" si="22"/>
        <v>8</v>
      </c>
      <c r="Q54" s="110">
        <v>4</v>
      </c>
    </row>
    <row r="55" spans="2:17" x14ac:dyDescent="0.2">
      <c r="B55" s="57" t="s">
        <v>452</v>
      </c>
      <c r="C55" s="57">
        <v>9</v>
      </c>
      <c r="D55" s="57" t="str">
        <f t="shared" ref="D55:D86" si="23">IF(C55="","","无限模式第"&amp;C55&amp;"波")</f>
        <v>无限模式第9波</v>
      </c>
      <c r="F55" s="57">
        <f t="shared" si="17"/>
        <v>0</v>
      </c>
      <c r="G55" s="102">
        <f t="shared" si="18"/>
        <v>180</v>
      </c>
      <c r="H55" s="57">
        <f t="shared" si="19"/>
        <v>0</v>
      </c>
      <c r="I55" s="102">
        <f>IF(VLOOKUP($P55,无限模式!$A$3:$X$22,5,FALSE)="","",VLOOKUP($P55,无限模式!$A$3:$X$22,6,FALSE))</f>
        <v>12</v>
      </c>
      <c r="J55" s="102">
        <f>IF(VLOOKUP($P55,无限模式!$A$3:$X$22,5,FALSE)="","",VLOOKUP($P55,无限模式!$A$3:$X$22,7,FALSE))</f>
        <v>1.5</v>
      </c>
      <c r="K55" s="102">
        <f t="shared" si="20"/>
        <v>1</v>
      </c>
      <c r="L55" s="102" t="str">
        <f>IF(VLOOKUP($P55,无限模式!$A$3:$X$22,5,FALSE)="","","Monster_Infinite_"&amp;P55&amp;"_1")</f>
        <v>Monster_Infinite_9_1</v>
      </c>
      <c r="M55" s="57">
        <f t="shared" si="21"/>
        <v>1</v>
      </c>
      <c r="O55" s="102">
        <f>IF(VLOOKUP($P55,无限模式!$A$3:$X$22,5,FALSE)="","",VLOOKUP($P55,无限模式!$A$3:$X$22,9,FALSE))</f>
        <v>17</v>
      </c>
      <c r="P55" s="110">
        <f t="shared" si="22"/>
        <v>9</v>
      </c>
      <c r="Q55" s="110">
        <v>1</v>
      </c>
    </row>
    <row r="56" spans="2:17" x14ac:dyDescent="0.2">
      <c r="D56" s="57" t="str">
        <f t="shared" si="23"/>
        <v/>
      </c>
      <c r="F56" s="57" t="str">
        <f t="shared" si="17"/>
        <v/>
      </c>
      <c r="G56" s="102" t="str">
        <f t="shared" si="18"/>
        <v/>
      </c>
      <c r="H56" s="57">
        <f t="shared" si="19"/>
        <v>0</v>
      </c>
      <c r="I56" s="102">
        <f>IF(VLOOKUP($P56,无限模式!$A$3:$X$22,10,FALSE)="","",VLOOKUP($P56,无限模式!$A$3:$X$22,11,FALSE))</f>
        <v>6</v>
      </c>
      <c r="J56" s="102">
        <f>IF(VLOOKUP($P56,无限模式!$A$3:$X$22,10,FALSE)="","",VLOOKUP($P56,无限模式!$A$3:$X$22,12,FALSE))</f>
        <v>3</v>
      </c>
      <c r="K56" s="102">
        <f t="shared" si="20"/>
        <v>1</v>
      </c>
      <c r="L56" s="102" t="str">
        <f>IF(VLOOKUP($P56,无限模式!$A$3:$X$22,10,FALSE)="","","Monster_Infinite_"&amp;P56&amp;"_2")</f>
        <v>Monster_Infinite_9_2</v>
      </c>
      <c r="M56" s="57">
        <f t="shared" si="21"/>
        <v>1</v>
      </c>
      <c r="O56" s="102">
        <f>IF(VLOOKUP($P56,无限模式!$A$3:$X$22,10,FALSE)="","",VLOOKUP($P56,无限模式!$A$3:$X$22,14,FALSE))</f>
        <v>17</v>
      </c>
      <c r="P56" s="110">
        <f t="shared" si="22"/>
        <v>9</v>
      </c>
      <c r="Q56" s="110">
        <v>2</v>
      </c>
    </row>
    <row r="57" spans="2:17" x14ac:dyDescent="0.2">
      <c r="D57" s="57" t="str">
        <f t="shared" si="23"/>
        <v/>
      </c>
      <c r="F57" s="57" t="str">
        <f t="shared" si="17"/>
        <v/>
      </c>
      <c r="G57" s="102" t="str">
        <f t="shared" si="18"/>
        <v/>
      </c>
      <c r="H57" s="57" t="str">
        <f t="shared" si="19"/>
        <v/>
      </c>
      <c r="I57" s="102" t="str">
        <f>IF(VLOOKUP($P57,无限模式!$A$3:$X$22,15,FALSE)="","",VLOOKUP(P57,无限模式!$A$3:$X$22,16,FALSE))</f>
        <v/>
      </c>
      <c r="J57" s="102" t="str">
        <f>IF(VLOOKUP($P57,无限模式!$A$3:$X$22,15,FALSE)="","",VLOOKUP($P57,无限模式!$A$3:$X$22,17,FALSE))</f>
        <v/>
      </c>
      <c r="K57" s="102" t="str">
        <f t="shared" si="20"/>
        <v/>
      </c>
      <c r="L57" s="102" t="str">
        <f>IF(VLOOKUP($P57,无限模式!$A$3:$X$22,15,FALSE)="","","Monster_Infinite_"&amp;P57&amp;"_3")</f>
        <v/>
      </c>
      <c r="M57" s="57" t="str">
        <f t="shared" si="21"/>
        <v/>
      </c>
      <c r="O57" s="102" t="str">
        <f>IF(VLOOKUP($P57,无限模式!$A$3:$X$22,15,FALSE)="","",VLOOKUP($P57,无限模式!$A$3:$X$22,19,FALSE))</f>
        <v/>
      </c>
      <c r="P57" s="110">
        <f t="shared" si="22"/>
        <v>9</v>
      </c>
      <c r="Q57" s="110">
        <v>3</v>
      </c>
    </row>
    <row r="58" spans="2:17" x14ac:dyDescent="0.2">
      <c r="D58" s="57" t="str">
        <f t="shared" si="23"/>
        <v/>
      </c>
      <c r="F58" s="57" t="str">
        <f t="shared" si="17"/>
        <v/>
      </c>
      <c r="G58" s="102" t="str">
        <f t="shared" si="18"/>
        <v/>
      </c>
      <c r="H58" s="57" t="str">
        <f t="shared" si="19"/>
        <v/>
      </c>
      <c r="I58" s="102" t="str">
        <f>IF(VLOOKUP($P58,无限模式!$A$3:$X$22,20,FALSE)="","",VLOOKUP($P58,无限模式!$A$3:$X$22,21,FALSE))</f>
        <v/>
      </c>
      <c r="J58" s="102" t="str">
        <f>IF(VLOOKUP($P58,无限模式!$A$3:$X$22,20,FALSE)="","",VLOOKUP($P58,无限模式!$A$3:$X$22,22,FALSE))</f>
        <v/>
      </c>
      <c r="K58" s="102" t="str">
        <f t="shared" si="20"/>
        <v/>
      </c>
      <c r="L58" s="102" t="str">
        <f>IF(VLOOKUP($P58,无限模式!$A$3:$X$22,20,FALSE)="","","Monster_Infinite_"&amp;P58&amp;"_4")</f>
        <v/>
      </c>
      <c r="M58" s="57" t="str">
        <f t="shared" si="21"/>
        <v/>
      </c>
      <c r="O58" s="102" t="str">
        <f>IF(VLOOKUP($P58,无限模式!$A$3:$X$22,20,FALSE)="","",VLOOKUP($P58,无限模式!$A$3:$X$22,24,FALSE))</f>
        <v/>
      </c>
      <c r="P58" s="110">
        <f t="shared" si="22"/>
        <v>9</v>
      </c>
      <c r="Q58" s="110">
        <v>4</v>
      </c>
    </row>
    <row r="59" spans="2:17" x14ac:dyDescent="0.2">
      <c r="B59" s="57" t="s">
        <v>452</v>
      </c>
      <c r="C59" s="57">
        <v>10</v>
      </c>
      <c r="D59" s="57" t="str">
        <f t="shared" si="23"/>
        <v>无限模式第10波</v>
      </c>
      <c r="F59" s="57">
        <f t="shared" si="17"/>
        <v>0</v>
      </c>
      <c r="G59" s="102">
        <f t="shared" si="18"/>
        <v>180</v>
      </c>
      <c r="H59" s="57">
        <f t="shared" si="19"/>
        <v>0</v>
      </c>
      <c r="I59" s="102">
        <f>IF(VLOOKUP($P59,无限模式!$A$3:$X$22,5,FALSE)="","",VLOOKUP($P59,无限模式!$A$3:$X$22,6,FALSE))</f>
        <v>19</v>
      </c>
      <c r="J59" s="102">
        <f>IF(VLOOKUP($P59,无限模式!$A$3:$X$22,5,FALSE)="","",VLOOKUP($P59,无限模式!$A$3:$X$22,7,FALSE))</f>
        <v>1</v>
      </c>
      <c r="K59" s="102">
        <f t="shared" si="20"/>
        <v>1</v>
      </c>
      <c r="L59" s="102" t="str">
        <f>IF(VLOOKUP($P59,无限模式!$A$3:$X$22,5,FALSE)="","","Monster_Infinite_"&amp;P59&amp;"_1")</f>
        <v>Monster_Infinite_10_1</v>
      </c>
      <c r="M59" s="57">
        <f t="shared" si="21"/>
        <v>1</v>
      </c>
      <c r="O59" s="102">
        <f>IF(VLOOKUP($P59,无限模式!$A$3:$X$22,5,FALSE)="","",VLOOKUP($P59,无限模式!$A$3:$X$22,9,FALSE))</f>
        <v>12</v>
      </c>
      <c r="P59" s="110">
        <f t="shared" si="22"/>
        <v>10</v>
      </c>
      <c r="Q59" s="110">
        <v>1</v>
      </c>
    </row>
    <row r="60" spans="2:17" x14ac:dyDescent="0.2">
      <c r="D60" s="57" t="str">
        <f t="shared" si="23"/>
        <v/>
      </c>
      <c r="F60" s="57" t="str">
        <f t="shared" si="17"/>
        <v/>
      </c>
      <c r="G60" s="102" t="str">
        <f t="shared" si="18"/>
        <v/>
      </c>
      <c r="H60" s="57">
        <f t="shared" si="19"/>
        <v>0</v>
      </c>
      <c r="I60" s="102">
        <f>IF(VLOOKUP($P60,无限模式!$A$3:$X$22,10,FALSE)="","",VLOOKUP($P60,无限模式!$A$3:$X$22,11,FALSE))</f>
        <v>6</v>
      </c>
      <c r="J60" s="102">
        <f>IF(VLOOKUP($P60,无限模式!$A$3:$X$22,10,FALSE)="","",VLOOKUP($P60,无限模式!$A$3:$X$22,12,FALSE))</f>
        <v>3</v>
      </c>
      <c r="K60" s="102">
        <f t="shared" si="20"/>
        <v>1</v>
      </c>
      <c r="L60" s="102" t="str">
        <f>IF(VLOOKUP($P60,无限模式!$A$3:$X$22,10,FALSE)="","","Monster_Infinite_"&amp;P60&amp;"_2")</f>
        <v>Monster_Infinite_10_2</v>
      </c>
      <c r="M60" s="57">
        <f t="shared" si="21"/>
        <v>1</v>
      </c>
      <c r="O60" s="102">
        <f>IF(VLOOKUP($P60,无限模式!$A$3:$X$22,10,FALSE)="","",VLOOKUP($P60,无限模式!$A$3:$X$22,14,FALSE))</f>
        <v>12</v>
      </c>
      <c r="P60" s="110">
        <f t="shared" si="22"/>
        <v>10</v>
      </c>
      <c r="Q60" s="110">
        <v>2</v>
      </c>
    </row>
    <row r="61" spans="2:17" x14ac:dyDescent="0.2">
      <c r="D61" s="57" t="str">
        <f t="shared" si="23"/>
        <v/>
      </c>
      <c r="F61" s="57" t="str">
        <f t="shared" si="17"/>
        <v/>
      </c>
      <c r="G61" s="102" t="str">
        <f t="shared" si="18"/>
        <v/>
      </c>
      <c r="H61" s="57" t="str">
        <f t="shared" si="19"/>
        <v/>
      </c>
      <c r="I61" s="102" t="str">
        <f>IF(VLOOKUP($P61,无限模式!$A$3:$X$22,15,FALSE)="","",VLOOKUP(P61,无限模式!$A$3:$X$22,16,FALSE))</f>
        <v/>
      </c>
      <c r="J61" s="102" t="str">
        <f>IF(VLOOKUP($P61,无限模式!$A$3:$X$22,15,FALSE)="","",VLOOKUP($P61,无限模式!$A$3:$X$22,17,FALSE))</f>
        <v/>
      </c>
      <c r="K61" s="102" t="str">
        <f t="shared" si="20"/>
        <v/>
      </c>
      <c r="L61" s="102" t="str">
        <f>IF(VLOOKUP($P61,无限模式!$A$3:$X$22,15,FALSE)="","","Monster_Infinite_"&amp;P61&amp;"_3")</f>
        <v/>
      </c>
      <c r="M61" s="57" t="str">
        <f t="shared" si="21"/>
        <v/>
      </c>
      <c r="O61" s="102" t="str">
        <f>IF(VLOOKUP($P61,无限模式!$A$3:$X$22,15,FALSE)="","",VLOOKUP($P61,无限模式!$A$3:$X$22,19,FALSE))</f>
        <v/>
      </c>
      <c r="P61" s="110">
        <f t="shared" si="22"/>
        <v>10</v>
      </c>
      <c r="Q61" s="110">
        <v>3</v>
      </c>
    </row>
    <row r="62" spans="2:17" x14ac:dyDescent="0.2">
      <c r="D62" s="57" t="str">
        <f t="shared" si="23"/>
        <v/>
      </c>
      <c r="F62" s="57" t="str">
        <f t="shared" si="17"/>
        <v/>
      </c>
      <c r="G62" s="102" t="str">
        <f t="shared" si="18"/>
        <v/>
      </c>
      <c r="H62" s="57" t="str">
        <f t="shared" si="19"/>
        <v/>
      </c>
      <c r="I62" s="102" t="str">
        <f>IF(VLOOKUP($P62,无限模式!$A$3:$X$22,20,FALSE)="","",VLOOKUP($P62,无限模式!$A$3:$X$22,21,FALSE))</f>
        <v/>
      </c>
      <c r="J62" s="102" t="str">
        <f>IF(VLOOKUP($P62,无限模式!$A$3:$X$22,20,FALSE)="","",VLOOKUP($P62,无限模式!$A$3:$X$22,22,FALSE))</f>
        <v/>
      </c>
      <c r="K62" s="102" t="str">
        <f t="shared" si="20"/>
        <v/>
      </c>
      <c r="L62" s="102" t="str">
        <f>IF(VLOOKUP($P62,无限模式!$A$3:$X$22,20,FALSE)="","","Monster_Infinite_"&amp;P62&amp;"_4")</f>
        <v/>
      </c>
      <c r="M62" s="57" t="str">
        <f t="shared" si="21"/>
        <v/>
      </c>
      <c r="O62" s="102" t="str">
        <f>IF(VLOOKUP($P62,无限模式!$A$3:$X$22,20,FALSE)="","",VLOOKUP($P62,无限模式!$A$3:$X$22,24,FALSE))</f>
        <v/>
      </c>
      <c r="P62" s="110">
        <f t="shared" si="22"/>
        <v>10</v>
      </c>
      <c r="Q62" s="110">
        <v>4</v>
      </c>
    </row>
    <row r="63" spans="2:17" x14ac:dyDescent="0.2">
      <c r="B63" s="57" t="s">
        <v>452</v>
      </c>
      <c r="C63" s="57">
        <v>11</v>
      </c>
      <c r="D63" s="57" t="str">
        <f t="shared" si="23"/>
        <v>无限模式第11波</v>
      </c>
      <c r="F63" s="57">
        <f t="shared" si="17"/>
        <v>0</v>
      </c>
      <c r="G63" s="102">
        <f t="shared" si="18"/>
        <v>180</v>
      </c>
      <c r="H63" s="57">
        <f t="shared" si="19"/>
        <v>0</v>
      </c>
      <c r="I63" s="102">
        <f>IF(VLOOKUP($P63,无限模式!$A$3:$X$22,5,FALSE)="","",VLOOKUP($P63,无限模式!$A$3:$X$22,6,FALSE))</f>
        <v>20</v>
      </c>
      <c r="J63" s="102">
        <f>IF(VLOOKUP($P63,无限模式!$A$3:$X$22,5,FALSE)="","",VLOOKUP($P63,无限模式!$A$3:$X$22,7,FALSE))</f>
        <v>1</v>
      </c>
      <c r="K63" s="102">
        <f t="shared" si="20"/>
        <v>1</v>
      </c>
      <c r="L63" s="102" t="str">
        <f>IF(VLOOKUP($P63,无限模式!$A$3:$X$22,5,FALSE)="","","Monster_Infinite_"&amp;P63&amp;"_1")</f>
        <v>Monster_Infinite_11_1</v>
      </c>
      <c r="M63" s="57">
        <f t="shared" si="21"/>
        <v>1</v>
      </c>
      <c r="O63" s="102">
        <f>IF(VLOOKUP($P63,无限模式!$A$3:$X$22,5,FALSE)="","",VLOOKUP($P63,无限模式!$A$3:$X$22,9,FALSE))</f>
        <v>12</v>
      </c>
      <c r="P63" s="110">
        <f t="shared" si="22"/>
        <v>11</v>
      </c>
      <c r="Q63" s="110">
        <v>1</v>
      </c>
    </row>
    <row r="64" spans="2:17" x14ac:dyDescent="0.2">
      <c r="D64" s="57" t="str">
        <f t="shared" si="23"/>
        <v/>
      </c>
      <c r="F64" s="57" t="str">
        <f t="shared" si="17"/>
        <v/>
      </c>
      <c r="G64" s="102" t="str">
        <f t="shared" si="18"/>
        <v/>
      </c>
      <c r="H64" s="57">
        <f t="shared" si="19"/>
        <v>0</v>
      </c>
      <c r="I64" s="102">
        <f>IF(VLOOKUP($P64,无限模式!$A$3:$X$22,10,FALSE)="","",VLOOKUP($P64,无限模式!$A$3:$X$22,11,FALSE))</f>
        <v>10</v>
      </c>
      <c r="J64" s="102">
        <f>IF(VLOOKUP($P64,无限模式!$A$3:$X$22,10,FALSE)="","",VLOOKUP($P64,无限模式!$A$3:$X$22,12,FALSE))</f>
        <v>2</v>
      </c>
      <c r="K64" s="102">
        <f t="shared" si="20"/>
        <v>1</v>
      </c>
      <c r="L64" s="102" t="str">
        <f>IF(VLOOKUP($P64,无限模式!$A$3:$X$22,10,FALSE)="","","Monster_Infinite_"&amp;P64&amp;"_2")</f>
        <v>Monster_Infinite_11_2</v>
      </c>
      <c r="M64" s="57">
        <f t="shared" si="21"/>
        <v>1</v>
      </c>
      <c r="O64" s="102">
        <f>IF(VLOOKUP($P64,无限模式!$A$3:$X$22,10,FALSE)="","",VLOOKUP($P64,无限模式!$A$3:$X$22,14,FALSE))</f>
        <v>6</v>
      </c>
      <c r="P64" s="110">
        <f t="shared" si="22"/>
        <v>11</v>
      </c>
      <c r="Q64" s="110">
        <v>2</v>
      </c>
    </row>
    <row r="65" spans="2:17" x14ac:dyDescent="0.2">
      <c r="D65" s="57" t="str">
        <f t="shared" si="23"/>
        <v/>
      </c>
      <c r="F65" s="57" t="str">
        <f t="shared" si="17"/>
        <v/>
      </c>
      <c r="G65" s="102" t="str">
        <f t="shared" si="18"/>
        <v/>
      </c>
      <c r="H65" s="57" t="str">
        <f t="shared" si="19"/>
        <v/>
      </c>
      <c r="I65" s="102" t="str">
        <f>IF(VLOOKUP($P65,无限模式!$A$3:$X$22,15,FALSE)="","",VLOOKUP(P65,无限模式!$A$3:$X$22,16,FALSE))</f>
        <v/>
      </c>
      <c r="J65" s="102" t="str">
        <f>IF(VLOOKUP($P65,无限模式!$A$3:$X$22,15,FALSE)="","",VLOOKUP($P65,无限模式!$A$3:$X$22,17,FALSE))</f>
        <v/>
      </c>
      <c r="K65" s="102" t="str">
        <f t="shared" si="20"/>
        <v/>
      </c>
      <c r="L65" s="102" t="str">
        <f>IF(VLOOKUP($P65,无限模式!$A$3:$X$22,15,FALSE)="","","Monster_Infinite_"&amp;P65&amp;"_3")</f>
        <v/>
      </c>
      <c r="M65" s="57" t="str">
        <f t="shared" si="21"/>
        <v/>
      </c>
      <c r="O65" s="102" t="str">
        <f>IF(VLOOKUP($P65,无限模式!$A$3:$X$22,15,FALSE)="","",VLOOKUP($P65,无限模式!$A$3:$X$22,19,FALSE))</f>
        <v/>
      </c>
      <c r="P65" s="110">
        <f t="shared" si="22"/>
        <v>11</v>
      </c>
      <c r="Q65" s="110">
        <v>3</v>
      </c>
    </row>
    <row r="66" spans="2:17" x14ac:dyDescent="0.2">
      <c r="D66" s="57" t="str">
        <f t="shared" si="23"/>
        <v/>
      </c>
      <c r="F66" s="57" t="str">
        <f t="shared" si="17"/>
        <v/>
      </c>
      <c r="G66" s="102" t="str">
        <f t="shared" si="18"/>
        <v/>
      </c>
      <c r="H66" s="57" t="str">
        <f t="shared" si="19"/>
        <v/>
      </c>
      <c r="I66" s="102" t="str">
        <f>IF(VLOOKUP($P66,无限模式!$A$3:$X$22,20,FALSE)="","",VLOOKUP($P66,无限模式!$A$3:$X$22,21,FALSE))</f>
        <v/>
      </c>
      <c r="J66" s="102" t="str">
        <f>IF(VLOOKUP($P66,无限模式!$A$3:$X$22,20,FALSE)="","",VLOOKUP($P66,无限模式!$A$3:$X$22,22,FALSE))</f>
        <v/>
      </c>
      <c r="K66" s="102" t="str">
        <f t="shared" si="20"/>
        <v/>
      </c>
      <c r="L66" s="102" t="str">
        <f>IF(VLOOKUP($P66,无限模式!$A$3:$X$22,20,FALSE)="","","Monster_Infinite_"&amp;P66&amp;"_4")</f>
        <v/>
      </c>
      <c r="M66" s="57" t="str">
        <f t="shared" si="21"/>
        <v/>
      </c>
      <c r="O66" s="102" t="str">
        <f>IF(VLOOKUP($P66,无限模式!$A$3:$X$22,20,FALSE)="","",VLOOKUP($P66,无限模式!$A$3:$X$22,24,FALSE))</f>
        <v/>
      </c>
      <c r="P66" s="110">
        <f t="shared" si="22"/>
        <v>11</v>
      </c>
      <c r="Q66" s="110">
        <v>4</v>
      </c>
    </row>
    <row r="67" spans="2:17" x14ac:dyDescent="0.2">
      <c r="B67" s="57" t="s">
        <v>452</v>
      </c>
      <c r="C67" s="57">
        <v>12</v>
      </c>
      <c r="D67" s="57" t="str">
        <f t="shared" si="23"/>
        <v>无限模式第12波</v>
      </c>
      <c r="F67" s="57">
        <f t="shared" si="17"/>
        <v>0</v>
      </c>
      <c r="G67" s="102">
        <f t="shared" si="18"/>
        <v>180</v>
      </c>
      <c r="H67" s="57">
        <f t="shared" si="19"/>
        <v>0</v>
      </c>
      <c r="I67" s="102">
        <f>IF(VLOOKUP($P67,无限模式!$A$3:$X$22,5,FALSE)="","",VLOOKUP($P67,无限模式!$A$3:$X$22,6,FALSE))</f>
        <v>21</v>
      </c>
      <c r="J67" s="102">
        <f>IF(VLOOKUP($P67,无限模式!$A$3:$X$22,5,FALSE)="","",VLOOKUP($P67,无限模式!$A$3:$X$22,7,FALSE))</f>
        <v>1</v>
      </c>
      <c r="K67" s="102">
        <f t="shared" si="20"/>
        <v>1</v>
      </c>
      <c r="L67" s="102" t="str">
        <f>IF(VLOOKUP($P67,无限模式!$A$3:$X$22,5,FALSE)="","","Monster_Infinite_"&amp;P67&amp;"_1")</f>
        <v>Monster_Infinite_12_1</v>
      </c>
      <c r="M67" s="57">
        <f t="shared" si="21"/>
        <v>1</v>
      </c>
      <c r="O67" s="102">
        <f>IF(VLOOKUP($P67,无限模式!$A$3:$X$22,5,FALSE)="","",VLOOKUP($P67,无限模式!$A$3:$X$22,9,FALSE))</f>
        <v>6</v>
      </c>
      <c r="P67" s="110">
        <f t="shared" si="22"/>
        <v>12</v>
      </c>
      <c r="Q67" s="110">
        <v>1</v>
      </c>
    </row>
    <row r="68" spans="2:17" x14ac:dyDescent="0.2">
      <c r="D68" s="57" t="str">
        <f t="shared" si="23"/>
        <v/>
      </c>
      <c r="F68" s="57" t="str">
        <f t="shared" si="17"/>
        <v/>
      </c>
      <c r="G68" s="102" t="str">
        <f t="shared" si="18"/>
        <v/>
      </c>
      <c r="H68" s="57">
        <f t="shared" si="19"/>
        <v>0</v>
      </c>
      <c r="I68" s="102">
        <f>IF(VLOOKUP($P68,无限模式!$A$3:$X$22,10,FALSE)="","",VLOOKUP($P68,无限模式!$A$3:$X$22,11,FALSE))</f>
        <v>7</v>
      </c>
      <c r="J68" s="102">
        <f>IF(VLOOKUP($P68,无限模式!$A$3:$X$22,10,FALSE)="","",VLOOKUP($P68,无限模式!$A$3:$X$22,12,FALSE))</f>
        <v>3</v>
      </c>
      <c r="K68" s="102">
        <f t="shared" si="20"/>
        <v>1</v>
      </c>
      <c r="L68" s="102" t="str">
        <f>IF(VLOOKUP($P68,无限模式!$A$3:$X$22,10,FALSE)="","","Monster_Infinite_"&amp;P68&amp;"_2")</f>
        <v>Monster_Infinite_12_2</v>
      </c>
      <c r="M68" s="57">
        <f t="shared" si="21"/>
        <v>1</v>
      </c>
      <c r="O68" s="102">
        <f>IF(VLOOKUP($P68,无限模式!$A$3:$X$22,10,FALSE)="","",VLOOKUP($P68,无限模式!$A$3:$X$22,14,FALSE))</f>
        <v>6</v>
      </c>
      <c r="P68" s="110">
        <f t="shared" si="22"/>
        <v>12</v>
      </c>
      <c r="Q68" s="110">
        <v>2</v>
      </c>
    </row>
    <row r="69" spans="2:17" x14ac:dyDescent="0.2">
      <c r="D69" s="57" t="str">
        <f t="shared" si="23"/>
        <v/>
      </c>
      <c r="F69" s="57" t="str">
        <f t="shared" si="17"/>
        <v/>
      </c>
      <c r="G69" s="102" t="str">
        <f t="shared" si="18"/>
        <v/>
      </c>
      <c r="H69" s="57">
        <f t="shared" si="19"/>
        <v>0</v>
      </c>
      <c r="I69" s="102">
        <f>IF(VLOOKUP($P69,无限模式!$A$3:$X$22,15,FALSE)="","",VLOOKUP(P69,无限模式!$A$3:$X$22,16,FALSE))</f>
        <v>1</v>
      </c>
      <c r="J69" s="102">
        <f>IF(VLOOKUP($P69,无限模式!$A$3:$X$22,15,FALSE)="","",VLOOKUP($P69,无限模式!$A$3:$X$22,17,FALSE))</f>
        <v>0</v>
      </c>
      <c r="K69" s="102">
        <f t="shared" si="20"/>
        <v>1</v>
      </c>
      <c r="L69" s="102" t="str">
        <f>IF(VLOOKUP($P69,无限模式!$A$3:$X$22,15,FALSE)="","","Monster_Infinite_"&amp;P69&amp;"_3")</f>
        <v>Monster_Infinite_12_3</v>
      </c>
      <c r="M69" s="57">
        <f t="shared" si="21"/>
        <v>1</v>
      </c>
      <c r="O69" s="102">
        <f>IF(VLOOKUP($P69,无限模式!$A$3:$X$22,15,FALSE)="","",VLOOKUP($P69,无限模式!$A$3:$X$22,19,FALSE))</f>
        <v>125</v>
      </c>
      <c r="P69" s="110">
        <f t="shared" si="22"/>
        <v>12</v>
      </c>
      <c r="Q69" s="110">
        <v>3</v>
      </c>
    </row>
    <row r="70" spans="2:17" x14ac:dyDescent="0.2">
      <c r="D70" s="57" t="str">
        <f t="shared" si="23"/>
        <v/>
      </c>
      <c r="F70" s="57" t="str">
        <f t="shared" si="17"/>
        <v/>
      </c>
      <c r="G70" s="102" t="str">
        <f t="shared" si="18"/>
        <v/>
      </c>
      <c r="H70" s="57" t="str">
        <f t="shared" si="19"/>
        <v/>
      </c>
      <c r="I70" s="102" t="str">
        <f>IF(VLOOKUP($P70,无限模式!$A$3:$X$22,20,FALSE)="","",VLOOKUP($P70,无限模式!$A$3:$X$22,21,FALSE))</f>
        <v/>
      </c>
      <c r="J70" s="102" t="str">
        <f>IF(VLOOKUP($P70,无限模式!$A$3:$X$22,20,FALSE)="","",VLOOKUP($P70,无限模式!$A$3:$X$22,22,FALSE))</f>
        <v/>
      </c>
      <c r="K70" s="102" t="str">
        <f t="shared" si="20"/>
        <v/>
      </c>
      <c r="L70" s="102" t="str">
        <f>IF(VLOOKUP($P70,无限模式!$A$3:$X$22,20,FALSE)="","","Monster_Infinite_"&amp;P70&amp;"_4")</f>
        <v/>
      </c>
      <c r="M70" s="57" t="str">
        <f t="shared" si="21"/>
        <v/>
      </c>
      <c r="O70" s="102" t="str">
        <f>IF(VLOOKUP($P70,无限模式!$A$3:$X$22,20,FALSE)="","",VLOOKUP($P70,无限模式!$A$3:$X$22,24,FALSE))</f>
        <v/>
      </c>
      <c r="P70" s="110">
        <f t="shared" si="22"/>
        <v>12</v>
      </c>
      <c r="Q70" s="110">
        <v>4</v>
      </c>
    </row>
    <row r="71" spans="2:17" x14ac:dyDescent="0.2">
      <c r="B71" s="57" t="s">
        <v>452</v>
      </c>
      <c r="C71" s="57">
        <v>13</v>
      </c>
      <c r="D71" s="57" t="str">
        <f t="shared" si="23"/>
        <v>无限模式第13波</v>
      </c>
      <c r="F71" s="57">
        <f t="shared" si="17"/>
        <v>0</v>
      </c>
      <c r="G71" s="102">
        <f t="shared" si="18"/>
        <v>180</v>
      </c>
      <c r="H71" s="57">
        <f t="shared" si="19"/>
        <v>0</v>
      </c>
      <c r="I71" s="102">
        <f>IF(VLOOKUP($P71,无限模式!$A$3:$X$22,5,FALSE)="","",VLOOKUP($P71,无限模式!$A$3:$X$22,6,FALSE))</f>
        <v>15</v>
      </c>
      <c r="J71" s="102">
        <f>IF(VLOOKUP($P71,无限模式!$A$3:$X$22,5,FALSE)="","",VLOOKUP($P71,无限模式!$A$3:$X$22,7,FALSE))</f>
        <v>1.5</v>
      </c>
      <c r="K71" s="102">
        <f t="shared" si="20"/>
        <v>1</v>
      </c>
      <c r="L71" s="102" t="str">
        <f>IF(VLOOKUP($P71,无限模式!$A$3:$X$22,5,FALSE)="","","Monster_Infinite_"&amp;P71&amp;"_1")</f>
        <v>Monster_Infinite_13_1</v>
      </c>
      <c r="M71" s="57">
        <f t="shared" si="21"/>
        <v>1</v>
      </c>
      <c r="O71" s="102">
        <f>IF(VLOOKUP($P71,无限模式!$A$3:$X$22,5,FALSE)="","",VLOOKUP($P71,无限模式!$A$3:$X$22,9,FALSE))</f>
        <v>20</v>
      </c>
      <c r="P71" s="110">
        <f t="shared" si="22"/>
        <v>13</v>
      </c>
      <c r="Q71" s="110">
        <v>1</v>
      </c>
    </row>
    <row r="72" spans="2:17" x14ac:dyDescent="0.2">
      <c r="D72" s="57" t="str">
        <f t="shared" si="23"/>
        <v/>
      </c>
      <c r="F72" s="57" t="str">
        <f t="shared" si="17"/>
        <v/>
      </c>
      <c r="G72" s="102" t="str">
        <f t="shared" si="18"/>
        <v/>
      </c>
      <c r="H72" s="57" t="str">
        <f t="shared" si="19"/>
        <v/>
      </c>
      <c r="I72" s="102" t="str">
        <f>IF(VLOOKUP($P72,无限模式!$A$3:$X$22,10,FALSE)="","",VLOOKUP($P72,无限模式!$A$3:$X$22,11,FALSE))</f>
        <v/>
      </c>
      <c r="J72" s="102" t="str">
        <f>IF(VLOOKUP($P72,无限模式!$A$3:$X$22,10,FALSE)="","",VLOOKUP($P72,无限模式!$A$3:$X$22,12,FALSE))</f>
        <v/>
      </c>
      <c r="K72" s="102" t="str">
        <f t="shared" si="20"/>
        <v/>
      </c>
      <c r="L72" s="102" t="str">
        <f>IF(VLOOKUP($P72,无限模式!$A$3:$X$22,10,FALSE)="","","Monster_Infinite_"&amp;P72&amp;"_2")</f>
        <v/>
      </c>
      <c r="M72" s="57" t="str">
        <f t="shared" si="21"/>
        <v/>
      </c>
      <c r="O72" s="102" t="str">
        <f>IF(VLOOKUP($P72,无限模式!$A$3:$X$22,10,FALSE)="","",VLOOKUP($P72,无限模式!$A$3:$X$22,14,FALSE))</f>
        <v/>
      </c>
      <c r="P72" s="110">
        <f t="shared" si="22"/>
        <v>13</v>
      </c>
      <c r="Q72" s="110">
        <v>2</v>
      </c>
    </row>
    <row r="73" spans="2:17" x14ac:dyDescent="0.2">
      <c r="D73" s="57" t="str">
        <f t="shared" si="23"/>
        <v/>
      </c>
      <c r="F73" s="57" t="str">
        <f t="shared" si="17"/>
        <v/>
      </c>
      <c r="G73" s="102" t="str">
        <f t="shared" si="18"/>
        <v/>
      </c>
      <c r="H73" s="57" t="str">
        <f t="shared" si="19"/>
        <v/>
      </c>
      <c r="I73" s="102" t="str">
        <f>IF(VLOOKUP($P73,无限模式!$A$3:$X$22,15,FALSE)="","",VLOOKUP(P73,无限模式!$A$3:$X$22,16,FALSE))</f>
        <v/>
      </c>
      <c r="J73" s="102" t="str">
        <f>IF(VLOOKUP($P73,无限模式!$A$3:$X$22,15,FALSE)="","",VLOOKUP($P73,无限模式!$A$3:$X$22,17,FALSE))</f>
        <v/>
      </c>
      <c r="K73" s="102" t="str">
        <f t="shared" si="20"/>
        <v/>
      </c>
      <c r="L73" s="102" t="str">
        <f>IF(VLOOKUP($P73,无限模式!$A$3:$X$22,15,FALSE)="","","Monster_Infinite_"&amp;P73&amp;"_3")</f>
        <v/>
      </c>
      <c r="M73" s="57" t="str">
        <f t="shared" si="21"/>
        <v/>
      </c>
      <c r="O73" s="102" t="str">
        <f>IF(VLOOKUP($P73,无限模式!$A$3:$X$22,15,FALSE)="","",VLOOKUP($P73,无限模式!$A$3:$X$22,19,FALSE))</f>
        <v/>
      </c>
      <c r="P73" s="110">
        <f t="shared" si="22"/>
        <v>13</v>
      </c>
      <c r="Q73" s="110">
        <v>3</v>
      </c>
    </row>
    <row r="74" spans="2:17" x14ac:dyDescent="0.2">
      <c r="D74" s="57" t="str">
        <f t="shared" si="23"/>
        <v/>
      </c>
      <c r="F74" s="57" t="str">
        <f t="shared" si="17"/>
        <v/>
      </c>
      <c r="G74" s="102" t="str">
        <f t="shared" si="18"/>
        <v/>
      </c>
      <c r="H74" s="57" t="str">
        <f t="shared" si="19"/>
        <v/>
      </c>
      <c r="I74" s="102" t="str">
        <f>IF(VLOOKUP($P74,无限模式!$A$3:$X$22,20,FALSE)="","",VLOOKUP($P74,无限模式!$A$3:$X$22,21,FALSE))</f>
        <v/>
      </c>
      <c r="J74" s="102" t="str">
        <f>IF(VLOOKUP($P74,无限模式!$A$3:$X$22,20,FALSE)="","",VLOOKUP($P74,无限模式!$A$3:$X$22,22,FALSE))</f>
        <v/>
      </c>
      <c r="K74" s="102" t="str">
        <f t="shared" si="20"/>
        <v/>
      </c>
      <c r="L74" s="102" t="str">
        <f>IF(VLOOKUP($P74,无限模式!$A$3:$X$22,20,FALSE)="","","Monster_Infinite_"&amp;P74&amp;"_4")</f>
        <v/>
      </c>
      <c r="M74" s="57" t="str">
        <f t="shared" si="21"/>
        <v/>
      </c>
      <c r="O74" s="102" t="str">
        <f>IF(VLOOKUP($P74,无限模式!$A$3:$X$22,20,FALSE)="","",VLOOKUP($P74,无限模式!$A$3:$X$22,24,FALSE))</f>
        <v/>
      </c>
      <c r="P74" s="110">
        <f t="shared" si="22"/>
        <v>13</v>
      </c>
      <c r="Q74" s="110">
        <v>4</v>
      </c>
    </row>
    <row r="75" spans="2:17" x14ac:dyDescent="0.2">
      <c r="B75" s="57" t="s">
        <v>452</v>
      </c>
      <c r="C75" s="57">
        <v>14</v>
      </c>
      <c r="D75" s="57" t="str">
        <f t="shared" si="23"/>
        <v>无限模式第14波</v>
      </c>
      <c r="F75" s="57">
        <f t="shared" si="17"/>
        <v>0</v>
      </c>
      <c r="G75" s="102">
        <f t="shared" si="18"/>
        <v>180</v>
      </c>
      <c r="H75" s="57">
        <f t="shared" si="19"/>
        <v>0</v>
      </c>
      <c r="I75" s="102">
        <f>IF(VLOOKUP($P75,无限模式!$A$3:$X$22,5,FALSE)="","",VLOOKUP($P75,无限模式!$A$3:$X$22,6,FALSE))</f>
        <v>15</v>
      </c>
      <c r="J75" s="102">
        <f>IF(VLOOKUP($P75,无限模式!$A$3:$X$22,5,FALSE)="","",VLOOKUP($P75,无限模式!$A$3:$X$22,7,FALSE))</f>
        <v>1.5</v>
      </c>
      <c r="K75" s="102">
        <f t="shared" si="20"/>
        <v>1</v>
      </c>
      <c r="L75" s="102" t="str">
        <f>IF(VLOOKUP($P75,无限模式!$A$3:$X$22,5,FALSE)="","","Monster_Infinite_"&amp;P75&amp;"_1")</f>
        <v>Monster_Infinite_14_1</v>
      </c>
      <c r="M75" s="57">
        <f t="shared" si="21"/>
        <v>1</v>
      </c>
      <c r="O75" s="102">
        <f>IF(VLOOKUP($P75,无限模式!$A$3:$X$22,5,FALSE)="","",VLOOKUP($P75,无限模式!$A$3:$X$22,9,FALSE))</f>
        <v>10</v>
      </c>
      <c r="P75" s="110">
        <f t="shared" si="22"/>
        <v>14</v>
      </c>
      <c r="Q75" s="110">
        <v>1</v>
      </c>
    </row>
    <row r="76" spans="2:17" x14ac:dyDescent="0.2">
      <c r="D76" s="57" t="str">
        <f t="shared" si="23"/>
        <v/>
      </c>
      <c r="F76" s="57" t="str">
        <f t="shared" si="17"/>
        <v/>
      </c>
      <c r="G76" s="102" t="str">
        <f t="shared" si="18"/>
        <v/>
      </c>
      <c r="H76" s="57">
        <f t="shared" si="19"/>
        <v>0</v>
      </c>
      <c r="I76" s="102">
        <f>IF(VLOOKUP($P76,无限模式!$A$3:$X$22,10,FALSE)="","",VLOOKUP($P76,无限模式!$A$3:$X$22,11,FALSE))</f>
        <v>15</v>
      </c>
      <c r="J76" s="102">
        <f>IF(VLOOKUP($P76,无限模式!$A$3:$X$22,10,FALSE)="","",VLOOKUP($P76,无限模式!$A$3:$X$22,12,FALSE))</f>
        <v>1.5</v>
      </c>
      <c r="K76" s="102">
        <f t="shared" si="20"/>
        <v>1</v>
      </c>
      <c r="L76" s="102" t="str">
        <f>IF(VLOOKUP($P76,无限模式!$A$3:$X$22,10,FALSE)="","","Monster_Infinite_"&amp;P76&amp;"_2")</f>
        <v>Monster_Infinite_14_2</v>
      </c>
      <c r="M76" s="57">
        <f t="shared" si="21"/>
        <v>1</v>
      </c>
      <c r="O76" s="102">
        <f>IF(VLOOKUP($P76,无限模式!$A$3:$X$22,10,FALSE)="","",VLOOKUP($P76,无限模式!$A$3:$X$22,14,FALSE))</f>
        <v>10</v>
      </c>
      <c r="P76" s="110">
        <f t="shared" si="22"/>
        <v>14</v>
      </c>
      <c r="Q76" s="110">
        <v>2</v>
      </c>
    </row>
    <row r="77" spans="2:17" x14ac:dyDescent="0.2">
      <c r="D77" s="57" t="str">
        <f t="shared" si="23"/>
        <v/>
      </c>
      <c r="F77" s="57" t="str">
        <f t="shared" si="17"/>
        <v/>
      </c>
      <c r="G77" s="102" t="str">
        <f t="shared" si="18"/>
        <v/>
      </c>
      <c r="H77" s="57" t="str">
        <f t="shared" si="19"/>
        <v/>
      </c>
      <c r="I77" s="102" t="str">
        <f>IF(VLOOKUP($P77,无限模式!$A$3:$X$22,15,FALSE)="","",VLOOKUP(P77,无限模式!$A$3:$X$22,16,FALSE))</f>
        <v/>
      </c>
      <c r="J77" s="102" t="str">
        <f>IF(VLOOKUP($P77,无限模式!$A$3:$X$22,15,FALSE)="","",VLOOKUP($P77,无限模式!$A$3:$X$22,17,FALSE))</f>
        <v/>
      </c>
      <c r="K77" s="102" t="str">
        <f t="shared" si="20"/>
        <v/>
      </c>
      <c r="L77" s="102" t="str">
        <f>IF(VLOOKUP($P77,无限模式!$A$3:$X$22,15,FALSE)="","","Monster_Infinite_"&amp;P77&amp;"_3")</f>
        <v/>
      </c>
      <c r="M77" s="57" t="str">
        <f t="shared" si="21"/>
        <v/>
      </c>
      <c r="O77" s="102" t="str">
        <f>IF(VLOOKUP($P77,无限模式!$A$3:$X$22,15,FALSE)="","",VLOOKUP($P77,无限模式!$A$3:$X$22,19,FALSE))</f>
        <v/>
      </c>
      <c r="P77" s="110">
        <f t="shared" si="22"/>
        <v>14</v>
      </c>
      <c r="Q77" s="110">
        <v>3</v>
      </c>
    </row>
    <row r="78" spans="2:17" x14ac:dyDescent="0.2">
      <c r="D78" s="57" t="str">
        <f t="shared" si="23"/>
        <v/>
      </c>
      <c r="F78" s="57" t="str">
        <f t="shared" si="17"/>
        <v/>
      </c>
      <c r="G78" s="102" t="str">
        <f t="shared" si="18"/>
        <v/>
      </c>
      <c r="H78" s="57" t="str">
        <f t="shared" si="19"/>
        <v/>
      </c>
      <c r="I78" s="102" t="str">
        <f>IF(VLOOKUP($P78,无限模式!$A$3:$X$22,20,FALSE)="","",VLOOKUP($P78,无限模式!$A$3:$X$22,21,FALSE))</f>
        <v/>
      </c>
      <c r="J78" s="102" t="str">
        <f>IF(VLOOKUP($P78,无限模式!$A$3:$X$22,20,FALSE)="","",VLOOKUP($P78,无限模式!$A$3:$X$22,22,FALSE))</f>
        <v/>
      </c>
      <c r="K78" s="102" t="str">
        <f t="shared" si="20"/>
        <v/>
      </c>
      <c r="L78" s="102" t="str">
        <f>IF(VLOOKUP($P78,无限模式!$A$3:$X$22,20,FALSE)="","","Monster_Infinite_"&amp;P78&amp;"_4")</f>
        <v/>
      </c>
      <c r="M78" s="57" t="str">
        <f t="shared" si="21"/>
        <v/>
      </c>
      <c r="O78" s="102" t="str">
        <f>IF(VLOOKUP($P78,无限模式!$A$3:$X$22,20,FALSE)="","",VLOOKUP($P78,无限模式!$A$3:$X$22,24,FALSE))</f>
        <v/>
      </c>
      <c r="P78" s="110">
        <f t="shared" si="22"/>
        <v>14</v>
      </c>
      <c r="Q78" s="110">
        <v>4</v>
      </c>
    </row>
    <row r="79" spans="2:17" x14ac:dyDescent="0.2">
      <c r="B79" s="57" t="s">
        <v>452</v>
      </c>
      <c r="C79" s="57">
        <v>15</v>
      </c>
      <c r="D79" s="57" t="str">
        <f t="shared" si="23"/>
        <v>无限模式第15波</v>
      </c>
      <c r="F79" s="57">
        <f t="shared" si="17"/>
        <v>0</v>
      </c>
      <c r="G79" s="102">
        <f t="shared" si="18"/>
        <v>180</v>
      </c>
      <c r="H79" s="57">
        <f t="shared" si="19"/>
        <v>0</v>
      </c>
      <c r="I79" s="102">
        <f>IF(VLOOKUP($P79,无限模式!$A$3:$X$22,5,FALSE)="","",VLOOKUP($P79,无限模式!$A$3:$X$22,6,FALSE))</f>
        <v>48</v>
      </c>
      <c r="J79" s="102">
        <f>IF(VLOOKUP($P79,无限模式!$A$3:$X$22,5,FALSE)="","",VLOOKUP($P79,无限模式!$A$3:$X$22,7,FALSE))</f>
        <v>0.5</v>
      </c>
      <c r="K79" s="102">
        <f t="shared" si="20"/>
        <v>1</v>
      </c>
      <c r="L79" s="102" t="str">
        <f>IF(VLOOKUP($P79,无限模式!$A$3:$X$22,5,FALSE)="","","Monster_Infinite_"&amp;P79&amp;"_1")</f>
        <v>Monster_Infinite_15_1</v>
      </c>
      <c r="M79" s="57">
        <f t="shared" si="21"/>
        <v>1</v>
      </c>
      <c r="O79" s="102">
        <f>IF(VLOOKUP($P79,无限模式!$A$3:$X$22,5,FALSE)="","",VLOOKUP($P79,无限模式!$A$3:$X$22,9,FALSE))</f>
        <v>4</v>
      </c>
      <c r="P79" s="110">
        <f t="shared" si="22"/>
        <v>15</v>
      </c>
      <c r="Q79" s="110">
        <v>1</v>
      </c>
    </row>
    <row r="80" spans="2:17" x14ac:dyDescent="0.2">
      <c r="D80" s="57" t="str">
        <f t="shared" si="23"/>
        <v/>
      </c>
      <c r="F80" s="57" t="str">
        <f t="shared" si="17"/>
        <v/>
      </c>
      <c r="G80" s="102" t="str">
        <f t="shared" si="18"/>
        <v/>
      </c>
      <c r="H80" s="57">
        <f t="shared" si="19"/>
        <v>0</v>
      </c>
      <c r="I80" s="102">
        <f>IF(VLOOKUP($P80,无限模式!$A$3:$X$22,10,FALSE)="","",VLOOKUP($P80,无限模式!$A$3:$X$22,11,FALSE))</f>
        <v>12</v>
      </c>
      <c r="J80" s="102">
        <f>IF(VLOOKUP($P80,无限模式!$A$3:$X$22,10,FALSE)="","",VLOOKUP($P80,无限模式!$A$3:$X$22,12,FALSE))</f>
        <v>2</v>
      </c>
      <c r="K80" s="102">
        <f t="shared" si="20"/>
        <v>1</v>
      </c>
      <c r="L80" s="102" t="str">
        <f>IF(VLOOKUP($P80,无限模式!$A$3:$X$22,10,FALSE)="","","Monster_Infinite_"&amp;P80&amp;"_2")</f>
        <v>Monster_Infinite_15_2</v>
      </c>
      <c r="M80" s="57">
        <f t="shared" si="21"/>
        <v>1</v>
      </c>
      <c r="O80" s="102">
        <f>IF(VLOOKUP($P80,无限模式!$A$3:$X$22,10,FALSE)="","",VLOOKUP($P80,无限模式!$A$3:$X$22,14,FALSE))</f>
        <v>8</v>
      </c>
      <c r="P80" s="110">
        <f t="shared" si="22"/>
        <v>15</v>
      </c>
      <c r="Q80" s="110">
        <v>2</v>
      </c>
    </row>
    <row r="81" spans="2:17" x14ac:dyDescent="0.2">
      <c r="D81" s="57" t="str">
        <f t="shared" si="23"/>
        <v/>
      </c>
      <c r="F81" s="57" t="str">
        <f t="shared" si="17"/>
        <v/>
      </c>
      <c r="G81" s="102" t="str">
        <f t="shared" si="18"/>
        <v/>
      </c>
      <c r="H81" s="57" t="str">
        <f t="shared" si="19"/>
        <v/>
      </c>
      <c r="I81" s="102" t="str">
        <f>IF(VLOOKUP($P81,无限模式!$A$3:$X$22,15,FALSE)="","",VLOOKUP(P81,无限模式!$A$3:$X$22,16,FALSE))</f>
        <v/>
      </c>
      <c r="J81" s="102" t="str">
        <f>IF(VLOOKUP($P81,无限模式!$A$3:$X$22,15,FALSE)="","",VLOOKUP($P81,无限模式!$A$3:$X$22,17,FALSE))</f>
        <v/>
      </c>
      <c r="K81" s="102" t="str">
        <f t="shared" si="20"/>
        <v/>
      </c>
      <c r="L81" s="102" t="str">
        <f>IF(VLOOKUP($P81,无限模式!$A$3:$X$22,15,FALSE)="","","Monster_Infinite_"&amp;P81&amp;"_3")</f>
        <v/>
      </c>
      <c r="M81" s="57" t="str">
        <f t="shared" si="21"/>
        <v/>
      </c>
      <c r="O81" s="102" t="str">
        <f>IF(VLOOKUP($P81,无限模式!$A$3:$X$22,15,FALSE)="","",VLOOKUP($P81,无限模式!$A$3:$X$22,19,FALSE))</f>
        <v/>
      </c>
      <c r="P81" s="110">
        <f t="shared" si="22"/>
        <v>15</v>
      </c>
      <c r="Q81" s="110">
        <v>3</v>
      </c>
    </row>
    <row r="82" spans="2:17" x14ac:dyDescent="0.2">
      <c r="D82" s="57" t="str">
        <f t="shared" si="23"/>
        <v/>
      </c>
      <c r="F82" s="57" t="str">
        <f t="shared" si="17"/>
        <v/>
      </c>
      <c r="G82" s="102" t="str">
        <f t="shared" si="18"/>
        <v/>
      </c>
      <c r="H82" s="57" t="str">
        <f t="shared" si="19"/>
        <v/>
      </c>
      <c r="I82" s="102" t="str">
        <f>IF(VLOOKUP($P82,无限模式!$A$3:$X$22,20,FALSE)="","",VLOOKUP($P82,无限模式!$A$3:$X$22,21,FALSE))</f>
        <v/>
      </c>
      <c r="J82" s="102" t="str">
        <f>IF(VLOOKUP($P82,无限模式!$A$3:$X$22,20,FALSE)="","",VLOOKUP($P82,无限模式!$A$3:$X$22,22,FALSE))</f>
        <v/>
      </c>
      <c r="K82" s="102" t="str">
        <f t="shared" si="20"/>
        <v/>
      </c>
      <c r="L82" s="102" t="str">
        <f>IF(VLOOKUP($P82,无限模式!$A$3:$X$22,20,FALSE)="","","Monster_Infinite_"&amp;P82&amp;"_4")</f>
        <v/>
      </c>
      <c r="M82" s="57" t="str">
        <f t="shared" si="21"/>
        <v/>
      </c>
      <c r="O82" s="102" t="str">
        <f>IF(VLOOKUP($P82,无限模式!$A$3:$X$22,20,FALSE)="","",VLOOKUP($P82,无限模式!$A$3:$X$22,24,FALSE))</f>
        <v/>
      </c>
      <c r="P82" s="110">
        <f t="shared" si="22"/>
        <v>15</v>
      </c>
      <c r="Q82" s="110">
        <v>4</v>
      </c>
    </row>
    <row r="83" spans="2:17" x14ac:dyDescent="0.2">
      <c r="B83" s="57" t="s">
        <v>452</v>
      </c>
      <c r="C83" s="57">
        <v>16</v>
      </c>
      <c r="D83" s="57" t="str">
        <f t="shared" si="23"/>
        <v>无限模式第16波</v>
      </c>
      <c r="F83" s="57">
        <f t="shared" si="17"/>
        <v>0</v>
      </c>
      <c r="G83" s="102">
        <f t="shared" si="18"/>
        <v>180</v>
      </c>
      <c r="H83" s="57">
        <f t="shared" si="19"/>
        <v>0</v>
      </c>
      <c r="I83" s="102">
        <f>IF(VLOOKUP($P83,无限模式!$A$3:$X$22,5,FALSE)="","",VLOOKUP($P83,无限模式!$A$3:$X$22,6,FALSE))</f>
        <v>25</v>
      </c>
      <c r="J83" s="102">
        <f>IF(VLOOKUP($P83,无限模式!$A$3:$X$22,5,FALSE)="","",VLOOKUP($P83,无限模式!$A$3:$X$22,7,FALSE))</f>
        <v>1</v>
      </c>
      <c r="K83" s="102">
        <f t="shared" si="20"/>
        <v>1</v>
      </c>
      <c r="L83" s="102" t="str">
        <f>IF(VLOOKUP($P83,无限模式!$A$3:$X$22,5,FALSE)="","","Monster_Infinite_"&amp;P83&amp;"_1")</f>
        <v>Monster_Infinite_16_1</v>
      </c>
      <c r="M83" s="57">
        <f t="shared" si="21"/>
        <v>1</v>
      </c>
      <c r="O83" s="102">
        <f>IF(VLOOKUP($P83,无限模式!$A$3:$X$22,5,FALSE)="","",VLOOKUP($P83,无限模式!$A$3:$X$22,9,FALSE))</f>
        <v>9</v>
      </c>
      <c r="P83" s="110">
        <f t="shared" si="22"/>
        <v>16</v>
      </c>
      <c r="Q83" s="110">
        <v>1</v>
      </c>
    </row>
    <row r="84" spans="2:17" x14ac:dyDescent="0.2">
      <c r="D84" s="57" t="str">
        <f t="shared" si="23"/>
        <v/>
      </c>
      <c r="F84" s="57" t="str">
        <f t="shared" si="17"/>
        <v/>
      </c>
      <c r="G84" s="102" t="str">
        <f t="shared" si="18"/>
        <v/>
      </c>
      <c r="H84" s="57">
        <f t="shared" si="19"/>
        <v>0</v>
      </c>
      <c r="I84" s="102">
        <f>IF(VLOOKUP($P84,无限模式!$A$3:$X$22,10,FALSE)="","",VLOOKUP($P84,无限模式!$A$3:$X$22,11,FALSE))</f>
        <v>1</v>
      </c>
      <c r="J84" s="102">
        <f>IF(VLOOKUP($P84,无限模式!$A$3:$X$22,10,FALSE)="","",VLOOKUP($P84,无限模式!$A$3:$X$22,12,FALSE))</f>
        <v>0</v>
      </c>
      <c r="K84" s="102">
        <f t="shared" si="20"/>
        <v>1</v>
      </c>
      <c r="L84" s="102" t="str">
        <f>IF(VLOOKUP($P84,无限模式!$A$3:$X$22,10,FALSE)="","","Monster_Infinite_"&amp;P84&amp;"_2")</f>
        <v>Monster_Infinite_16_2</v>
      </c>
      <c r="M84" s="57">
        <f t="shared" si="21"/>
        <v>1</v>
      </c>
      <c r="O84" s="102">
        <f>IF(VLOOKUP($P84,无限模式!$A$3:$X$22,10,FALSE)="","",VLOOKUP($P84,无限模式!$A$3:$X$22,14,FALSE))</f>
        <v>86</v>
      </c>
      <c r="P84" s="110">
        <f t="shared" si="22"/>
        <v>16</v>
      </c>
      <c r="Q84" s="110">
        <v>2</v>
      </c>
    </row>
    <row r="85" spans="2:17" x14ac:dyDescent="0.2">
      <c r="D85" s="57" t="str">
        <f t="shared" si="23"/>
        <v/>
      </c>
      <c r="F85" s="57" t="str">
        <f t="shared" si="17"/>
        <v/>
      </c>
      <c r="G85" s="102" t="str">
        <f t="shared" si="18"/>
        <v/>
      </c>
      <c r="H85" s="57" t="str">
        <f t="shared" si="19"/>
        <v/>
      </c>
      <c r="I85" s="102" t="str">
        <f>IF(VLOOKUP($P85,无限模式!$A$3:$X$22,15,FALSE)="","",VLOOKUP(P85,无限模式!$A$3:$X$22,16,FALSE))</f>
        <v/>
      </c>
      <c r="J85" s="102" t="str">
        <f>IF(VLOOKUP($P85,无限模式!$A$3:$X$22,15,FALSE)="","",VLOOKUP($P85,无限模式!$A$3:$X$22,17,FALSE))</f>
        <v/>
      </c>
      <c r="K85" s="102" t="str">
        <f t="shared" si="20"/>
        <v/>
      </c>
      <c r="L85" s="102" t="str">
        <f>IF(VLOOKUP($P85,无限模式!$A$3:$X$22,15,FALSE)="","","Monster_Infinite_"&amp;P85&amp;"_3")</f>
        <v/>
      </c>
      <c r="M85" s="57" t="str">
        <f t="shared" si="21"/>
        <v/>
      </c>
      <c r="O85" s="102" t="str">
        <f>IF(VLOOKUP($P85,无限模式!$A$3:$X$22,15,FALSE)="","",VLOOKUP($P85,无限模式!$A$3:$X$22,19,FALSE))</f>
        <v/>
      </c>
      <c r="P85" s="110">
        <f t="shared" si="22"/>
        <v>16</v>
      </c>
      <c r="Q85" s="110">
        <v>3</v>
      </c>
    </row>
    <row r="86" spans="2:17" x14ac:dyDescent="0.2">
      <c r="D86" s="57" t="str">
        <f t="shared" si="23"/>
        <v/>
      </c>
      <c r="F86" s="57" t="str">
        <f t="shared" si="17"/>
        <v/>
      </c>
      <c r="G86" s="102" t="str">
        <f t="shared" si="18"/>
        <v/>
      </c>
      <c r="H86" s="57" t="str">
        <f t="shared" si="19"/>
        <v/>
      </c>
      <c r="I86" s="102" t="str">
        <f>IF(VLOOKUP($P86,无限模式!$A$3:$X$22,20,FALSE)="","",VLOOKUP($P86,无限模式!$A$3:$X$22,21,FALSE))</f>
        <v/>
      </c>
      <c r="J86" s="102" t="str">
        <f>IF(VLOOKUP($P86,无限模式!$A$3:$X$22,20,FALSE)="","",VLOOKUP($P86,无限模式!$A$3:$X$22,22,FALSE))</f>
        <v/>
      </c>
      <c r="K86" s="102" t="str">
        <f t="shared" si="20"/>
        <v/>
      </c>
      <c r="L86" s="102" t="str">
        <f>IF(VLOOKUP($P86,无限模式!$A$3:$X$22,20,FALSE)="","","Monster_Infinite_"&amp;P86&amp;"_4")</f>
        <v/>
      </c>
      <c r="M86" s="57" t="str">
        <f t="shared" si="21"/>
        <v/>
      </c>
      <c r="O86" s="102" t="str">
        <f>IF(VLOOKUP($P86,无限模式!$A$3:$X$22,20,FALSE)="","",VLOOKUP($P86,无限模式!$A$3:$X$22,24,FALSE))</f>
        <v/>
      </c>
      <c r="P86" s="110">
        <f t="shared" si="22"/>
        <v>16</v>
      </c>
      <c r="Q86" s="110">
        <v>4</v>
      </c>
    </row>
    <row r="87" spans="2:17" x14ac:dyDescent="0.2">
      <c r="B87" s="57" t="s">
        <v>452</v>
      </c>
      <c r="C87" s="57">
        <v>17</v>
      </c>
      <c r="D87" s="57" t="str">
        <f t="shared" ref="D87:D102" si="24">IF(C87="","","无限模式第"&amp;C87&amp;"波")</f>
        <v>无限模式第17波</v>
      </c>
      <c r="F87" s="57">
        <f t="shared" si="17"/>
        <v>0</v>
      </c>
      <c r="G87" s="102">
        <f t="shared" si="18"/>
        <v>180</v>
      </c>
      <c r="H87" s="57">
        <f t="shared" si="19"/>
        <v>0</v>
      </c>
      <c r="I87" s="102">
        <f>IF(VLOOKUP($P87,无限模式!$A$3:$X$22,5,FALSE)="","",VLOOKUP($P87,无限模式!$A$3:$X$22,6,FALSE))</f>
        <v>26</v>
      </c>
      <c r="J87" s="102">
        <f>IF(VLOOKUP($P87,无限模式!$A$3:$X$22,5,FALSE)="","",VLOOKUP($P87,无限模式!$A$3:$X$22,7,FALSE))</f>
        <v>1</v>
      </c>
      <c r="K87" s="102">
        <f t="shared" si="20"/>
        <v>1</v>
      </c>
      <c r="L87" s="102" t="str">
        <f>IF(VLOOKUP($P87,无限模式!$A$3:$X$22,5,FALSE)="","","Monster_Infinite_"&amp;P87&amp;"_1")</f>
        <v>Monster_Infinite_17_1</v>
      </c>
      <c r="M87" s="57">
        <f t="shared" si="21"/>
        <v>1</v>
      </c>
      <c r="O87" s="102">
        <f>IF(VLOOKUP($P87,无限模式!$A$3:$X$22,5,FALSE)="","",VLOOKUP($P87,无限模式!$A$3:$X$22,9,FALSE))</f>
        <v>9</v>
      </c>
      <c r="P87" s="110">
        <f t="shared" si="22"/>
        <v>17</v>
      </c>
      <c r="Q87" s="110">
        <v>1</v>
      </c>
    </row>
    <row r="88" spans="2:17" x14ac:dyDescent="0.2">
      <c r="D88" s="57" t="str">
        <f t="shared" si="24"/>
        <v/>
      </c>
      <c r="F88" s="57" t="str">
        <f t="shared" ref="F88:F475" si="25">IF(C88="","",0)</f>
        <v/>
      </c>
      <c r="G88" s="102" t="str">
        <f t="shared" ref="G88:G102" si="26">IF(C88="","",180)</f>
        <v/>
      </c>
      <c r="H88" s="57">
        <f t="shared" ref="H88:H102" si="27">IF(I88="","",0)</f>
        <v>0</v>
      </c>
      <c r="I88" s="102">
        <f>IF(VLOOKUP($P88,无限模式!$A$3:$X$22,10,FALSE)="","",VLOOKUP($P88,无限模式!$A$3:$X$22,11,FALSE))</f>
        <v>9</v>
      </c>
      <c r="J88" s="102">
        <f>IF(VLOOKUP($P88,无限模式!$A$3:$X$22,10,FALSE)="","",VLOOKUP($P88,无限模式!$A$3:$X$22,12,FALSE))</f>
        <v>3</v>
      </c>
      <c r="K88" s="102">
        <f t="shared" ref="K88:K475" si="28">IF(I88="","",1)</f>
        <v>1</v>
      </c>
      <c r="L88" s="102" t="str">
        <f>IF(VLOOKUP($P88,无限模式!$A$3:$X$22,10,FALSE)="","","Monster_Infinite_"&amp;P88&amp;"_2")</f>
        <v>Monster_Infinite_17_2</v>
      </c>
      <c r="M88" s="57">
        <f t="shared" ref="M88:M475" si="29">IF(I88="","",1)</f>
        <v>1</v>
      </c>
      <c r="O88" s="102">
        <f>IF(VLOOKUP($P88,无限模式!$A$3:$X$22,10,FALSE)="","",VLOOKUP($P88,无限模式!$A$3:$X$22,14,FALSE))</f>
        <v>9</v>
      </c>
      <c r="P88" s="110">
        <f t="shared" ref="P88:P102" si="30">IF(C88="",P87,C88)</f>
        <v>17</v>
      </c>
      <c r="Q88" s="110">
        <v>2</v>
      </c>
    </row>
    <row r="89" spans="2:17" x14ac:dyDescent="0.2">
      <c r="D89" s="57" t="str">
        <f t="shared" si="24"/>
        <v/>
      </c>
      <c r="F89" s="57" t="str">
        <f t="shared" si="25"/>
        <v/>
      </c>
      <c r="G89" s="102" t="str">
        <f t="shared" si="26"/>
        <v/>
      </c>
      <c r="H89" s="57" t="str">
        <f t="shared" si="27"/>
        <v/>
      </c>
      <c r="I89" s="102" t="str">
        <f>IF(VLOOKUP($P89,无限模式!$A$3:$X$22,15,FALSE)="","",VLOOKUP(P89,无限模式!$A$3:$X$22,16,FALSE))</f>
        <v/>
      </c>
      <c r="J89" s="102" t="str">
        <f>IF(VLOOKUP($P89,无限模式!$A$3:$X$22,15,FALSE)="","",VLOOKUP($P89,无限模式!$A$3:$X$22,17,FALSE))</f>
        <v/>
      </c>
      <c r="K89" s="102" t="str">
        <f t="shared" si="28"/>
        <v/>
      </c>
      <c r="L89" s="102" t="str">
        <f>IF(VLOOKUP($P89,无限模式!$A$3:$X$22,15,FALSE)="","","Monster_Infinite_"&amp;P89&amp;"_3")</f>
        <v/>
      </c>
      <c r="M89" s="57" t="str">
        <f t="shared" si="29"/>
        <v/>
      </c>
      <c r="O89" s="102" t="str">
        <f>IF(VLOOKUP($P89,无限模式!$A$3:$X$22,15,FALSE)="","",VLOOKUP($P89,无限模式!$A$3:$X$22,19,FALSE))</f>
        <v/>
      </c>
      <c r="P89" s="110">
        <f t="shared" si="30"/>
        <v>17</v>
      </c>
      <c r="Q89" s="110">
        <v>3</v>
      </c>
    </row>
    <row r="90" spans="2:17" x14ac:dyDescent="0.2">
      <c r="D90" s="57" t="str">
        <f t="shared" si="24"/>
        <v/>
      </c>
      <c r="F90" s="57" t="str">
        <f t="shared" si="25"/>
        <v/>
      </c>
      <c r="G90" s="102" t="str">
        <f t="shared" si="26"/>
        <v/>
      </c>
      <c r="H90" s="57" t="str">
        <f t="shared" si="27"/>
        <v/>
      </c>
      <c r="I90" s="102" t="str">
        <f>IF(VLOOKUP($P90,无限模式!$A$3:$X$22,20,FALSE)="","",VLOOKUP($P90,无限模式!$A$3:$X$22,21,FALSE))</f>
        <v/>
      </c>
      <c r="J90" s="102" t="str">
        <f>IF(VLOOKUP($P90,无限模式!$A$3:$X$22,20,FALSE)="","",VLOOKUP($P90,无限模式!$A$3:$X$22,22,FALSE))</f>
        <v/>
      </c>
      <c r="K90" s="102" t="str">
        <f t="shared" si="28"/>
        <v/>
      </c>
      <c r="L90" s="102" t="str">
        <f>IF(VLOOKUP($P90,无限模式!$A$3:$X$22,20,FALSE)="","","Monster_Infinite_"&amp;P90&amp;"_4")</f>
        <v/>
      </c>
      <c r="M90" s="57" t="str">
        <f t="shared" si="29"/>
        <v/>
      </c>
      <c r="O90" s="102" t="str">
        <f>IF(VLOOKUP($P90,无限模式!$A$3:$X$22,20,FALSE)="","",VLOOKUP($P90,无限模式!$A$3:$X$22,24,FALSE))</f>
        <v/>
      </c>
      <c r="P90" s="110">
        <f t="shared" si="30"/>
        <v>17</v>
      </c>
      <c r="Q90" s="110">
        <v>4</v>
      </c>
    </row>
    <row r="91" spans="2:17" x14ac:dyDescent="0.2">
      <c r="B91" s="57" t="s">
        <v>452</v>
      </c>
      <c r="C91" s="57">
        <v>18</v>
      </c>
      <c r="D91" s="57" t="str">
        <f t="shared" si="24"/>
        <v>无限模式第18波</v>
      </c>
      <c r="F91" s="57">
        <f t="shared" si="25"/>
        <v>0</v>
      </c>
      <c r="G91" s="102">
        <f t="shared" si="26"/>
        <v>180</v>
      </c>
      <c r="H91" s="57">
        <f t="shared" si="27"/>
        <v>0</v>
      </c>
      <c r="I91" s="102">
        <f>IF(VLOOKUP($P91,无限模式!$A$3:$X$22,5,FALSE)="","",VLOOKUP($P91,无限模式!$A$3:$X$22,6,FALSE))</f>
        <v>18</v>
      </c>
      <c r="J91" s="102">
        <f>IF(VLOOKUP($P91,无限模式!$A$3:$X$22,5,FALSE)="","",VLOOKUP($P91,无限模式!$A$3:$X$22,7,FALSE))</f>
        <v>1.5</v>
      </c>
      <c r="K91" s="102">
        <f t="shared" si="28"/>
        <v>1</v>
      </c>
      <c r="L91" s="102" t="str">
        <f>IF(VLOOKUP($P91,无限模式!$A$3:$X$22,5,FALSE)="","","Monster_Infinite_"&amp;P91&amp;"_1")</f>
        <v>Monster_Infinite_18_1</v>
      </c>
      <c r="M91" s="57">
        <f t="shared" si="29"/>
        <v>1</v>
      </c>
      <c r="O91" s="102">
        <f>IF(VLOOKUP($P91,无限模式!$A$3:$X$22,5,FALSE)="","",VLOOKUP($P91,无限模式!$A$3:$X$22,9,FALSE))</f>
        <v>8</v>
      </c>
      <c r="P91" s="110">
        <f t="shared" si="30"/>
        <v>18</v>
      </c>
      <c r="Q91" s="110">
        <v>1</v>
      </c>
    </row>
    <row r="92" spans="2:17" x14ac:dyDescent="0.2">
      <c r="D92" s="57" t="str">
        <f t="shared" si="24"/>
        <v/>
      </c>
      <c r="F92" s="57" t="str">
        <f t="shared" si="25"/>
        <v/>
      </c>
      <c r="G92" s="102" t="str">
        <f t="shared" si="26"/>
        <v/>
      </c>
      <c r="H92" s="57">
        <f t="shared" si="27"/>
        <v>0</v>
      </c>
      <c r="I92" s="102">
        <f>IF(VLOOKUP($P92,无限模式!$A$3:$X$22,10,FALSE)="","",VLOOKUP($P92,无限模式!$A$3:$X$22,11,FALSE))</f>
        <v>36</v>
      </c>
      <c r="J92" s="102">
        <f>IF(VLOOKUP($P92,无限模式!$A$3:$X$22,10,FALSE)="","",VLOOKUP($P92,无限模式!$A$3:$X$22,12,FALSE))</f>
        <v>0.75</v>
      </c>
      <c r="K92" s="102">
        <f t="shared" si="28"/>
        <v>1</v>
      </c>
      <c r="L92" s="102" t="str">
        <f>IF(VLOOKUP($P92,无限模式!$A$3:$X$22,10,FALSE)="","","Monster_Infinite_"&amp;P92&amp;"_2")</f>
        <v>Monster_Infinite_18_2</v>
      </c>
      <c r="M92" s="57">
        <f t="shared" si="29"/>
        <v>1</v>
      </c>
      <c r="O92" s="102">
        <f>IF(VLOOKUP($P92,无限模式!$A$3:$X$22,10,FALSE)="","",VLOOKUP($P92,无限模式!$A$3:$X$22,14,FALSE))</f>
        <v>4</v>
      </c>
      <c r="P92" s="110">
        <f t="shared" si="30"/>
        <v>18</v>
      </c>
      <c r="Q92" s="110">
        <v>2</v>
      </c>
    </row>
    <row r="93" spans="2:17" x14ac:dyDescent="0.2">
      <c r="D93" s="57" t="str">
        <f t="shared" si="24"/>
        <v/>
      </c>
      <c r="F93" s="57" t="str">
        <f t="shared" si="25"/>
        <v/>
      </c>
      <c r="G93" s="102" t="str">
        <f t="shared" si="26"/>
        <v/>
      </c>
      <c r="H93" s="57" t="str">
        <f t="shared" si="27"/>
        <v/>
      </c>
      <c r="I93" s="102" t="str">
        <f>IF(VLOOKUP($P93,无限模式!$A$3:$X$22,15,FALSE)="","",VLOOKUP(P93,无限模式!$A$3:$X$22,16,FALSE))</f>
        <v/>
      </c>
      <c r="J93" s="102" t="str">
        <f>IF(VLOOKUP($P93,无限模式!$A$3:$X$22,15,FALSE)="","",VLOOKUP($P93,无限模式!$A$3:$X$22,17,FALSE))</f>
        <v/>
      </c>
      <c r="K93" s="102" t="str">
        <f t="shared" si="28"/>
        <v/>
      </c>
      <c r="L93" s="102" t="str">
        <f>IF(VLOOKUP($P93,无限模式!$A$3:$X$22,15,FALSE)="","","Monster_Infinite_"&amp;P93&amp;"_3")</f>
        <v/>
      </c>
      <c r="M93" s="57" t="str">
        <f t="shared" si="29"/>
        <v/>
      </c>
      <c r="O93" s="102" t="str">
        <f>IF(VLOOKUP($P93,无限模式!$A$3:$X$22,15,FALSE)="","",VLOOKUP($P93,无限模式!$A$3:$X$22,19,FALSE))</f>
        <v/>
      </c>
      <c r="P93" s="110">
        <f t="shared" si="30"/>
        <v>18</v>
      </c>
      <c r="Q93" s="110">
        <v>3</v>
      </c>
    </row>
    <row r="94" spans="2:17" x14ac:dyDescent="0.2">
      <c r="D94" s="57" t="str">
        <f t="shared" si="24"/>
        <v/>
      </c>
      <c r="F94" s="57" t="str">
        <f t="shared" si="25"/>
        <v/>
      </c>
      <c r="G94" s="102" t="str">
        <f t="shared" si="26"/>
        <v/>
      </c>
      <c r="H94" s="57" t="str">
        <f t="shared" si="27"/>
        <v/>
      </c>
      <c r="I94" s="102" t="str">
        <f>IF(VLOOKUP($P94,无限模式!$A$3:$X$22,20,FALSE)="","",VLOOKUP($P94,无限模式!$A$3:$X$22,21,FALSE))</f>
        <v/>
      </c>
      <c r="J94" s="102" t="str">
        <f>IF(VLOOKUP($P94,无限模式!$A$3:$X$22,20,FALSE)="","",VLOOKUP($P94,无限模式!$A$3:$X$22,22,FALSE))</f>
        <v/>
      </c>
      <c r="K94" s="102" t="str">
        <f t="shared" si="28"/>
        <v/>
      </c>
      <c r="L94" s="102" t="str">
        <f>IF(VLOOKUP($P94,无限模式!$A$3:$X$22,20,FALSE)="","","Monster_Infinite_"&amp;P94&amp;"_4")</f>
        <v/>
      </c>
      <c r="M94" s="57" t="str">
        <f t="shared" si="29"/>
        <v/>
      </c>
      <c r="O94" s="102" t="str">
        <f>IF(VLOOKUP($P94,无限模式!$A$3:$X$22,20,FALSE)="","",VLOOKUP($P94,无限模式!$A$3:$X$22,24,FALSE))</f>
        <v/>
      </c>
      <c r="P94" s="110">
        <f t="shared" si="30"/>
        <v>18</v>
      </c>
      <c r="Q94" s="110">
        <v>4</v>
      </c>
    </row>
    <row r="95" spans="2:17" x14ac:dyDescent="0.2">
      <c r="B95" s="57" t="s">
        <v>452</v>
      </c>
      <c r="C95" s="57">
        <v>19</v>
      </c>
      <c r="D95" s="57" t="str">
        <f t="shared" si="24"/>
        <v>无限模式第19波</v>
      </c>
      <c r="F95" s="57">
        <f t="shared" si="25"/>
        <v>0</v>
      </c>
      <c r="G95" s="102">
        <f t="shared" si="26"/>
        <v>180</v>
      </c>
      <c r="H95" s="57">
        <f t="shared" si="27"/>
        <v>0</v>
      </c>
      <c r="I95" s="102">
        <f>IF(VLOOKUP($P95,无限模式!$A$3:$X$22,5,FALSE)="","",VLOOKUP($P95,无限模式!$A$3:$X$22,6,FALSE))</f>
        <v>19</v>
      </c>
      <c r="J95" s="102">
        <f>IF(VLOOKUP($P95,无限模式!$A$3:$X$22,5,FALSE)="","",VLOOKUP($P95,无限模式!$A$3:$X$22,7,FALSE))</f>
        <v>1.5</v>
      </c>
      <c r="K95" s="102">
        <f t="shared" si="28"/>
        <v>1</v>
      </c>
      <c r="L95" s="102" t="str">
        <f>IF(VLOOKUP($P95,无限模式!$A$3:$X$22,5,FALSE)="","","Monster_Infinite_"&amp;P95&amp;"_1")</f>
        <v>Monster_Infinite_19_1</v>
      </c>
      <c r="M95" s="57">
        <f t="shared" si="29"/>
        <v>1</v>
      </c>
      <c r="O95" s="102">
        <f>IF(VLOOKUP($P95,无限模式!$A$3:$X$22,5,FALSE)="","",VLOOKUP($P95,无限模式!$A$3:$X$22,9,FALSE))</f>
        <v>6</v>
      </c>
      <c r="P95" s="110">
        <f t="shared" si="30"/>
        <v>19</v>
      </c>
      <c r="Q95" s="110">
        <v>1</v>
      </c>
    </row>
    <row r="96" spans="2:17" x14ac:dyDescent="0.2">
      <c r="D96" s="57" t="str">
        <f t="shared" si="24"/>
        <v/>
      </c>
      <c r="F96" s="57" t="str">
        <f t="shared" si="25"/>
        <v/>
      </c>
      <c r="G96" s="102" t="str">
        <f t="shared" si="26"/>
        <v/>
      </c>
      <c r="H96" s="57">
        <f t="shared" si="27"/>
        <v>0</v>
      </c>
      <c r="I96" s="102">
        <f>IF(VLOOKUP($P96,无限模式!$A$3:$X$22,10,FALSE)="","",VLOOKUP($P96,无限模式!$A$3:$X$22,11,FALSE))</f>
        <v>28</v>
      </c>
      <c r="J96" s="102">
        <f>IF(VLOOKUP($P96,无限模式!$A$3:$X$22,10,FALSE)="","",VLOOKUP($P96,无限模式!$A$3:$X$22,12,FALSE))</f>
        <v>1</v>
      </c>
      <c r="K96" s="102">
        <f t="shared" si="28"/>
        <v>1</v>
      </c>
      <c r="L96" s="102" t="str">
        <f>IF(VLOOKUP($P96,无限模式!$A$3:$X$22,10,FALSE)="","","Monster_Infinite_"&amp;P96&amp;"_2")</f>
        <v>Monster_Infinite_19_2</v>
      </c>
      <c r="M96" s="57">
        <f t="shared" si="29"/>
        <v>1</v>
      </c>
      <c r="O96" s="102">
        <f>IF(VLOOKUP($P96,无限模式!$A$3:$X$22,10,FALSE)="","",VLOOKUP($P96,无限模式!$A$3:$X$22,14,FALSE))</f>
        <v>3</v>
      </c>
      <c r="P96" s="110">
        <f t="shared" si="30"/>
        <v>19</v>
      </c>
      <c r="Q96" s="110">
        <v>2</v>
      </c>
    </row>
    <row r="97" spans="2:17" x14ac:dyDescent="0.2">
      <c r="D97" s="57" t="str">
        <f t="shared" si="24"/>
        <v/>
      </c>
      <c r="F97" s="57" t="str">
        <f t="shared" si="25"/>
        <v/>
      </c>
      <c r="G97" s="102" t="str">
        <f t="shared" si="26"/>
        <v/>
      </c>
      <c r="H97" s="57">
        <f t="shared" si="27"/>
        <v>0</v>
      </c>
      <c r="I97" s="102">
        <f>IF(VLOOKUP($P97,无限模式!$A$3:$X$22,15,FALSE)="","",VLOOKUP(P97,无限模式!$A$3:$X$22,16,FALSE))</f>
        <v>14</v>
      </c>
      <c r="J97" s="102">
        <f>IF(VLOOKUP($P97,无限模式!$A$3:$X$22,15,FALSE)="","",VLOOKUP($P97,无限模式!$A$3:$X$22,17,FALSE))</f>
        <v>2</v>
      </c>
      <c r="K97" s="102">
        <f t="shared" si="28"/>
        <v>1</v>
      </c>
      <c r="L97" s="102" t="str">
        <f>IF(VLOOKUP($P97,无限模式!$A$3:$X$22,15,FALSE)="","","Monster_Infinite_"&amp;P97&amp;"_3")</f>
        <v>Monster_Infinite_19_3</v>
      </c>
      <c r="M97" s="57">
        <f t="shared" si="29"/>
        <v>1</v>
      </c>
      <c r="O97" s="102">
        <f>IF(VLOOKUP($P97,无限模式!$A$3:$X$22,15,FALSE)="","",VLOOKUP($P97,无限模式!$A$3:$X$22,19,FALSE))</f>
        <v>6</v>
      </c>
      <c r="P97" s="110">
        <f t="shared" si="30"/>
        <v>19</v>
      </c>
      <c r="Q97" s="110">
        <v>3</v>
      </c>
    </row>
    <row r="98" spans="2:17" x14ac:dyDescent="0.2">
      <c r="D98" s="57" t="str">
        <f t="shared" si="24"/>
        <v/>
      </c>
      <c r="F98" s="57" t="str">
        <f t="shared" si="25"/>
        <v/>
      </c>
      <c r="G98" s="102" t="str">
        <f t="shared" si="26"/>
        <v/>
      </c>
      <c r="H98" s="57" t="str">
        <f t="shared" si="27"/>
        <v/>
      </c>
      <c r="I98" s="102" t="str">
        <f>IF(VLOOKUP($P98,无限模式!$A$3:$X$22,20,FALSE)="","",VLOOKUP($P98,无限模式!$A$3:$X$22,21,FALSE))</f>
        <v/>
      </c>
      <c r="J98" s="102" t="str">
        <f>IF(VLOOKUP($P98,无限模式!$A$3:$X$22,20,FALSE)="","",VLOOKUP($P98,无限模式!$A$3:$X$22,22,FALSE))</f>
        <v/>
      </c>
      <c r="K98" s="102" t="str">
        <f t="shared" si="28"/>
        <v/>
      </c>
      <c r="L98" s="102" t="str">
        <f>IF(VLOOKUP($P98,无限模式!$A$3:$X$22,20,FALSE)="","","Monster_Infinite_"&amp;P98&amp;"_4")</f>
        <v/>
      </c>
      <c r="M98" s="57" t="str">
        <f t="shared" si="29"/>
        <v/>
      </c>
      <c r="O98" s="102" t="str">
        <f>IF(VLOOKUP($P98,无限模式!$A$3:$X$22,20,FALSE)="","",VLOOKUP($P98,无限模式!$A$3:$X$22,24,FALSE))</f>
        <v/>
      </c>
      <c r="P98" s="110">
        <f t="shared" si="30"/>
        <v>19</v>
      </c>
      <c r="Q98" s="110">
        <v>4</v>
      </c>
    </row>
    <row r="99" spans="2:17" x14ac:dyDescent="0.2">
      <c r="B99" s="57" t="s">
        <v>452</v>
      </c>
      <c r="C99" s="57">
        <v>20</v>
      </c>
      <c r="D99" s="57" t="str">
        <f t="shared" si="24"/>
        <v>无限模式第20波</v>
      </c>
      <c r="F99" s="57">
        <f t="shared" si="25"/>
        <v>0</v>
      </c>
      <c r="G99" s="102">
        <f t="shared" si="26"/>
        <v>180</v>
      </c>
      <c r="H99" s="57">
        <f t="shared" si="27"/>
        <v>0</v>
      </c>
      <c r="I99" s="102">
        <f>IF(VLOOKUP($P99,无限模式!$A$3:$X$22,5,FALSE)="","",VLOOKUP($P99,无限模式!$A$3:$X$22,6,FALSE))</f>
        <v>1</v>
      </c>
      <c r="J99" s="102">
        <f>IF(VLOOKUP($P99,无限模式!$A$3:$X$22,5,FALSE)="","",VLOOKUP($P99,无限模式!$A$3:$X$22,7,FALSE))</f>
        <v>0</v>
      </c>
      <c r="K99" s="102">
        <f t="shared" si="28"/>
        <v>1</v>
      </c>
      <c r="L99" s="102" t="str">
        <f>IF(VLOOKUP($P99,无限模式!$A$3:$X$22,5,FALSE)="","","Monster_Infinite_"&amp;P99&amp;"_1")</f>
        <v>Monster_Infinite_20_1</v>
      </c>
      <c r="M99" s="57">
        <f t="shared" si="29"/>
        <v>1</v>
      </c>
      <c r="O99" s="102">
        <f>IF(VLOOKUP($P99,无限模式!$A$3:$X$22,5,FALSE)="","",VLOOKUP($P99,无限模式!$A$3:$X$22,9,FALSE))</f>
        <v>0</v>
      </c>
      <c r="P99" s="110">
        <f t="shared" si="30"/>
        <v>20</v>
      </c>
      <c r="Q99" s="110">
        <v>1</v>
      </c>
    </row>
    <row r="100" spans="2:17" x14ac:dyDescent="0.2">
      <c r="D100" s="57" t="str">
        <f t="shared" si="24"/>
        <v/>
      </c>
      <c r="F100" s="57" t="str">
        <f t="shared" si="25"/>
        <v/>
      </c>
      <c r="G100" s="102" t="str">
        <f t="shared" si="26"/>
        <v/>
      </c>
      <c r="H100" s="57">
        <f t="shared" si="27"/>
        <v>0</v>
      </c>
      <c r="I100" s="102">
        <f>IF(VLOOKUP($P100,无限模式!$A$3:$X$22,10,FALSE)="","",VLOOKUP($P100,无限模式!$A$3:$X$22,11,FALSE))</f>
        <v>39</v>
      </c>
      <c r="J100" s="102">
        <f>IF(VLOOKUP($P100,无限模式!$A$3:$X$22,10,FALSE)="","",VLOOKUP($P100,无限模式!$A$3:$X$22,12,FALSE))</f>
        <v>0.75</v>
      </c>
      <c r="K100" s="102">
        <f t="shared" si="28"/>
        <v>1</v>
      </c>
      <c r="L100" s="102" t="str">
        <f>IF(VLOOKUP($P100,无限模式!$A$3:$X$22,10,FALSE)="","","Monster_Infinite_"&amp;P100&amp;"_2")</f>
        <v>Monster_Infinite_20_2</v>
      </c>
      <c r="M100" s="57">
        <f t="shared" si="29"/>
        <v>1</v>
      </c>
      <c r="O100" s="102">
        <f>IF(VLOOKUP($P100,无限模式!$A$3:$X$22,10,FALSE)="","",VLOOKUP($P100,无限模式!$A$3:$X$22,14,FALSE))</f>
        <v>0</v>
      </c>
      <c r="P100" s="110">
        <f t="shared" si="30"/>
        <v>20</v>
      </c>
      <c r="Q100" s="110">
        <v>2</v>
      </c>
    </row>
    <row r="101" spans="2:17" x14ac:dyDescent="0.2">
      <c r="D101" s="57" t="str">
        <f t="shared" si="24"/>
        <v/>
      </c>
      <c r="F101" s="57" t="str">
        <f t="shared" si="25"/>
        <v/>
      </c>
      <c r="G101" s="102" t="str">
        <f t="shared" si="26"/>
        <v/>
      </c>
      <c r="H101" s="57">
        <f t="shared" si="27"/>
        <v>0</v>
      </c>
      <c r="I101" s="102">
        <f>IF(VLOOKUP($P101,无限模式!$A$3:$X$22,15,FALSE)="","",VLOOKUP(P101,无限模式!$A$3:$X$22,16,FALSE))</f>
        <v>29</v>
      </c>
      <c r="J101" s="102">
        <f>IF(VLOOKUP($P101,无限模式!$A$3:$X$22,15,FALSE)="","",VLOOKUP($P101,无限模式!$A$3:$X$22,17,FALSE))</f>
        <v>1</v>
      </c>
      <c r="K101" s="102">
        <f t="shared" si="28"/>
        <v>1</v>
      </c>
      <c r="L101" s="102" t="str">
        <f>IF(VLOOKUP($P101,无限模式!$A$3:$X$22,15,FALSE)="","","Monster_Infinite_"&amp;P101&amp;"_3")</f>
        <v>Monster_Infinite_20_3</v>
      </c>
      <c r="M101" s="57">
        <f t="shared" si="29"/>
        <v>1</v>
      </c>
      <c r="O101" s="102">
        <f>IF(VLOOKUP($P101,无限模式!$A$3:$X$22,15,FALSE)="","",VLOOKUP($P101,无限模式!$A$3:$X$22,19,FALSE))</f>
        <v>0</v>
      </c>
      <c r="P101" s="110">
        <f t="shared" si="30"/>
        <v>20</v>
      </c>
      <c r="Q101" s="110">
        <v>3</v>
      </c>
    </row>
    <row r="102" spans="2:17" x14ac:dyDescent="0.2">
      <c r="D102" s="57" t="str">
        <f t="shared" si="24"/>
        <v/>
      </c>
      <c r="F102" s="57" t="str">
        <f t="shared" si="25"/>
        <v/>
      </c>
      <c r="G102" s="102" t="str">
        <f t="shared" si="26"/>
        <v/>
      </c>
      <c r="H102" s="57">
        <f t="shared" si="27"/>
        <v>0</v>
      </c>
      <c r="I102" s="102">
        <f>IF(VLOOKUP($P102,无限模式!$A$3:$X$22,20,FALSE)="","",VLOOKUP($P102,无限模式!$A$3:$X$22,21,FALSE))</f>
        <v>29</v>
      </c>
      <c r="J102" s="102">
        <f>IF(VLOOKUP($P102,无限模式!$A$3:$X$22,20,FALSE)="","",VLOOKUP($P102,无限模式!$A$3:$X$22,22,FALSE))</f>
        <v>1</v>
      </c>
      <c r="K102" s="102">
        <f t="shared" si="28"/>
        <v>1</v>
      </c>
      <c r="L102" s="102" t="str">
        <f>IF(VLOOKUP($P102,无限模式!$A$3:$X$22,20,FALSE)="","","Monster_Infinite_"&amp;P102&amp;"_4")</f>
        <v>Monster_Infinite_20_4</v>
      </c>
      <c r="M102" s="57">
        <f t="shared" si="29"/>
        <v>1</v>
      </c>
      <c r="O102" s="102">
        <f>IF(VLOOKUP($P102,无限模式!$A$3:$X$22,20,FALSE)="","",VLOOKUP($P102,无限模式!$A$3:$X$22,24,FALSE))</f>
        <v>10</v>
      </c>
      <c r="P102" s="110">
        <f t="shared" si="30"/>
        <v>20</v>
      </c>
      <c r="Q102" s="110">
        <v>4</v>
      </c>
    </row>
    <row r="103" spans="2:17" s="166" customFormat="1" x14ac:dyDescent="0.2">
      <c r="F103" s="166" t="str">
        <f t="shared" si="25"/>
        <v/>
      </c>
    </row>
    <row r="104" spans="2:17" x14ac:dyDescent="0.2">
      <c r="B104" s="57" t="s">
        <v>3137</v>
      </c>
      <c r="C104" s="57">
        <v>1</v>
      </c>
      <c r="D104" s="57" t="str">
        <f t="shared" ref="D104:D135" si="31">IF(C104="","","赛季1无限模式第"&amp;C104&amp;"波")</f>
        <v>赛季1无限模式第1波</v>
      </c>
      <c r="F104" s="57">
        <f>IF(C104="","",0)</f>
        <v>0</v>
      </c>
      <c r="G104" s="102">
        <f>IF(C104="","",180)</f>
        <v>180</v>
      </c>
      <c r="H104" s="57">
        <f>IF(I104="","",0)</f>
        <v>0</v>
      </c>
      <c r="I104" s="102">
        <f>IF(VLOOKUP($P104,无限模式!$A$28:$X$47,5,FALSE)="","",VLOOKUP($P104,无限模式!$A$28:$X$47,6,FALSE))</f>
        <v>7</v>
      </c>
      <c r="J104" s="102">
        <f>IF(VLOOKUP($P104,无限模式!$A$28:$X$47,5,FALSE)="","",VLOOKUP($P104,无限模式!$A$28:$X$47,7,FALSE))</f>
        <v>1.5</v>
      </c>
      <c r="K104" s="102">
        <f>IF(I104="","",1)</f>
        <v>1</v>
      </c>
      <c r="L104" s="102" t="str">
        <f>IF(VLOOKUP($P104,无限模式!$A$28:$X$47,5,FALSE)="","","Monster_Season1_Infinite_"&amp;P104&amp;"_1")</f>
        <v>Monster_Season1_Infinite_1_1</v>
      </c>
      <c r="M104" s="57">
        <f>IF(I104="","",1)</f>
        <v>1</v>
      </c>
      <c r="O104" s="102">
        <f>IF(VLOOKUP($P104,无限模式!$A$28:$X$47,5,FALSE)="","",VLOOKUP($P104,无限模式!$A$28:$X$47,9,FALSE))</f>
        <v>43</v>
      </c>
      <c r="P104" s="110">
        <f>IF(C104="",P87,C104)</f>
        <v>1</v>
      </c>
      <c r="Q104" s="110">
        <v>1</v>
      </c>
    </row>
    <row r="105" spans="2:17" x14ac:dyDescent="0.2">
      <c r="D105" s="57" t="str">
        <f t="shared" si="31"/>
        <v/>
      </c>
      <c r="F105" s="57" t="str">
        <f t="shared" ref="F105:F168" si="32">IF(C105="","",0)</f>
        <v/>
      </c>
      <c r="G105" s="102" t="str">
        <f t="shared" ref="G105:G168" si="33">IF(C105="","",180)</f>
        <v/>
      </c>
      <c r="H105" s="57" t="str">
        <f t="shared" ref="H105:H168" si="34">IF(I105="","",0)</f>
        <v/>
      </c>
      <c r="I105" s="102" t="str">
        <f>IF(VLOOKUP($P105,无限模式!$A$28:$X$47,10,FALSE)="","",VLOOKUP($P105,无限模式!$A$28:$X$47,11,FALSE))</f>
        <v/>
      </c>
      <c r="J105" s="102" t="str">
        <f>IF(VLOOKUP($P105,无限模式!$A$28:$X$47,10,FALSE)="","",VLOOKUP($P105,无限模式!$A$28:$X$47,12,FALSE))</f>
        <v/>
      </c>
      <c r="K105" s="102" t="str">
        <f t="shared" ref="K105:K168" si="35">IF(I105="","",1)</f>
        <v/>
      </c>
      <c r="L105" s="102" t="str">
        <f>IF(VLOOKUP($P105,无限模式!$A$28:$X$47,10,FALSE)="","","Monster_Season1_Infinite_"&amp;P105&amp;"_2")</f>
        <v/>
      </c>
      <c r="M105" s="57" t="str">
        <f t="shared" ref="M105:M168" si="36">IF(I105="","",1)</f>
        <v/>
      </c>
      <c r="O105" s="102" t="str">
        <f>IF(VLOOKUP($P105,无限模式!$A$28:$X$47,10,FALSE)="","",VLOOKUP($P105,无限模式!$A$28:$X$47,14,FALSE))</f>
        <v/>
      </c>
      <c r="P105" s="110">
        <f t="shared" ref="P105:P168" si="37">IF(C105="",P104,C105)</f>
        <v>1</v>
      </c>
      <c r="Q105" s="110">
        <v>2</v>
      </c>
    </row>
    <row r="106" spans="2:17" x14ac:dyDescent="0.2">
      <c r="D106" s="57" t="str">
        <f t="shared" si="31"/>
        <v/>
      </c>
      <c r="F106" s="57" t="str">
        <f t="shared" si="32"/>
        <v/>
      </c>
      <c r="G106" s="102" t="str">
        <f t="shared" si="33"/>
        <v/>
      </c>
      <c r="H106" s="57" t="str">
        <f t="shared" si="34"/>
        <v/>
      </c>
      <c r="I106" s="102" t="str">
        <f>IF(VLOOKUP($P106,无限模式!$A$28:$X$47,15,FALSE)="","",VLOOKUP($P106,无限模式!$A$28:$X$47,16,FALSE))</f>
        <v/>
      </c>
      <c r="J106" s="102" t="str">
        <f>IF(VLOOKUP($P106,无限模式!$A$28:$X$47,15,FALSE)="","",VLOOKUP($P106,无限模式!$A$28:$X$47,17,FALSE))</f>
        <v/>
      </c>
      <c r="K106" s="102" t="str">
        <f t="shared" si="35"/>
        <v/>
      </c>
      <c r="L106" s="102" t="str">
        <f>IF(VLOOKUP($P106,无限模式!$A$28:$X$47,15,FALSE)="","","Monster_Season1_Infinite_"&amp;P106&amp;"_3")</f>
        <v/>
      </c>
      <c r="M106" s="57" t="str">
        <f t="shared" si="36"/>
        <v/>
      </c>
      <c r="O106" s="102" t="str">
        <f>IF(VLOOKUP($P106,无限模式!$A$28:$X$47,15,FALSE)="","",VLOOKUP($P106,无限模式!$A$28:$X$47,19,FALSE))</f>
        <v/>
      </c>
      <c r="P106" s="110">
        <f t="shared" si="37"/>
        <v>1</v>
      </c>
      <c r="Q106" s="110">
        <v>3</v>
      </c>
    </row>
    <row r="107" spans="2:17" x14ac:dyDescent="0.2">
      <c r="D107" s="57" t="str">
        <f t="shared" si="31"/>
        <v/>
      </c>
      <c r="F107" s="57" t="str">
        <f t="shared" si="32"/>
        <v/>
      </c>
      <c r="G107" s="102" t="str">
        <f t="shared" si="33"/>
        <v/>
      </c>
      <c r="H107" s="57" t="str">
        <f t="shared" si="34"/>
        <v/>
      </c>
      <c r="I107" s="102" t="str">
        <f>IF(VLOOKUP($P107,无限模式!$A$28:$X$47,20,FALSE)="","",VLOOKUP($P107,无限模式!$A$28:$X$47,21,FALSE))</f>
        <v/>
      </c>
      <c r="J107" s="102" t="str">
        <f>IF(VLOOKUP($P107,无限模式!$A$28:$X$47,20,FALSE)="","",VLOOKUP($P107,无限模式!$A$28:$X$47,22,FALSE))</f>
        <v/>
      </c>
      <c r="K107" s="102" t="str">
        <f t="shared" si="35"/>
        <v/>
      </c>
      <c r="L107" s="102" t="str">
        <f>IF(VLOOKUP($P107,无限模式!$A$28:$X$47,20,FALSE)="","","Monster_Season1_Infinite_"&amp;P107&amp;"_4")</f>
        <v/>
      </c>
      <c r="M107" s="57" t="str">
        <f t="shared" si="36"/>
        <v/>
      </c>
      <c r="O107" s="102" t="str">
        <f>IF(VLOOKUP($P107,无限模式!$A$28:$X$47,20,FALSE)="","",VLOOKUP($P107,无限模式!$A$28:$X$47,24,FALSE))</f>
        <v/>
      </c>
      <c r="P107" s="110">
        <f t="shared" si="37"/>
        <v>1</v>
      </c>
      <c r="Q107" s="110">
        <v>4</v>
      </c>
    </row>
    <row r="108" spans="2:17" x14ac:dyDescent="0.2">
      <c r="B108" s="57" t="s">
        <v>3137</v>
      </c>
      <c r="C108" s="57">
        <v>2</v>
      </c>
      <c r="D108" s="57" t="str">
        <f t="shared" si="31"/>
        <v>赛季1无限模式第2波</v>
      </c>
      <c r="F108" s="57">
        <f t="shared" si="32"/>
        <v>0</v>
      </c>
      <c r="G108" s="102">
        <f t="shared" si="33"/>
        <v>180</v>
      </c>
      <c r="H108" s="57">
        <f t="shared" si="34"/>
        <v>0</v>
      </c>
      <c r="I108" s="102">
        <f>IF(VLOOKUP($P108,无限模式!$A$28:$X$47,5,FALSE)="","",VLOOKUP($P108,无限模式!$A$28:$X$47,6,FALSE))</f>
        <v>15</v>
      </c>
      <c r="J108" s="102">
        <f>IF(VLOOKUP($P108,无限模式!$A$28:$X$47,5,FALSE)="","",VLOOKUP($P108,无限模式!$A$28:$X$47,7,FALSE))</f>
        <v>0.75</v>
      </c>
      <c r="K108" s="102">
        <f t="shared" si="35"/>
        <v>1</v>
      </c>
      <c r="L108" s="102" t="str">
        <f>IF(VLOOKUP($P108,无限模式!$A$28:$X$47,5,FALSE)="","","Monster_Season1_Infinite_"&amp;P108&amp;"_1")</f>
        <v>Monster_Season1_Infinite_2_1</v>
      </c>
      <c r="M108" s="57">
        <f t="shared" si="36"/>
        <v>1</v>
      </c>
      <c r="O108" s="102">
        <f>IF(VLOOKUP($P108,无限模式!$A$28:$X$47,5,FALSE)="","",VLOOKUP($P108,无限模式!$A$28:$X$47,9,FALSE))</f>
        <v>7</v>
      </c>
      <c r="P108" s="110">
        <f t="shared" si="37"/>
        <v>2</v>
      </c>
      <c r="Q108" s="110">
        <v>1</v>
      </c>
    </row>
    <row r="109" spans="2:17" x14ac:dyDescent="0.2">
      <c r="D109" s="57" t="str">
        <f t="shared" si="31"/>
        <v/>
      </c>
      <c r="F109" s="57" t="str">
        <f t="shared" si="32"/>
        <v/>
      </c>
      <c r="G109" s="102" t="str">
        <f t="shared" si="33"/>
        <v/>
      </c>
      <c r="H109" s="57">
        <f t="shared" si="34"/>
        <v>0</v>
      </c>
      <c r="I109" s="102">
        <f>IF(VLOOKUP($P109,无限模式!$A$28:$X$47,10,FALSE)="","",VLOOKUP($P109,无限模式!$A$28:$X$47,11,FALSE))</f>
        <v>7</v>
      </c>
      <c r="J109" s="102">
        <f>IF(VLOOKUP($P109,无限模式!$A$28:$X$47,10,FALSE)="","",VLOOKUP($P109,无限模式!$A$28:$X$47,12,FALSE))</f>
        <v>1.5</v>
      </c>
      <c r="K109" s="102">
        <f t="shared" si="35"/>
        <v>1</v>
      </c>
      <c r="L109" s="102" t="str">
        <f>IF(VLOOKUP($P109,无限模式!$A$28:$X$47,10,FALSE)="","","Monster_Season1_Infinite_"&amp;P109&amp;"_2")</f>
        <v>Monster_Season1_Infinite_2_2</v>
      </c>
      <c r="M109" s="57">
        <f t="shared" si="36"/>
        <v>1</v>
      </c>
      <c r="O109" s="102">
        <f>IF(VLOOKUP($P109,无限模式!$A$28:$X$47,10,FALSE)="","",VLOOKUP($P109,无限模式!$A$28:$X$47,14,FALSE))</f>
        <v>28</v>
      </c>
      <c r="P109" s="110">
        <f t="shared" si="37"/>
        <v>2</v>
      </c>
      <c r="Q109" s="110">
        <v>2</v>
      </c>
    </row>
    <row r="110" spans="2:17" x14ac:dyDescent="0.2">
      <c r="D110" s="57" t="str">
        <f t="shared" si="31"/>
        <v/>
      </c>
      <c r="F110" s="57" t="str">
        <f t="shared" si="32"/>
        <v/>
      </c>
      <c r="G110" s="102" t="str">
        <f t="shared" si="33"/>
        <v/>
      </c>
      <c r="H110" s="57" t="str">
        <f t="shared" si="34"/>
        <v/>
      </c>
      <c r="I110" s="102" t="str">
        <f>IF(VLOOKUP($P110,无限模式!$A$28:$X$47,15,FALSE)="","",VLOOKUP(P110,无限模式!$A$28:$X$47,16,FALSE))</f>
        <v/>
      </c>
      <c r="J110" s="102" t="str">
        <f>IF(VLOOKUP($P110,无限模式!$A$28:$X$47,15,FALSE)="","",VLOOKUP($P110,无限模式!$A$28:$X$47,17,FALSE))</f>
        <v/>
      </c>
      <c r="K110" s="102" t="str">
        <f t="shared" si="35"/>
        <v/>
      </c>
      <c r="L110" s="102" t="str">
        <f>IF(VLOOKUP($P110,无限模式!$A$28:$X$47,15,FALSE)="","","Monster_Season1_Infinite_"&amp;P110&amp;"_3")</f>
        <v/>
      </c>
      <c r="M110" s="57" t="str">
        <f t="shared" si="36"/>
        <v/>
      </c>
      <c r="O110" s="102" t="str">
        <f>IF(VLOOKUP($P110,无限模式!$A$28:$X$47,15,FALSE)="","",VLOOKUP($P110,无限模式!$A$28:$X$47,19,FALSE))</f>
        <v/>
      </c>
      <c r="P110" s="110">
        <f t="shared" si="37"/>
        <v>2</v>
      </c>
      <c r="Q110" s="110">
        <v>3</v>
      </c>
    </row>
    <row r="111" spans="2:17" x14ac:dyDescent="0.2">
      <c r="D111" s="57" t="str">
        <f t="shared" si="31"/>
        <v/>
      </c>
      <c r="F111" s="57" t="str">
        <f t="shared" si="32"/>
        <v/>
      </c>
      <c r="G111" s="102" t="str">
        <f t="shared" si="33"/>
        <v/>
      </c>
      <c r="H111" s="57" t="str">
        <f t="shared" si="34"/>
        <v/>
      </c>
      <c r="I111" s="102" t="str">
        <f>IF(VLOOKUP($P111,无限模式!$A$28:$X$47,20,FALSE)="","",VLOOKUP($P111,无限模式!$A$28:$X$47,21,FALSE))</f>
        <v/>
      </c>
      <c r="J111" s="102" t="str">
        <f>IF(VLOOKUP($P111,无限模式!$A$28:$X$47,20,FALSE)="","",VLOOKUP($P111,无限模式!$A$28:$X$47,22,FALSE))</f>
        <v/>
      </c>
      <c r="K111" s="102" t="str">
        <f t="shared" si="35"/>
        <v/>
      </c>
      <c r="L111" s="102" t="str">
        <f>IF(VLOOKUP($P111,无限模式!$A$28:$X$47,20,FALSE)="","","Monster_Season1_Infinite_"&amp;P111&amp;"_4")</f>
        <v/>
      </c>
      <c r="M111" s="57" t="str">
        <f t="shared" si="36"/>
        <v/>
      </c>
      <c r="O111" s="102" t="str">
        <f>IF(VLOOKUP($P111,无限模式!$A$28:$X$47,20,FALSE)="","",VLOOKUP($P111,无限模式!$A$28:$X$47,24,FALSE))</f>
        <v/>
      </c>
      <c r="P111" s="110">
        <f t="shared" si="37"/>
        <v>2</v>
      </c>
      <c r="Q111" s="110">
        <v>4</v>
      </c>
    </row>
    <row r="112" spans="2:17" x14ac:dyDescent="0.2">
      <c r="B112" s="57" t="s">
        <v>3137</v>
      </c>
      <c r="C112" s="57">
        <v>3</v>
      </c>
      <c r="D112" s="57" t="str">
        <f t="shared" si="31"/>
        <v>赛季1无限模式第3波</v>
      </c>
      <c r="F112" s="57">
        <f t="shared" si="32"/>
        <v>0</v>
      </c>
      <c r="G112" s="102">
        <f t="shared" si="33"/>
        <v>180</v>
      </c>
      <c r="H112" s="57">
        <f t="shared" si="34"/>
        <v>0</v>
      </c>
      <c r="I112" s="102">
        <f>IF(VLOOKUP($P112,无限模式!$A$28:$X$47,5,FALSE)="","",VLOOKUP($P112,无限模式!$A$28:$X$47,6,FALSE))</f>
        <v>8</v>
      </c>
      <c r="J112" s="102">
        <f>IF(VLOOKUP($P112,无限模式!$A$28:$X$47,5,FALSE)="","",VLOOKUP($P112,无限模式!$A$28:$X$47,7,FALSE))</f>
        <v>1.5</v>
      </c>
      <c r="K112" s="102">
        <f t="shared" si="35"/>
        <v>1</v>
      </c>
      <c r="L112" s="102" t="str">
        <f>IF(VLOOKUP($P112,无限模式!$A$28:$X$47,5,FALSE)="","","Monster_Season1_Infinite_"&amp;P112&amp;"_1")</f>
        <v>Monster_Season1_Infinite_3_1</v>
      </c>
      <c r="M112" s="57">
        <f t="shared" si="36"/>
        <v>1</v>
      </c>
      <c r="O112" s="102">
        <f>IF(VLOOKUP($P112,无限模式!$A$28:$X$47,5,FALSE)="","",VLOOKUP($P112,无限模式!$A$28:$X$47,9,FALSE))</f>
        <v>13</v>
      </c>
      <c r="P112" s="110">
        <f t="shared" si="37"/>
        <v>3</v>
      </c>
      <c r="Q112" s="110">
        <v>1</v>
      </c>
    </row>
    <row r="113" spans="2:17" x14ac:dyDescent="0.2">
      <c r="D113" s="57" t="str">
        <f t="shared" si="31"/>
        <v/>
      </c>
      <c r="F113" s="57" t="str">
        <f t="shared" si="32"/>
        <v/>
      </c>
      <c r="G113" s="102" t="str">
        <f t="shared" si="33"/>
        <v/>
      </c>
      <c r="H113" s="57">
        <f t="shared" si="34"/>
        <v>0</v>
      </c>
      <c r="I113" s="102">
        <f>IF(VLOOKUP($P113,无限模式!$A$28:$X$47,10,FALSE)="","",VLOOKUP($P113,无限模式!$A$28:$X$47,11,FALSE))</f>
        <v>60</v>
      </c>
      <c r="J113" s="102">
        <f>IF(VLOOKUP($P113,无限模式!$A$28:$X$47,10,FALSE)="","",VLOOKUP($P113,无限模式!$A$28:$X$47,12,FALSE))</f>
        <v>0.2</v>
      </c>
      <c r="K113" s="102">
        <f t="shared" si="35"/>
        <v>1</v>
      </c>
      <c r="L113" s="102" t="str">
        <f>IF(VLOOKUP($P113,无限模式!$A$28:$X$47,10,FALSE)="","","Monster_Season1_Infinite_"&amp;P113&amp;"_2")</f>
        <v>Monster_Season1_Infinite_3_2</v>
      </c>
      <c r="M113" s="57">
        <f t="shared" si="36"/>
        <v>1</v>
      </c>
      <c r="O113" s="102">
        <f>IF(VLOOKUP($P113,无限模式!$A$28:$X$47,10,FALSE)="","",VLOOKUP($P113,无限模式!$A$28:$X$47,14,FALSE))</f>
        <v>3</v>
      </c>
      <c r="P113" s="110">
        <f t="shared" si="37"/>
        <v>3</v>
      </c>
      <c r="Q113" s="110">
        <v>2</v>
      </c>
    </row>
    <row r="114" spans="2:17" x14ac:dyDescent="0.2">
      <c r="D114" s="57" t="str">
        <f t="shared" si="31"/>
        <v/>
      </c>
      <c r="F114" s="57" t="str">
        <f t="shared" si="32"/>
        <v/>
      </c>
      <c r="G114" s="102" t="str">
        <f t="shared" si="33"/>
        <v/>
      </c>
      <c r="H114" s="57" t="str">
        <f t="shared" si="34"/>
        <v/>
      </c>
      <c r="I114" s="102" t="str">
        <f>IF(VLOOKUP($P114,无限模式!$A$28:$X$47,15,FALSE)="","",VLOOKUP(P114,无限模式!$A$28:$X$47,16,FALSE))</f>
        <v/>
      </c>
      <c r="J114" s="102" t="str">
        <f>IF(VLOOKUP($P114,无限模式!$A$28:$X$47,15,FALSE)="","",VLOOKUP($P114,无限模式!$A$28:$X$47,17,FALSE))</f>
        <v/>
      </c>
      <c r="K114" s="102" t="str">
        <f t="shared" si="35"/>
        <v/>
      </c>
      <c r="L114" s="102" t="str">
        <f>IF(VLOOKUP($P114,无限模式!$A$28:$X$47,15,FALSE)="","","Monster_Season1_Infinite_"&amp;P114&amp;"_3")</f>
        <v/>
      </c>
      <c r="M114" s="57" t="str">
        <f t="shared" si="36"/>
        <v/>
      </c>
      <c r="O114" s="102" t="str">
        <f>IF(VLOOKUP($P114,无限模式!$A$28:$X$47,15,FALSE)="","",VLOOKUP($P114,无限模式!$A$28:$X$47,19,FALSE))</f>
        <v/>
      </c>
      <c r="P114" s="110">
        <f t="shared" si="37"/>
        <v>3</v>
      </c>
      <c r="Q114" s="110">
        <v>3</v>
      </c>
    </row>
    <row r="115" spans="2:17" x14ac:dyDescent="0.2">
      <c r="D115" s="57" t="str">
        <f t="shared" si="31"/>
        <v/>
      </c>
      <c r="F115" s="57" t="str">
        <f t="shared" si="32"/>
        <v/>
      </c>
      <c r="G115" s="102" t="str">
        <f t="shared" si="33"/>
        <v/>
      </c>
      <c r="H115" s="57" t="str">
        <f t="shared" si="34"/>
        <v/>
      </c>
      <c r="I115" s="102" t="str">
        <f>IF(VLOOKUP($P115,无限模式!$A$28:$X$47,20,FALSE)="","",VLOOKUP($P115,无限模式!$A$28:$X$47,21,FALSE))</f>
        <v/>
      </c>
      <c r="J115" s="102" t="str">
        <f>IF(VLOOKUP($P115,无限模式!$A$28:$X$47,20,FALSE)="","",VLOOKUP($P115,无限模式!$A$28:$X$47,22,FALSE))</f>
        <v/>
      </c>
      <c r="K115" s="102" t="str">
        <f t="shared" si="35"/>
        <v/>
      </c>
      <c r="L115" s="102" t="str">
        <f>IF(VLOOKUP($P115,无限模式!$A$28:$X$47,20,FALSE)="","","Monster_Season1_Infinite_"&amp;P115&amp;"_4")</f>
        <v/>
      </c>
      <c r="M115" s="57" t="str">
        <f t="shared" si="36"/>
        <v/>
      </c>
      <c r="O115" s="102" t="str">
        <f>IF(VLOOKUP($P115,无限模式!$A$28:$X$47,20,FALSE)="","",VLOOKUP($P115,无限模式!$A$28:$X$47,24,FALSE))</f>
        <v/>
      </c>
      <c r="P115" s="110">
        <f t="shared" si="37"/>
        <v>3</v>
      </c>
      <c r="Q115" s="110">
        <v>4</v>
      </c>
    </row>
    <row r="116" spans="2:17" x14ac:dyDescent="0.2">
      <c r="B116" s="57" t="s">
        <v>3137</v>
      </c>
      <c r="C116" s="57">
        <v>4</v>
      </c>
      <c r="D116" s="57" t="str">
        <f t="shared" si="31"/>
        <v>赛季1无限模式第4波</v>
      </c>
      <c r="F116" s="57">
        <f t="shared" si="32"/>
        <v>0</v>
      </c>
      <c r="G116" s="102">
        <f t="shared" si="33"/>
        <v>180</v>
      </c>
      <c r="H116" s="57">
        <f t="shared" si="34"/>
        <v>0</v>
      </c>
      <c r="I116" s="102">
        <f>IF(VLOOKUP($P116,无限模式!$A$28:$X$47,5,FALSE)="","",VLOOKUP($P116,无限模式!$A$28:$X$47,6,FALSE))</f>
        <v>1</v>
      </c>
      <c r="J116" s="102">
        <f>IF(VLOOKUP($P116,无限模式!$A$28:$X$47,5,FALSE)="","",VLOOKUP($P116,无限模式!$A$28:$X$47,7,FALSE))</f>
        <v>0</v>
      </c>
      <c r="K116" s="102">
        <f t="shared" si="35"/>
        <v>1</v>
      </c>
      <c r="L116" s="102" t="str">
        <f>IF(VLOOKUP($P116,无限模式!$A$28:$X$47,5,FALSE)="","","Monster_Season1_Infinite_"&amp;P116&amp;"_1")</f>
        <v>Monster_Season1_Infinite_4_1</v>
      </c>
      <c r="M116" s="57">
        <f t="shared" si="36"/>
        <v>1</v>
      </c>
      <c r="O116" s="102">
        <f>IF(VLOOKUP($P116,无限模式!$A$28:$X$47,5,FALSE)="","",VLOOKUP($P116,无限模式!$A$28:$X$47,9,FALSE))</f>
        <v>182</v>
      </c>
      <c r="P116" s="110">
        <f t="shared" si="37"/>
        <v>4</v>
      </c>
      <c r="Q116" s="110">
        <v>1</v>
      </c>
    </row>
    <row r="117" spans="2:17" x14ac:dyDescent="0.2">
      <c r="D117" s="57" t="str">
        <f t="shared" si="31"/>
        <v/>
      </c>
      <c r="F117" s="57" t="str">
        <f t="shared" si="32"/>
        <v/>
      </c>
      <c r="G117" s="102" t="str">
        <f t="shared" si="33"/>
        <v/>
      </c>
      <c r="H117" s="57">
        <f t="shared" si="34"/>
        <v>0</v>
      </c>
      <c r="I117" s="102">
        <f>IF(VLOOKUP($P117,无限模式!$A$28:$X$47,10,FALSE)="","",VLOOKUP($P117,无限模式!$A$28:$X$47,11,FALSE))</f>
        <v>13</v>
      </c>
      <c r="J117" s="102">
        <f>IF(VLOOKUP($P117,无限模式!$A$28:$X$47,10,FALSE)="","",VLOOKUP($P117,无限模式!$A$28:$X$47,12,FALSE))</f>
        <v>1</v>
      </c>
      <c r="K117" s="102">
        <f t="shared" si="35"/>
        <v>1</v>
      </c>
      <c r="L117" s="102" t="str">
        <f>IF(VLOOKUP($P117,无限模式!$A$28:$X$47,10,FALSE)="","","Monster_Season1_Infinite_"&amp;P117&amp;"_2")</f>
        <v>Monster_Season1_Infinite_4_2</v>
      </c>
      <c r="M117" s="57">
        <f t="shared" si="36"/>
        <v>1</v>
      </c>
      <c r="O117" s="102">
        <f>IF(VLOOKUP($P117,无限模式!$A$28:$X$47,10,FALSE)="","",VLOOKUP($P117,无限模式!$A$28:$X$47,14,FALSE))</f>
        <v>9</v>
      </c>
      <c r="P117" s="110">
        <f t="shared" si="37"/>
        <v>4</v>
      </c>
      <c r="Q117" s="110">
        <v>2</v>
      </c>
    </row>
    <row r="118" spans="2:17" x14ac:dyDescent="0.2">
      <c r="D118" s="57" t="str">
        <f t="shared" si="31"/>
        <v/>
      </c>
      <c r="F118" s="57" t="str">
        <f t="shared" si="32"/>
        <v/>
      </c>
      <c r="G118" s="102" t="str">
        <f t="shared" si="33"/>
        <v/>
      </c>
      <c r="H118" s="57" t="str">
        <f t="shared" si="34"/>
        <v/>
      </c>
      <c r="I118" s="102" t="str">
        <f>IF(VLOOKUP($P118,无限模式!$A$28:$X$47,15,FALSE)="","",VLOOKUP(P118,无限模式!$A$28:$X$47,16,FALSE))</f>
        <v/>
      </c>
      <c r="J118" s="102" t="str">
        <f>IF(VLOOKUP($P118,无限模式!$A$28:$X$47,15,FALSE)="","",VLOOKUP($P118,无限模式!$A$28:$X$47,17,FALSE))</f>
        <v/>
      </c>
      <c r="K118" s="102" t="str">
        <f t="shared" si="35"/>
        <v/>
      </c>
      <c r="L118" s="102" t="str">
        <f>IF(VLOOKUP($P118,无限模式!$A$28:$X$47,15,FALSE)="","","Monster_Season1_Infinite_"&amp;P118&amp;"_3")</f>
        <v/>
      </c>
      <c r="M118" s="57" t="str">
        <f t="shared" si="36"/>
        <v/>
      </c>
      <c r="O118" s="102" t="str">
        <f>IF(VLOOKUP($P118,无限模式!$A$28:$X$47,15,FALSE)="","",VLOOKUP($P118,无限模式!$A$28:$X$47,19,FALSE))</f>
        <v/>
      </c>
      <c r="P118" s="110">
        <f t="shared" si="37"/>
        <v>4</v>
      </c>
      <c r="Q118" s="110">
        <v>3</v>
      </c>
    </row>
    <row r="119" spans="2:17" x14ac:dyDescent="0.2">
      <c r="D119" s="57" t="str">
        <f t="shared" si="31"/>
        <v/>
      </c>
      <c r="F119" s="57" t="str">
        <f t="shared" si="32"/>
        <v/>
      </c>
      <c r="G119" s="102" t="str">
        <f t="shared" si="33"/>
        <v/>
      </c>
      <c r="H119" s="57" t="str">
        <f t="shared" si="34"/>
        <v/>
      </c>
      <c r="I119" s="102" t="str">
        <f>IF(VLOOKUP($P119,无限模式!$A$28:$X$47,20,FALSE)="","",VLOOKUP($P119,无限模式!$A$28:$X$47,21,FALSE))</f>
        <v/>
      </c>
      <c r="J119" s="102" t="str">
        <f>IF(VLOOKUP($P119,无限模式!$A$28:$X$47,20,FALSE)="","",VLOOKUP($P119,无限模式!$A$28:$X$47,22,FALSE))</f>
        <v/>
      </c>
      <c r="K119" s="102" t="str">
        <f t="shared" si="35"/>
        <v/>
      </c>
      <c r="L119" s="102" t="str">
        <f>IF(VLOOKUP($P119,无限模式!$A$28:$X$47,20,FALSE)="","","Monster_Season1_Infinite_"&amp;P119&amp;"_4")</f>
        <v/>
      </c>
      <c r="M119" s="57" t="str">
        <f t="shared" si="36"/>
        <v/>
      </c>
      <c r="O119" s="102" t="str">
        <f>IF(VLOOKUP($P119,无限模式!$A$28:$X$47,20,FALSE)="","",VLOOKUP($P119,无限模式!$A$28:$X$47,24,FALSE))</f>
        <v/>
      </c>
      <c r="P119" s="110">
        <f t="shared" si="37"/>
        <v>4</v>
      </c>
      <c r="Q119" s="110">
        <v>4</v>
      </c>
    </row>
    <row r="120" spans="2:17" x14ac:dyDescent="0.2">
      <c r="B120" s="57" t="s">
        <v>3137</v>
      </c>
      <c r="C120" s="57">
        <v>5</v>
      </c>
      <c r="D120" s="57" t="str">
        <f t="shared" si="31"/>
        <v>赛季1无限模式第5波</v>
      </c>
      <c r="F120" s="57">
        <f t="shared" si="32"/>
        <v>0</v>
      </c>
      <c r="G120" s="102">
        <f t="shared" si="33"/>
        <v>180</v>
      </c>
      <c r="H120" s="57">
        <f t="shared" si="34"/>
        <v>0</v>
      </c>
      <c r="I120" s="102">
        <f>IF(VLOOKUP($P120,无限模式!$A$28:$X$47,5,FALSE)="","",VLOOKUP($P120,无限模式!$A$28:$X$47,6,FALSE))</f>
        <v>14</v>
      </c>
      <c r="J120" s="102">
        <f>IF(VLOOKUP($P120,无限模式!$A$28:$X$47,5,FALSE)="","",VLOOKUP($P120,无限模式!$A$28:$X$47,7,FALSE))</f>
        <v>1</v>
      </c>
      <c r="K120" s="102">
        <f t="shared" si="35"/>
        <v>1</v>
      </c>
      <c r="L120" s="102" t="str">
        <f>IF(VLOOKUP($P120,无限模式!$A$28:$X$47,5,FALSE)="","","Monster_Season1_Infinite_"&amp;P120&amp;"_1")</f>
        <v>Monster_Season1_Infinite_5_1</v>
      </c>
      <c r="M120" s="57">
        <f t="shared" si="36"/>
        <v>1</v>
      </c>
      <c r="O120" s="102">
        <f>IF(VLOOKUP($P120,无限模式!$A$28:$X$47,5,FALSE)="","",VLOOKUP($P120,无限模式!$A$28:$X$47,9,FALSE))</f>
        <v>14</v>
      </c>
      <c r="P120" s="110">
        <f t="shared" si="37"/>
        <v>5</v>
      </c>
      <c r="Q120" s="110">
        <v>1</v>
      </c>
    </row>
    <row r="121" spans="2:17" x14ac:dyDescent="0.2">
      <c r="D121" s="57" t="str">
        <f t="shared" si="31"/>
        <v/>
      </c>
      <c r="F121" s="57" t="str">
        <f t="shared" si="32"/>
        <v/>
      </c>
      <c r="G121" s="102" t="str">
        <f t="shared" si="33"/>
        <v/>
      </c>
      <c r="H121" s="57">
        <f t="shared" si="34"/>
        <v>0</v>
      </c>
      <c r="I121" s="102">
        <f>IF(VLOOKUP($P121,无限模式!$A$28:$X$47,10,FALSE)="","",VLOOKUP($P121,无限模式!$A$28:$X$47,11,FALSE))</f>
        <v>14</v>
      </c>
      <c r="J121" s="102">
        <f>IF(VLOOKUP($P121,无限模式!$A$28:$X$47,10,FALSE)="","",VLOOKUP($P121,无限模式!$A$28:$X$47,12,FALSE))</f>
        <v>1</v>
      </c>
      <c r="K121" s="102">
        <f t="shared" si="35"/>
        <v>1</v>
      </c>
      <c r="L121" s="102" t="str">
        <f>IF(VLOOKUP($P121,无限模式!$A$28:$X$47,10,FALSE)="","","Monster_Season1_Infinite_"&amp;P121&amp;"_2")</f>
        <v>Monster_Season1_Infinite_5_2</v>
      </c>
      <c r="M121" s="57">
        <f t="shared" si="36"/>
        <v>1</v>
      </c>
      <c r="O121" s="102">
        <f>IF(VLOOKUP($P121,无限模式!$A$28:$X$47,10,FALSE)="","",VLOOKUP($P121,无限模式!$A$28:$X$47,14,FALSE))</f>
        <v>7</v>
      </c>
      <c r="P121" s="110">
        <f t="shared" si="37"/>
        <v>5</v>
      </c>
      <c r="Q121" s="110">
        <v>2</v>
      </c>
    </row>
    <row r="122" spans="2:17" x14ac:dyDescent="0.2">
      <c r="D122" s="57" t="str">
        <f t="shared" si="31"/>
        <v/>
      </c>
      <c r="F122" s="57" t="str">
        <f t="shared" si="32"/>
        <v/>
      </c>
      <c r="G122" s="102" t="str">
        <f t="shared" si="33"/>
        <v/>
      </c>
      <c r="H122" s="57" t="str">
        <f t="shared" si="34"/>
        <v/>
      </c>
      <c r="I122" s="102" t="str">
        <f>IF(VLOOKUP($P122,无限模式!$A$28:$X$47,15,FALSE)="","",VLOOKUP(P122,无限模式!$A$28:$X$47,16,FALSE))</f>
        <v/>
      </c>
      <c r="J122" s="102" t="str">
        <f>IF(VLOOKUP($P122,无限模式!$A$28:$X$47,15,FALSE)="","",VLOOKUP($P122,无限模式!$A$28:$X$47,17,FALSE))</f>
        <v/>
      </c>
      <c r="K122" s="102" t="str">
        <f t="shared" si="35"/>
        <v/>
      </c>
      <c r="L122" s="102" t="str">
        <f>IF(VLOOKUP($P122,无限模式!$A$28:$X$47,15,FALSE)="","","Monster_Season1_Infinite_"&amp;P122&amp;"_3")</f>
        <v/>
      </c>
      <c r="M122" s="57" t="str">
        <f t="shared" si="36"/>
        <v/>
      </c>
      <c r="O122" s="102" t="str">
        <f>IF(VLOOKUP($P122,无限模式!$A$28:$X$47,15,FALSE)="","",VLOOKUP($P122,无限模式!$A$28:$X$47,19,FALSE))</f>
        <v/>
      </c>
      <c r="P122" s="110">
        <f t="shared" si="37"/>
        <v>5</v>
      </c>
      <c r="Q122" s="110">
        <v>3</v>
      </c>
    </row>
    <row r="123" spans="2:17" x14ac:dyDescent="0.2">
      <c r="D123" s="57" t="str">
        <f t="shared" si="31"/>
        <v/>
      </c>
      <c r="F123" s="57" t="str">
        <f t="shared" si="32"/>
        <v/>
      </c>
      <c r="G123" s="102" t="str">
        <f t="shared" si="33"/>
        <v/>
      </c>
      <c r="H123" s="57" t="str">
        <f t="shared" si="34"/>
        <v/>
      </c>
      <c r="I123" s="102" t="str">
        <f>IF(VLOOKUP($P123,无限模式!$A$28:$X$47,20,FALSE)="","",VLOOKUP($P123,无限模式!$A$28:$X$47,21,FALSE))</f>
        <v/>
      </c>
      <c r="J123" s="102" t="str">
        <f>IF(VLOOKUP($P123,无限模式!$A$28:$X$47,20,FALSE)="","",VLOOKUP($P123,无限模式!$A$28:$X$47,22,FALSE))</f>
        <v/>
      </c>
      <c r="K123" s="102" t="str">
        <f t="shared" si="35"/>
        <v/>
      </c>
      <c r="L123" s="102" t="str">
        <f>IF(VLOOKUP($P123,无限模式!$A$28:$X$47,20,FALSE)="","","Monster_Season1_Infinite_"&amp;P123&amp;"_4")</f>
        <v/>
      </c>
      <c r="M123" s="57" t="str">
        <f t="shared" si="36"/>
        <v/>
      </c>
      <c r="O123" s="102" t="str">
        <f>IF(VLOOKUP($P123,无限模式!$A$28:$X$47,20,FALSE)="","",VLOOKUP($P123,无限模式!$A$28:$X$47,24,FALSE))</f>
        <v/>
      </c>
      <c r="P123" s="110">
        <f t="shared" si="37"/>
        <v>5</v>
      </c>
      <c r="Q123" s="110">
        <v>4</v>
      </c>
    </row>
    <row r="124" spans="2:17" x14ac:dyDescent="0.2">
      <c r="B124" s="57" t="s">
        <v>3137</v>
      </c>
      <c r="C124" s="57">
        <v>6</v>
      </c>
      <c r="D124" s="57" t="str">
        <f t="shared" si="31"/>
        <v>赛季1无限模式第6波</v>
      </c>
      <c r="F124" s="57">
        <f t="shared" si="32"/>
        <v>0</v>
      </c>
      <c r="G124" s="102">
        <f t="shared" si="33"/>
        <v>180</v>
      </c>
      <c r="H124" s="57">
        <f t="shared" si="34"/>
        <v>0</v>
      </c>
      <c r="I124" s="102">
        <f>IF(VLOOKUP($P124,无限模式!$A$28:$X$47,5,FALSE)="","",VLOOKUP($P124,无限模式!$A$28:$X$47,6,FALSE))</f>
        <v>20</v>
      </c>
      <c r="J124" s="102">
        <f>IF(VLOOKUP($P124,无限模式!$A$28:$X$47,5,FALSE)="","",VLOOKUP($P124,无限模式!$A$28:$X$47,7,FALSE))</f>
        <v>0.75</v>
      </c>
      <c r="K124" s="102">
        <f t="shared" si="35"/>
        <v>1</v>
      </c>
      <c r="L124" s="102" t="str">
        <f>IF(VLOOKUP($P124,无限模式!$A$28:$X$47,5,FALSE)="","","Monster_Season1_Infinite_"&amp;P124&amp;"_1")</f>
        <v>Monster_Season1_Infinite_6_1</v>
      </c>
      <c r="M124" s="57">
        <f t="shared" si="36"/>
        <v>1</v>
      </c>
      <c r="O124" s="102">
        <f>IF(VLOOKUP($P124,无限模式!$A$28:$X$47,5,FALSE)="","",VLOOKUP($P124,无限模式!$A$28:$X$47,9,FALSE))</f>
        <v>9</v>
      </c>
      <c r="P124" s="110">
        <f t="shared" si="37"/>
        <v>6</v>
      </c>
      <c r="Q124" s="110">
        <v>1</v>
      </c>
    </row>
    <row r="125" spans="2:17" x14ac:dyDescent="0.2">
      <c r="D125" s="57" t="str">
        <f t="shared" si="31"/>
        <v/>
      </c>
      <c r="F125" s="57" t="str">
        <f t="shared" si="32"/>
        <v/>
      </c>
      <c r="G125" s="102" t="str">
        <f t="shared" si="33"/>
        <v/>
      </c>
      <c r="H125" s="57">
        <f t="shared" si="34"/>
        <v>0</v>
      </c>
      <c r="I125" s="102">
        <f>IF(VLOOKUP($P125,无限模式!$A$28:$X$47,10,FALSE)="","",VLOOKUP($P125,无限模式!$A$28:$X$47,11,FALSE))</f>
        <v>15</v>
      </c>
      <c r="J125" s="102">
        <f>IF(VLOOKUP($P125,无限模式!$A$28:$X$47,10,FALSE)="","",VLOOKUP($P125,无限模式!$A$28:$X$47,12,FALSE))</f>
        <v>1</v>
      </c>
      <c r="K125" s="102">
        <f t="shared" si="35"/>
        <v>1</v>
      </c>
      <c r="L125" s="102" t="str">
        <f>IF(VLOOKUP($P125,无限模式!$A$28:$X$47,10,FALSE)="","","Monster_Season1_Infinite_"&amp;P125&amp;"_2")</f>
        <v>Monster_Season1_Infinite_6_2</v>
      </c>
      <c r="M125" s="57">
        <f t="shared" si="36"/>
        <v>1</v>
      </c>
      <c r="O125" s="102">
        <f>IF(VLOOKUP($P125,无限模式!$A$28:$X$47,10,FALSE)="","",VLOOKUP($P125,无限模式!$A$28:$X$47,14,FALSE))</f>
        <v>9</v>
      </c>
      <c r="P125" s="110">
        <f t="shared" si="37"/>
        <v>6</v>
      </c>
      <c r="Q125" s="110">
        <v>2</v>
      </c>
    </row>
    <row r="126" spans="2:17" x14ac:dyDescent="0.2">
      <c r="D126" s="57" t="str">
        <f t="shared" si="31"/>
        <v/>
      </c>
      <c r="F126" s="57" t="str">
        <f t="shared" si="32"/>
        <v/>
      </c>
      <c r="G126" s="102" t="str">
        <f t="shared" si="33"/>
        <v/>
      </c>
      <c r="H126" s="57" t="str">
        <f t="shared" si="34"/>
        <v/>
      </c>
      <c r="I126" s="102" t="str">
        <f>IF(VLOOKUP($P126,无限模式!$A$28:$X$47,15,FALSE)="","",VLOOKUP(P126,无限模式!$A$28:$X$47,16,FALSE))</f>
        <v/>
      </c>
      <c r="J126" s="102" t="str">
        <f>IF(VLOOKUP($P126,无限模式!$A$28:$X$47,15,FALSE)="","",VLOOKUP($P126,无限模式!$A$28:$X$47,17,FALSE))</f>
        <v/>
      </c>
      <c r="K126" s="102" t="str">
        <f t="shared" si="35"/>
        <v/>
      </c>
      <c r="L126" s="102" t="str">
        <f>IF(VLOOKUP($P126,无限模式!$A$28:$X$47,15,FALSE)="","","Monster_Season1_Infinite_"&amp;P126&amp;"_3")</f>
        <v/>
      </c>
      <c r="M126" s="57" t="str">
        <f t="shared" si="36"/>
        <v/>
      </c>
      <c r="O126" s="102" t="str">
        <f>IF(VLOOKUP($P126,无限模式!$A$28:$X$47,15,FALSE)="","",VLOOKUP($P126,无限模式!$A$28:$X$47,19,FALSE))</f>
        <v/>
      </c>
      <c r="P126" s="110">
        <f t="shared" si="37"/>
        <v>6</v>
      </c>
      <c r="Q126" s="110">
        <v>3</v>
      </c>
    </row>
    <row r="127" spans="2:17" x14ac:dyDescent="0.2">
      <c r="D127" s="57" t="str">
        <f t="shared" si="31"/>
        <v/>
      </c>
      <c r="F127" s="57" t="str">
        <f t="shared" si="32"/>
        <v/>
      </c>
      <c r="G127" s="102" t="str">
        <f t="shared" si="33"/>
        <v/>
      </c>
      <c r="H127" s="57" t="str">
        <f t="shared" si="34"/>
        <v/>
      </c>
      <c r="I127" s="102" t="str">
        <f>IF(VLOOKUP($P127,无限模式!$A$28:$X$47,20,FALSE)="","",VLOOKUP($P127,无限模式!$A$28:$X$47,21,FALSE))</f>
        <v/>
      </c>
      <c r="J127" s="102" t="str">
        <f>IF(VLOOKUP($P127,无限模式!$A$28:$X$47,20,FALSE)="","",VLOOKUP($P127,无限模式!$A$28:$X$47,22,FALSE))</f>
        <v/>
      </c>
      <c r="K127" s="102" t="str">
        <f t="shared" si="35"/>
        <v/>
      </c>
      <c r="L127" s="102" t="str">
        <f>IF(VLOOKUP($P127,无限模式!$A$28:$X$47,20,FALSE)="","","Monster_Season1_Infinite_"&amp;P127&amp;"_4")</f>
        <v/>
      </c>
      <c r="M127" s="57" t="str">
        <f t="shared" si="36"/>
        <v/>
      </c>
      <c r="O127" s="102" t="str">
        <f>IF(VLOOKUP($P127,无限模式!$A$28:$X$47,20,FALSE)="","",VLOOKUP($P127,无限模式!$A$28:$X$47,24,FALSE))</f>
        <v/>
      </c>
      <c r="P127" s="110">
        <f t="shared" si="37"/>
        <v>6</v>
      </c>
      <c r="Q127" s="110">
        <v>4</v>
      </c>
    </row>
    <row r="128" spans="2:17" x14ac:dyDescent="0.2">
      <c r="B128" s="57" t="s">
        <v>3137</v>
      </c>
      <c r="C128" s="57">
        <v>7</v>
      </c>
      <c r="D128" s="57" t="str">
        <f t="shared" si="31"/>
        <v>赛季1无限模式第7波</v>
      </c>
      <c r="F128" s="57">
        <f t="shared" si="32"/>
        <v>0</v>
      </c>
      <c r="G128" s="102">
        <f t="shared" si="33"/>
        <v>180</v>
      </c>
      <c r="H128" s="57">
        <f t="shared" si="34"/>
        <v>0</v>
      </c>
      <c r="I128" s="102">
        <f>IF(VLOOKUP($P128,无限模式!$A$28:$X$47,5,FALSE)="","",VLOOKUP($P128,无限模式!$A$28:$X$47,6,FALSE))</f>
        <v>16</v>
      </c>
      <c r="J128" s="102">
        <f>IF(VLOOKUP($P128,无限模式!$A$28:$X$47,5,FALSE)="","",VLOOKUP($P128,无限模式!$A$28:$X$47,7,FALSE))</f>
        <v>1</v>
      </c>
      <c r="K128" s="102">
        <f t="shared" si="35"/>
        <v>1</v>
      </c>
      <c r="L128" s="102" t="str">
        <f>IF(VLOOKUP($P128,无限模式!$A$28:$X$47,5,FALSE)="","","Monster_Season1_Infinite_"&amp;P128&amp;"_1")</f>
        <v>Monster_Season1_Infinite_7_1</v>
      </c>
      <c r="M128" s="57">
        <f t="shared" si="36"/>
        <v>1</v>
      </c>
      <c r="O128" s="102">
        <f>IF(VLOOKUP($P128,无限模式!$A$28:$X$47,5,FALSE)="","",VLOOKUP($P128,无限模式!$A$28:$X$47,9,FALSE))</f>
        <v>9</v>
      </c>
      <c r="P128" s="110">
        <f t="shared" si="37"/>
        <v>7</v>
      </c>
      <c r="Q128" s="110">
        <v>1</v>
      </c>
    </row>
    <row r="129" spans="2:17" x14ac:dyDescent="0.2">
      <c r="D129" s="57" t="str">
        <f t="shared" si="31"/>
        <v/>
      </c>
      <c r="F129" s="57" t="str">
        <f t="shared" si="32"/>
        <v/>
      </c>
      <c r="G129" s="102" t="str">
        <f t="shared" si="33"/>
        <v/>
      </c>
      <c r="H129" s="57">
        <f t="shared" si="34"/>
        <v>0</v>
      </c>
      <c r="I129" s="102">
        <f>IF(VLOOKUP($P129,无限模式!$A$28:$X$47,10,FALSE)="","",VLOOKUP($P129,无限模式!$A$28:$X$47,11,FALSE))</f>
        <v>32</v>
      </c>
      <c r="J129" s="102">
        <f>IF(VLOOKUP($P129,无限模式!$A$28:$X$47,10,FALSE)="","",VLOOKUP($P129,无限模式!$A$28:$X$47,12,FALSE))</f>
        <v>0.5</v>
      </c>
      <c r="K129" s="102">
        <f t="shared" si="35"/>
        <v>1</v>
      </c>
      <c r="L129" s="102" t="str">
        <f>IF(VLOOKUP($P129,无限模式!$A$28:$X$47,10,FALSE)="","","Monster_Season1_Infinite_"&amp;P129&amp;"_2")</f>
        <v>Monster_Season1_Infinite_7_2</v>
      </c>
      <c r="M129" s="57">
        <f t="shared" si="36"/>
        <v>1</v>
      </c>
      <c r="O129" s="102">
        <f>IF(VLOOKUP($P129,无限模式!$A$28:$X$47,10,FALSE)="","",VLOOKUP($P129,无限模式!$A$28:$X$47,14,FALSE))</f>
        <v>5</v>
      </c>
      <c r="P129" s="110">
        <f t="shared" si="37"/>
        <v>7</v>
      </c>
      <c r="Q129" s="110">
        <v>2</v>
      </c>
    </row>
    <row r="130" spans="2:17" x14ac:dyDescent="0.2">
      <c r="D130" s="57" t="str">
        <f t="shared" si="31"/>
        <v/>
      </c>
      <c r="F130" s="57" t="str">
        <f t="shared" si="32"/>
        <v/>
      </c>
      <c r="G130" s="102" t="str">
        <f t="shared" si="33"/>
        <v/>
      </c>
      <c r="H130" s="57" t="str">
        <f t="shared" si="34"/>
        <v/>
      </c>
      <c r="I130" s="102" t="str">
        <f>IF(VLOOKUP($P130,无限模式!$A$28:$X$47,15,FALSE)="","",VLOOKUP(P130,无限模式!$A$28:$X$47,16,FALSE))</f>
        <v/>
      </c>
      <c r="J130" s="102" t="str">
        <f>IF(VLOOKUP($P130,无限模式!$A$28:$X$47,15,FALSE)="","",VLOOKUP($P130,无限模式!$A$28:$X$47,17,FALSE))</f>
        <v/>
      </c>
      <c r="K130" s="102" t="str">
        <f t="shared" si="35"/>
        <v/>
      </c>
      <c r="L130" s="102" t="str">
        <f>IF(VLOOKUP($P130,无限模式!$A$28:$X$47,15,FALSE)="","","Monster_Season1_Infinite_"&amp;P130&amp;"_3")</f>
        <v/>
      </c>
      <c r="M130" s="57" t="str">
        <f t="shared" si="36"/>
        <v/>
      </c>
      <c r="O130" s="102" t="str">
        <f>IF(VLOOKUP($P130,无限模式!$A$28:$X$47,15,FALSE)="","",VLOOKUP($P130,无限模式!$A$28:$X$47,19,FALSE))</f>
        <v/>
      </c>
      <c r="P130" s="110">
        <f t="shared" si="37"/>
        <v>7</v>
      </c>
      <c r="Q130" s="110">
        <v>3</v>
      </c>
    </row>
    <row r="131" spans="2:17" x14ac:dyDescent="0.2">
      <c r="D131" s="57" t="str">
        <f t="shared" si="31"/>
        <v/>
      </c>
      <c r="F131" s="57" t="str">
        <f t="shared" si="32"/>
        <v/>
      </c>
      <c r="G131" s="102" t="str">
        <f t="shared" si="33"/>
        <v/>
      </c>
      <c r="H131" s="57" t="str">
        <f t="shared" si="34"/>
        <v/>
      </c>
      <c r="I131" s="102" t="str">
        <f>IF(VLOOKUP($P131,无限模式!$A$28:$X$47,20,FALSE)="","",VLOOKUP($P131,无限模式!$A$28:$X$47,21,FALSE))</f>
        <v/>
      </c>
      <c r="J131" s="102" t="str">
        <f>IF(VLOOKUP($P131,无限模式!$A$28:$X$47,20,FALSE)="","",VLOOKUP($P131,无限模式!$A$28:$X$47,22,FALSE))</f>
        <v/>
      </c>
      <c r="K131" s="102" t="str">
        <f t="shared" si="35"/>
        <v/>
      </c>
      <c r="L131" s="102" t="str">
        <f>IF(VLOOKUP($P131,无限模式!$A$28:$X$47,20,FALSE)="","","Monster_Season1_Infinite_"&amp;P131&amp;"_4")</f>
        <v/>
      </c>
      <c r="M131" s="57" t="str">
        <f t="shared" si="36"/>
        <v/>
      </c>
      <c r="O131" s="102" t="str">
        <f>IF(VLOOKUP($P131,无限模式!$A$28:$X$47,20,FALSE)="","",VLOOKUP($P131,无限模式!$A$28:$X$47,24,FALSE))</f>
        <v/>
      </c>
      <c r="P131" s="110">
        <f t="shared" si="37"/>
        <v>7</v>
      </c>
      <c r="Q131" s="110">
        <v>4</v>
      </c>
    </row>
    <row r="132" spans="2:17" x14ac:dyDescent="0.2">
      <c r="B132" s="57" t="s">
        <v>3137</v>
      </c>
      <c r="C132" s="57">
        <v>8</v>
      </c>
      <c r="D132" s="57" t="str">
        <f t="shared" si="31"/>
        <v>赛季1无限模式第8波</v>
      </c>
      <c r="F132" s="57">
        <f t="shared" si="32"/>
        <v>0</v>
      </c>
      <c r="G132" s="102">
        <f t="shared" si="33"/>
        <v>180</v>
      </c>
      <c r="H132" s="57">
        <f t="shared" si="34"/>
        <v>0</v>
      </c>
      <c r="I132" s="102">
        <f>IF(VLOOKUP($P132,无限模式!$A$28:$X$47,5,FALSE)="","",VLOOKUP($P132,无限模式!$A$28:$X$47,6,FALSE))</f>
        <v>17</v>
      </c>
      <c r="J132" s="102">
        <f>IF(VLOOKUP($P132,无限模式!$A$28:$X$47,5,FALSE)="","",VLOOKUP($P132,无限模式!$A$28:$X$47,7,FALSE))</f>
        <v>1</v>
      </c>
      <c r="K132" s="102">
        <f t="shared" si="35"/>
        <v>1</v>
      </c>
      <c r="L132" s="102" t="str">
        <f>IF(VLOOKUP($P132,无限模式!$A$28:$X$47,5,FALSE)="","","Monster_Season1_Infinite_"&amp;P132&amp;"_1")</f>
        <v>Monster_Season1_Infinite_8_1</v>
      </c>
      <c r="M132" s="57">
        <f t="shared" si="36"/>
        <v>1</v>
      </c>
      <c r="O132" s="102">
        <f>IF(VLOOKUP($P132,无限模式!$A$28:$X$47,5,FALSE)="","",VLOOKUP($P132,无限模式!$A$28:$X$47,9,FALSE))</f>
        <v>11</v>
      </c>
      <c r="P132" s="110">
        <f t="shared" si="37"/>
        <v>8</v>
      </c>
      <c r="Q132" s="110">
        <v>1</v>
      </c>
    </row>
    <row r="133" spans="2:17" x14ac:dyDescent="0.2">
      <c r="D133" s="57" t="str">
        <f t="shared" si="31"/>
        <v/>
      </c>
      <c r="F133" s="57" t="str">
        <f t="shared" si="32"/>
        <v/>
      </c>
      <c r="G133" s="102" t="str">
        <f t="shared" si="33"/>
        <v/>
      </c>
      <c r="H133" s="57">
        <f t="shared" si="34"/>
        <v>0</v>
      </c>
      <c r="I133" s="102">
        <f>IF(VLOOKUP($P133,无限模式!$A$28:$X$47,10,FALSE)="","",VLOOKUP($P133,无限模式!$A$28:$X$47,11,FALSE))</f>
        <v>1</v>
      </c>
      <c r="J133" s="102">
        <f>IF(VLOOKUP($P133,无限模式!$A$28:$X$47,10,FALSE)="","",VLOOKUP($P133,无限模式!$A$28:$X$47,12,FALSE))</f>
        <v>0</v>
      </c>
      <c r="K133" s="102">
        <f t="shared" si="35"/>
        <v>1</v>
      </c>
      <c r="L133" s="102" t="str">
        <f>IF(VLOOKUP($P133,无限模式!$A$28:$X$47,10,FALSE)="","","Monster_Season1_Infinite_"&amp;P133&amp;"_2")</f>
        <v>Monster_Season1_Infinite_8_2</v>
      </c>
      <c r="M133" s="57">
        <f t="shared" si="36"/>
        <v>1</v>
      </c>
      <c r="O133" s="102">
        <f>IF(VLOOKUP($P133,无限模式!$A$28:$X$47,10,FALSE)="","",VLOOKUP($P133,无限模式!$A$28:$X$47,14,FALSE))</f>
        <v>111</v>
      </c>
      <c r="P133" s="110">
        <f t="shared" si="37"/>
        <v>8</v>
      </c>
      <c r="Q133" s="110">
        <v>2</v>
      </c>
    </row>
    <row r="134" spans="2:17" x14ac:dyDescent="0.2">
      <c r="D134" s="57" t="str">
        <f t="shared" si="31"/>
        <v/>
      </c>
      <c r="F134" s="57" t="str">
        <f t="shared" si="32"/>
        <v/>
      </c>
      <c r="G134" s="102" t="str">
        <f t="shared" si="33"/>
        <v/>
      </c>
      <c r="H134" s="57" t="str">
        <f t="shared" si="34"/>
        <v/>
      </c>
      <c r="I134" s="102" t="str">
        <f>IF(VLOOKUP($P134,无限模式!$A$28:$X$47,15,FALSE)="","",VLOOKUP(P134,无限模式!$A$28:$X$47,16,FALSE))</f>
        <v/>
      </c>
      <c r="J134" s="102" t="str">
        <f>IF(VLOOKUP($P134,无限模式!$A$28:$X$47,15,FALSE)="","",VLOOKUP($P134,无限模式!$A$28:$X$47,17,FALSE))</f>
        <v/>
      </c>
      <c r="K134" s="102" t="str">
        <f t="shared" si="35"/>
        <v/>
      </c>
      <c r="L134" s="102" t="str">
        <f>IF(VLOOKUP($P134,无限模式!$A$28:$X$47,15,FALSE)="","","Monster_Season1_Infinite_"&amp;P134&amp;"_3")</f>
        <v/>
      </c>
      <c r="M134" s="57" t="str">
        <f t="shared" si="36"/>
        <v/>
      </c>
      <c r="O134" s="102" t="str">
        <f>IF(VLOOKUP($P134,无限模式!$A$28:$X$47,15,FALSE)="","",VLOOKUP($P134,无限模式!$A$28:$X$47,19,FALSE))</f>
        <v/>
      </c>
      <c r="P134" s="110">
        <f t="shared" si="37"/>
        <v>8</v>
      </c>
      <c r="Q134" s="110">
        <v>3</v>
      </c>
    </row>
    <row r="135" spans="2:17" x14ac:dyDescent="0.2">
      <c r="D135" s="57" t="str">
        <f t="shared" si="31"/>
        <v/>
      </c>
      <c r="F135" s="57" t="str">
        <f t="shared" si="32"/>
        <v/>
      </c>
      <c r="G135" s="102" t="str">
        <f t="shared" si="33"/>
        <v/>
      </c>
      <c r="H135" s="57" t="str">
        <f t="shared" si="34"/>
        <v/>
      </c>
      <c r="I135" s="102" t="str">
        <f>IF(VLOOKUP($P135,无限模式!$A$28:$X$47,20,FALSE)="","",VLOOKUP($P135,无限模式!$A$28:$X$47,21,FALSE))</f>
        <v/>
      </c>
      <c r="J135" s="102" t="str">
        <f>IF(VLOOKUP($P135,无限模式!$A$28:$X$47,20,FALSE)="","",VLOOKUP($P135,无限模式!$A$28:$X$47,22,FALSE))</f>
        <v/>
      </c>
      <c r="K135" s="102" t="str">
        <f t="shared" si="35"/>
        <v/>
      </c>
      <c r="L135" s="102" t="str">
        <f>IF(VLOOKUP($P135,无限模式!$A$28:$X$47,20,FALSE)="","","Monster_Season1_Infinite_"&amp;P135&amp;"_4")</f>
        <v/>
      </c>
      <c r="M135" s="57" t="str">
        <f t="shared" si="36"/>
        <v/>
      </c>
      <c r="O135" s="102" t="str">
        <f>IF(VLOOKUP($P135,无限模式!$A$28:$X$47,20,FALSE)="","",VLOOKUP($P135,无限模式!$A$28:$X$47,24,FALSE))</f>
        <v/>
      </c>
      <c r="P135" s="110">
        <f t="shared" si="37"/>
        <v>8</v>
      </c>
      <c r="Q135" s="110">
        <v>4</v>
      </c>
    </row>
    <row r="136" spans="2:17" x14ac:dyDescent="0.2">
      <c r="B136" s="57" t="s">
        <v>3137</v>
      </c>
      <c r="C136" s="57">
        <v>9</v>
      </c>
      <c r="D136" s="57" t="str">
        <f t="shared" ref="D136:D167" si="38">IF(C136="","","赛季1无限模式第"&amp;C136&amp;"波")</f>
        <v>赛季1无限模式第9波</v>
      </c>
      <c r="F136" s="57">
        <f t="shared" si="32"/>
        <v>0</v>
      </c>
      <c r="G136" s="102">
        <f t="shared" si="33"/>
        <v>180</v>
      </c>
      <c r="H136" s="57">
        <f t="shared" si="34"/>
        <v>0</v>
      </c>
      <c r="I136" s="102">
        <f>IF(VLOOKUP($P136,无限模式!$A$28:$X$47,5,FALSE)="","",VLOOKUP($P136,无限模式!$A$28:$X$47,6,FALSE))</f>
        <v>12</v>
      </c>
      <c r="J136" s="102">
        <f>IF(VLOOKUP($P136,无限模式!$A$28:$X$47,5,FALSE)="","",VLOOKUP($P136,无限模式!$A$28:$X$47,7,FALSE))</f>
        <v>1.5</v>
      </c>
      <c r="K136" s="102">
        <f t="shared" si="35"/>
        <v>1</v>
      </c>
      <c r="L136" s="102" t="str">
        <f>IF(VLOOKUP($P136,无限模式!$A$28:$X$47,5,FALSE)="","","Monster_Season1_Infinite_"&amp;P136&amp;"_1")</f>
        <v>Monster_Season1_Infinite_9_1</v>
      </c>
      <c r="M136" s="57">
        <f t="shared" si="36"/>
        <v>1</v>
      </c>
      <c r="O136" s="102">
        <f>IF(VLOOKUP($P136,无限模式!$A$28:$X$47,5,FALSE)="","",VLOOKUP($P136,无限模式!$A$28:$X$47,9,FALSE))</f>
        <v>17</v>
      </c>
      <c r="P136" s="110">
        <f t="shared" si="37"/>
        <v>9</v>
      </c>
      <c r="Q136" s="110">
        <v>1</v>
      </c>
    </row>
    <row r="137" spans="2:17" x14ac:dyDescent="0.2">
      <c r="D137" s="57" t="str">
        <f t="shared" si="38"/>
        <v/>
      </c>
      <c r="F137" s="57" t="str">
        <f t="shared" si="32"/>
        <v/>
      </c>
      <c r="G137" s="102" t="str">
        <f t="shared" si="33"/>
        <v/>
      </c>
      <c r="H137" s="57">
        <f t="shared" si="34"/>
        <v>0</v>
      </c>
      <c r="I137" s="102">
        <f>IF(VLOOKUP($P137,无限模式!$A$28:$X$47,10,FALSE)="","",VLOOKUP($P137,无限模式!$A$28:$X$47,11,FALSE))</f>
        <v>6</v>
      </c>
      <c r="J137" s="102">
        <f>IF(VLOOKUP($P137,无限模式!$A$28:$X$47,10,FALSE)="","",VLOOKUP($P137,无限模式!$A$28:$X$47,12,FALSE))</f>
        <v>3</v>
      </c>
      <c r="K137" s="102">
        <f t="shared" si="35"/>
        <v>1</v>
      </c>
      <c r="L137" s="102" t="str">
        <f>IF(VLOOKUP($P137,无限模式!$A$28:$X$47,10,FALSE)="","","Monster_Season1_Infinite_"&amp;P137&amp;"_2")</f>
        <v>Monster_Season1_Infinite_9_2</v>
      </c>
      <c r="M137" s="57">
        <f t="shared" si="36"/>
        <v>1</v>
      </c>
      <c r="O137" s="102">
        <f>IF(VLOOKUP($P137,无限模式!$A$28:$X$47,10,FALSE)="","",VLOOKUP($P137,无限模式!$A$28:$X$47,14,FALSE))</f>
        <v>17</v>
      </c>
      <c r="P137" s="110">
        <f t="shared" si="37"/>
        <v>9</v>
      </c>
      <c r="Q137" s="110">
        <v>2</v>
      </c>
    </row>
    <row r="138" spans="2:17" x14ac:dyDescent="0.2">
      <c r="D138" s="57" t="str">
        <f t="shared" si="38"/>
        <v/>
      </c>
      <c r="F138" s="57" t="str">
        <f t="shared" si="32"/>
        <v/>
      </c>
      <c r="G138" s="102" t="str">
        <f t="shared" si="33"/>
        <v/>
      </c>
      <c r="H138" s="57" t="str">
        <f t="shared" si="34"/>
        <v/>
      </c>
      <c r="I138" s="102" t="str">
        <f>IF(VLOOKUP($P138,无限模式!$A$28:$X$47,15,FALSE)="","",VLOOKUP(P138,无限模式!$A$28:$X$47,16,FALSE))</f>
        <v/>
      </c>
      <c r="J138" s="102" t="str">
        <f>IF(VLOOKUP($P138,无限模式!$A$28:$X$47,15,FALSE)="","",VLOOKUP($P138,无限模式!$A$28:$X$47,17,FALSE))</f>
        <v/>
      </c>
      <c r="K138" s="102" t="str">
        <f t="shared" si="35"/>
        <v/>
      </c>
      <c r="L138" s="102" t="str">
        <f>IF(VLOOKUP($P138,无限模式!$A$28:$X$47,15,FALSE)="","","Monster_Season1_Infinite_"&amp;P138&amp;"_3")</f>
        <v/>
      </c>
      <c r="M138" s="57" t="str">
        <f t="shared" si="36"/>
        <v/>
      </c>
      <c r="O138" s="102" t="str">
        <f>IF(VLOOKUP($P138,无限模式!$A$28:$X$47,15,FALSE)="","",VLOOKUP($P138,无限模式!$A$28:$X$47,19,FALSE))</f>
        <v/>
      </c>
      <c r="P138" s="110">
        <f t="shared" si="37"/>
        <v>9</v>
      </c>
      <c r="Q138" s="110">
        <v>3</v>
      </c>
    </row>
    <row r="139" spans="2:17" x14ac:dyDescent="0.2">
      <c r="D139" s="57" t="str">
        <f t="shared" si="38"/>
        <v/>
      </c>
      <c r="F139" s="57" t="str">
        <f t="shared" si="32"/>
        <v/>
      </c>
      <c r="G139" s="102" t="str">
        <f t="shared" si="33"/>
        <v/>
      </c>
      <c r="H139" s="57" t="str">
        <f t="shared" si="34"/>
        <v/>
      </c>
      <c r="I139" s="102" t="str">
        <f>IF(VLOOKUP($P139,无限模式!$A$28:$X$47,20,FALSE)="","",VLOOKUP($P139,无限模式!$A$28:$X$47,21,FALSE))</f>
        <v/>
      </c>
      <c r="J139" s="102" t="str">
        <f>IF(VLOOKUP($P139,无限模式!$A$28:$X$47,20,FALSE)="","",VLOOKUP($P139,无限模式!$A$28:$X$47,22,FALSE))</f>
        <v/>
      </c>
      <c r="K139" s="102" t="str">
        <f t="shared" si="35"/>
        <v/>
      </c>
      <c r="L139" s="102" t="str">
        <f>IF(VLOOKUP($P139,无限模式!$A$28:$X$47,20,FALSE)="","","Monster_Season1_Infinite_"&amp;P139&amp;"_4")</f>
        <v/>
      </c>
      <c r="M139" s="57" t="str">
        <f t="shared" si="36"/>
        <v/>
      </c>
      <c r="O139" s="102" t="str">
        <f>IF(VLOOKUP($P139,无限模式!$A$28:$X$47,20,FALSE)="","",VLOOKUP($P139,无限模式!$A$28:$X$47,24,FALSE))</f>
        <v/>
      </c>
      <c r="P139" s="110">
        <f t="shared" si="37"/>
        <v>9</v>
      </c>
      <c r="Q139" s="110">
        <v>4</v>
      </c>
    </row>
    <row r="140" spans="2:17" x14ac:dyDescent="0.2">
      <c r="B140" s="57" t="s">
        <v>3137</v>
      </c>
      <c r="C140" s="57">
        <v>10</v>
      </c>
      <c r="D140" s="57" t="str">
        <f t="shared" si="38"/>
        <v>赛季1无限模式第10波</v>
      </c>
      <c r="F140" s="57">
        <f t="shared" si="32"/>
        <v>0</v>
      </c>
      <c r="G140" s="102">
        <f t="shared" si="33"/>
        <v>180</v>
      </c>
      <c r="H140" s="57">
        <f t="shared" si="34"/>
        <v>0</v>
      </c>
      <c r="I140" s="102">
        <f>IF(VLOOKUP($P140,无限模式!$A$28:$X$47,5,FALSE)="","",VLOOKUP($P140,无限模式!$A$28:$X$47,6,FALSE))</f>
        <v>19</v>
      </c>
      <c r="J140" s="102">
        <f>IF(VLOOKUP($P140,无限模式!$A$28:$X$47,5,FALSE)="","",VLOOKUP($P140,无限模式!$A$28:$X$47,7,FALSE))</f>
        <v>1</v>
      </c>
      <c r="K140" s="102">
        <f t="shared" si="35"/>
        <v>1</v>
      </c>
      <c r="L140" s="102" t="str">
        <f>IF(VLOOKUP($P140,无限模式!$A$28:$X$47,5,FALSE)="","","Monster_Season1_Infinite_"&amp;P140&amp;"_1")</f>
        <v>Monster_Season1_Infinite_10_1</v>
      </c>
      <c r="M140" s="57">
        <f t="shared" si="36"/>
        <v>1</v>
      </c>
      <c r="O140" s="102">
        <f>IF(VLOOKUP($P140,无限模式!$A$28:$X$47,5,FALSE)="","",VLOOKUP($P140,无限模式!$A$28:$X$47,9,FALSE))</f>
        <v>12</v>
      </c>
      <c r="P140" s="110">
        <f t="shared" si="37"/>
        <v>10</v>
      </c>
      <c r="Q140" s="110">
        <v>1</v>
      </c>
    </row>
    <row r="141" spans="2:17" x14ac:dyDescent="0.2">
      <c r="D141" s="57" t="str">
        <f t="shared" si="38"/>
        <v/>
      </c>
      <c r="F141" s="57" t="str">
        <f t="shared" si="32"/>
        <v/>
      </c>
      <c r="G141" s="102" t="str">
        <f t="shared" si="33"/>
        <v/>
      </c>
      <c r="H141" s="57">
        <f t="shared" si="34"/>
        <v>0</v>
      </c>
      <c r="I141" s="102">
        <f>IF(VLOOKUP($P141,无限模式!$A$28:$X$47,10,FALSE)="","",VLOOKUP($P141,无限模式!$A$28:$X$47,11,FALSE))</f>
        <v>6</v>
      </c>
      <c r="J141" s="102">
        <f>IF(VLOOKUP($P141,无限模式!$A$28:$X$47,10,FALSE)="","",VLOOKUP($P141,无限模式!$A$28:$X$47,12,FALSE))</f>
        <v>3</v>
      </c>
      <c r="K141" s="102">
        <f t="shared" si="35"/>
        <v>1</v>
      </c>
      <c r="L141" s="102" t="str">
        <f>IF(VLOOKUP($P141,无限模式!$A$28:$X$47,10,FALSE)="","","Monster_Season1_Infinite_"&amp;P141&amp;"_2")</f>
        <v>Monster_Season1_Infinite_10_2</v>
      </c>
      <c r="M141" s="57">
        <f t="shared" si="36"/>
        <v>1</v>
      </c>
      <c r="O141" s="102">
        <f>IF(VLOOKUP($P141,无限模式!$A$28:$X$47,10,FALSE)="","",VLOOKUP($P141,无限模式!$A$28:$X$47,14,FALSE))</f>
        <v>12</v>
      </c>
      <c r="P141" s="110">
        <f t="shared" si="37"/>
        <v>10</v>
      </c>
      <c r="Q141" s="110">
        <v>2</v>
      </c>
    </row>
    <row r="142" spans="2:17" x14ac:dyDescent="0.2">
      <c r="D142" s="57" t="str">
        <f t="shared" si="38"/>
        <v/>
      </c>
      <c r="F142" s="57" t="str">
        <f t="shared" si="32"/>
        <v/>
      </c>
      <c r="G142" s="102" t="str">
        <f t="shared" si="33"/>
        <v/>
      </c>
      <c r="H142" s="57" t="str">
        <f t="shared" si="34"/>
        <v/>
      </c>
      <c r="I142" s="102" t="str">
        <f>IF(VLOOKUP($P142,无限模式!$A$28:$X$47,15,FALSE)="","",VLOOKUP(P142,无限模式!$A$28:$X$47,16,FALSE))</f>
        <v/>
      </c>
      <c r="J142" s="102" t="str">
        <f>IF(VLOOKUP($P142,无限模式!$A$28:$X$47,15,FALSE)="","",VLOOKUP($P142,无限模式!$A$28:$X$47,17,FALSE))</f>
        <v/>
      </c>
      <c r="K142" s="102" t="str">
        <f t="shared" si="35"/>
        <v/>
      </c>
      <c r="L142" s="102" t="str">
        <f>IF(VLOOKUP($P142,无限模式!$A$28:$X$47,15,FALSE)="","","Monster_Season1_Infinite_"&amp;P142&amp;"_3")</f>
        <v/>
      </c>
      <c r="M142" s="57" t="str">
        <f t="shared" si="36"/>
        <v/>
      </c>
      <c r="O142" s="102" t="str">
        <f>IF(VLOOKUP($P142,无限模式!$A$28:$X$47,15,FALSE)="","",VLOOKUP($P142,无限模式!$A$28:$X$47,19,FALSE))</f>
        <v/>
      </c>
      <c r="P142" s="110">
        <f t="shared" si="37"/>
        <v>10</v>
      </c>
      <c r="Q142" s="110">
        <v>3</v>
      </c>
    </row>
    <row r="143" spans="2:17" x14ac:dyDescent="0.2">
      <c r="D143" s="57" t="str">
        <f t="shared" si="38"/>
        <v/>
      </c>
      <c r="F143" s="57" t="str">
        <f t="shared" si="32"/>
        <v/>
      </c>
      <c r="G143" s="102" t="str">
        <f t="shared" si="33"/>
        <v/>
      </c>
      <c r="H143" s="57" t="str">
        <f t="shared" si="34"/>
        <v/>
      </c>
      <c r="I143" s="102" t="str">
        <f>IF(VLOOKUP($P143,无限模式!$A$28:$X$47,20,FALSE)="","",VLOOKUP($P143,无限模式!$A$28:$X$47,21,FALSE))</f>
        <v/>
      </c>
      <c r="J143" s="102" t="str">
        <f>IF(VLOOKUP($P143,无限模式!$A$28:$X$47,20,FALSE)="","",VLOOKUP($P143,无限模式!$A$28:$X$47,22,FALSE))</f>
        <v/>
      </c>
      <c r="K143" s="102" t="str">
        <f t="shared" si="35"/>
        <v/>
      </c>
      <c r="L143" s="102" t="str">
        <f>IF(VLOOKUP($P143,无限模式!$A$28:$X$47,20,FALSE)="","","Monster_Season1_Infinite_"&amp;P143&amp;"_4")</f>
        <v/>
      </c>
      <c r="M143" s="57" t="str">
        <f t="shared" si="36"/>
        <v/>
      </c>
      <c r="O143" s="102" t="str">
        <f>IF(VLOOKUP($P143,无限模式!$A$28:$X$47,20,FALSE)="","",VLOOKUP($P143,无限模式!$A$28:$X$47,24,FALSE))</f>
        <v/>
      </c>
      <c r="P143" s="110">
        <f t="shared" si="37"/>
        <v>10</v>
      </c>
      <c r="Q143" s="110">
        <v>4</v>
      </c>
    </row>
    <row r="144" spans="2:17" x14ac:dyDescent="0.2">
      <c r="B144" s="57" t="s">
        <v>3137</v>
      </c>
      <c r="C144" s="57">
        <v>11</v>
      </c>
      <c r="D144" s="57" t="str">
        <f t="shared" si="38"/>
        <v>赛季1无限模式第11波</v>
      </c>
      <c r="F144" s="57">
        <f t="shared" si="32"/>
        <v>0</v>
      </c>
      <c r="G144" s="102">
        <f t="shared" si="33"/>
        <v>180</v>
      </c>
      <c r="H144" s="57">
        <f t="shared" si="34"/>
        <v>0</v>
      </c>
      <c r="I144" s="102">
        <f>IF(VLOOKUP($P144,无限模式!$A$28:$X$47,5,FALSE)="","",VLOOKUP($P144,无限模式!$A$28:$X$47,6,FALSE))</f>
        <v>20</v>
      </c>
      <c r="J144" s="102">
        <f>IF(VLOOKUP($P144,无限模式!$A$28:$X$47,5,FALSE)="","",VLOOKUP($P144,无限模式!$A$28:$X$47,7,FALSE))</f>
        <v>1</v>
      </c>
      <c r="K144" s="102">
        <f t="shared" si="35"/>
        <v>1</v>
      </c>
      <c r="L144" s="102" t="str">
        <f>IF(VLOOKUP($P144,无限模式!$A$28:$X$47,5,FALSE)="","","Monster_Season1_Infinite_"&amp;P144&amp;"_1")</f>
        <v>Monster_Season1_Infinite_11_1</v>
      </c>
      <c r="M144" s="57">
        <f t="shared" si="36"/>
        <v>1</v>
      </c>
      <c r="O144" s="102">
        <f>IF(VLOOKUP($P144,无限模式!$A$28:$X$47,5,FALSE)="","",VLOOKUP($P144,无限模式!$A$28:$X$47,9,FALSE))</f>
        <v>12</v>
      </c>
      <c r="P144" s="110">
        <f t="shared" si="37"/>
        <v>11</v>
      </c>
      <c r="Q144" s="110">
        <v>1</v>
      </c>
    </row>
    <row r="145" spans="2:17" x14ac:dyDescent="0.2">
      <c r="D145" s="57" t="str">
        <f t="shared" si="38"/>
        <v/>
      </c>
      <c r="F145" s="57" t="str">
        <f t="shared" si="32"/>
        <v/>
      </c>
      <c r="G145" s="102" t="str">
        <f t="shared" si="33"/>
        <v/>
      </c>
      <c r="H145" s="57">
        <f t="shared" si="34"/>
        <v>0</v>
      </c>
      <c r="I145" s="102">
        <f>IF(VLOOKUP($P145,无限模式!$A$28:$X$47,10,FALSE)="","",VLOOKUP($P145,无限模式!$A$28:$X$47,11,FALSE))</f>
        <v>10</v>
      </c>
      <c r="J145" s="102">
        <f>IF(VLOOKUP($P145,无限模式!$A$28:$X$47,10,FALSE)="","",VLOOKUP($P145,无限模式!$A$28:$X$47,12,FALSE))</f>
        <v>2</v>
      </c>
      <c r="K145" s="102">
        <f t="shared" si="35"/>
        <v>1</v>
      </c>
      <c r="L145" s="102" t="str">
        <f>IF(VLOOKUP($P145,无限模式!$A$28:$X$47,10,FALSE)="","","Monster_Season1_Infinite_"&amp;P145&amp;"_2")</f>
        <v>Monster_Season1_Infinite_11_2</v>
      </c>
      <c r="M145" s="57">
        <f t="shared" si="36"/>
        <v>1</v>
      </c>
      <c r="O145" s="102">
        <f>IF(VLOOKUP($P145,无限模式!$A$28:$X$47,10,FALSE)="","",VLOOKUP($P145,无限模式!$A$28:$X$47,14,FALSE))</f>
        <v>6</v>
      </c>
      <c r="P145" s="110">
        <f t="shared" si="37"/>
        <v>11</v>
      </c>
      <c r="Q145" s="110">
        <v>2</v>
      </c>
    </row>
    <row r="146" spans="2:17" x14ac:dyDescent="0.2">
      <c r="D146" s="57" t="str">
        <f t="shared" si="38"/>
        <v/>
      </c>
      <c r="F146" s="57" t="str">
        <f t="shared" si="32"/>
        <v/>
      </c>
      <c r="G146" s="102" t="str">
        <f t="shared" si="33"/>
        <v/>
      </c>
      <c r="H146" s="57" t="str">
        <f t="shared" si="34"/>
        <v/>
      </c>
      <c r="I146" s="102" t="str">
        <f>IF(VLOOKUP($P146,无限模式!$A$28:$X$47,15,FALSE)="","",VLOOKUP(P146,无限模式!$A$28:$X$47,16,FALSE))</f>
        <v/>
      </c>
      <c r="J146" s="102" t="str">
        <f>IF(VLOOKUP($P146,无限模式!$A$28:$X$47,15,FALSE)="","",VLOOKUP($P146,无限模式!$A$28:$X$47,17,FALSE))</f>
        <v/>
      </c>
      <c r="K146" s="102" t="str">
        <f t="shared" si="35"/>
        <v/>
      </c>
      <c r="L146" s="102" t="str">
        <f>IF(VLOOKUP($P146,无限模式!$A$28:$X$47,15,FALSE)="","","Monster_Season1_Infinite_"&amp;P146&amp;"_3")</f>
        <v/>
      </c>
      <c r="M146" s="57" t="str">
        <f t="shared" si="36"/>
        <v/>
      </c>
      <c r="O146" s="102" t="str">
        <f>IF(VLOOKUP($P146,无限模式!$A$28:$X$47,15,FALSE)="","",VLOOKUP($P146,无限模式!$A$28:$X$47,19,FALSE))</f>
        <v/>
      </c>
      <c r="P146" s="110">
        <f t="shared" si="37"/>
        <v>11</v>
      </c>
      <c r="Q146" s="110">
        <v>3</v>
      </c>
    </row>
    <row r="147" spans="2:17" x14ac:dyDescent="0.2">
      <c r="D147" s="57" t="str">
        <f t="shared" si="38"/>
        <v/>
      </c>
      <c r="F147" s="57" t="str">
        <f t="shared" si="32"/>
        <v/>
      </c>
      <c r="G147" s="102" t="str">
        <f t="shared" si="33"/>
        <v/>
      </c>
      <c r="H147" s="57" t="str">
        <f t="shared" si="34"/>
        <v/>
      </c>
      <c r="I147" s="102" t="str">
        <f>IF(VLOOKUP($P147,无限模式!$A$28:$X$47,20,FALSE)="","",VLOOKUP($P147,无限模式!$A$28:$X$47,21,FALSE))</f>
        <v/>
      </c>
      <c r="J147" s="102" t="str">
        <f>IF(VLOOKUP($P147,无限模式!$A$28:$X$47,20,FALSE)="","",VLOOKUP($P147,无限模式!$A$28:$X$47,22,FALSE))</f>
        <v/>
      </c>
      <c r="K147" s="102" t="str">
        <f t="shared" si="35"/>
        <v/>
      </c>
      <c r="L147" s="102" t="str">
        <f>IF(VLOOKUP($P147,无限模式!$A$28:$X$47,20,FALSE)="","","Monster_Season1_Infinite_"&amp;P147&amp;"_4")</f>
        <v/>
      </c>
      <c r="M147" s="57" t="str">
        <f t="shared" si="36"/>
        <v/>
      </c>
      <c r="O147" s="102" t="str">
        <f>IF(VLOOKUP($P147,无限模式!$A$28:$X$47,20,FALSE)="","",VLOOKUP($P147,无限模式!$A$28:$X$47,24,FALSE))</f>
        <v/>
      </c>
      <c r="P147" s="110">
        <f t="shared" si="37"/>
        <v>11</v>
      </c>
      <c r="Q147" s="110">
        <v>4</v>
      </c>
    </row>
    <row r="148" spans="2:17" x14ac:dyDescent="0.2">
      <c r="B148" s="57" t="s">
        <v>3137</v>
      </c>
      <c r="C148" s="57">
        <v>12</v>
      </c>
      <c r="D148" s="57" t="str">
        <f t="shared" si="38"/>
        <v>赛季1无限模式第12波</v>
      </c>
      <c r="F148" s="57">
        <f t="shared" si="32"/>
        <v>0</v>
      </c>
      <c r="G148" s="102">
        <f t="shared" si="33"/>
        <v>180</v>
      </c>
      <c r="H148" s="57">
        <f t="shared" si="34"/>
        <v>0</v>
      </c>
      <c r="I148" s="102">
        <f>IF(VLOOKUP($P148,无限模式!$A$28:$X$47,5,FALSE)="","",VLOOKUP($P148,无限模式!$A$28:$X$47,6,FALSE))</f>
        <v>21</v>
      </c>
      <c r="J148" s="102">
        <f>IF(VLOOKUP($P148,无限模式!$A$28:$X$47,5,FALSE)="","",VLOOKUP($P148,无限模式!$A$28:$X$47,7,FALSE))</f>
        <v>1</v>
      </c>
      <c r="K148" s="102">
        <f t="shared" si="35"/>
        <v>1</v>
      </c>
      <c r="L148" s="102" t="str">
        <f>IF(VLOOKUP($P148,无限模式!$A$28:$X$47,5,FALSE)="","","Monster_Season1_Infinite_"&amp;P148&amp;"_1")</f>
        <v>Monster_Season1_Infinite_12_1</v>
      </c>
      <c r="M148" s="57">
        <f t="shared" si="36"/>
        <v>1</v>
      </c>
      <c r="O148" s="102">
        <f>IF(VLOOKUP($P148,无限模式!$A$28:$X$47,5,FALSE)="","",VLOOKUP($P148,无限模式!$A$28:$X$47,9,FALSE))</f>
        <v>6</v>
      </c>
      <c r="P148" s="110">
        <f t="shared" si="37"/>
        <v>12</v>
      </c>
      <c r="Q148" s="110">
        <v>1</v>
      </c>
    </row>
    <row r="149" spans="2:17" x14ac:dyDescent="0.2">
      <c r="D149" s="57" t="str">
        <f t="shared" si="38"/>
        <v/>
      </c>
      <c r="F149" s="57" t="str">
        <f t="shared" si="32"/>
        <v/>
      </c>
      <c r="G149" s="102" t="str">
        <f t="shared" si="33"/>
        <v/>
      </c>
      <c r="H149" s="57">
        <f t="shared" si="34"/>
        <v>0</v>
      </c>
      <c r="I149" s="102">
        <f>IF(VLOOKUP($P149,无限模式!$A$28:$X$47,10,FALSE)="","",VLOOKUP($P149,无限模式!$A$28:$X$47,11,FALSE))</f>
        <v>7</v>
      </c>
      <c r="J149" s="102">
        <f>IF(VLOOKUP($P149,无限模式!$A$28:$X$47,10,FALSE)="","",VLOOKUP($P149,无限模式!$A$28:$X$47,12,FALSE))</f>
        <v>3</v>
      </c>
      <c r="K149" s="102">
        <f t="shared" si="35"/>
        <v>1</v>
      </c>
      <c r="L149" s="102" t="str">
        <f>IF(VLOOKUP($P149,无限模式!$A$28:$X$47,10,FALSE)="","","Monster_Season1_Infinite_"&amp;P149&amp;"_2")</f>
        <v>Monster_Season1_Infinite_12_2</v>
      </c>
      <c r="M149" s="57">
        <f t="shared" si="36"/>
        <v>1</v>
      </c>
      <c r="O149" s="102">
        <f>IF(VLOOKUP($P149,无限模式!$A$28:$X$47,10,FALSE)="","",VLOOKUP($P149,无限模式!$A$28:$X$47,14,FALSE))</f>
        <v>6</v>
      </c>
      <c r="P149" s="110">
        <f t="shared" si="37"/>
        <v>12</v>
      </c>
      <c r="Q149" s="110">
        <v>2</v>
      </c>
    </row>
    <row r="150" spans="2:17" x14ac:dyDescent="0.2">
      <c r="D150" s="57" t="str">
        <f t="shared" si="38"/>
        <v/>
      </c>
      <c r="F150" s="57" t="str">
        <f t="shared" si="32"/>
        <v/>
      </c>
      <c r="G150" s="102" t="str">
        <f t="shared" si="33"/>
        <v/>
      </c>
      <c r="H150" s="57">
        <f t="shared" si="34"/>
        <v>0</v>
      </c>
      <c r="I150" s="102">
        <f>IF(VLOOKUP($P150,无限模式!$A$28:$X$47,15,FALSE)="","",VLOOKUP(P150,无限模式!$A$28:$X$47,16,FALSE))</f>
        <v>1</v>
      </c>
      <c r="J150" s="102">
        <f>IF(VLOOKUP($P150,无限模式!$A$28:$X$47,15,FALSE)="","",VLOOKUP($P150,无限模式!$A$28:$X$47,17,FALSE))</f>
        <v>0</v>
      </c>
      <c r="K150" s="102">
        <f t="shared" si="35"/>
        <v>1</v>
      </c>
      <c r="L150" s="102" t="str">
        <f>IF(VLOOKUP($P150,无限模式!$A$28:$X$47,15,FALSE)="","","Monster_Season1_Infinite_"&amp;P150&amp;"_3")</f>
        <v>Monster_Season1_Infinite_12_3</v>
      </c>
      <c r="M150" s="57">
        <f t="shared" si="36"/>
        <v>1</v>
      </c>
      <c r="O150" s="102">
        <f>IF(VLOOKUP($P150,无限模式!$A$28:$X$47,15,FALSE)="","",VLOOKUP($P150,无限模式!$A$28:$X$47,19,FALSE))</f>
        <v>125</v>
      </c>
      <c r="P150" s="110">
        <f t="shared" si="37"/>
        <v>12</v>
      </c>
      <c r="Q150" s="110">
        <v>3</v>
      </c>
    </row>
    <row r="151" spans="2:17" x14ac:dyDescent="0.2">
      <c r="D151" s="57" t="str">
        <f t="shared" si="38"/>
        <v/>
      </c>
      <c r="F151" s="57" t="str">
        <f t="shared" si="32"/>
        <v/>
      </c>
      <c r="G151" s="102" t="str">
        <f t="shared" si="33"/>
        <v/>
      </c>
      <c r="H151" s="57" t="str">
        <f t="shared" si="34"/>
        <v/>
      </c>
      <c r="I151" s="102" t="str">
        <f>IF(VLOOKUP($P151,无限模式!$A$28:$X$47,20,FALSE)="","",VLOOKUP($P151,无限模式!$A$28:$X$47,21,FALSE))</f>
        <v/>
      </c>
      <c r="J151" s="102" t="str">
        <f>IF(VLOOKUP($P151,无限模式!$A$28:$X$47,20,FALSE)="","",VLOOKUP($P151,无限模式!$A$28:$X$47,22,FALSE))</f>
        <v/>
      </c>
      <c r="K151" s="102" t="str">
        <f t="shared" si="35"/>
        <v/>
      </c>
      <c r="L151" s="102" t="str">
        <f>IF(VLOOKUP($P151,无限模式!$A$28:$X$47,20,FALSE)="","","Monster_Season1_Infinite_"&amp;P151&amp;"_4")</f>
        <v/>
      </c>
      <c r="M151" s="57" t="str">
        <f t="shared" si="36"/>
        <v/>
      </c>
      <c r="O151" s="102" t="str">
        <f>IF(VLOOKUP($P151,无限模式!$A$28:$X$47,20,FALSE)="","",VLOOKUP($P151,无限模式!$A$28:$X$47,24,FALSE))</f>
        <v/>
      </c>
      <c r="P151" s="110">
        <f t="shared" si="37"/>
        <v>12</v>
      </c>
      <c r="Q151" s="110">
        <v>4</v>
      </c>
    </row>
    <row r="152" spans="2:17" x14ac:dyDescent="0.2">
      <c r="B152" s="57" t="s">
        <v>3137</v>
      </c>
      <c r="C152" s="57">
        <v>13</v>
      </c>
      <c r="D152" s="57" t="str">
        <f t="shared" si="38"/>
        <v>赛季1无限模式第13波</v>
      </c>
      <c r="F152" s="57">
        <f t="shared" si="32"/>
        <v>0</v>
      </c>
      <c r="G152" s="102">
        <f t="shared" si="33"/>
        <v>180</v>
      </c>
      <c r="H152" s="57">
        <f t="shared" si="34"/>
        <v>0</v>
      </c>
      <c r="I152" s="102">
        <f>IF(VLOOKUP($P152,无限模式!$A$28:$X$47,5,FALSE)="","",VLOOKUP($P152,无限模式!$A$28:$X$47,6,FALSE))</f>
        <v>15</v>
      </c>
      <c r="J152" s="102">
        <f>IF(VLOOKUP($P152,无限模式!$A$28:$X$47,5,FALSE)="","",VLOOKUP($P152,无限模式!$A$28:$X$47,7,FALSE))</f>
        <v>1.5</v>
      </c>
      <c r="K152" s="102">
        <f t="shared" si="35"/>
        <v>1</v>
      </c>
      <c r="L152" s="102" t="str">
        <f>IF(VLOOKUP($P152,无限模式!$A$28:$X$47,5,FALSE)="","","Monster_Season1_Infinite_"&amp;P152&amp;"_1")</f>
        <v>Monster_Season1_Infinite_13_1</v>
      </c>
      <c r="M152" s="57">
        <f t="shared" si="36"/>
        <v>1</v>
      </c>
      <c r="O152" s="102">
        <f>IF(VLOOKUP($P152,无限模式!$A$28:$X$47,5,FALSE)="","",VLOOKUP($P152,无限模式!$A$28:$X$47,9,FALSE))</f>
        <v>20</v>
      </c>
      <c r="P152" s="110">
        <f t="shared" si="37"/>
        <v>13</v>
      </c>
      <c r="Q152" s="110">
        <v>1</v>
      </c>
    </row>
    <row r="153" spans="2:17" x14ac:dyDescent="0.2">
      <c r="D153" s="57" t="str">
        <f t="shared" si="38"/>
        <v/>
      </c>
      <c r="F153" s="57" t="str">
        <f t="shared" si="32"/>
        <v/>
      </c>
      <c r="G153" s="102" t="str">
        <f t="shared" si="33"/>
        <v/>
      </c>
      <c r="H153" s="57" t="str">
        <f t="shared" si="34"/>
        <v/>
      </c>
      <c r="I153" s="102" t="str">
        <f>IF(VLOOKUP($P153,无限模式!$A$28:$X$47,10,FALSE)="","",VLOOKUP($P153,无限模式!$A$28:$X$47,11,FALSE))</f>
        <v/>
      </c>
      <c r="J153" s="102" t="str">
        <f>IF(VLOOKUP($P153,无限模式!$A$28:$X$47,10,FALSE)="","",VLOOKUP($P153,无限模式!$A$28:$X$47,12,FALSE))</f>
        <v/>
      </c>
      <c r="K153" s="102" t="str">
        <f t="shared" si="35"/>
        <v/>
      </c>
      <c r="L153" s="102" t="str">
        <f>IF(VLOOKUP($P153,无限模式!$A$28:$X$47,10,FALSE)="","","Monster_Season1_Infinite_"&amp;P153&amp;"_2")</f>
        <v/>
      </c>
      <c r="M153" s="57" t="str">
        <f t="shared" si="36"/>
        <v/>
      </c>
      <c r="O153" s="102" t="str">
        <f>IF(VLOOKUP($P153,无限模式!$A$28:$X$47,10,FALSE)="","",VLOOKUP($P153,无限模式!$A$28:$X$47,14,FALSE))</f>
        <v/>
      </c>
      <c r="P153" s="110">
        <f t="shared" si="37"/>
        <v>13</v>
      </c>
      <c r="Q153" s="110">
        <v>2</v>
      </c>
    </row>
    <row r="154" spans="2:17" x14ac:dyDescent="0.2">
      <c r="D154" s="57" t="str">
        <f t="shared" si="38"/>
        <v/>
      </c>
      <c r="F154" s="57" t="str">
        <f t="shared" si="32"/>
        <v/>
      </c>
      <c r="G154" s="102" t="str">
        <f t="shared" si="33"/>
        <v/>
      </c>
      <c r="H154" s="57" t="str">
        <f t="shared" si="34"/>
        <v/>
      </c>
      <c r="I154" s="102" t="str">
        <f>IF(VLOOKUP($P154,无限模式!$A$28:$X$47,15,FALSE)="","",VLOOKUP(P154,无限模式!$A$28:$X$47,16,FALSE))</f>
        <v/>
      </c>
      <c r="J154" s="102" t="str">
        <f>IF(VLOOKUP($P154,无限模式!$A$28:$X$47,15,FALSE)="","",VLOOKUP($P154,无限模式!$A$28:$X$47,17,FALSE))</f>
        <v/>
      </c>
      <c r="K154" s="102" t="str">
        <f t="shared" si="35"/>
        <v/>
      </c>
      <c r="L154" s="102" t="str">
        <f>IF(VLOOKUP($P154,无限模式!$A$28:$X$47,15,FALSE)="","","Monster_Season1_Infinite_"&amp;P154&amp;"_3")</f>
        <v/>
      </c>
      <c r="M154" s="57" t="str">
        <f t="shared" si="36"/>
        <v/>
      </c>
      <c r="O154" s="102" t="str">
        <f>IF(VLOOKUP($P154,无限模式!$A$28:$X$47,15,FALSE)="","",VLOOKUP($P154,无限模式!$A$28:$X$47,19,FALSE))</f>
        <v/>
      </c>
      <c r="P154" s="110">
        <f t="shared" si="37"/>
        <v>13</v>
      </c>
      <c r="Q154" s="110">
        <v>3</v>
      </c>
    </row>
    <row r="155" spans="2:17" x14ac:dyDescent="0.2">
      <c r="D155" s="57" t="str">
        <f t="shared" si="38"/>
        <v/>
      </c>
      <c r="F155" s="57" t="str">
        <f t="shared" si="32"/>
        <v/>
      </c>
      <c r="G155" s="102" t="str">
        <f t="shared" si="33"/>
        <v/>
      </c>
      <c r="H155" s="57" t="str">
        <f t="shared" si="34"/>
        <v/>
      </c>
      <c r="I155" s="102" t="str">
        <f>IF(VLOOKUP($P155,无限模式!$A$28:$X$47,20,FALSE)="","",VLOOKUP($P155,无限模式!$A$28:$X$47,21,FALSE))</f>
        <v/>
      </c>
      <c r="J155" s="102" t="str">
        <f>IF(VLOOKUP($P155,无限模式!$A$28:$X$47,20,FALSE)="","",VLOOKUP($P155,无限模式!$A$28:$X$47,22,FALSE))</f>
        <v/>
      </c>
      <c r="K155" s="102" t="str">
        <f t="shared" si="35"/>
        <v/>
      </c>
      <c r="L155" s="102" t="str">
        <f>IF(VLOOKUP($P155,无限模式!$A$28:$X$47,20,FALSE)="","","Monster_Season1_Infinite_"&amp;P155&amp;"_4")</f>
        <v/>
      </c>
      <c r="M155" s="57" t="str">
        <f t="shared" si="36"/>
        <v/>
      </c>
      <c r="O155" s="102" t="str">
        <f>IF(VLOOKUP($P155,无限模式!$A$28:$X$47,20,FALSE)="","",VLOOKUP($P155,无限模式!$A$28:$X$47,24,FALSE))</f>
        <v/>
      </c>
      <c r="P155" s="110">
        <f t="shared" si="37"/>
        <v>13</v>
      </c>
      <c r="Q155" s="110">
        <v>4</v>
      </c>
    </row>
    <row r="156" spans="2:17" x14ac:dyDescent="0.2">
      <c r="B156" s="57" t="s">
        <v>3137</v>
      </c>
      <c r="C156" s="57">
        <v>14</v>
      </c>
      <c r="D156" s="57" t="str">
        <f t="shared" si="38"/>
        <v>赛季1无限模式第14波</v>
      </c>
      <c r="F156" s="57">
        <f t="shared" si="32"/>
        <v>0</v>
      </c>
      <c r="G156" s="102">
        <f t="shared" si="33"/>
        <v>180</v>
      </c>
      <c r="H156" s="57">
        <f t="shared" si="34"/>
        <v>0</v>
      </c>
      <c r="I156" s="102">
        <f>IF(VLOOKUP($P156,无限模式!$A$28:$X$47,5,FALSE)="","",VLOOKUP($P156,无限模式!$A$28:$X$47,6,FALSE))</f>
        <v>15</v>
      </c>
      <c r="J156" s="102">
        <f>IF(VLOOKUP($P156,无限模式!$A$28:$X$47,5,FALSE)="","",VLOOKUP($P156,无限模式!$A$28:$X$47,7,FALSE))</f>
        <v>1.5</v>
      </c>
      <c r="K156" s="102">
        <f t="shared" si="35"/>
        <v>1</v>
      </c>
      <c r="L156" s="102" t="str">
        <f>IF(VLOOKUP($P156,无限模式!$A$28:$X$47,5,FALSE)="","","Monster_Season1_Infinite_"&amp;P156&amp;"_1")</f>
        <v>Monster_Season1_Infinite_14_1</v>
      </c>
      <c r="M156" s="57">
        <f t="shared" si="36"/>
        <v>1</v>
      </c>
      <c r="O156" s="102">
        <f>IF(VLOOKUP($P156,无限模式!$A$28:$X$47,5,FALSE)="","",VLOOKUP($P156,无限模式!$A$28:$X$47,9,FALSE))</f>
        <v>7</v>
      </c>
      <c r="P156" s="110">
        <f t="shared" si="37"/>
        <v>14</v>
      </c>
      <c r="Q156" s="110">
        <v>1</v>
      </c>
    </row>
    <row r="157" spans="2:17" x14ac:dyDescent="0.2">
      <c r="D157" s="57" t="str">
        <f t="shared" si="38"/>
        <v/>
      </c>
      <c r="F157" s="57" t="str">
        <f t="shared" si="32"/>
        <v/>
      </c>
      <c r="G157" s="102" t="str">
        <f t="shared" si="33"/>
        <v/>
      </c>
      <c r="H157" s="57">
        <f t="shared" si="34"/>
        <v>0</v>
      </c>
      <c r="I157" s="102">
        <f>IF(VLOOKUP($P157,无限模式!$A$28:$X$47,10,FALSE)="","",VLOOKUP($P157,无限模式!$A$28:$X$47,11,FALSE))</f>
        <v>15</v>
      </c>
      <c r="J157" s="102">
        <f>IF(VLOOKUP($P157,无限模式!$A$28:$X$47,10,FALSE)="","",VLOOKUP($P157,无限模式!$A$28:$X$47,12,FALSE))</f>
        <v>1.5</v>
      </c>
      <c r="K157" s="102">
        <f t="shared" si="35"/>
        <v>1</v>
      </c>
      <c r="L157" s="102" t="str">
        <f>IF(VLOOKUP($P157,无限模式!$A$28:$X$47,10,FALSE)="","","Monster_Season1_Infinite_"&amp;P157&amp;"_2")</f>
        <v>Monster_Season1_Infinite_14_2</v>
      </c>
      <c r="M157" s="57">
        <f t="shared" si="36"/>
        <v>1</v>
      </c>
      <c r="O157" s="102">
        <f>IF(VLOOKUP($P157,无限模式!$A$28:$X$47,10,FALSE)="","",VLOOKUP($P157,无限模式!$A$28:$X$47,14,FALSE))</f>
        <v>13</v>
      </c>
      <c r="P157" s="110">
        <f t="shared" si="37"/>
        <v>14</v>
      </c>
      <c r="Q157" s="110">
        <v>2</v>
      </c>
    </row>
    <row r="158" spans="2:17" x14ac:dyDescent="0.2">
      <c r="D158" s="57" t="str">
        <f t="shared" si="38"/>
        <v/>
      </c>
      <c r="F158" s="57" t="str">
        <f t="shared" si="32"/>
        <v/>
      </c>
      <c r="G158" s="102" t="str">
        <f t="shared" si="33"/>
        <v/>
      </c>
      <c r="H158" s="57" t="str">
        <f t="shared" si="34"/>
        <v/>
      </c>
      <c r="I158" s="102" t="str">
        <f>IF(VLOOKUP($P158,无限模式!$A$28:$X$47,15,FALSE)="","",VLOOKUP(P158,无限模式!$A$28:$X$47,16,FALSE))</f>
        <v/>
      </c>
      <c r="J158" s="102" t="str">
        <f>IF(VLOOKUP($P158,无限模式!$A$28:$X$47,15,FALSE)="","",VLOOKUP($P158,无限模式!$A$28:$X$47,17,FALSE))</f>
        <v/>
      </c>
      <c r="K158" s="102" t="str">
        <f t="shared" si="35"/>
        <v/>
      </c>
      <c r="L158" s="102" t="str">
        <f>IF(VLOOKUP($P158,无限模式!$A$28:$X$47,15,FALSE)="","","Monster_Season1_Infinite_"&amp;P158&amp;"_3")</f>
        <v/>
      </c>
      <c r="M158" s="57" t="str">
        <f t="shared" si="36"/>
        <v/>
      </c>
      <c r="O158" s="102" t="str">
        <f>IF(VLOOKUP($P158,无限模式!$A$28:$X$47,15,FALSE)="","",VLOOKUP($P158,无限模式!$A$28:$X$47,19,FALSE))</f>
        <v/>
      </c>
      <c r="P158" s="110">
        <f t="shared" si="37"/>
        <v>14</v>
      </c>
      <c r="Q158" s="110">
        <v>3</v>
      </c>
    </row>
    <row r="159" spans="2:17" x14ac:dyDescent="0.2">
      <c r="D159" s="57" t="str">
        <f t="shared" si="38"/>
        <v/>
      </c>
      <c r="F159" s="57" t="str">
        <f t="shared" si="32"/>
        <v/>
      </c>
      <c r="G159" s="102" t="str">
        <f t="shared" si="33"/>
        <v/>
      </c>
      <c r="H159" s="57" t="str">
        <f t="shared" si="34"/>
        <v/>
      </c>
      <c r="I159" s="102" t="str">
        <f>IF(VLOOKUP($P159,无限模式!$A$28:$X$47,20,FALSE)="","",VLOOKUP($P159,无限模式!$A$28:$X$47,21,FALSE))</f>
        <v/>
      </c>
      <c r="J159" s="102" t="str">
        <f>IF(VLOOKUP($P159,无限模式!$A$28:$X$47,20,FALSE)="","",VLOOKUP($P159,无限模式!$A$28:$X$47,22,FALSE))</f>
        <v/>
      </c>
      <c r="K159" s="102" t="str">
        <f t="shared" si="35"/>
        <v/>
      </c>
      <c r="L159" s="102" t="str">
        <f>IF(VLOOKUP($P159,无限模式!$A$28:$X$47,20,FALSE)="","","Monster_Season1_Infinite_"&amp;P159&amp;"_4")</f>
        <v/>
      </c>
      <c r="M159" s="57" t="str">
        <f t="shared" si="36"/>
        <v/>
      </c>
      <c r="O159" s="102" t="str">
        <f>IF(VLOOKUP($P159,无限模式!$A$28:$X$47,20,FALSE)="","",VLOOKUP($P159,无限模式!$A$28:$X$47,24,FALSE))</f>
        <v/>
      </c>
      <c r="P159" s="110">
        <f t="shared" si="37"/>
        <v>14</v>
      </c>
      <c r="Q159" s="110">
        <v>4</v>
      </c>
    </row>
    <row r="160" spans="2:17" x14ac:dyDescent="0.2">
      <c r="B160" s="57" t="s">
        <v>3137</v>
      </c>
      <c r="C160" s="57">
        <v>15</v>
      </c>
      <c r="D160" s="57" t="str">
        <f t="shared" si="38"/>
        <v>赛季1无限模式第15波</v>
      </c>
      <c r="F160" s="57">
        <f t="shared" si="32"/>
        <v>0</v>
      </c>
      <c r="G160" s="102">
        <f t="shared" si="33"/>
        <v>180</v>
      </c>
      <c r="H160" s="57">
        <f t="shared" si="34"/>
        <v>0</v>
      </c>
      <c r="I160" s="102">
        <f>IF(VLOOKUP($P160,无限模式!$A$28:$X$47,5,FALSE)="","",VLOOKUP($P160,无限模式!$A$28:$X$47,6,FALSE))</f>
        <v>48</v>
      </c>
      <c r="J160" s="102">
        <f>IF(VLOOKUP($P160,无限模式!$A$28:$X$47,5,FALSE)="","",VLOOKUP($P160,无限模式!$A$28:$X$47,7,FALSE))</f>
        <v>0.5</v>
      </c>
      <c r="K160" s="102">
        <f t="shared" si="35"/>
        <v>1</v>
      </c>
      <c r="L160" s="102" t="str">
        <f>IF(VLOOKUP($P160,无限模式!$A$28:$X$47,5,FALSE)="","","Monster_Season1_Infinite_"&amp;P160&amp;"_1")</f>
        <v>Monster_Season1_Infinite_15_1</v>
      </c>
      <c r="M160" s="57">
        <f t="shared" si="36"/>
        <v>1</v>
      </c>
      <c r="O160" s="102">
        <f>IF(VLOOKUP($P160,无限模式!$A$28:$X$47,5,FALSE)="","",VLOOKUP($P160,无限模式!$A$28:$X$47,9,FALSE))</f>
        <v>4</v>
      </c>
      <c r="P160" s="110">
        <f t="shared" si="37"/>
        <v>15</v>
      </c>
      <c r="Q160" s="110">
        <v>1</v>
      </c>
    </row>
    <row r="161" spans="2:17" x14ac:dyDescent="0.2">
      <c r="D161" s="57" t="str">
        <f t="shared" si="38"/>
        <v/>
      </c>
      <c r="F161" s="57" t="str">
        <f t="shared" si="32"/>
        <v/>
      </c>
      <c r="G161" s="102" t="str">
        <f t="shared" si="33"/>
        <v/>
      </c>
      <c r="H161" s="57">
        <f t="shared" si="34"/>
        <v>0</v>
      </c>
      <c r="I161" s="102">
        <f>IF(VLOOKUP($P161,无限模式!$A$28:$X$47,10,FALSE)="","",VLOOKUP($P161,无限模式!$A$28:$X$47,11,FALSE))</f>
        <v>12</v>
      </c>
      <c r="J161" s="102">
        <f>IF(VLOOKUP($P161,无限模式!$A$28:$X$47,10,FALSE)="","",VLOOKUP($P161,无限模式!$A$28:$X$47,12,FALSE))</f>
        <v>2</v>
      </c>
      <c r="K161" s="102">
        <f t="shared" si="35"/>
        <v>1</v>
      </c>
      <c r="L161" s="102" t="str">
        <f>IF(VLOOKUP($P161,无限模式!$A$28:$X$47,10,FALSE)="","","Monster_Season1_Infinite_"&amp;P161&amp;"_2")</f>
        <v>Monster_Season1_Infinite_15_2</v>
      </c>
      <c r="M161" s="57">
        <f t="shared" si="36"/>
        <v>1</v>
      </c>
      <c r="O161" s="102">
        <f>IF(VLOOKUP($P161,无限模式!$A$28:$X$47,10,FALSE)="","",VLOOKUP($P161,无限模式!$A$28:$X$47,14,FALSE))</f>
        <v>8</v>
      </c>
      <c r="P161" s="110">
        <f t="shared" si="37"/>
        <v>15</v>
      </c>
      <c r="Q161" s="110">
        <v>2</v>
      </c>
    </row>
    <row r="162" spans="2:17" x14ac:dyDescent="0.2">
      <c r="D162" s="57" t="str">
        <f t="shared" si="38"/>
        <v/>
      </c>
      <c r="F162" s="57" t="str">
        <f t="shared" si="32"/>
        <v/>
      </c>
      <c r="G162" s="102" t="str">
        <f t="shared" si="33"/>
        <v/>
      </c>
      <c r="H162" s="57" t="str">
        <f t="shared" si="34"/>
        <v/>
      </c>
      <c r="I162" s="102" t="str">
        <f>IF(VLOOKUP($P162,无限模式!$A$28:$X$47,15,FALSE)="","",VLOOKUP(P162,无限模式!$A$28:$X$47,16,FALSE))</f>
        <v/>
      </c>
      <c r="J162" s="102" t="str">
        <f>IF(VLOOKUP($P162,无限模式!$A$28:$X$47,15,FALSE)="","",VLOOKUP($P162,无限模式!$A$28:$X$47,17,FALSE))</f>
        <v/>
      </c>
      <c r="K162" s="102" t="str">
        <f t="shared" si="35"/>
        <v/>
      </c>
      <c r="L162" s="102" t="str">
        <f>IF(VLOOKUP($P162,无限模式!$A$28:$X$47,15,FALSE)="","","Monster_Season1_Infinite_"&amp;P162&amp;"_3")</f>
        <v/>
      </c>
      <c r="M162" s="57" t="str">
        <f t="shared" si="36"/>
        <v/>
      </c>
      <c r="O162" s="102" t="str">
        <f>IF(VLOOKUP($P162,无限模式!$A$28:$X$47,15,FALSE)="","",VLOOKUP($P162,无限模式!$A$28:$X$47,19,FALSE))</f>
        <v/>
      </c>
      <c r="P162" s="110">
        <f t="shared" si="37"/>
        <v>15</v>
      </c>
      <c r="Q162" s="110">
        <v>3</v>
      </c>
    </row>
    <row r="163" spans="2:17" x14ac:dyDescent="0.2">
      <c r="D163" s="57" t="str">
        <f t="shared" si="38"/>
        <v/>
      </c>
      <c r="F163" s="57" t="str">
        <f t="shared" si="32"/>
        <v/>
      </c>
      <c r="G163" s="102" t="str">
        <f t="shared" si="33"/>
        <v/>
      </c>
      <c r="H163" s="57" t="str">
        <f t="shared" si="34"/>
        <v/>
      </c>
      <c r="I163" s="102" t="str">
        <f>IF(VLOOKUP($P163,无限模式!$A$28:$X$47,20,FALSE)="","",VLOOKUP($P163,无限模式!$A$28:$X$47,21,FALSE))</f>
        <v/>
      </c>
      <c r="J163" s="102" t="str">
        <f>IF(VLOOKUP($P163,无限模式!$A$28:$X$47,20,FALSE)="","",VLOOKUP($P163,无限模式!$A$28:$X$47,22,FALSE))</f>
        <v/>
      </c>
      <c r="K163" s="102" t="str">
        <f t="shared" si="35"/>
        <v/>
      </c>
      <c r="L163" s="102" t="str">
        <f>IF(VLOOKUP($P163,无限模式!$A$28:$X$47,20,FALSE)="","","Monster_Season1_Infinite_"&amp;P163&amp;"_4")</f>
        <v/>
      </c>
      <c r="M163" s="57" t="str">
        <f t="shared" si="36"/>
        <v/>
      </c>
      <c r="O163" s="102" t="str">
        <f>IF(VLOOKUP($P163,无限模式!$A$28:$X$47,20,FALSE)="","",VLOOKUP($P163,无限模式!$A$28:$X$47,24,FALSE))</f>
        <v/>
      </c>
      <c r="P163" s="110">
        <f t="shared" si="37"/>
        <v>15</v>
      </c>
      <c r="Q163" s="110">
        <v>4</v>
      </c>
    </row>
    <row r="164" spans="2:17" x14ac:dyDescent="0.2">
      <c r="B164" s="57" t="s">
        <v>3137</v>
      </c>
      <c r="C164" s="57">
        <v>16</v>
      </c>
      <c r="D164" s="57" t="str">
        <f t="shared" si="38"/>
        <v>赛季1无限模式第16波</v>
      </c>
      <c r="F164" s="57">
        <f t="shared" si="32"/>
        <v>0</v>
      </c>
      <c r="G164" s="102">
        <f t="shared" si="33"/>
        <v>180</v>
      </c>
      <c r="H164" s="57">
        <f t="shared" si="34"/>
        <v>0</v>
      </c>
      <c r="I164" s="102">
        <f>IF(VLOOKUP($P164,无限模式!$A$28:$X$47,5,FALSE)="","",VLOOKUP($P164,无限模式!$A$28:$X$47,6,FALSE))</f>
        <v>25</v>
      </c>
      <c r="J164" s="102">
        <f>IF(VLOOKUP($P164,无限模式!$A$28:$X$47,5,FALSE)="","",VLOOKUP($P164,无限模式!$A$28:$X$47,7,FALSE))</f>
        <v>1</v>
      </c>
      <c r="K164" s="102">
        <f t="shared" si="35"/>
        <v>1</v>
      </c>
      <c r="L164" s="102" t="str">
        <f>IF(VLOOKUP($P164,无限模式!$A$28:$X$47,5,FALSE)="","","Monster_Season1_Infinite_"&amp;P164&amp;"_1")</f>
        <v>Monster_Season1_Infinite_16_1</v>
      </c>
      <c r="M164" s="57">
        <f t="shared" si="36"/>
        <v>1</v>
      </c>
      <c r="O164" s="102">
        <f>IF(VLOOKUP($P164,无限模式!$A$28:$X$47,5,FALSE)="","",VLOOKUP($P164,无限模式!$A$28:$X$47,9,FALSE))</f>
        <v>9</v>
      </c>
      <c r="P164" s="110">
        <f t="shared" si="37"/>
        <v>16</v>
      </c>
      <c r="Q164" s="110">
        <v>1</v>
      </c>
    </row>
    <row r="165" spans="2:17" x14ac:dyDescent="0.2">
      <c r="D165" s="57" t="str">
        <f t="shared" si="38"/>
        <v/>
      </c>
      <c r="F165" s="57" t="str">
        <f t="shared" si="32"/>
        <v/>
      </c>
      <c r="G165" s="102" t="str">
        <f t="shared" si="33"/>
        <v/>
      </c>
      <c r="H165" s="57">
        <f t="shared" si="34"/>
        <v>0</v>
      </c>
      <c r="I165" s="102">
        <f>IF(VLOOKUP($P165,无限模式!$A$28:$X$47,10,FALSE)="","",VLOOKUP($P165,无限模式!$A$28:$X$47,11,FALSE))</f>
        <v>1</v>
      </c>
      <c r="J165" s="102">
        <f>IF(VLOOKUP($P165,无限模式!$A$28:$X$47,10,FALSE)="","",VLOOKUP($P165,无限模式!$A$28:$X$47,12,FALSE))</f>
        <v>0</v>
      </c>
      <c r="K165" s="102">
        <f t="shared" si="35"/>
        <v>1</v>
      </c>
      <c r="L165" s="102" t="str">
        <f>IF(VLOOKUP($P165,无限模式!$A$28:$X$47,10,FALSE)="","","Monster_Season1_Infinite_"&amp;P165&amp;"_2")</f>
        <v>Monster_Season1_Infinite_16_2</v>
      </c>
      <c r="M165" s="57">
        <f t="shared" si="36"/>
        <v>1</v>
      </c>
      <c r="O165" s="102">
        <f>IF(VLOOKUP($P165,无限模式!$A$28:$X$47,10,FALSE)="","",VLOOKUP($P165,无限模式!$A$28:$X$47,14,FALSE))</f>
        <v>86</v>
      </c>
      <c r="P165" s="110">
        <f t="shared" si="37"/>
        <v>16</v>
      </c>
      <c r="Q165" s="110">
        <v>2</v>
      </c>
    </row>
    <row r="166" spans="2:17" x14ac:dyDescent="0.2">
      <c r="D166" s="57" t="str">
        <f t="shared" si="38"/>
        <v/>
      </c>
      <c r="F166" s="57" t="str">
        <f t="shared" si="32"/>
        <v/>
      </c>
      <c r="G166" s="102" t="str">
        <f t="shared" si="33"/>
        <v/>
      </c>
      <c r="H166" s="57" t="str">
        <f t="shared" si="34"/>
        <v/>
      </c>
      <c r="I166" s="102" t="str">
        <f>IF(VLOOKUP($P166,无限模式!$A$28:$X$47,15,FALSE)="","",VLOOKUP(P166,无限模式!$A$28:$X$47,16,FALSE))</f>
        <v/>
      </c>
      <c r="J166" s="102" t="str">
        <f>IF(VLOOKUP($P166,无限模式!$A$28:$X$47,15,FALSE)="","",VLOOKUP($P166,无限模式!$A$28:$X$47,17,FALSE))</f>
        <v/>
      </c>
      <c r="K166" s="102" t="str">
        <f t="shared" si="35"/>
        <v/>
      </c>
      <c r="L166" s="102" t="str">
        <f>IF(VLOOKUP($P166,无限模式!$A$28:$X$47,15,FALSE)="","","Monster_Season1_Infinite_"&amp;P166&amp;"_3")</f>
        <v/>
      </c>
      <c r="M166" s="57" t="str">
        <f t="shared" si="36"/>
        <v/>
      </c>
      <c r="O166" s="102" t="str">
        <f>IF(VLOOKUP($P166,无限模式!$A$28:$X$47,15,FALSE)="","",VLOOKUP($P166,无限模式!$A$28:$X$47,19,FALSE))</f>
        <v/>
      </c>
      <c r="P166" s="110">
        <f t="shared" si="37"/>
        <v>16</v>
      </c>
      <c r="Q166" s="110">
        <v>3</v>
      </c>
    </row>
    <row r="167" spans="2:17" x14ac:dyDescent="0.2">
      <c r="D167" s="57" t="str">
        <f t="shared" si="38"/>
        <v/>
      </c>
      <c r="F167" s="57" t="str">
        <f t="shared" si="32"/>
        <v/>
      </c>
      <c r="G167" s="102" t="str">
        <f t="shared" si="33"/>
        <v/>
      </c>
      <c r="H167" s="57" t="str">
        <f t="shared" si="34"/>
        <v/>
      </c>
      <c r="I167" s="102" t="str">
        <f>IF(VLOOKUP($P167,无限模式!$A$28:$X$47,20,FALSE)="","",VLOOKUP($P167,无限模式!$A$28:$X$47,21,FALSE))</f>
        <v/>
      </c>
      <c r="J167" s="102" t="str">
        <f>IF(VLOOKUP($P167,无限模式!$A$28:$X$47,20,FALSE)="","",VLOOKUP($P167,无限模式!$A$28:$X$47,22,FALSE))</f>
        <v/>
      </c>
      <c r="K167" s="102" t="str">
        <f t="shared" si="35"/>
        <v/>
      </c>
      <c r="L167" s="102" t="str">
        <f>IF(VLOOKUP($P167,无限模式!$A$28:$X$47,20,FALSE)="","","Monster_Season1_Infinite_"&amp;P167&amp;"_4")</f>
        <v/>
      </c>
      <c r="M167" s="57" t="str">
        <f t="shared" si="36"/>
        <v/>
      </c>
      <c r="O167" s="102" t="str">
        <f>IF(VLOOKUP($P167,无限模式!$A$28:$X$47,20,FALSE)="","",VLOOKUP($P167,无限模式!$A$28:$X$47,24,FALSE))</f>
        <v/>
      </c>
      <c r="P167" s="110">
        <f t="shared" si="37"/>
        <v>16</v>
      </c>
      <c r="Q167" s="110">
        <v>4</v>
      </c>
    </row>
    <row r="168" spans="2:17" x14ac:dyDescent="0.2">
      <c r="B168" s="57" t="s">
        <v>3137</v>
      </c>
      <c r="C168" s="57">
        <v>17</v>
      </c>
      <c r="D168" s="57" t="str">
        <f t="shared" ref="D168:D182" si="39">IF(C168="","","赛季1无限模式第"&amp;C168&amp;"波")</f>
        <v>赛季1无限模式第17波</v>
      </c>
      <c r="F168" s="57">
        <f t="shared" si="32"/>
        <v>0</v>
      </c>
      <c r="G168" s="102">
        <f t="shared" si="33"/>
        <v>180</v>
      </c>
      <c r="H168" s="57">
        <f t="shared" si="34"/>
        <v>0</v>
      </c>
      <c r="I168" s="102">
        <f>IF(VLOOKUP($P168,无限模式!$A$28:$X$47,5,FALSE)="","",VLOOKUP($P168,无限模式!$A$28:$X$47,6,FALSE))</f>
        <v>26</v>
      </c>
      <c r="J168" s="102">
        <f>IF(VLOOKUP($P168,无限模式!$A$28:$X$47,5,FALSE)="","",VLOOKUP($P168,无限模式!$A$28:$X$47,7,FALSE))</f>
        <v>1</v>
      </c>
      <c r="K168" s="102">
        <f t="shared" si="35"/>
        <v>1</v>
      </c>
      <c r="L168" s="102" t="str">
        <f>IF(VLOOKUP($P168,无限模式!$A$28:$X$47,5,FALSE)="","","Monster_Season1_Infinite_"&amp;P168&amp;"_1")</f>
        <v>Monster_Season1_Infinite_17_1</v>
      </c>
      <c r="M168" s="57">
        <f t="shared" si="36"/>
        <v>1</v>
      </c>
      <c r="O168" s="102">
        <f>IF(VLOOKUP($P168,无限模式!$A$28:$X$47,5,FALSE)="","",VLOOKUP($P168,无限模式!$A$28:$X$47,9,FALSE))</f>
        <v>9</v>
      </c>
      <c r="P168" s="110">
        <f t="shared" si="37"/>
        <v>17</v>
      </c>
      <c r="Q168" s="110">
        <v>1</v>
      </c>
    </row>
    <row r="169" spans="2:17" x14ac:dyDescent="0.2">
      <c r="D169" s="57" t="str">
        <f t="shared" si="39"/>
        <v/>
      </c>
      <c r="F169" s="57" t="str">
        <f t="shared" ref="F169:F184" si="40">IF(C169="","",0)</f>
        <v/>
      </c>
      <c r="G169" s="102" t="str">
        <f t="shared" ref="G169:G183" si="41">IF(C169="","",180)</f>
        <v/>
      </c>
      <c r="H169" s="57">
        <f t="shared" ref="H169:H183" si="42">IF(I169="","",0)</f>
        <v>0</v>
      </c>
      <c r="I169" s="102">
        <f>IF(VLOOKUP($P169,无限模式!$A$28:$X$47,10,FALSE)="","",VLOOKUP($P169,无限模式!$A$28:$X$47,11,FALSE))</f>
        <v>9</v>
      </c>
      <c r="J169" s="102">
        <f>IF(VLOOKUP($P169,无限模式!$A$28:$X$47,10,FALSE)="","",VLOOKUP($P169,无限模式!$A$28:$X$47,12,FALSE))</f>
        <v>3</v>
      </c>
      <c r="K169" s="102">
        <f t="shared" ref="K169:K183" si="43">IF(I169="","",1)</f>
        <v>1</v>
      </c>
      <c r="L169" s="102" t="str">
        <f>IF(VLOOKUP($P169,无限模式!$A$28:$X$47,10,FALSE)="","","Monster_Season1_Infinite_"&amp;P169&amp;"_2")</f>
        <v>Monster_Season1_Infinite_17_2</v>
      </c>
      <c r="M169" s="57">
        <f t="shared" ref="M169:M183" si="44">IF(I169="","",1)</f>
        <v>1</v>
      </c>
      <c r="O169" s="102">
        <f>IF(VLOOKUP($P169,无限模式!$A$28:$X$47,10,FALSE)="","",VLOOKUP($P169,无限模式!$A$28:$X$47,14,FALSE))</f>
        <v>9</v>
      </c>
      <c r="P169" s="110">
        <f t="shared" ref="P169:P183" si="45">IF(C169="",P168,C169)</f>
        <v>17</v>
      </c>
      <c r="Q169" s="110">
        <v>2</v>
      </c>
    </row>
    <row r="170" spans="2:17" x14ac:dyDescent="0.2">
      <c r="D170" s="57" t="str">
        <f t="shared" si="39"/>
        <v/>
      </c>
      <c r="F170" s="57" t="str">
        <f t="shared" si="40"/>
        <v/>
      </c>
      <c r="G170" s="102" t="str">
        <f t="shared" si="41"/>
        <v/>
      </c>
      <c r="H170" s="57" t="str">
        <f t="shared" si="42"/>
        <v/>
      </c>
      <c r="I170" s="102" t="str">
        <f>IF(VLOOKUP($P170,无限模式!$A$28:$X$47,15,FALSE)="","",VLOOKUP(P170,无限模式!$A$28:$X$47,16,FALSE))</f>
        <v/>
      </c>
      <c r="J170" s="102" t="str">
        <f>IF(VLOOKUP($P170,无限模式!$A$28:$X$47,15,FALSE)="","",VLOOKUP($P170,无限模式!$A$28:$X$47,17,FALSE))</f>
        <v/>
      </c>
      <c r="K170" s="102" t="str">
        <f t="shared" si="43"/>
        <v/>
      </c>
      <c r="L170" s="102" t="str">
        <f>IF(VLOOKUP($P170,无限模式!$A$28:$X$47,15,FALSE)="","","Monster_Season1_Infinite_"&amp;P170&amp;"_3")</f>
        <v/>
      </c>
      <c r="M170" s="57" t="str">
        <f t="shared" si="44"/>
        <v/>
      </c>
      <c r="O170" s="102" t="str">
        <f>IF(VLOOKUP($P170,无限模式!$A$28:$X$47,15,FALSE)="","",VLOOKUP($P170,无限模式!$A$28:$X$47,19,FALSE))</f>
        <v/>
      </c>
      <c r="P170" s="110">
        <f t="shared" si="45"/>
        <v>17</v>
      </c>
      <c r="Q170" s="110">
        <v>3</v>
      </c>
    </row>
    <row r="171" spans="2:17" x14ac:dyDescent="0.2">
      <c r="D171" s="57" t="str">
        <f t="shared" si="39"/>
        <v/>
      </c>
      <c r="F171" s="57" t="str">
        <f t="shared" si="40"/>
        <v/>
      </c>
      <c r="G171" s="102" t="str">
        <f t="shared" si="41"/>
        <v/>
      </c>
      <c r="H171" s="57" t="str">
        <f t="shared" si="42"/>
        <v/>
      </c>
      <c r="I171" s="102" t="str">
        <f>IF(VLOOKUP($P171,无限模式!$A$28:$X$47,20,FALSE)="","",VLOOKUP($P171,无限模式!$A$28:$X$47,21,FALSE))</f>
        <v/>
      </c>
      <c r="J171" s="102" t="str">
        <f>IF(VLOOKUP($P171,无限模式!$A$28:$X$47,20,FALSE)="","",VLOOKUP($P171,无限模式!$A$28:$X$47,22,FALSE))</f>
        <v/>
      </c>
      <c r="K171" s="102" t="str">
        <f t="shared" si="43"/>
        <v/>
      </c>
      <c r="L171" s="102" t="str">
        <f>IF(VLOOKUP($P171,无限模式!$A$28:$X$47,20,FALSE)="","","Monster_Season1_Infinite_"&amp;P171&amp;"_4")</f>
        <v/>
      </c>
      <c r="M171" s="57" t="str">
        <f t="shared" si="44"/>
        <v/>
      </c>
      <c r="O171" s="102" t="str">
        <f>IF(VLOOKUP($P171,无限模式!$A$28:$X$47,20,FALSE)="","",VLOOKUP($P171,无限模式!$A$28:$X$47,24,FALSE))</f>
        <v/>
      </c>
      <c r="P171" s="110">
        <f t="shared" si="45"/>
        <v>17</v>
      </c>
      <c r="Q171" s="110">
        <v>4</v>
      </c>
    </row>
    <row r="172" spans="2:17" x14ac:dyDescent="0.2">
      <c r="B172" s="57" t="s">
        <v>3137</v>
      </c>
      <c r="C172" s="57">
        <v>18</v>
      </c>
      <c r="D172" s="57" t="str">
        <f t="shared" si="39"/>
        <v>赛季1无限模式第18波</v>
      </c>
      <c r="F172" s="57">
        <f t="shared" si="40"/>
        <v>0</v>
      </c>
      <c r="G172" s="102">
        <f t="shared" si="41"/>
        <v>180</v>
      </c>
      <c r="H172" s="57">
        <f t="shared" si="42"/>
        <v>0</v>
      </c>
      <c r="I172" s="102">
        <f>IF(VLOOKUP($P172,无限模式!$A$28:$X$47,5,FALSE)="","",VLOOKUP($P172,无限模式!$A$28:$X$47,6,FALSE))</f>
        <v>18</v>
      </c>
      <c r="J172" s="102">
        <f>IF(VLOOKUP($P172,无限模式!$A$28:$X$47,5,FALSE)="","",VLOOKUP($P172,无限模式!$A$28:$X$47,7,FALSE))</f>
        <v>1.5</v>
      </c>
      <c r="K172" s="102">
        <f t="shared" si="43"/>
        <v>1</v>
      </c>
      <c r="L172" s="102" t="str">
        <f>IF(VLOOKUP($P172,无限模式!$A$28:$X$47,5,FALSE)="","","Monster_Season1_Infinite_"&amp;P172&amp;"_1")</f>
        <v>Monster_Season1_Infinite_18_1</v>
      </c>
      <c r="M172" s="57">
        <f t="shared" si="44"/>
        <v>1</v>
      </c>
      <c r="O172" s="102">
        <f>IF(VLOOKUP($P172,无限模式!$A$28:$X$47,5,FALSE)="","",VLOOKUP($P172,无限模式!$A$28:$X$47,9,FALSE))</f>
        <v>8</v>
      </c>
      <c r="P172" s="110">
        <f t="shared" si="45"/>
        <v>18</v>
      </c>
      <c r="Q172" s="110">
        <v>1</v>
      </c>
    </row>
    <row r="173" spans="2:17" x14ac:dyDescent="0.2">
      <c r="D173" s="57" t="str">
        <f t="shared" si="39"/>
        <v/>
      </c>
      <c r="F173" s="57" t="str">
        <f t="shared" si="40"/>
        <v/>
      </c>
      <c r="G173" s="102" t="str">
        <f t="shared" si="41"/>
        <v/>
      </c>
      <c r="H173" s="57">
        <f t="shared" si="42"/>
        <v>0</v>
      </c>
      <c r="I173" s="102">
        <f>IF(VLOOKUP($P173,无限模式!$A$28:$X$47,10,FALSE)="","",VLOOKUP($P173,无限模式!$A$28:$X$47,11,FALSE))</f>
        <v>36</v>
      </c>
      <c r="J173" s="102">
        <f>IF(VLOOKUP($P173,无限模式!$A$28:$X$47,10,FALSE)="","",VLOOKUP($P173,无限模式!$A$28:$X$47,12,FALSE))</f>
        <v>0.75</v>
      </c>
      <c r="K173" s="102">
        <f t="shared" si="43"/>
        <v>1</v>
      </c>
      <c r="L173" s="102" t="str">
        <f>IF(VLOOKUP($P173,无限模式!$A$28:$X$47,10,FALSE)="","","Monster_Season1_Infinite_"&amp;P173&amp;"_2")</f>
        <v>Monster_Season1_Infinite_18_2</v>
      </c>
      <c r="M173" s="57">
        <f t="shared" si="44"/>
        <v>1</v>
      </c>
      <c r="O173" s="102">
        <f>IF(VLOOKUP($P173,无限模式!$A$28:$X$47,10,FALSE)="","",VLOOKUP($P173,无限模式!$A$28:$X$47,14,FALSE))</f>
        <v>4</v>
      </c>
      <c r="P173" s="110">
        <f t="shared" si="45"/>
        <v>18</v>
      </c>
      <c r="Q173" s="110">
        <v>2</v>
      </c>
    </row>
    <row r="174" spans="2:17" x14ac:dyDescent="0.2">
      <c r="D174" s="57" t="str">
        <f t="shared" si="39"/>
        <v/>
      </c>
      <c r="F174" s="57" t="str">
        <f t="shared" si="40"/>
        <v/>
      </c>
      <c r="G174" s="102" t="str">
        <f t="shared" si="41"/>
        <v/>
      </c>
      <c r="H174" s="57" t="str">
        <f t="shared" si="42"/>
        <v/>
      </c>
      <c r="I174" s="102" t="str">
        <f>IF(VLOOKUP($P174,无限模式!$A$28:$X$47,15,FALSE)="","",VLOOKUP(P174,无限模式!$A$28:$X$47,16,FALSE))</f>
        <v/>
      </c>
      <c r="J174" s="102" t="str">
        <f>IF(VLOOKUP($P174,无限模式!$A$28:$X$47,15,FALSE)="","",VLOOKUP($P174,无限模式!$A$28:$X$47,17,FALSE))</f>
        <v/>
      </c>
      <c r="K174" s="102" t="str">
        <f t="shared" si="43"/>
        <v/>
      </c>
      <c r="L174" s="102" t="str">
        <f>IF(VLOOKUP($P174,无限模式!$A$28:$X$47,15,FALSE)="","","Monster_Season1_Infinite_"&amp;P174&amp;"_3")</f>
        <v/>
      </c>
      <c r="M174" s="57" t="str">
        <f t="shared" si="44"/>
        <v/>
      </c>
      <c r="O174" s="102" t="str">
        <f>IF(VLOOKUP($P174,无限模式!$A$28:$X$47,15,FALSE)="","",VLOOKUP($P174,无限模式!$A$28:$X$47,19,FALSE))</f>
        <v/>
      </c>
      <c r="P174" s="110">
        <f t="shared" si="45"/>
        <v>18</v>
      </c>
      <c r="Q174" s="110">
        <v>3</v>
      </c>
    </row>
    <row r="175" spans="2:17" x14ac:dyDescent="0.2">
      <c r="D175" s="57" t="str">
        <f t="shared" si="39"/>
        <v/>
      </c>
      <c r="F175" s="57" t="str">
        <f t="shared" si="40"/>
        <v/>
      </c>
      <c r="G175" s="102" t="str">
        <f t="shared" si="41"/>
        <v/>
      </c>
      <c r="H175" s="57" t="str">
        <f t="shared" si="42"/>
        <v/>
      </c>
      <c r="I175" s="102" t="str">
        <f>IF(VLOOKUP($P175,无限模式!$A$28:$X$47,20,FALSE)="","",VLOOKUP($P175,无限模式!$A$28:$X$47,21,FALSE))</f>
        <v/>
      </c>
      <c r="J175" s="102" t="str">
        <f>IF(VLOOKUP($P175,无限模式!$A$28:$X$47,20,FALSE)="","",VLOOKUP($P175,无限模式!$A$28:$X$47,22,FALSE))</f>
        <v/>
      </c>
      <c r="K175" s="102" t="str">
        <f t="shared" si="43"/>
        <v/>
      </c>
      <c r="L175" s="102" t="str">
        <f>IF(VLOOKUP($P175,无限模式!$A$28:$X$47,20,FALSE)="","","Monster_Season1_Infinite_"&amp;P175&amp;"_4")</f>
        <v/>
      </c>
      <c r="M175" s="57" t="str">
        <f t="shared" si="44"/>
        <v/>
      </c>
      <c r="O175" s="102" t="str">
        <f>IF(VLOOKUP($P175,无限模式!$A$28:$X$47,20,FALSE)="","",VLOOKUP($P175,无限模式!$A$28:$X$47,24,FALSE))</f>
        <v/>
      </c>
      <c r="P175" s="110">
        <f t="shared" si="45"/>
        <v>18</v>
      </c>
      <c r="Q175" s="110">
        <v>4</v>
      </c>
    </row>
    <row r="176" spans="2:17" x14ac:dyDescent="0.2">
      <c r="B176" s="57" t="s">
        <v>3137</v>
      </c>
      <c r="C176" s="57">
        <v>19</v>
      </c>
      <c r="D176" s="57" t="str">
        <f t="shared" si="39"/>
        <v>赛季1无限模式第19波</v>
      </c>
      <c r="F176" s="57">
        <f t="shared" si="40"/>
        <v>0</v>
      </c>
      <c r="G176" s="102">
        <f t="shared" si="41"/>
        <v>180</v>
      </c>
      <c r="H176" s="57">
        <f t="shared" si="42"/>
        <v>0</v>
      </c>
      <c r="I176" s="102">
        <f>IF(VLOOKUP($P176,无限模式!$A$28:$X$47,5,FALSE)="","",VLOOKUP($P176,无限模式!$A$28:$X$47,6,FALSE))</f>
        <v>19</v>
      </c>
      <c r="J176" s="102">
        <f>IF(VLOOKUP($P176,无限模式!$A$28:$X$47,5,FALSE)="","",VLOOKUP($P176,无限模式!$A$28:$X$47,7,FALSE))</f>
        <v>1.5</v>
      </c>
      <c r="K176" s="102">
        <f t="shared" si="43"/>
        <v>1</v>
      </c>
      <c r="L176" s="102" t="str">
        <f>IF(VLOOKUP($P176,无限模式!$A$28:$X$47,5,FALSE)="","","Monster_Season1_Infinite_"&amp;P176&amp;"_1")</f>
        <v>Monster_Season1_Infinite_19_1</v>
      </c>
      <c r="M176" s="57">
        <f t="shared" si="44"/>
        <v>1</v>
      </c>
      <c r="O176" s="102">
        <f>IF(VLOOKUP($P176,无限模式!$A$28:$X$47,5,FALSE)="","",VLOOKUP($P176,无限模式!$A$28:$X$47,9,FALSE))</f>
        <v>5</v>
      </c>
      <c r="P176" s="110">
        <f t="shared" si="45"/>
        <v>19</v>
      </c>
      <c r="Q176" s="110">
        <v>1</v>
      </c>
    </row>
    <row r="177" spans="2:17" x14ac:dyDescent="0.2">
      <c r="D177" s="57" t="str">
        <f t="shared" si="39"/>
        <v/>
      </c>
      <c r="F177" s="57" t="str">
        <f t="shared" si="40"/>
        <v/>
      </c>
      <c r="G177" s="102" t="str">
        <f t="shared" si="41"/>
        <v/>
      </c>
      <c r="H177" s="57">
        <f t="shared" si="42"/>
        <v>0</v>
      </c>
      <c r="I177" s="102">
        <f>IF(VLOOKUP($P177,无限模式!$A$28:$X$47,10,FALSE)="","",VLOOKUP($P177,无限模式!$A$28:$X$47,11,FALSE))</f>
        <v>28</v>
      </c>
      <c r="J177" s="102">
        <f>IF(VLOOKUP($P177,无限模式!$A$28:$X$47,10,FALSE)="","",VLOOKUP($P177,无限模式!$A$28:$X$47,12,FALSE))</f>
        <v>1</v>
      </c>
      <c r="K177" s="102">
        <f t="shared" si="43"/>
        <v>1</v>
      </c>
      <c r="L177" s="102" t="str">
        <f>IF(VLOOKUP($P177,无限模式!$A$28:$X$47,10,FALSE)="","","Monster_Season1_Infinite_"&amp;P177&amp;"_2")</f>
        <v>Monster_Season1_Infinite_19_2</v>
      </c>
      <c r="M177" s="57">
        <f t="shared" si="44"/>
        <v>1</v>
      </c>
      <c r="O177" s="102">
        <f>IF(VLOOKUP($P177,无限模式!$A$28:$X$47,10,FALSE)="","",VLOOKUP($P177,无限模式!$A$28:$X$47,14,FALSE))</f>
        <v>5</v>
      </c>
      <c r="P177" s="110">
        <f t="shared" si="45"/>
        <v>19</v>
      </c>
      <c r="Q177" s="110">
        <v>2</v>
      </c>
    </row>
    <row r="178" spans="2:17" x14ac:dyDescent="0.2">
      <c r="D178" s="57" t="str">
        <f t="shared" si="39"/>
        <v/>
      </c>
      <c r="F178" s="57" t="str">
        <f t="shared" si="40"/>
        <v/>
      </c>
      <c r="G178" s="102" t="str">
        <f t="shared" si="41"/>
        <v/>
      </c>
      <c r="H178" s="57">
        <f t="shared" si="42"/>
        <v>0</v>
      </c>
      <c r="I178" s="102">
        <f>IF(VLOOKUP($P178,无限模式!$A$28:$X$47,15,FALSE)="","",VLOOKUP(P178,无限模式!$A$28:$X$47,16,FALSE))</f>
        <v>14</v>
      </c>
      <c r="J178" s="102">
        <f>IF(VLOOKUP($P178,无限模式!$A$28:$X$47,15,FALSE)="","",VLOOKUP($P178,无限模式!$A$28:$X$47,17,FALSE))</f>
        <v>2</v>
      </c>
      <c r="K178" s="102">
        <f t="shared" si="43"/>
        <v>1</v>
      </c>
      <c r="L178" s="102" t="str">
        <f>IF(VLOOKUP($P178,无限模式!$A$28:$X$47,15,FALSE)="","","Monster_Season1_Infinite_"&amp;P178&amp;"_3")</f>
        <v>Monster_Season1_Infinite_19_3</v>
      </c>
      <c r="M178" s="57">
        <f t="shared" si="44"/>
        <v>1</v>
      </c>
      <c r="O178" s="102">
        <f>IF(VLOOKUP($P178,无限模式!$A$28:$X$47,15,FALSE)="","",VLOOKUP($P178,无限模式!$A$28:$X$47,19,FALSE))</f>
        <v>5</v>
      </c>
      <c r="P178" s="110">
        <f t="shared" si="45"/>
        <v>19</v>
      </c>
      <c r="Q178" s="110">
        <v>3</v>
      </c>
    </row>
    <row r="179" spans="2:17" x14ac:dyDescent="0.2">
      <c r="D179" s="57" t="str">
        <f t="shared" si="39"/>
        <v/>
      </c>
      <c r="F179" s="57" t="str">
        <f t="shared" si="40"/>
        <v/>
      </c>
      <c r="G179" s="102" t="str">
        <f t="shared" si="41"/>
        <v/>
      </c>
      <c r="H179" s="57" t="str">
        <f t="shared" si="42"/>
        <v/>
      </c>
      <c r="I179" s="102" t="str">
        <f>IF(VLOOKUP($P179,无限模式!$A$28:$X$47,20,FALSE)="","",VLOOKUP($P179,无限模式!$A$28:$X$47,21,FALSE))</f>
        <v/>
      </c>
      <c r="J179" s="102" t="str">
        <f>IF(VLOOKUP($P179,无限模式!$A$28:$X$47,20,FALSE)="","",VLOOKUP($P179,无限模式!$A$28:$X$47,22,FALSE))</f>
        <v/>
      </c>
      <c r="K179" s="102" t="str">
        <f t="shared" si="43"/>
        <v/>
      </c>
      <c r="L179" s="102" t="str">
        <f>IF(VLOOKUP($P179,无限模式!$A$28:$X$47,20,FALSE)="","","Monster_Season1_Infinite_"&amp;P179&amp;"_4")</f>
        <v/>
      </c>
      <c r="M179" s="57" t="str">
        <f t="shared" si="44"/>
        <v/>
      </c>
      <c r="O179" s="102" t="str">
        <f>IF(VLOOKUP($P179,无限模式!$A$28:$X$47,20,FALSE)="","",VLOOKUP($P179,无限模式!$A$28:$X$47,24,FALSE))</f>
        <v/>
      </c>
      <c r="P179" s="110">
        <f t="shared" si="45"/>
        <v>19</v>
      </c>
      <c r="Q179" s="110">
        <v>4</v>
      </c>
    </row>
    <row r="180" spans="2:17" x14ac:dyDescent="0.2">
      <c r="B180" s="57" t="s">
        <v>3137</v>
      </c>
      <c r="C180" s="57">
        <v>20</v>
      </c>
      <c r="D180" s="57" t="str">
        <f t="shared" si="39"/>
        <v>赛季1无限模式第20波</v>
      </c>
      <c r="F180" s="57">
        <f t="shared" si="40"/>
        <v>0</v>
      </c>
      <c r="G180" s="102">
        <f t="shared" si="41"/>
        <v>180</v>
      </c>
      <c r="H180" s="57">
        <f t="shared" si="42"/>
        <v>0</v>
      </c>
      <c r="I180" s="102">
        <f>IF(VLOOKUP($P180,无限模式!$A$28:$X$47,5,FALSE)="","",VLOOKUP($P180,无限模式!$A$28:$X$47,6,FALSE))</f>
        <v>1</v>
      </c>
      <c r="J180" s="102">
        <f>IF(VLOOKUP($P180,无限模式!$A$28:$X$47,5,FALSE)="","",VLOOKUP($P180,无限模式!$A$28:$X$47,7,FALSE))</f>
        <v>0</v>
      </c>
      <c r="K180" s="102">
        <f t="shared" si="43"/>
        <v>1</v>
      </c>
      <c r="L180" s="102" t="str">
        <f>IF(VLOOKUP($P180,无限模式!$A$28:$X$47,5,FALSE)="","","Monster_Season1_Infinite_"&amp;P180&amp;"_1")</f>
        <v>Monster_Season1_Infinite_20_1</v>
      </c>
      <c r="M180" s="57">
        <f t="shared" si="44"/>
        <v>1</v>
      </c>
      <c r="O180" s="102">
        <f>IF(VLOOKUP($P180,无限模式!$A$28:$X$47,5,FALSE)="","",VLOOKUP($P180,无限模式!$A$28:$X$47,9,FALSE))</f>
        <v>62</v>
      </c>
      <c r="P180" s="110">
        <f t="shared" si="45"/>
        <v>20</v>
      </c>
      <c r="Q180" s="110">
        <v>1</v>
      </c>
    </row>
    <row r="181" spans="2:17" x14ac:dyDescent="0.2">
      <c r="D181" s="57" t="str">
        <f t="shared" si="39"/>
        <v/>
      </c>
      <c r="F181" s="57" t="str">
        <f t="shared" si="40"/>
        <v/>
      </c>
      <c r="G181" s="102" t="str">
        <f t="shared" si="41"/>
        <v/>
      </c>
      <c r="H181" s="57">
        <f t="shared" si="42"/>
        <v>0</v>
      </c>
      <c r="I181" s="102">
        <f>IF(VLOOKUP($P181,无限模式!$A$28:$X$47,10,FALSE)="","",VLOOKUP($P181,无限模式!$A$28:$X$47,11,FALSE))</f>
        <v>39</v>
      </c>
      <c r="J181" s="102">
        <f>IF(VLOOKUP($P181,无限模式!$A$28:$X$47,10,FALSE)="","",VLOOKUP($P181,无限模式!$A$28:$X$47,12,FALSE))</f>
        <v>0.75</v>
      </c>
      <c r="K181" s="102">
        <f t="shared" si="43"/>
        <v>1</v>
      </c>
      <c r="L181" s="102" t="str">
        <f>IF(VLOOKUP($P181,无限模式!$A$28:$X$47,10,FALSE)="","","Monster_Season1_Infinite_"&amp;P181&amp;"_2")</f>
        <v>Monster_Season1_Infinite_20_2</v>
      </c>
      <c r="M181" s="57">
        <f t="shared" si="44"/>
        <v>1</v>
      </c>
      <c r="O181" s="102">
        <f>IF(VLOOKUP($P181,无限模式!$A$28:$X$47,10,FALSE)="","",VLOOKUP($P181,无限模式!$A$28:$X$47,14,FALSE))</f>
        <v>2</v>
      </c>
      <c r="P181" s="110">
        <f t="shared" si="45"/>
        <v>20</v>
      </c>
      <c r="Q181" s="110">
        <v>2</v>
      </c>
    </row>
    <row r="182" spans="2:17" x14ac:dyDescent="0.2">
      <c r="D182" s="57" t="str">
        <f t="shared" si="39"/>
        <v/>
      </c>
      <c r="F182" s="57" t="str">
        <f t="shared" si="40"/>
        <v/>
      </c>
      <c r="G182" s="102" t="str">
        <f t="shared" si="41"/>
        <v/>
      </c>
      <c r="H182" s="57">
        <f t="shared" si="42"/>
        <v>0</v>
      </c>
      <c r="I182" s="102">
        <f>IF(VLOOKUP($P182,无限模式!$A$28:$X$47,15,FALSE)="","",VLOOKUP(P182,无限模式!$A$28:$X$47,16,FALSE))</f>
        <v>29</v>
      </c>
      <c r="J182" s="102">
        <f>IF(VLOOKUP($P182,无限模式!$A$28:$X$47,15,FALSE)="","",VLOOKUP($P182,无限模式!$A$28:$X$47,17,FALSE))</f>
        <v>1</v>
      </c>
      <c r="K182" s="102">
        <f t="shared" si="43"/>
        <v>1</v>
      </c>
      <c r="L182" s="102" t="str">
        <f>IF(VLOOKUP($P182,无限模式!$A$28:$X$47,15,FALSE)="","","Monster_Season1_Infinite_"&amp;P182&amp;"_3")</f>
        <v>Monster_Season1_Infinite_20_3</v>
      </c>
      <c r="M182" s="57">
        <f t="shared" si="44"/>
        <v>1</v>
      </c>
      <c r="O182" s="102">
        <f>IF(VLOOKUP($P182,无限模式!$A$28:$X$47,15,FALSE)="","",VLOOKUP($P182,无限模式!$A$28:$X$47,19,FALSE))</f>
        <v>3</v>
      </c>
      <c r="P182" s="110">
        <f t="shared" si="45"/>
        <v>20</v>
      </c>
      <c r="Q182" s="110">
        <v>3</v>
      </c>
    </row>
    <row r="183" spans="2:17" x14ac:dyDescent="0.2">
      <c r="D183" s="57" t="str">
        <f t="shared" ref="D183" si="46">IF(C183="","","无限模式第"&amp;C183&amp;"波")</f>
        <v/>
      </c>
      <c r="F183" s="57" t="str">
        <f t="shared" si="40"/>
        <v/>
      </c>
      <c r="G183" s="102" t="str">
        <f t="shared" si="41"/>
        <v/>
      </c>
      <c r="H183" s="57">
        <f t="shared" si="42"/>
        <v>0</v>
      </c>
      <c r="I183" s="102">
        <f>IF(VLOOKUP($P183,无限模式!$A$28:$X$47,20,FALSE)="","",VLOOKUP($P183,无限模式!$A$28:$X$47,21,FALSE))</f>
        <v>29</v>
      </c>
      <c r="J183" s="102">
        <f>IF(VLOOKUP($P183,无限模式!$A$28:$X$47,20,FALSE)="","",VLOOKUP($P183,无限模式!$A$28:$X$47,22,FALSE))</f>
        <v>1</v>
      </c>
      <c r="K183" s="102">
        <f t="shared" si="43"/>
        <v>1</v>
      </c>
      <c r="L183" s="102" t="str">
        <f>IF(VLOOKUP($P183,无限模式!$A$28:$X$47,20,FALSE)="","","Monster_Season1_Infinite_"&amp;P183&amp;"_4")</f>
        <v>Monster_Season1_Infinite_20_4</v>
      </c>
      <c r="M183" s="57">
        <f t="shared" si="44"/>
        <v>1</v>
      </c>
      <c r="O183" s="102">
        <f>IF(VLOOKUP($P183,无限模式!$A$28:$X$47,20,FALSE)="","",VLOOKUP($P183,无限模式!$A$28:$X$47,24,FALSE))</f>
        <v>3</v>
      </c>
      <c r="P183" s="110">
        <f t="shared" si="45"/>
        <v>20</v>
      </c>
      <c r="Q183" s="110">
        <v>4</v>
      </c>
    </row>
    <row r="184" spans="2:17" s="166" customFormat="1" x14ac:dyDescent="0.2">
      <c r="F184" s="166" t="str">
        <f t="shared" si="40"/>
        <v/>
      </c>
    </row>
    <row r="185" spans="2:17" x14ac:dyDescent="0.2">
      <c r="B185" s="57" t="s">
        <v>3138</v>
      </c>
      <c r="C185" s="57">
        <v>1</v>
      </c>
      <c r="D185" s="57" t="str">
        <f t="shared" ref="D185:D216" si="47">IF(C185="","","赛季2无限模式第"&amp;C185&amp;"波")</f>
        <v>赛季2无限模式第1波</v>
      </c>
      <c r="F185" s="57">
        <f>IF(C185="","",0)</f>
        <v>0</v>
      </c>
      <c r="G185" s="102">
        <f>IF(C185="","",180)</f>
        <v>180</v>
      </c>
      <c r="H185" s="57">
        <f>IF(I185="","",0)</f>
        <v>0</v>
      </c>
      <c r="I185" s="102">
        <f>IF(VLOOKUP($P185,无限模式!$A$52:$X$71,5,FALSE)="","",VLOOKUP($P185,无限模式!$A$52:$X$71,6,FALSE))</f>
        <v>3</v>
      </c>
      <c r="J185" s="102">
        <f>IF(VLOOKUP($P185,无限模式!$A$52:$X$71,5,FALSE)="","",VLOOKUP($P185,无限模式!$A$52:$X$71,7,FALSE))</f>
        <v>3</v>
      </c>
      <c r="K185" s="102">
        <f>IF(I185="","",1)</f>
        <v>1</v>
      </c>
      <c r="L185" s="102" t="str">
        <f>IF(VLOOKUP($P185,无限模式!$A$52:$X$71,5,FALSE)="","","Monster_Season2_Infinite_"&amp;P185&amp;"_1")</f>
        <v>Monster_Season2_Infinite_1_1</v>
      </c>
      <c r="M185" s="57">
        <f>IF(I185="","",1)</f>
        <v>1</v>
      </c>
      <c r="O185" s="102">
        <f>IF(VLOOKUP($P185,无限模式!$A$52:$X$71,5,FALSE)="","",VLOOKUP($P185,无限模式!$A$52:$X$71,9,FALSE))</f>
        <v>100</v>
      </c>
      <c r="P185" s="110">
        <f>IF(C185="",P168,C185)</f>
        <v>1</v>
      </c>
      <c r="Q185" s="110">
        <v>1</v>
      </c>
    </row>
    <row r="186" spans="2:17" x14ac:dyDescent="0.2">
      <c r="D186" s="57" t="str">
        <f t="shared" si="47"/>
        <v/>
      </c>
      <c r="F186" s="57" t="str">
        <f t="shared" ref="F186:F249" si="48">IF(C186="","",0)</f>
        <v/>
      </c>
      <c r="G186" s="102" t="str">
        <f t="shared" ref="G186:G249" si="49">IF(C186="","",180)</f>
        <v/>
      </c>
      <c r="H186" s="57" t="str">
        <f t="shared" ref="H186:H249" si="50">IF(I186="","",0)</f>
        <v/>
      </c>
      <c r="I186" s="102" t="str">
        <f>IF(VLOOKUP($P186,无限模式!$A$52:$X$71,10,FALSE)="","",VLOOKUP($P186,无限模式!$A$52:$X$71,11,FALSE))</f>
        <v/>
      </c>
      <c r="J186" s="102" t="str">
        <f>IF(VLOOKUP($P186,无限模式!$A$52:$X$71,10,FALSE)="","",VLOOKUP($P186,无限模式!$A$52:$X$71,12,FALSE))</f>
        <v/>
      </c>
      <c r="K186" s="102" t="str">
        <f t="shared" ref="K186:K249" si="51">IF(I186="","",1)</f>
        <v/>
      </c>
      <c r="L186" s="102" t="str">
        <f>IF(VLOOKUP($P186,无限模式!$A$52:$X$71,10,FALSE)="","","Monster_Season2_Infinite_"&amp;P186&amp;"_2")</f>
        <v/>
      </c>
      <c r="M186" s="57" t="str">
        <f t="shared" ref="M186:M249" si="52">IF(I186="","",1)</f>
        <v/>
      </c>
      <c r="O186" s="102" t="str">
        <f>IF(VLOOKUP($P186,无限模式!$A$52:$X$71,10,FALSE)="","",VLOOKUP($P186,无限模式!$A$52:$X$71,14,FALSE))</f>
        <v/>
      </c>
      <c r="P186" s="110">
        <f t="shared" ref="P186:P249" si="53">IF(C186="",P185,C186)</f>
        <v>1</v>
      </c>
      <c r="Q186" s="110">
        <v>2</v>
      </c>
    </row>
    <row r="187" spans="2:17" x14ac:dyDescent="0.2">
      <c r="D187" s="57" t="str">
        <f t="shared" si="47"/>
        <v/>
      </c>
      <c r="F187" s="57" t="str">
        <f t="shared" si="48"/>
        <v/>
      </c>
      <c r="G187" s="102" t="str">
        <f t="shared" si="49"/>
        <v/>
      </c>
      <c r="H187" s="57" t="str">
        <f t="shared" si="50"/>
        <v/>
      </c>
      <c r="I187" s="102" t="str">
        <f>IF(VLOOKUP($P187,无限模式!$A$52:$X$71,15,FALSE)="","",VLOOKUP($P187,无限模式!$A$52:$X$71,16,FALSE))</f>
        <v/>
      </c>
      <c r="J187" s="102" t="str">
        <f>IF(VLOOKUP($P187,无限模式!$A$52:$X$71,15,FALSE)="","",VLOOKUP($P187,无限模式!$A$52:$X$71,17,FALSE))</f>
        <v/>
      </c>
      <c r="K187" s="102" t="str">
        <f t="shared" si="51"/>
        <v/>
      </c>
      <c r="L187" s="102" t="str">
        <f>IF(VLOOKUP($P187,无限模式!$A$52:$X$71,15,FALSE)="","","Monster_Season2_Infinite_"&amp;P187&amp;"_3")</f>
        <v/>
      </c>
      <c r="M187" s="57" t="str">
        <f t="shared" si="52"/>
        <v/>
      </c>
      <c r="O187" s="102" t="str">
        <f>IF(VLOOKUP($P187,无限模式!$A$52:$X$71,15,FALSE)="","",VLOOKUP($P187,无限模式!$A$52:$X$71,19,FALSE))</f>
        <v/>
      </c>
      <c r="P187" s="110">
        <f t="shared" si="53"/>
        <v>1</v>
      </c>
      <c r="Q187" s="110">
        <v>3</v>
      </c>
    </row>
    <row r="188" spans="2:17" x14ac:dyDescent="0.2">
      <c r="D188" s="57" t="str">
        <f t="shared" si="47"/>
        <v/>
      </c>
      <c r="F188" s="57" t="str">
        <f t="shared" si="48"/>
        <v/>
      </c>
      <c r="G188" s="102" t="str">
        <f t="shared" si="49"/>
        <v/>
      </c>
      <c r="H188" s="57" t="str">
        <f t="shared" si="50"/>
        <v/>
      </c>
      <c r="I188" s="102" t="str">
        <f>IF(VLOOKUP($P188,无限模式!$A$52:$X$71,20,FALSE)="","",VLOOKUP($P188,无限模式!$A$52:$X$71,21,FALSE))</f>
        <v/>
      </c>
      <c r="J188" s="102" t="str">
        <f>IF(VLOOKUP($P188,无限模式!$A$52:$X$71,20,FALSE)="","",VLOOKUP($P188,无限模式!$A$52:$X$71,22,FALSE))</f>
        <v/>
      </c>
      <c r="K188" s="102" t="str">
        <f t="shared" si="51"/>
        <v/>
      </c>
      <c r="L188" s="102" t="str">
        <f>IF(VLOOKUP($P188,无限模式!$A$52:$X$71,20,FALSE)="","","Monster_Season2_Infinite_"&amp;P188&amp;"_4")</f>
        <v/>
      </c>
      <c r="M188" s="57" t="str">
        <f t="shared" si="52"/>
        <v/>
      </c>
      <c r="O188" s="102" t="str">
        <f>IF(VLOOKUP($P188,无限模式!$A$52:$X$71,20,FALSE)="","",VLOOKUP($P188,无限模式!$A$52:$X$71,24,FALSE))</f>
        <v/>
      </c>
      <c r="P188" s="110">
        <f t="shared" si="53"/>
        <v>1</v>
      </c>
      <c r="Q188" s="110">
        <v>4</v>
      </c>
    </row>
    <row r="189" spans="2:17" x14ac:dyDescent="0.2">
      <c r="B189" s="57" t="s">
        <v>3138</v>
      </c>
      <c r="C189" s="57">
        <v>2</v>
      </c>
      <c r="D189" s="57" t="str">
        <f t="shared" si="47"/>
        <v>赛季2无限模式第2波</v>
      </c>
      <c r="F189" s="57">
        <f t="shared" si="48"/>
        <v>0</v>
      </c>
      <c r="G189" s="102">
        <f t="shared" si="49"/>
        <v>180</v>
      </c>
      <c r="H189" s="57">
        <f t="shared" si="50"/>
        <v>0</v>
      </c>
      <c r="I189" s="102">
        <f>IF(VLOOKUP($P189,无限模式!$A$52:$X$71,5,FALSE)="","",VLOOKUP($P189,无限模式!$A$52:$X$71,6,FALSE))</f>
        <v>15</v>
      </c>
      <c r="J189" s="102">
        <f>IF(VLOOKUP($P189,无限模式!$A$52:$X$71,5,FALSE)="","",VLOOKUP($P189,无限模式!$A$52:$X$71,7,FALSE))</f>
        <v>0.75</v>
      </c>
      <c r="K189" s="102">
        <f t="shared" si="51"/>
        <v>1</v>
      </c>
      <c r="L189" s="102" t="str">
        <f>IF(VLOOKUP($P189,无限模式!$A$52:$X$71,5,FALSE)="","","Monster_Season2_Infinite_"&amp;P189&amp;"_1")</f>
        <v>Monster_Season2_Infinite_2_1</v>
      </c>
      <c r="M189" s="57">
        <f t="shared" si="52"/>
        <v>1</v>
      </c>
      <c r="O189" s="102">
        <f>IF(VLOOKUP($P189,无限模式!$A$52:$X$71,5,FALSE)="","",VLOOKUP($P189,无限模式!$A$52:$X$71,9,FALSE))</f>
        <v>3</v>
      </c>
      <c r="P189" s="110">
        <f t="shared" si="53"/>
        <v>2</v>
      </c>
      <c r="Q189" s="110">
        <v>1</v>
      </c>
    </row>
    <row r="190" spans="2:17" x14ac:dyDescent="0.2">
      <c r="D190" s="57" t="str">
        <f t="shared" si="47"/>
        <v/>
      </c>
      <c r="F190" s="57" t="str">
        <f t="shared" si="48"/>
        <v/>
      </c>
      <c r="G190" s="102" t="str">
        <f t="shared" si="49"/>
        <v/>
      </c>
      <c r="H190" s="57">
        <f t="shared" si="50"/>
        <v>0</v>
      </c>
      <c r="I190" s="102">
        <f>IF(VLOOKUP($P190,无限模式!$A$52:$X$71,10,FALSE)="","",VLOOKUP($P190,无限模式!$A$52:$X$71,11,FALSE))</f>
        <v>2</v>
      </c>
      <c r="J190" s="102">
        <f>IF(VLOOKUP($P190,无限模式!$A$52:$X$71,10,FALSE)="","",VLOOKUP($P190,无限模式!$A$52:$X$71,12,FALSE))</f>
        <v>6</v>
      </c>
      <c r="K190" s="102">
        <f t="shared" si="51"/>
        <v>1</v>
      </c>
      <c r="L190" s="102" t="str">
        <f>IF(VLOOKUP($P190,无限模式!$A$52:$X$71,10,FALSE)="","","Monster_Season2_Infinite_"&amp;P190&amp;"_2")</f>
        <v>Monster_Season2_Infinite_2_2</v>
      </c>
      <c r="M190" s="57">
        <f t="shared" si="52"/>
        <v>1</v>
      </c>
      <c r="O190" s="102">
        <f>IF(VLOOKUP($P190,无限模式!$A$52:$X$71,10,FALSE)="","",VLOOKUP($P190,无限模式!$A$52:$X$71,14,FALSE))</f>
        <v>126</v>
      </c>
      <c r="P190" s="110">
        <f t="shared" si="53"/>
        <v>2</v>
      </c>
      <c r="Q190" s="110">
        <v>2</v>
      </c>
    </row>
    <row r="191" spans="2:17" x14ac:dyDescent="0.2">
      <c r="D191" s="57" t="str">
        <f t="shared" si="47"/>
        <v/>
      </c>
      <c r="F191" s="57" t="str">
        <f t="shared" si="48"/>
        <v/>
      </c>
      <c r="G191" s="102" t="str">
        <f t="shared" si="49"/>
        <v/>
      </c>
      <c r="H191" s="57" t="str">
        <f t="shared" si="50"/>
        <v/>
      </c>
      <c r="I191" s="102" t="str">
        <f>IF(VLOOKUP($P191,无限模式!$A$52:$X$71,15,FALSE)="","",VLOOKUP(P191,无限模式!$A$52:$X$71,16,FALSE))</f>
        <v/>
      </c>
      <c r="J191" s="102" t="str">
        <f>IF(VLOOKUP($P191,无限模式!$A$52:$X$71,15,FALSE)="","",VLOOKUP($P191,无限模式!$A$52:$X$71,17,FALSE))</f>
        <v/>
      </c>
      <c r="K191" s="102" t="str">
        <f t="shared" si="51"/>
        <v/>
      </c>
      <c r="L191" s="102" t="str">
        <f>IF(VLOOKUP($P191,无限模式!$A$52:$X$71,15,FALSE)="","","Monster_Season2_Infinite_"&amp;P191&amp;"_3")</f>
        <v/>
      </c>
      <c r="M191" s="57" t="str">
        <f t="shared" si="52"/>
        <v/>
      </c>
      <c r="O191" s="102" t="str">
        <f>IF(VLOOKUP($P191,无限模式!$A$52:$X$71,15,FALSE)="","",VLOOKUP($P191,无限模式!$A$52:$X$71,19,FALSE))</f>
        <v/>
      </c>
      <c r="P191" s="110">
        <f t="shared" si="53"/>
        <v>2</v>
      </c>
      <c r="Q191" s="110">
        <v>3</v>
      </c>
    </row>
    <row r="192" spans="2:17" x14ac:dyDescent="0.2">
      <c r="D192" s="57" t="str">
        <f t="shared" si="47"/>
        <v/>
      </c>
      <c r="F192" s="57" t="str">
        <f t="shared" si="48"/>
        <v/>
      </c>
      <c r="G192" s="102" t="str">
        <f t="shared" si="49"/>
        <v/>
      </c>
      <c r="H192" s="57" t="str">
        <f t="shared" si="50"/>
        <v/>
      </c>
      <c r="I192" s="102" t="str">
        <f>IF(VLOOKUP($P192,无限模式!$A$52:$X$71,20,FALSE)="","",VLOOKUP($P192,无限模式!$A$52:$X$71,21,FALSE))</f>
        <v/>
      </c>
      <c r="J192" s="102" t="str">
        <f>IF(VLOOKUP($P192,无限模式!$A$52:$X$71,20,FALSE)="","",VLOOKUP($P192,无限模式!$A$52:$X$71,22,FALSE))</f>
        <v/>
      </c>
      <c r="K192" s="102" t="str">
        <f t="shared" si="51"/>
        <v/>
      </c>
      <c r="L192" s="102" t="str">
        <f>IF(VLOOKUP($P192,无限模式!$A$52:$X$71,20,FALSE)="","","Monster_Season2_Infinite_"&amp;P192&amp;"_4")</f>
        <v/>
      </c>
      <c r="M192" s="57" t="str">
        <f t="shared" si="52"/>
        <v/>
      </c>
      <c r="O192" s="102" t="str">
        <f>IF(VLOOKUP($P192,无限模式!$A$52:$X$71,20,FALSE)="","",VLOOKUP($P192,无限模式!$A$52:$X$71,24,FALSE))</f>
        <v/>
      </c>
      <c r="P192" s="110">
        <f t="shared" si="53"/>
        <v>2</v>
      </c>
      <c r="Q192" s="110">
        <v>4</v>
      </c>
    </row>
    <row r="193" spans="2:17" x14ac:dyDescent="0.2">
      <c r="B193" s="57" t="s">
        <v>3138</v>
      </c>
      <c r="C193" s="57">
        <v>3</v>
      </c>
      <c r="D193" s="57" t="str">
        <f t="shared" si="47"/>
        <v>赛季2无限模式第3波</v>
      </c>
      <c r="F193" s="57">
        <f t="shared" si="48"/>
        <v>0</v>
      </c>
      <c r="G193" s="102">
        <f t="shared" si="49"/>
        <v>180</v>
      </c>
      <c r="H193" s="57">
        <f t="shared" si="50"/>
        <v>0</v>
      </c>
      <c r="I193" s="102">
        <f>IF(VLOOKUP($P193,无限模式!$A$52:$X$71,5,FALSE)="","",VLOOKUP($P193,无限模式!$A$52:$X$71,6,FALSE))</f>
        <v>2</v>
      </c>
      <c r="J193" s="102">
        <f>IF(VLOOKUP($P193,无限模式!$A$52:$X$71,5,FALSE)="","",VLOOKUP($P193,无限模式!$A$52:$X$71,7,FALSE))</f>
        <v>6</v>
      </c>
      <c r="K193" s="102">
        <f t="shared" si="51"/>
        <v>1</v>
      </c>
      <c r="L193" s="102" t="str">
        <f>IF(VLOOKUP($P193,无限模式!$A$52:$X$71,5,FALSE)="","","Monster_Season2_Infinite_"&amp;P193&amp;"_1")</f>
        <v>Monster_Season2_Infinite_3_1</v>
      </c>
      <c r="M193" s="57">
        <f t="shared" si="52"/>
        <v>1</v>
      </c>
      <c r="O193" s="102">
        <f>IF(VLOOKUP($P193,无限模式!$A$52:$X$71,5,FALSE)="","",VLOOKUP($P193,无限模式!$A$52:$X$71,9,FALSE))</f>
        <v>86</v>
      </c>
      <c r="P193" s="110">
        <f t="shared" si="53"/>
        <v>3</v>
      </c>
      <c r="Q193" s="110">
        <v>1</v>
      </c>
    </row>
    <row r="194" spans="2:17" x14ac:dyDescent="0.2">
      <c r="D194" s="57" t="str">
        <f t="shared" si="47"/>
        <v/>
      </c>
      <c r="F194" s="57" t="str">
        <f t="shared" si="48"/>
        <v/>
      </c>
      <c r="G194" s="102" t="str">
        <f t="shared" si="49"/>
        <v/>
      </c>
      <c r="H194" s="57">
        <f t="shared" si="50"/>
        <v>0</v>
      </c>
      <c r="I194" s="102">
        <f>IF(VLOOKUP($P194,无限模式!$A$52:$X$71,10,FALSE)="","",VLOOKUP($P194,无限模式!$A$52:$X$71,11,FALSE))</f>
        <v>60</v>
      </c>
      <c r="J194" s="102">
        <f>IF(VLOOKUP($P194,无限模式!$A$52:$X$71,10,FALSE)="","",VLOOKUP($P194,无限模式!$A$52:$X$71,12,FALSE))</f>
        <v>0.2</v>
      </c>
      <c r="K194" s="102">
        <f t="shared" si="51"/>
        <v>1</v>
      </c>
      <c r="L194" s="102" t="str">
        <f>IF(VLOOKUP($P194,无限模式!$A$52:$X$71,10,FALSE)="","","Monster_Season2_Infinite_"&amp;P194&amp;"_2")</f>
        <v>Monster_Season2_Infinite_3_2</v>
      </c>
      <c r="M194" s="57">
        <f t="shared" si="52"/>
        <v>1</v>
      </c>
      <c r="O194" s="102">
        <f>IF(VLOOKUP($P194,无限模式!$A$52:$X$71,10,FALSE)="","",VLOOKUP($P194,无限模式!$A$52:$X$71,14,FALSE))</f>
        <v>2</v>
      </c>
      <c r="P194" s="110">
        <f t="shared" si="53"/>
        <v>3</v>
      </c>
      <c r="Q194" s="110">
        <v>2</v>
      </c>
    </row>
    <row r="195" spans="2:17" x14ac:dyDescent="0.2">
      <c r="D195" s="57" t="str">
        <f t="shared" si="47"/>
        <v/>
      </c>
      <c r="F195" s="57" t="str">
        <f t="shared" si="48"/>
        <v/>
      </c>
      <c r="G195" s="102" t="str">
        <f t="shared" si="49"/>
        <v/>
      </c>
      <c r="H195" s="57" t="str">
        <f t="shared" si="50"/>
        <v/>
      </c>
      <c r="I195" s="102" t="str">
        <f>IF(VLOOKUP($P195,无限模式!$A$52:$X$71,15,FALSE)="","",VLOOKUP(P195,无限模式!$A$52:$X$71,16,FALSE))</f>
        <v/>
      </c>
      <c r="J195" s="102" t="str">
        <f>IF(VLOOKUP($P195,无限模式!$A$52:$X$71,15,FALSE)="","",VLOOKUP($P195,无限模式!$A$52:$X$71,17,FALSE))</f>
        <v/>
      </c>
      <c r="K195" s="102" t="str">
        <f t="shared" si="51"/>
        <v/>
      </c>
      <c r="L195" s="102" t="str">
        <f>IF(VLOOKUP($P195,无限模式!$A$52:$X$71,15,FALSE)="","","Monster_Season2_Infinite_"&amp;P195&amp;"_3")</f>
        <v/>
      </c>
      <c r="M195" s="57" t="str">
        <f t="shared" si="52"/>
        <v/>
      </c>
      <c r="O195" s="102" t="str">
        <f>IF(VLOOKUP($P195,无限模式!$A$52:$X$71,15,FALSE)="","",VLOOKUP($P195,无限模式!$A$52:$X$71,19,FALSE))</f>
        <v/>
      </c>
      <c r="P195" s="110">
        <f t="shared" si="53"/>
        <v>3</v>
      </c>
      <c r="Q195" s="110">
        <v>3</v>
      </c>
    </row>
    <row r="196" spans="2:17" x14ac:dyDescent="0.2">
      <c r="D196" s="57" t="str">
        <f t="shared" si="47"/>
        <v/>
      </c>
      <c r="F196" s="57" t="str">
        <f t="shared" si="48"/>
        <v/>
      </c>
      <c r="G196" s="102" t="str">
        <f t="shared" si="49"/>
        <v/>
      </c>
      <c r="H196" s="57" t="str">
        <f t="shared" si="50"/>
        <v/>
      </c>
      <c r="I196" s="102" t="str">
        <f>IF(VLOOKUP($P196,无限模式!$A$52:$X$71,20,FALSE)="","",VLOOKUP($P196,无限模式!$A$52:$X$71,21,FALSE))</f>
        <v/>
      </c>
      <c r="J196" s="102" t="str">
        <f>IF(VLOOKUP($P196,无限模式!$A$52:$X$71,20,FALSE)="","",VLOOKUP($P196,无限模式!$A$52:$X$71,22,FALSE))</f>
        <v/>
      </c>
      <c r="K196" s="102" t="str">
        <f t="shared" si="51"/>
        <v/>
      </c>
      <c r="L196" s="102" t="str">
        <f>IF(VLOOKUP($P196,无限模式!$A$52:$X$71,20,FALSE)="","","Monster_Season2_Infinite_"&amp;P196&amp;"_4")</f>
        <v/>
      </c>
      <c r="M196" s="57" t="str">
        <f t="shared" si="52"/>
        <v/>
      </c>
      <c r="O196" s="102" t="str">
        <f>IF(VLOOKUP($P196,无限模式!$A$52:$X$71,20,FALSE)="","",VLOOKUP($P196,无限模式!$A$52:$X$71,24,FALSE))</f>
        <v/>
      </c>
      <c r="P196" s="110">
        <f t="shared" si="53"/>
        <v>3</v>
      </c>
      <c r="Q196" s="110">
        <v>4</v>
      </c>
    </row>
    <row r="197" spans="2:17" x14ac:dyDescent="0.2">
      <c r="B197" s="57" t="s">
        <v>3138</v>
      </c>
      <c r="C197" s="57">
        <v>4</v>
      </c>
      <c r="D197" s="57" t="str">
        <f t="shared" si="47"/>
        <v>赛季2无限模式第4波</v>
      </c>
      <c r="F197" s="57">
        <f t="shared" si="48"/>
        <v>0</v>
      </c>
      <c r="G197" s="102">
        <f t="shared" si="49"/>
        <v>180</v>
      </c>
      <c r="H197" s="57">
        <f t="shared" si="50"/>
        <v>0</v>
      </c>
      <c r="I197" s="102">
        <f>IF(VLOOKUP($P197,无限模式!$A$52:$X$71,5,FALSE)="","",VLOOKUP($P197,无限模式!$A$52:$X$71,6,FALSE))</f>
        <v>1</v>
      </c>
      <c r="J197" s="102">
        <f>IF(VLOOKUP($P197,无限模式!$A$52:$X$71,5,FALSE)="","",VLOOKUP($P197,无限模式!$A$52:$X$71,7,FALSE))</f>
        <v>0</v>
      </c>
      <c r="K197" s="102">
        <f t="shared" si="51"/>
        <v>1</v>
      </c>
      <c r="L197" s="102" t="str">
        <f>IF(VLOOKUP($P197,无限模式!$A$52:$X$71,5,FALSE)="","","Monster_Season2_Infinite_"&amp;P197&amp;"_1")</f>
        <v>Monster_Season2_Infinite_4_1</v>
      </c>
      <c r="M197" s="57">
        <f t="shared" si="52"/>
        <v>1</v>
      </c>
      <c r="O197" s="102">
        <f>IF(VLOOKUP($P197,无限模式!$A$52:$X$71,5,FALSE)="","",VLOOKUP($P197,无限模式!$A$52:$X$71,9,FALSE))</f>
        <v>150</v>
      </c>
      <c r="P197" s="110">
        <f t="shared" si="53"/>
        <v>4</v>
      </c>
      <c r="Q197" s="110">
        <v>1</v>
      </c>
    </row>
    <row r="198" spans="2:17" x14ac:dyDescent="0.2">
      <c r="D198" s="57" t="str">
        <f t="shared" si="47"/>
        <v/>
      </c>
      <c r="F198" s="57" t="str">
        <f t="shared" si="48"/>
        <v/>
      </c>
      <c r="G198" s="102" t="str">
        <f t="shared" si="49"/>
        <v/>
      </c>
      <c r="H198" s="57">
        <f t="shared" si="50"/>
        <v>0</v>
      </c>
      <c r="I198" s="102">
        <f>IF(VLOOKUP($P198,无限模式!$A$52:$X$71,10,FALSE)="","",VLOOKUP($P198,无限模式!$A$52:$X$71,11,FALSE))</f>
        <v>2</v>
      </c>
      <c r="J198" s="102">
        <f>IF(VLOOKUP($P198,无限模式!$A$52:$X$71,10,FALSE)="","",VLOOKUP($P198,无限模式!$A$52:$X$71,12,FALSE))</f>
        <v>6</v>
      </c>
      <c r="K198" s="102">
        <f t="shared" si="51"/>
        <v>1</v>
      </c>
      <c r="L198" s="102" t="str">
        <f>IF(VLOOKUP($P198,无限模式!$A$52:$X$71,10,FALSE)="","","Monster_Season2_Infinite_"&amp;P198&amp;"_2")</f>
        <v>Monster_Season2_Infinite_4_2</v>
      </c>
      <c r="M198" s="57">
        <f t="shared" si="52"/>
        <v>1</v>
      </c>
      <c r="O198" s="102">
        <f>IF(VLOOKUP($P198,无限模式!$A$52:$X$71,10,FALSE)="","",VLOOKUP($P198,无限模式!$A$52:$X$71,14,FALSE))</f>
        <v>75</v>
      </c>
      <c r="P198" s="110">
        <f t="shared" si="53"/>
        <v>4</v>
      </c>
      <c r="Q198" s="110">
        <v>2</v>
      </c>
    </row>
    <row r="199" spans="2:17" x14ac:dyDescent="0.2">
      <c r="D199" s="57" t="str">
        <f t="shared" si="47"/>
        <v/>
      </c>
      <c r="F199" s="57" t="str">
        <f t="shared" si="48"/>
        <v/>
      </c>
      <c r="G199" s="102" t="str">
        <f t="shared" si="49"/>
        <v/>
      </c>
      <c r="H199" s="57" t="str">
        <f t="shared" si="50"/>
        <v/>
      </c>
      <c r="I199" s="102" t="str">
        <f>IF(VLOOKUP($P199,无限模式!$A$52:$X$71,15,FALSE)="","",VLOOKUP(P199,无限模式!$A$52:$X$71,16,FALSE))</f>
        <v/>
      </c>
      <c r="J199" s="102" t="str">
        <f>IF(VLOOKUP($P199,无限模式!$A$52:$X$71,15,FALSE)="","",VLOOKUP($P199,无限模式!$A$52:$X$71,17,FALSE))</f>
        <v/>
      </c>
      <c r="K199" s="102" t="str">
        <f t="shared" si="51"/>
        <v/>
      </c>
      <c r="L199" s="102" t="str">
        <f>IF(VLOOKUP($P199,无限模式!$A$52:$X$71,15,FALSE)="","","Monster_Season2_Infinite_"&amp;P199&amp;"_3")</f>
        <v/>
      </c>
      <c r="M199" s="57" t="str">
        <f t="shared" si="52"/>
        <v/>
      </c>
      <c r="O199" s="102" t="str">
        <f>IF(VLOOKUP($P199,无限模式!$A$52:$X$71,15,FALSE)="","",VLOOKUP($P199,无限模式!$A$52:$X$71,19,FALSE))</f>
        <v/>
      </c>
      <c r="P199" s="110">
        <f t="shared" si="53"/>
        <v>4</v>
      </c>
      <c r="Q199" s="110">
        <v>3</v>
      </c>
    </row>
    <row r="200" spans="2:17" x14ac:dyDescent="0.2">
      <c r="D200" s="57" t="str">
        <f t="shared" si="47"/>
        <v/>
      </c>
      <c r="F200" s="57" t="str">
        <f t="shared" si="48"/>
        <v/>
      </c>
      <c r="G200" s="102" t="str">
        <f t="shared" si="49"/>
        <v/>
      </c>
      <c r="H200" s="57" t="str">
        <f t="shared" si="50"/>
        <v/>
      </c>
      <c r="I200" s="102" t="str">
        <f>IF(VLOOKUP($P200,无限模式!$A$52:$X$71,20,FALSE)="","",VLOOKUP($P200,无限模式!$A$52:$X$71,21,FALSE))</f>
        <v/>
      </c>
      <c r="J200" s="102" t="str">
        <f>IF(VLOOKUP($P200,无限模式!$A$52:$X$71,20,FALSE)="","",VLOOKUP($P200,无限模式!$A$52:$X$71,22,FALSE))</f>
        <v/>
      </c>
      <c r="K200" s="102" t="str">
        <f t="shared" si="51"/>
        <v/>
      </c>
      <c r="L200" s="102" t="str">
        <f>IF(VLOOKUP($P200,无限模式!$A$52:$X$71,20,FALSE)="","","Monster_Season2_Infinite_"&amp;P200&amp;"_4")</f>
        <v/>
      </c>
      <c r="M200" s="57" t="str">
        <f t="shared" si="52"/>
        <v/>
      </c>
      <c r="O200" s="102" t="str">
        <f>IF(VLOOKUP($P200,无限模式!$A$52:$X$71,20,FALSE)="","",VLOOKUP($P200,无限模式!$A$52:$X$71,24,FALSE))</f>
        <v/>
      </c>
      <c r="P200" s="110">
        <f t="shared" si="53"/>
        <v>4</v>
      </c>
      <c r="Q200" s="110">
        <v>4</v>
      </c>
    </row>
    <row r="201" spans="2:17" x14ac:dyDescent="0.2">
      <c r="B201" s="57" t="s">
        <v>3138</v>
      </c>
      <c r="C201" s="57">
        <v>5</v>
      </c>
      <c r="D201" s="57" t="str">
        <f t="shared" si="47"/>
        <v>赛季2无限模式第5波</v>
      </c>
      <c r="F201" s="57">
        <f t="shared" si="48"/>
        <v>0</v>
      </c>
      <c r="G201" s="102">
        <f t="shared" si="49"/>
        <v>180</v>
      </c>
      <c r="H201" s="57">
        <f t="shared" si="50"/>
        <v>0</v>
      </c>
      <c r="I201" s="102">
        <f>IF(VLOOKUP($P201,无限模式!$A$52:$X$71,5,FALSE)="","",VLOOKUP($P201,无限模式!$A$52:$X$71,6,FALSE))</f>
        <v>4</v>
      </c>
      <c r="J201" s="102">
        <f>IF(VLOOKUP($P201,无限模式!$A$52:$X$71,5,FALSE)="","",VLOOKUP($P201,无限模式!$A$52:$X$71,7,FALSE))</f>
        <v>4</v>
      </c>
      <c r="K201" s="102">
        <f t="shared" si="51"/>
        <v>1</v>
      </c>
      <c r="L201" s="102" t="str">
        <f>IF(VLOOKUP($P201,无限模式!$A$52:$X$71,5,FALSE)="","","Monster_Season2_Infinite_"&amp;P201&amp;"_1")</f>
        <v>Monster_Season2_Infinite_5_1</v>
      </c>
      <c r="M201" s="57">
        <f t="shared" si="52"/>
        <v>1</v>
      </c>
      <c r="O201" s="102">
        <f>IF(VLOOKUP($P201,无限模式!$A$52:$X$71,5,FALSE)="","",VLOOKUP($P201,无限模式!$A$52:$X$71,9,FALSE))</f>
        <v>64</v>
      </c>
      <c r="P201" s="110">
        <f t="shared" si="53"/>
        <v>5</v>
      </c>
      <c r="Q201" s="110">
        <v>1</v>
      </c>
    </row>
    <row r="202" spans="2:17" x14ac:dyDescent="0.2">
      <c r="D202" s="57" t="str">
        <f t="shared" si="47"/>
        <v/>
      </c>
      <c r="F202" s="57" t="str">
        <f t="shared" si="48"/>
        <v/>
      </c>
      <c r="G202" s="102" t="str">
        <f t="shared" si="49"/>
        <v/>
      </c>
      <c r="H202" s="57">
        <f t="shared" si="50"/>
        <v>0</v>
      </c>
      <c r="I202" s="102">
        <f>IF(VLOOKUP($P202,无限模式!$A$52:$X$71,10,FALSE)="","",VLOOKUP($P202,无限模式!$A$52:$X$71,11,FALSE))</f>
        <v>14</v>
      </c>
      <c r="J202" s="102">
        <f>IF(VLOOKUP($P202,无限模式!$A$52:$X$71,10,FALSE)="","",VLOOKUP($P202,无限模式!$A$52:$X$71,12,FALSE))</f>
        <v>1</v>
      </c>
      <c r="K202" s="102">
        <f t="shared" si="51"/>
        <v>1</v>
      </c>
      <c r="L202" s="102" t="str">
        <f>IF(VLOOKUP($P202,无限模式!$A$52:$X$71,10,FALSE)="","","Monster_Season2_Infinite_"&amp;P202&amp;"_2")</f>
        <v>Monster_Season2_Infinite_5_2</v>
      </c>
      <c r="M202" s="57">
        <f t="shared" si="52"/>
        <v>1</v>
      </c>
      <c r="O202" s="102">
        <f>IF(VLOOKUP($P202,无限模式!$A$52:$X$71,10,FALSE)="","",VLOOKUP($P202,无限模式!$A$52:$X$71,14,FALSE))</f>
        <v>3</v>
      </c>
      <c r="P202" s="110">
        <f t="shared" si="53"/>
        <v>5</v>
      </c>
      <c r="Q202" s="110">
        <v>2</v>
      </c>
    </row>
    <row r="203" spans="2:17" x14ac:dyDescent="0.2">
      <c r="D203" s="57" t="str">
        <f t="shared" si="47"/>
        <v/>
      </c>
      <c r="F203" s="57" t="str">
        <f t="shared" si="48"/>
        <v/>
      </c>
      <c r="G203" s="102" t="str">
        <f t="shared" si="49"/>
        <v/>
      </c>
      <c r="H203" s="57" t="str">
        <f t="shared" si="50"/>
        <v/>
      </c>
      <c r="I203" s="102" t="str">
        <f>IF(VLOOKUP($P203,无限模式!$A$52:$X$71,15,FALSE)="","",VLOOKUP(P203,无限模式!$A$52:$X$71,16,FALSE))</f>
        <v/>
      </c>
      <c r="J203" s="102" t="str">
        <f>IF(VLOOKUP($P203,无限模式!$A$52:$X$71,15,FALSE)="","",VLOOKUP($P203,无限模式!$A$52:$X$71,17,FALSE))</f>
        <v/>
      </c>
      <c r="K203" s="102" t="str">
        <f t="shared" si="51"/>
        <v/>
      </c>
      <c r="L203" s="102" t="str">
        <f>IF(VLOOKUP($P203,无限模式!$A$52:$X$71,15,FALSE)="","","Monster_Season2_Infinite_"&amp;P203&amp;"_3")</f>
        <v/>
      </c>
      <c r="M203" s="57" t="str">
        <f t="shared" si="52"/>
        <v/>
      </c>
      <c r="O203" s="102" t="str">
        <f>IF(VLOOKUP($P203,无限模式!$A$52:$X$71,15,FALSE)="","",VLOOKUP($P203,无限模式!$A$52:$X$71,19,FALSE))</f>
        <v/>
      </c>
      <c r="P203" s="110">
        <f t="shared" si="53"/>
        <v>5</v>
      </c>
      <c r="Q203" s="110">
        <v>3</v>
      </c>
    </row>
    <row r="204" spans="2:17" x14ac:dyDescent="0.2">
      <c r="D204" s="57" t="str">
        <f t="shared" si="47"/>
        <v/>
      </c>
      <c r="F204" s="57" t="str">
        <f t="shared" si="48"/>
        <v/>
      </c>
      <c r="G204" s="102" t="str">
        <f t="shared" si="49"/>
        <v/>
      </c>
      <c r="H204" s="57" t="str">
        <f t="shared" si="50"/>
        <v/>
      </c>
      <c r="I204" s="102" t="str">
        <f>IF(VLOOKUP($P204,无限模式!$A$52:$X$71,20,FALSE)="","",VLOOKUP($P204,无限模式!$A$52:$X$71,21,FALSE))</f>
        <v/>
      </c>
      <c r="J204" s="102" t="str">
        <f>IF(VLOOKUP($P204,无限模式!$A$52:$X$71,20,FALSE)="","",VLOOKUP($P204,无限模式!$A$52:$X$71,22,FALSE))</f>
        <v/>
      </c>
      <c r="K204" s="102" t="str">
        <f t="shared" si="51"/>
        <v/>
      </c>
      <c r="L204" s="102" t="str">
        <f>IF(VLOOKUP($P204,无限模式!$A$52:$X$71,20,FALSE)="","","Monster_Season2_Infinite_"&amp;P204&amp;"_4")</f>
        <v/>
      </c>
      <c r="M204" s="57" t="str">
        <f t="shared" si="52"/>
        <v/>
      </c>
      <c r="O204" s="102" t="str">
        <f>IF(VLOOKUP($P204,无限模式!$A$52:$X$71,20,FALSE)="","",VLOOKUP($P204,无限模式!$A$52:$X$71,24,FALSE))</f>
        <v/>
      </c>
      <c r="P204" s="110">
        <f t="shared" si="53"/>
        <v>5</v>
      </c>
      <c r="Q204" s="110">
        <v>4</v>
      </c>
    </row>
    <row r="205" spans="2:17" x14ac:dyDescent="0.2">
      <c r="B205" s="57" t="s">
        <v>3138</v>
      </c>
      <c r="C205" s="57">
        <v>6</v>
      </c>
      <c r="D205" s="57" t="str">
        <f t="shared" si="47"/>
        <v>赛季2无限模式第6波</v>
      </c>
      <c r="F205" s="57">
        <f t="shared" si="48"/>
        <v>0</v>
      </c>
      <c r="G205" s="102">
        <f t="shared" si="49"/>
        <v>180</v>
      </c>
      <c r="H205" s="57">
        <f t="shared" si="50"/>
        <v>0</v>
      </c>
      <c r="I205" s="102">
        <f>IF(VLOOKUP($P205,无限模式!$A$52:$X$71,5,FALSE)="","",VLOOKUP($P205,无限模式!$A$52:$X$71,6,FALSE))</f>
        <v>20</v>
      </c>
      <c r="J205" s="102">
        <f>IF(VLOOKUP($P205,无限模式!$A$52:$X$71,5,FALSE)="","",VLOOKUP($P205,无限模式!$A$52:$X$71,7,FALSE))</f>
        <v>0.75</v>
      </c>
      <c r="K205" s="102">
        <f t="shared" si="51"/>
        <v>1</v>
      </c>
      <c r="L205" s="102" t="str">
        <f>IF(VLOOKUP($P205,无限模式!$A$52:$X$71,5,FALSE)="","","Monster_Season2_Infinite_"&amp;P205&amp;"_1")</f>
        <v>Monster_Season2_Infinite_6_1</v>
      </c>
      <c r="M205" s="57">
        <f t="shared" si="52"/>
        <v>1</v>
      </c>
      <c r="O205" s="102">
        <f>IF(VLOOKUP($P205,无限模式!$A$52:$X$71,5,FALSE)="","",VLOOKUP($P205,无限模式!$A$52:$X$71,9,FALSE))</f>
        <v>5</v>
      </c>
      <c r="P205" s="110">
        <f t="shared" si="53"/>
        <v>6</v>
      </c>
      <c r="Q205" s="110">
        <v>1</v>
      </c>
    </row>
    <row r="206" spans="2:17" x14ac:dyDescent="0.2">
      <c r="D206" s="57" t="str">
        <f t="shared" si="47"/>
        <v/>
      </c>
      <c r="F206" s="57" t="str">
        <f t="shared" si="48"/>
        <v/>
      </c>
      <c r="G206" s="102" t="str">
        <f t="shared" si="49"/>
        <v/>
      </c>
      <c r="H206" s="57">
        <f t="shared" si="50"/>
        <v>0</v>
      </c>
      <c r="I206" s="102">
        <f>IF(VLOOKUP($P206,无限模式!$A$52:$X$71,10,FALSE)="","",VLOOKUP($P206,无限模式!$A$52:$X$71,11,FALSE))</f>
        <v>4</v>
      </c>
      <c r="J206" s="102">
        <f>IF(VLOOKUP($P206,无限模式!$A$52:$X$71,10,FALSE)="","",VLOOKUP($P206,无限模式!$A$52:$X$71,12,FALSE))</f>
        <v>4</v>
      </c>
      <c r="K206" s="102">
        <f t="shared" si="51"/>
        <v>1</v>
      </c>
      <c r="L206" s="102" t="str">
        <f>IF(VLOOKUP($P206,无限模式!$A$52:$X$71,10,FALSE)="","","Monster_Season2_Infinite_"&amp;P206&amp;"_2")</f>
        <v>Monster_Season2_Infinite_6_2</v>
      </c>
      <c r="M206" s="57">
        <f t="shared" si="52"/>
        <v>1</v>
      </c>
      <c r="O206" s="102">
        <f>IF(VLOOKUP($P206,无限模式!$A$52:$X$71,10,FALSE)="","",VLOOKUP($P206,无限模式!$A$52:$X$71,14,FALSE))</f>
        <v>50</v>
      </c>
      <c r="P206" s="110">
        <f t="shared" si="53"/>
        <v>6</v>
      </c>
      <c r="Q206" s="110">
        <v>2</v>
      </c>
    </row>
    <row r="207" spans="2:17" x14ac:dyDescent="0.2">
      <c r="D207" s="57" t="str">
        <f t="shared" si="47"/>
        <v/>
      </c>
      <c r="F207" s="57" t="str">
        <f t="shared" si="48"/>
        <v/>
      </c>
      <c r="G207" s="102" t="str">
        <f t="shared" si="49"/>
        <v/>
      </c>
      <c r="H207" s="57" t="str">
        <f t="shared" si="50"/>
        <v/>
      </c>
      <c r="I207" s="102" t="str">
        <f>IF(VLOOKUP($P207,无限模式!$A$52:$X$71,15,FALSE)="","",VLOOKUP(P207,无限模式!$A$52:$X$71,16,FALSE))</f>
        <v/>
      </c>
      <c r="J207" s="102" t="str">
        <f>IF(VLOOKUP($P207,无限模式!$A$52:$X$71,15,FALSE)="","",VLOOKUP($P207,无限模式!$A$52:$X$71,17,FALSE))</f>
        <v/>
      </c>
      <c r="K207" s="102" t="str">
        <f t="shared" si="51"/>
        <v/>
      </c>
      <c r="L207" s="102" t="str">
        <f>IF(VLOOKUP($P207,无限模式!$A$52:$X$71,15,FALSE)="","","Monster_Season2_Infinite_"&amp;P207&amp;"_3")</f>
        <v/>
      </c>
      <c r="M207" s="57" t="str">
        <f t="shared" si="52"/>
        <v/>
      </c>
      <c r="O207" s="102" t="str">
        <f>IF(VLOOKUP($P207,无限模式!$A$52:$X$71,15,FALSE)="","",VLOOKUP($P207,无限模式!$A$52:$X$71,19,FALSE))</f>
        <v/>
      </c>
      <c r="P207" s="110">
        <f t="shared" si="53"/>
        <v>6</v>
      </c>
      <c r="Q207" s="110">
        <v>3</v>
      </c>
    </row>
    <row r="208" spans="2:17" x14ac:dyDescent="0.2">
      <c r="D208" s="57" t="str">
        <f t="shared" si="47"/>
        <v/>
      </c>
      <c r="F208" s="57" t="str">
        <f t="shared" si="48"/>
        <v/>
      </c>
      <c r="G208" s="102" t="str">
        <f t="shared" si="49"/>
        <v/>
      </c>
      <c r="H208" s="57" t="str">
        <f t="shared" si="50"/>
        <v/>
      </c>
      <c r="I208" s="102" t="str">
        <f>IF(VLOOKUP($P208,无限模式!$A$52:$X$71,20,FALSE)="","",VLOOKUP($P208,无限模式!$A$52:$X$71,21,FALSE))</f>
        <v/>
      </c>
      <c r="J208" s="102" t="str">
        <f>IF(VLOOKUP($P208,无限模式!$A$52:$X$71,20,FALSE)="","",VLOOKUP($P208,无限模式!$A$52:$X$71,22,FALSE))</f>
        <v/>
      </c>
      <c r="K208" s="102" t="str">
        <f t="shared" si="51"/>
        <v/>
      </c>
      <c r="L208" s="102" t="str">
        <f>IF(VLOOKUP($P208,无限模式!$A$52:$X$71,20,FALSE)="","","Monster_Season2_Infinite_"&amp;P208&amp;"_4")</f>
        <v/>
      </c>
      <c r="M208" s="57" t="str">
        <f t="shared" si="52"/>
        <v/>
      </c>
      <c r="O208" s="102" t="str">
        <f>IF(VLOOKUP($P208,无限模式!$A$52:$X$71,20,FALSE)="","",VLOOKUP($P208,无限模式!$A$52:$X$71,24,FALSE))</f>
        <v/>
      </c>
      <c r="P208" s="110">
        <f t="shared" si="53"/>
        <v>6</v>
      </c>
      <c r="Q208" s="110">
        <v>4</v>
      </c>
    </row>
    <row r="209" spans="2:17" x14ac:dyDescent="0.2">
      <c r="B209" s="57" t="s">
        <v>3138</v>
      </c>
      <c r="C209" s="57">
        <v>7</v>
      </c>
      <c r="D209" s="57" t="str">
        <f t="shared" si="47"/>
        <v>赛季2无限模式第7波</v>
      </c>
      <c r="F209" s="57">
        <f t="shared" si="48"/>
        <v>0</v>
      </c>
      <c r="G209" s="102">
        <f t="shared" si="49"/>
        <v>180</v>
      </c>
      <c r="H209" s="57">
        <f t="shared" si="50"/>
        <v>0</v>
      </c>
      <c r="I209" s="102">
        <f>IF(VLOOKUP($P209,无限模式!$A$52:$X$71,5,FALSE)="","",VLOOKUP($P209,无限模式!$A$52:$X$71,6,FALSE))</f>
        <v>4</v>
      </c>
      <c r="J209" s="102">
        <f>IF(VLOOKUP($P209,无限模式!$A$52:$X$71,5,FALSE)="","",VLOOKUP($P209,无限模式!$A$52:$X$71,7,FALSE))</f>
        <v>4</v>
      </c>
      <c r="K209" s="102">
        <f t="shared" si="51"/>
        <v>1</v>
      </c>
      <c r="L209" s="102" t="str">
        <f>IF(VLOOKUP($P209,无限模式!$A$52:$X$71,5,FALSE)="","","Monster_Season2_Infinite_"&amp;P209&amp;"_1")</f>
        <v>Monster_Season2_Infinite_7_1</v>
      </c>
      <c r="M209" s="57">
        <f t="shared" si="52"/>
        <v>1</v>
      </c>
      <c r="O209" s="102">
        <f>IF(VLOOKUP($P209,无限模式!$A$52:$X$71,5,FALSE)="","",VLOOKUP($P209,无限模式!$A$52:$X$71,9,FALSE))</f>
        <v>54</v>
      </c>
      <c r="P209" s="110">
        <f t="shared" si="53"/>
        <v>7</v>
      </c>
      <c r="Q209" s="110">
        <v>1</v>
      </c>
    </row>
    <row r="210" spans="2:17" x14ac:dyDescent="0.2">
      <c r="D210" s="57" t="str">
        <f t="shared" si="47"/>
        <v/>
      </c>
      <c r="F210" s="57" t="str">
        <f t="shared" si="48"/>
        <v/>
      </c>
      <c r="G210" s="102" t="str">
        <f t="shared" si="49"/>
        <v/>
      </c>
      <c r="H210" s="57">
        <f t="shared" si="50"/>
        <v>0</v>
      </c>
      <c r="I210" s="102">
        <f>IF(VLOOKUP($P210,无限模式!$A$52:$X$71,10,FALSE)="","",VLOOKUP($P210,无限模式!$A$52:$X$71,11,FALSE))</f>
        <v>32</v>
      </c>
      <c r="J210" s="102">
        <f>IF(VLOOKUP($P210,无限模式!$A$52:$X$71,10,FALSE)="","",VLOOKUP($P210,无限模式!$A$52:$X$71,12,FALSE))</f>
        <v>0.5</v>
      </c>
      <c r="K210" s="102">
        <f t="shared" si="51"/>
        <v>1</v>
      </c>
      <c r="L210" s="102" t="str">
        <f>IF(VLOOKUP($P210,无限模式!$A$52:$X$71,10,FALSE)="","","Monster_Season2_Infinite_"&amp;P210&amp;"_2")</f>
        <v>Monster_Season2_Infinite_7_2</v>
      </c>
      <c r="M210" s="57">
        <f t="shared" si="52"/>
        <v>1</v>
      </c>
      <c r="O210" s="102">
        <f>IF(VLOOKUP($P210,无限模式!$A$52:$X$71,10,FALSE)="","",VLOOKUP($P210,无限模式!$A$52:$X$71,14,FALSE))</f>
        <v>3</v>
      </c>
      <c r="P210" s="110">
        <f t="shared" si="53"/>
        <v>7</v>
      </c>
      <c r="Q210" s="110">
        <v>2</v>
      </c>
    </row>
    <row r="211" spans="2:17" x14ac:dyDescent="0.2">
      <c r="D211" s="57" t="str">
        <f t="shared" si="47"/>
        <v/>
      </c>
      <c r="F211" s="57" t="str">
        <f t="shared" si="48"/>
        <v/>
      </c>
      <c r="G211" s="102" t="str">
        <f t="shared" si="49"/>
        <v/>
      </c>
      <c r="H211" s="57" t="str">
        <f t="shared" si="50"/>
        <v/>
      </c>
      <c r="I211" s="102" t="str">
        <f>IF(VLOOKUP($P211,无限模式!$A$52:$X$71,15,FALSE)="","",VLOOKUP(P211,无限模式!$A$52:$X$71,16,FALSE))</f>
        <v/>
      </c>
      <c r="J211" s="102" t="str">
        <f>IF(VLOOKUP($P211,无限模式!$A$52:$X$71,15,FALSE)="","",VLOOKUP($P211,无限模式!$A$52:$X$71,17,FALSE))</f>
        <v/>
      </c>
      <c r="K211" s="102" t="str">
        <f t="shared" si="51"/>
        <v/>
      </c>
      <c r="L211" s="102" t="str">
        <f>IF(VLOOKUP($P211,无限模式!$A$52:$X$71,15,FALSE)="","","Monster_Season2_Infinite_"&amp;P211&amp;"_3")</f>
        <v/>
      </c>
      <c r="M211" s="57" t="str">
        <f t="shared" si="52"/>
        <v/>
      </c>
      <c r="O211" s="102" t="str">
        <f>IF(VLOOKUP($P211,无限模式!$A$52:$X$71,15,FALSE)="","",VLOOKUP($P211,无限模式!$A$52:$X$71,19,FALSE))</f>
        <v/>
      </c>
      <c r="P211" s="110">
        <f t="shared" si="53"/>
        <v>7</v>
      </c>
      <c r="Q211" s="110">
        <v>3</v>
      </c>
    </row>
    <row r="212" spans="2:17" x14ac:dyDescent="0.2">
      <c r="D212" s="57" t="str">
        <f t="shared" si="47"/>
        <v/>
      </c>
      <c r="F212" s="57" t="str">
        <f t="shared" si="48"/>
        <v/>
      </c>
      <c r="G212" s="102" t="str">
        <f t="shared" si="49"/>
        <v/>
      </c>
      <c r="H212" s="57" t="str">
        <f t="shared" si="50"/>
        <v/>
      </c>
      <c r="I212" s="102" t="str">
        <f>IF(VLOOKUP($P212,无限模式!$A$52:$X$71,20,FALSE)="","",VLOOKUP($P212,无限模式!$A$52:$X$71,21,FALSE))</f>
        <v/>
      </c>
      <c r="J212" s="102" t="str">
        <f>IF(VLOOKUP($P212,无限模式!$A$52:$X$71,20,FALSE)="","",VLOOKUP($P212,无限模式!$A$52:$X$71,22,FALSE))</f>
        <v/>
      </c>
      <c r="K212" s="102" t="str">
        <f t="shared" si="51"/>
        <v/>
      </c>
      <c r="L212" s="102" t="str">
        <f>IF(VLOOKUP($P212,无限模式!$A$52:$X$71,20,FALSE)="","","Monster_Season2_Infinite_"&amp;P212&amp;"_4")</f>
        <v/>
      </c>
      <c r="M212" s="57" t="str">
        <f t="shared" si="52"/>
        <v/>
      </c>
      <c r="O212" s="102" t="str">
        <f>IF(VLOOKUP($P212,无限模式!$A$52:$X$71,20,FALSE)="","",VLOOKUP($P212,无限模式!$A$52:$X$71,24,FALSE))</f>
        <v/>
      </c>
      <c r="P212" s="110">
        <f t="shared" si="53"/>
        <v>7</v>
      </c>
      <c r="Q212" s="110">
        <v>4</v>
      </c>
    </row>
    <row r="213" spans="2:17" x14ac:dyDescent="0.2">
      <c r="B213" s="57" t="s">
        <v>3138</v>
      </c>
      <c r="C213" s="57">
        <v>8</v>
      </c>
      <c r="D213" s="57" t="str">
        <f t="shared" si="47"/>
        <v>赛季2无限模式第8波</v>
      </c>
      <c r="F213" s="57">
        <f t="shared" si="48"/>
        <v>0</v>
      </c>
      <c r="G213" s="102">
        <f t="shared" si="49"/>
        <v>180</v>
      </c>
      <c r="H213" s="57">
        <f t="shared" si="50"/>
        <v>0</v>
      </c>
      <c r="I213" s="102">
        <f>IF(VLOOKUP($P213,无限模式!$A$52:$X$71,5,FALSE)="","",VLOOKUP($P213,无限模式!$A$52:$X$71,6,FALSE))</f>
        <v>4</v>
      </c>
      <c r="J213" s="102">
        <f>IF(VLOOKUP($P213,无限模式!$A$52:$X$71,5,FALSE)="","",VLOOKUP($P213,无限模式!$A$52:$X$71,7,FALSE))</f>
        <v>4</v>
      </c>
      <c r="K213" s="102">
        <f t="shared" si="51"/>
        <v>1</v>
      </c>
      <c r="L213" s="102" t="str">
        <f>IF(VLOOKUP($P213,无限模式!$A$52:$X$71,5,FALSE)="","","Monster_Season2_Infinite_"&amp;P213&amp;"_1")</f>
        <v>Monster_Season2_Infinite_8_1</v>
      </c>
      <c r="M213" s="57">
        <f t="shared" si="52"/>
        <v>1</v>
      </c>
      <c r="O213" s="102">
        <f>IF(VLOOKUP($P213,无限模式!$A$52:$X$71,5,FALSE)="","",VLOOKUP($P213,无限模式!$A$52:$X$71,9,FALSE))</f>
        <v>60</v>
      </c>
      <c r="P213" s="110">
        <f t="shared" si="53"/>
        <v>8</v>
      </c>
      <c r="Q213" s="110">
        <v>1</v>
      </c>
    </row>
    <row r="214" spans="2:17" x14ac:dyDescent="0.2">
      <c r="D214" s="57" t="str">
        <f t="shared" si="47"/>
        <v/>
      </c>
      <c r="F214" s="57" t="str">
        <f t="shared" si="48"/>
        <v/>
      </c>
      <c r="G214" s="102" t="str">
        <f t="shared" si="49"/>
        <v/>
      </c>
      <c r="H214" s="57">
        <f t="shared" si="50"/>
        <v>0</v>
      </c>
      <c r="I214" s="102">
        <f>IF(VLOOKUP($P214,无限模式!$A$52:$X$71,10,FALSE)="","",VLOOKUP($P214,无限模式!$A$52:$X$71,11,FALSE))</f>
        <v>1</v>
      </c>
      <c r="J214" s="102">
        <f>IF(VLOOKUP($P214,无限模式!$A$52:$X$71,10,FALSE)="","",VLOOKUP($P214,无限模式!$A$52:$X$71,12,FALSE))</f>
        <v>0</v>
      </c>
      <c r="K214" s="102">
        <f t="shared" si="51"/>
        <v>1</v>
      </c>
      <c r="L214" s="102" t="str">
        <f>IF(VLOOKUP($P214,无限模式!$A$52:$X$71,10,FALSE)="","","Monster_Season2_Infinite_"&amp;P214&amp;"_2")</f>
        <v>Monster_Season2_Infinite_8_2</v>
      </c>
      <c r="M214" s="57">
        <f t="shared" si="52"/>
        <v>1</v>
      </c>
      <c r="O214" s="102">
        <f>IF(VLOOKUP($P214,无限模式!$A$52:$X$71,10,FALSE)="","",VLOOKUP($P214,无限模式!$A$52:$X$71,14,FALSE))</f>
        <v>60</v>
      </c>
      <c r="P214" s="110">
        <f t="shared" si="53"/>
        <v>8</v>
      </c>
      <c r="Q214" s="110">
        <v>2</v>
      </c>
    </row>
    <row r="215" spans="2:17" x14ac:dyDescent="0.2">
      <c r="D215" s="57" t="str">
        <f t="shared" si="47"/>
        <v/>
      </c>
      <c r="F215" s="57" t="str">
        <f t="shared" si="48"/>
        <v/>
      </c>
      <c r="G215" s="102" t="str">
        <f t="shared" si="49"/>
        <v/>
      </c>
      <c r="H215" s="57" t="str">
        <f t="shared" si="50"/>
        <v/>
      </c>
      <c r="I215" s="102" t="str">
        <f>IF(VLOOKUP($P215,无限模式!$A$52:$X$71,15,FALSE)="","",VLOOKUP(P215,无限模式!$A$52:$X$71,16,FALSE))</f>
        <v/>
      </c>
      <c r="J215" s="102" t="str">
        <f>IF(VLOOKUP($P215,无限模式!$A$52:$X$71,15,FALSE)="","",VLOOKUP($P215,无限模式!$A$52:$X$71,17,FALSE))</f>
        <v/>
      </c>
      <c r="K215" s="102" t="str">
        <f t="shared" si="51"/>
        <v/>
      </c>
      <c r="L215" s="102" t="str">
        <f>IF(VLOOKUP($P215,无限模式!$A$52:$X$71,15,FALSE)="","","Monster_Season2_Infinite_"&amp;P215&amp;"_3")</f>
        <v/>
      </c>
      <c r="M215" s="57" t="str">
        <f t="shared" si="52"/>
        <v/>
      </c>
      <c r="O215" s="102" t="str">
        <f>IF(VLOOKUP($P215,无限模式!$A$52:$X$71,15,FALSE)="","",VLOOKUP($P215,无限模式!$A$52:$X$71,19,FALSE))</f>
        <v/>
      </c>
      <c r="P215" s="110">
        <f t="shared" si="53"/>
        <v>8</v>
      </c>
      <c r="Q215" s="110">
        <v>3</v>
      </c>
    </row>
    <row r="216" spans="2:17" x14ac:dyDescent="0.2">
      <c r="D216" s="57" t="str">
        <f t="shared" si="47"/>
        <v/>
      </c>
      <c r="F216" s="57" t="str">
        <f t="shared" si="48"/>
        <v/>
      </c>
      <c r="G216" s="102" t="str">
        <f t="shared" si="49"/>
        <v/>
      </c>
      <c r="H216" s="57" t="str">
        <f t="shared" si="50"/>
        <v/>
      </c>
      <c r="I216" s="102" t="str">
        <f>IF(VLOOKUP($P216,无限模式!$A$52:$X$71,20,FALSE)="","",VLOOKUP($P216,无限模式!$A$52:$X$71,21,FALSE))</f>
        <v/>
      </c>
      <c r="J216" s="102" t="str">
        <f>IF(VLOOKUP($P216,无限模式!$A$52:$X$71,20,FALSE)="","",VLOOKUP($P216,无限模式!$A$52:$X$71,22,FALSE))</f>
        <v/>
      </c>
      <c r="K216" s="102" t="str">
        <f t="shared" si="51"/>
        <v/>
      </c>
      <c r="L216" s="102" t="str">
        <f>IF(VLOOKUP($P216,无限模式!$A$52:$X$71,20,FALSE)="","","Monster_Season2_Infinite_"&amp;P216&amp;"_4")</f>
        <v/>
      </c>
      <c r="M216" s="57" t="str">
        <f t="shared" si="52"/>
        <v/>
      </c>
      <c r="O216" s="102" t="str">
        <f>IF(VLOOKUP($P216,无限模式!$A$52:$X$71,20,FALSE)="","",VLOOKUP($P216,无限模式!$A$52:$X$71,24,FALSE))</f>
        <v/>
      </c>
      <c r="P216" s="110">
        <f t="shared" si="53"/>
        <v>8</v>
      </c>
      <c r="Q216" s="110">
        <v>4</v>
      </c>
    </row>
    <row r="217" spans="2:17" x14ac:dyDescent="0.2">
      <c r="B217" s="57" t="s">
        <v>3138</v>
      </c>
      <c r="C217" s="57">
        <v>9</v>
      </c>
      <c r="D217" s="57" t="str">
        <f t="shared" ref="D217:D248" si="54">IF(C217="","","赛季2无限模式第"&amp;C217&amp;"波")</f>
        <v>赛季2无限模式第9波</v>
      </c>
      <c r="F217" s="57">
        <f t="shared" si="48"/>
        <v>0</v>
      </c>
      <c r="G217" s="102">
        <f t="shared" si="49"/>
        <v>180</v>
      </c>
      <c r="H217" s="57">
        <f t="shared" si="50"/>
        <v>0</v>
      </c>
      <c r="I217" s="102">
        <f>IF(VLOOKUP($P217,无限模式!$A$52:$X$71,5,FALSE)="","",VLOOKUP($P217,无限模式!$A$52:$X$71,6,FALSE))</f>
        <v>3</v>
      </c>
      <c r="J217" s="102">
        <f>IF(VLOOKUP($P217,无限模式!$A$52:$X$71,5,FALSE)="","",VLOOKUP($P217,无限模式!$A$52:$X$71,7,FALSE))</f>
        <v>6</v>
      </c>
      <c r="K217" s="102">
        <f t="shared" si="51"/>
        <v>1</v>
      </c>
      <c r="L217" s="102" t="str">
        <f>IF(VLOOKUP($P217,无限模式!$A$52:$X$71,5,FALSE)="","","Monster_Season2_Infinite_"&amp;P217&amp;"_1")</f>
        <v>Monster_Season2_Infinite_9_1</v>
      </c>
      <c r="M217" s="57">
        <f t="shared" si="52"/>
        <v>1</v>
      </c>
      <c r="O217" s="102">
        <f>IF(VLOOKUP($P217,无限模式!$A$52:$X$71,5,FALSE)="","",VLOOKUP($P217,无限模式!$A$52:$X$71,9,FALSE))</f>
        <v>88</v>
      </c>
      <c r="P217" s="110">
        <f t="shared" si="53"/>
        <v>9</v>
      </c>
      <c r="Q217" s="110">
        <v>1</v>
      </c>
    </row>
    <row r="218" spans="2:17" x14ac:dyDescent="0.2">
      <c r="D218" s="57" t="str">
        <f t="shared" si="54"/>
        <v/>
      </c>
      <c r="F218" s="57" t="str">
        <f t="shared" si="48"/>
        <v/>
      </c>
      <c r="G218" s="102" t="str">
        <f t="shared" si="49"/>
        <v/>
      </c>
      <c r="H218" s="57">
        <f t="shared" si="50"/>
        <v>0</v>
      </c>
      <c r="I218" s="102">
        <f>IF(VLOOKUP($P218,无限模式!$A$52:$X$71,10,FALSE)="","",VLOOKUP($P218,无限模式!$A$52:$X$71,11,FALSE))</f>
        <v>6</v>
      </c>
      <c r="J218" s="102">
        <f>IF(VLOOKUP($P218,无限模式!$A$52:$X$71,10,FALSE)="","",VLOOKUP($P218,无限模式!$A$52:$X$71,12,FALSE))</f>
        <v>3</v>
      </c>
      <c r="K218" s="102">
        <f t="shared" si="51"/>
        <v>1</v>
      </c>
      <c r="L218" s="102" t="str">
        <f>IF(VLOOKUP($P218,无限模式!$A$52:$X$71,10,FALSE)="","","Monster_Season2_Infinite_"&amp;P218&amp;"_2")</f>
        <v>Monster_Season2_Infinite_9_2</v>
      </c>
      <c r="M218" s="57">
        <f t="shared" si="52"/>
        <v>1</v>
      </c>
      <c r="O218" s="102">
        <f>IF(VLOOKUP($P218,无限模式!$A$52:$X$71,10,FALSE)="","",VLOOKUP($P218,无限模式!$A$52:$X$71,14,FALSE))</f>
        <v>6</v>
      </c>
      <c r="P218" s="110">
        <f t="shared" si="53"/>
        <v>9</v>
      </c>
      <c r="Q218" s="110">
        <v>2</v>
      </c>
    </row>
    <row r="219" spans="2:17" x14ac:dyDescent="0.2">
      <c r="D219" s="57" t="str">
        <f t="shared" si="54"/>
        <v/>
      </c>
      <c r="F219" s="57" t="str">
        <f t="shared" si="48"/>
        <v/>
      </c>
      <c r="G219" s="102" t="str">
        <f t="shared" si="49"/>
        <v/>
      </c>
      <c r="H219" s="57" t="str">
        <f t="shared" si="50"/>
        <v/>
      </c>
      <c r="I219" s="102" t="str">
        <f>IF(VLOOKUP($P219,无限模式!$A$52:$X$71,15,FALSE)="","",VLOOKUP(P219,无限模式!$A$52:$X$71,16,FALSE))</f>
        <v/>
      </c>
      <c r="J219" s="102" t="str">
        <f>IF(VLOOKUP($P219,无限模式!$A$52:$X$71,15,FALSE)="","",VLOOKUP($P219,无限模式!$A$52:$X$71,17,FALSE))</f>
        <v/>
      </c>
      <c r="K219" s="102" t="str">
        <f t="shared" si="51"/>
        <v/>
      </c>
      <c r="L219" s="102" t="str">
        <f>IF(VLOOKUP($P219,无限模式!$A$52:$X$71,15,FALSE)="","","Monster_Season2_Infinite_"&amp;P219&amp;"_3")</f>
        <v/>
      </c>
      <c r="M219" s="57" t="str">
        <f t="shared" si="52"/>
        <v/>
      </c>
      <c r="O219" s="102" t="str">
        <f>IF(VLOOKUP($P219,无限模式!$A$52:$X$71,15,FALSE)="","",VLOOKUP($P219,无限模式!$A$52:$X$71,19,FALSE))</f>
        <v/>
      </c>
      <c r="P219" s="110">
        <f t="shared" si="53"/>
        <v>9</v>
      </c>
      <c r="Q219" s="110">
        <v>3</v>
      </c>
    </row>
    <row r="220" spans="2:17" x14ac:dyDescent="0.2">
      <c r="D220" s="57" t="str">
        <f t="shared" si="54"/>
        <v/>
      </c>
      <c r="F220" s="57" t="str">
        <f t="shared" si="48"/>
        <v/>
      </c>
      <c r="G220" s="102" t="str">
        <f t="shared" si="49"/>
        <v/>
      </c>
      <c r="H220" s="57" t="str">
        <f t="shared" si="50"/>
        <v/>
      </c>
      <c r="I220" s="102" t="str">
        <f>IF(VLOOKUP($P220,无限模式!$A$52:$X$71,20,FALSE)="","",VLOOKUP($P220,无限模式!$A$52:$X$71,21,FALSE))</f>
        <v/>
      </c>
      <c r="J220" s="102" t="str">
        <f>IF(VLOOKUP($P220,无限模式!$A$52:$X$71,20,FALSE)="","",VLOOKUP($P220,无限模式!$A$52:$X$71,22,FALSE))</f>
        <v/>
      </c>
      <c r="K220" s="102" t="str">
        <f t="shared" si="51"/>
        <v/>
      </c>
      <c r="L220" s="102" t="str">
        <f>IF(VLOOKUP($P220,无限模式!$A$52:$X$71,20,FALSE)="","","Monster_Season2_Infinite_"&amp;P220&amp;"_4")</f>
        <v/>
      </c>
      <c r="M220" s="57" t="str">
        <f t="shared" si="52"/>
        <v/>
      </c>
      <c r="O220" s="102" t="str">
        <f>IF(VLOOKUP($P220,无限模式!$A$52:$X$71,20,FALSE)="","",VLOOKUP($P220,无限模式!$A$52:$X$71,24,FALSE))</f>
        <v/>
      </c>
      <c r="P220" s="110">
        <f t="shared" si="53"/>
        <v>9</v>
      </c>
      <c r="Q220" s="110">
        <v>4</v>
      </c>
    </row>
    <row r="221" spans="2:17" x14ac:dyDescent="0.2">
      <c r="B221" s="57" t="s">
        <v>3138</v>
      </c>
      <c r="C221" s="57">
        <v>10</v>
      </c>
      <c r="D221" s="57" t="str">
        <f t="shared" si="54"/>
        <v>赛季2无限模式第10波</v>
      </c>
      <c r="F221" s="57">
        <f t="shared" si="48"/>
        <v>0</v>
      </c>
      <c r="G221" s="102">
        <f t="shared" si="49"/>
        <v>180</v>
      </c>
      <c r="H221" s="57">
        <f t="shared" si="50"/>
        <v>0</v>
      </c>
      <c r="I221" s="102">
        <f>IF(VLOOKUP($P221,无限模式!$A$52:$X$71,5,FALSE)="","",VLOOKUP($P221,无限模式!$A$52:$X$71,6,FALSE))</f>
        <v>3</v>
      </c>
      <c r="J221" s="102">
        <f>IF(VLOOKUP($P221,无限模式!$A$52:$X$71,5,FALSE)="","",VLOOKUP($P221,无限模式!$A$52:$X$71,7,FALSE))</f>
        <v>6</v>
      </c>
      <c r="K221" s="102">
        <f t="shared" si="51"/>
        <v>1</v>
      </c>
      <c r="L221" s="102" t="str">
        <f>IF(VLOOKUP($P221,无限模式!$A$52:$X$71,5,FALSE)="","","Monster_Season2_Infinite_"&amp;P221&amp;"_1")</f>
        <v>Monster_Season2_Infinite_10_1</v>
      </c>
      <c r="M221" s="57">
        <f t="shared" si="52"/>
        <v>1</v>
      </c>
      <c r="O221" s="102">
        <f>IF(VLOOKUP($P221,无限模式!$A$52:$X$71,5,FALSE)="","",VLOOKUP($P221,无限模式!$A$52:$X$71,9,FALSE))</f>
        <v>88</v>
      </c>
      <c r="P221" s="110">
        <f t="shared" si="53"/>
        <v>10</v>
      </c>
      <c r="Q221" s="110">
        <v>1</v>
      </c>
    </row>
    <row r="222" spans="2:17" x14ac:dyDescent="0.2">
      <c r="D222" s="57" t="str">
        <f t="shared" si="54"/>
        <v/>
      </c>
      <c r="F222" s="57" t="str">
        <f t="shared" si="48"/>
        <v/>
      </c>
      <c r="G222" s="102" t="str">
        <f t="shared" si="49"/>
        <v/>
      </c>
      <c r="H222" s="57">
        <f t="shared" si="50"/>
        <v>0</v>
      </c>
      <c r="I222" s="102">
        <f>IF(VLOOKUP($P222,无限模式!$A$52:$X$71,10,FALSE)="","",VLOOKUP($P222,无限模式!$A$52:$X$71,11,FALSE))</f>
        <v>6</v>
      </c>
      <c r="J222" s="102">
        <f>IF(VLOOKUP($P222,无限模式!$A$52:$X$71,10,FALSE)="","",VLOOKUP($P222,无限模式!$A$52:$X$71,12,FALSE))</f>
        <v>3</v>
      </c>
      <c r="K222" s="102">
        <f t="shared" si="51"/>
        <v>1</v>
      </c>
      <c r="L222" s="102" t="str">
        <f>IF(VLOOKUP($P222,无限模式!$A$52:$X$71,10,FALSE)="","","Monster_Season2_Infinite_"&amp;P222&amp;"_2")</f>
        <v>Monster_Season2_Infinite_10_2</v>
      </c>
      <c r="M222" s="57">
        <f t="shared" si="52"/>
        <v>1</v>
      </c>
      <c r="O222" s="102">
        <f>IF(VLOOKUP($P222,无限模式!$A$52:$X$71,10,FALSE)="","",VLOOKUP($P222,无限模式!$A$52:$X$71,14,FALSE))</f>
        <v>6</v>
      </c>
      <c r="P222" s="110">
        <f t="shared" si="53"/>
        <v>10</v>
      </c>
      <c r="Q222" s="110">
        <v>2</v>
      </c>
    </row>
    <row r="223" spans="2:17" x14ac:dyDescent="0.2">
      <c r="D223" s="57" t="str">
        <f t="shared" si="54"/>
        <v/>
      </c>
      <c r="F223" s="57" t="str">
        <f t="shared" si="48"/>
        <v/>
      </c>
      <c r="G223" s="102" t="str">
        <f t="shared" si="49"/>
        <v/>
      </c>
      <c r="H223" s="57" t="str">
        <f t="shared" si="50"/>
        <v/>
      </c>
      <c r="I223" s="102" t="str">
        <f>IF(VLOOKUP($P223,无限模式!$A$52:$X$71,15,FALSE)="","",VLOOKUP(P223,无限模式!$A$52:$X$71,16,FALSE))</f>
        <v/>
      </c>
      <c r="J223" s="102" t="str">
        <f>IF(VLOOKUP($P223,无限模式!$A$52:$X$71,15,FALSE)="","",VLOOKUP($P223,无限模式!$A$52:$X$71,17,FALSE))</f>
        <v/>
      </c>
      <c r="K223" s="102" t="str">
        <f t="shared" si="51"/>
        <v/>
      </c>
      <c r="L223" s="102" t="str">
        <f>IF(VLOOKUP($P223,无限模式!$A$52:$X$71,15,FALSE)="","","Monster_Season2_Infinite_"&amp;P223&amp;"_3")</f>
        <v/>
      </c>
      <c r="M223" s="57" t="str">
        <f t="shared" si="52"/>
        <v/>
      </c>
      <c r="O223" s="102" t="str">
        <f>IF(VLOOKUP($P223,无限模式!$A$52:$X$71,15,FALSE)="","",VLOOKUP($P223,无限模式!$A$52:$X$71,19,FALSE))</f>
        <v/>
      </c>
      <c r="P223" s="110">
        <f t="shared" si="53"/>
        <v>10</v>
      </c>
      <c r="Q223" s="110">
        <v>3</v>
      </c>
    </row>
    <row r="224" spans="2:17" x14ac:dyDescent="0.2">
      <c r="D224" s="57" t="str">
        <f t="shared" si="54"/>
        <v/>
      </c>
      <c r="F224" s="57" t="str">
        <f t="shared" si="48"/>
        <v/>
      </c>
      <c r="G224" s="102" t="str">
        <f t="shared" si="49"/>
        <v/>
      </c>
      <c r="H224" s="57" t="str">
        <f t="shared" si="50"/>
        <v/>
      </c>
      <c r="I224" s="102" t="str">
        <f>IF(VLOOKUP($P224,无限模式!$A$52:$X$71,20,FALSE)="","",VLOOKUP($P224,无限模式!$A$52:$X$71,21,FALSE))</f>
        <v/>
      </c>
      <c r="J224" s="102" t="str">
        <f>IF(VLOOKUP($P224,无限模式!$A$52:$X$71,20,FALSE)="","",VLOOKUP($P224,无限模式!$A$52:$X$71,22,FALSE))</f>
        <v/>
      </c>
      <c r="K224" s="102" t="str">
        <f t="shared" si="51"/>
        <v/>
      </c>
      <c r="L224" s="102" t="str">
        <f>IF(VLOOKUP($P224,无限模式!$A$52:$X$71,20,FALSE)="","","Monster_Season2_Infinite_"&amp;P224&amp;"_4")</f>
        <v/>
      </c>
      <c r="M224" s="57" t="str">
        <f t="shared" si="52"/>
        <v/>
      </c>
      <c r="O224" s="102" t="str">
        <f>IF(VLOOKUP($P224,无限模式!$A$52:$X$71,20,FALSE)="","",VLOOKUP($P224,无限模式!$A$52:$X$71,24,FALSE))</f>
        <v/>
      </c>
      <c r="P224" s="110">
        <f t="shared" si="53"/>
        <v>10</v>
      </c>
      <c r="Q224" s="110">
        <v>4</v>
      </c>
    </row>
    <row r="225" spans="2:17" x14ac:dyDescent="0.2">
      <c r="B225" s="57" t="s">
        <v>3138</v>
      </c>
      <c r="C225" s="57">
        <v>11</v>
      </c>
      <c r="D225" s="57" t="str">
        <f t="shared" si="54"/>
        <v>赛季2无限模式第11波</v>
      </c>
      <c r="F225" s="57">
        <f t="shared" si="48"/>
        <v>0</v>
      </c>
      <c r="G225" s="102">
        <f t="shared" si="49"/>
        <v>180</v>
      </c>
      <c r="H225" s="57">
        <f t="shared" si="50"/>
        <v>0</v>
      </c>
      <c r="I225" s="102">
        <f>IF(VLOOKUP($P225,无限模式!$A$52:$X$71,5,FALSE)="","",VLOOKUP($P225,无限模式!$A$52:$X$71,6,FALSE))</f>
        <v>3</v>
      </c>
      <c r="J225" s="102">
        <f>IF(VLOOKUP($P225,无限模式!$A$52:$X$71,5,FALSE)="","",VLOOKUP($P225,无限模式!$A$52:$X$71,7,FALSE))</f>
        <v>6</v>
      </c>
      <c r="K225" s="102">
        <f t="shared" si="51"/>
        <v>1</v>
      </c>
      <c r="L225" s="102" t="str">
        <f>IF(VLOOKUP($P225,无限模式!$A$52:$X$71,5,FALSE)="","","Monster_Season2_Infinite_"&amp;P225&amp;"_1")</f>
        <v>Monster_Season2_Infinite_11_1</v>
      </c>
      <c r="M225" s="57">
        <f t="shared" si="52"/>
        <v>1</v>
      </c>
      <c r="O225" s="102">
        <f>IF(VLOOKUP($P225,无限模式!$A$52:$X$71,5,FALSE)="","",VLOOKUP($P225,无限模式!$A$52:$X$71,9,FALSE))</f>
        <v>90</v>
      </c>
      <c r="P225" s="110">
        <f t="shared" si="53"/>
        <v>11</v>
      </c>
      <c r="Q225" s="110">
        <v>1</v>
      </c>
    </row>
    <row r="226" spans="2:17" x14ac:dyDescent="0.2">
      <c r="D226" s="57" t="str">
        <f t="shared" si="54"/>
        <v/>
      </c>
      <c r="F226" s="57" t="str">
        <f t="shared" si="48"/>
        <v/>
      </c>
      <c r="G226" s="102" t="str">
        <f t="shared" si="49"/>
        <v/>
      </c>
      <c r="H226" s="57">
        <f t="shared" si="50"/>
        <v>0</v>
      </c>
      <c r="I226" s="102">
        <f>IF(VLOOKUP($P226,无限模式!$A$52:$X$71,10,FALSE)="","",VLOOKUP($P226,无限模式!$A$52:$X$71,11,FALSE))</f>
        <v>10</v>
      </c>
      <c r="J226" s="102">
        <f>IF(VLOOKUP($P226,无限模式!$A$52:$X$71,10,FALSE)="","",VLOOKUP($P226,无限模式!$A$52:$X$71,12,FALSE))</f>
        <v>2</v>
      </c>
      <c r="K226" s="102">
        <f t="shared" si="51"/>
        <v>1</v>
      </c>
      <c r="L226" s="102" t="str">
        <f>IF(VLOOKUP($P226,无限模式!$A$52:$X$71,10,FALSE)="","","Monster_Season2_Infinite_"&amp;P226&amp;"_2")</f>
        <v>Monster_Season2_Infinite_11_2</v>
      </c>
      <c r="M226" s="57">
        <f t="shared" si="52"/>
        <v>1</v>
      </c>
      <c r="O226" s="102">
        <f>IF(VLOOKUP($P226,无限模式!$A$52:$X$71,10,FALSE)="","",VLOOKUP($P226,无限模式!$A$52:$X$71,14,FALSE))</f>
        <v>3</v>
      </c>
      <c r="P226" s="110">
        <f t="shared" si="53"/>
        <v>11</v>
      </c>
      <c r="Q226" s="110">
        <v>2</v>
      </c>
    </row>
    <row r="227" spans="2:17" x14ac:dyDescent="0.2">
      <c r="D227" s="57" t="str">
        <f t="shared" si="54"/>
        <v/>
      </c>
      <c r="F227" s="57" t="str">
        <f t="shared" si="48"/>
        <v/>
      </c>
      <c r="G227" s="102" t="str">
        <f t="shared" si="49"/>
        <v/>
      </c>
      <c r="H227" s="57" t="str">
        <f t="shared" si="50"/>
        <v/>
      </c>
      <c r="I227" s="102" t="str">
        <f>IF(VLOOKUP($P227,无限模式!$A$52:$X$71,15,FALSE)="","",VLOOKUP(P227,无限模式!$A$52:$X$71,16,FALSE))</f>
        <v/>
      </c>
      <c r="J227" s="102" t="str">
        <f>IF(VLOOKUP($P227,无限模式!$A$52:$X$71,15,FALSE)="","",VLOOKUP($P227,无限模式!$A$52:$X$71,17,FALSE))</f>
        <v/>
      </c>
      <c r="K227" s="102" t="str">
        <f t="shared" si="51"/>
        <v/>
      </c>
      <c r="L227" s="102" t="str">
        <f>IF(VLOOKUP($P227,无限模式!$A$52:$X$71,15,FALSE)="","","Monster_Season2_Infinite_"&amp;P227&amp;"_3")</f>
        <v/>
      </c>
      <c r="M227" s="57" t="str">
        <f t="shared" si="52"/>
        <v/>
      </c>
      <c r="O227" s="102" t="str">
        <f>IF(VLOOKUP($P227,无限模式!$A$52:$X$71,15,FALSE)="","",VLOOKUP($P227,无限模式!$A$52:$X$71,19,FALSE))</f>
        <v/>
      </c>
      <c r="P227" s="110">
        <f t="shared" si="53"/>
        <v>11</v>
      </c>
      <c r="Q227" s="110">
        <v>3</v>
      </c>
    </row>
    <row r="228" spans="2:17" x14ac:dyDescent="0.2">
      <c r="D228" s="57" t="str">
        <f t="shared" si="54"/>
        <v/>
      </c>
      <c r="F228" s="57" t="str">
        <f t="shared" si="48"/>
        <v/>
      </c>
      <c r="G228" s="102" t="str">
        <f t="shared" si="49"/>
        <v/>
      </c>
      <c r="H228" s="57" t="str">
        <f t="shared" si="50"/>
        <v/>
      </c>
      <c r="I228" s="102" t="str">
        <f>IF(VLOOKUP($P228,无限模式!$A$52:$X$71,20,FALSE)="","",VLOOKUP($P228,无限模式!$A$52:$X$71,21,FALSE))</f>
        <v/>
      </c>
      <c r="J228" s="102" t="str">
        <f>IF(VLOOKUP($P228,无限模式!$A$52:$X$71,20,FALSE)="","",VLOOKUP($P228,无限模式!$A$52:$X$71,22,FALSE))</f>
        <v/>
      </c>
      <c r="K228" s="102" t="str">
        <f t="shared" si="51"/>
        <v/>
      </c>
      <c r="L228" s="102" t="str">
        <f>IF(VLOOKUP($P228,无限模式!$A$52:$X$71,20,FALSE)="","","Monster_Season2_Infinite_"&amp;P228&amp;"_4")</f>
        <v/>
      </c>
      <c r="M228" s="57" t="str">
        <f t="shared" si="52"/>
        <v/>
      </c>
      <c r="O228" s="102" t="str">
        <f>IF(VLOOKUP($P228,无限模式!$A$52:$X$71,20,FALSE)="","",VLOOKUP($P228,无限模式!$A$52:$X$71,24,FALSE))</f>
        <v/>
      </c>
      <c r="P228" s="110">
        <f t="shared" si="53"/>
        <v>11</v>
      </c>
      <c r="Q228" s="110">
        <v>4</v>
      </c>
    </row>
    <row r="229" spans="2:17" x14ac:dyDescent="0.2">
      <c r="B229" s="57" t="s">
        <v>3138</v>
      </c>
      <c r="C229" s="57">
        <v>12</v>
      </c>
      <c r="D229" s="57" t="str">
        <f t="shared" si="54"/>
        <v>赛季2无限模式第12波</v>
      </c>
      <c r="F229" s="57">
        <f t="shared" si="48"/>
        <v>0</v>
      </c>
      <c r="G229" s="102">
        <f t="shared" si="49"/>
        <v>180</v>
      </c>
      <c r="H229" s="57">
        <f t="shared" si="50"/>
        <v>0</v>
      </c>
      <c r="I229" s="102">
        <f>IF(VLOOKUP($P229,无限模式!$A$52:$X$71,5,FALSE)="","",VLOOKUP($P229,无限模式!$A$52:$X$71,6,FALSE))</f>
        <v>4</v>
      </c>
      <c r="J229" s="102">
        <f>IF(VLOOKUP($P229,无限模式!$A$52:$X$71,5,FALSE)="","",VLOOKUP($P229,无限模式!$A$52:$X$71,7,FALSE))</f>
        <v>6</v>
      </c>
      <c r="K229" s="102">
        <f t="shared" si="51"/>
        <v>1</v>
      </c>
      <c r="L229" s="102" t="str">
        <f>IF(VLOOKUP($P229,无限模式!$A$52:$X$71,5,FALSE)="","","Monster_Season2_Infinite_"&amp;P229&amp;"_1")</f>
        <v>Monster_Season2_Infinite_12_1</v>
      </c>
      <c r="M229" s="57">
        <f t="shared" si="52"/>
        <v>1</v>
      </c>
      <c r="O229" s="102">
        <f>IF(VLOOKUP($P229,无限模式!$A$52:$X$71,5,FALSE)="","",VLOOKUP($P229,无限模式!$A$52:$X$71,9,FALSE))</f>
        <v>52</v>
      </c>
      <c r="P229" s="110">
        <f t="shared" si="53"/>
        <v>12</v>
      </c>
      <c r="Q229" s="110">
        <v>1</v>
      </c>
    </row>
    <row r="230" spans="2:17" x14ac:dyDescent="0.2">
      <c r="D230" s="57" t="str">
        <f t="shared" si="54"/>
        <v/>
      </c>
      <c r="F230" s="57" t="str">
        <f t="shared" si="48"/>
        <v/>
      </c>
      <c r="G230" s="102" t="str">
        <f t="shared" si="49"/>
        <v/>
      </c>
      <c r="H230" s="57">
        <f t="shared" si="50"/>
        <v>0</v>
      </c>
      <c r="I230" s="102">
        <f>IF(VLOOKUP($P230,无限模式!$A$52:$X$71,10,FALSE)="","",VLOOKUP($P230,无限模式!$A$52:$X$71,11,FALSE))</f>
        <v>7</v>
      </c>
      <c r="J230" s="102">
        <f>IF(VLOOKUP($P230,无限模式!$A$52:$X$71,10,FALSE)="","",VLOOKUP($P230,无限模式!$A$52:$X$71,12,FALSE))</f>
        <v>3</v>
      </c>
      <c r="K230" s="102">
        <f t="shared" si="51"/>
        <v>1</v>
      </c>
      <c r="L230" s="102" t="str">
        <f>IF(VLOOKUP($P230,无限模式!$A$52:$X$71,10,FALSE)="","","Monster_Season2_Infinite_"&amp;P230&amp;"_2")</f>
        <v>Monster_Season2_Infinite_12_2</v>
      </c>
      <c r="M230" s="57">
        <f t="shared" si="52"/>
        <v>1</v>
      </c>
      <c r="O230" s="102">
        <f>IF(VLOOKUP($P230,无限模式!$A$52:$X$71,10,FALSE)="","",VLOOKUP($P230,无限模式!$A$52:$X$71,14,FALSE))</f>
        <v>3</v>
      </c>
      <c r="P230" s="110">
        <f t="shared" si="53"/>
        <v>12</v>
      </c>
      <c r="Q230" s="110">
        <v>2</v>
      </c>
    </row>
    <row r="231" spans="2:17" x14ac:dyDescent="0.2">
      <c r="D231" s="57" t="str">
        <f t="shared" si="54"/>
        <v/>
      </c>
      <c r="F231" s="57" t="str">
        <f t="shared" si="48"/>
        <v/>
      </c>
      <c r="G231" s="102" t="str">
        <f t="shared" si="49"/>
        <v/>
      </c>
      <c r="H231" s="57">
        <f t="shared" si="50"/>
        <v>0</v>
      </c>
      <c r="I231" s="102">
        <f>IF(VLOOKUP($P231,无限模式!$A$52:$X$71,15,FALSE)="","",VLOOKUP(P231,无限模式!$A$52:$X$71,16,FALSE))</f>
        <v>1</v>
      </c>
      <c r="J231" s="102">
        <f>IF(VLOOKUP($P231,无限模式!$A$52:$X$71,15,FALSE)="","",VLOOKUP($P231,无限模式!$A$52:$X$71,17,FALSE))</f>
        <v>0</v>
      </c>
      <c r="K231" s="102">
        <f t="shared" si="51"/>
        <v>1</v>
      </c>
      <c r="L231" s="102" t="str">
        <f>IF(VLOOKUP($P231,无限模式!$A$52:$X$71,15,FALSE)="","","Monster_Season2_Infinite_"&amp;P231&amp;"_3")</f>
        <v>Monster_Season2_Infinite_12_3</v>
      </c>
      <c r="M231" s="57">
        <f t="shared" si="52"/>
        <v>1</v>
      </c>
      <c r="O231" s="102">
        <f>IF(VLOOKUP($P231,无限模式!$A$52:$X$71,15,FALSE)="","",VLOOKUP($P231,无限模式!$A$52:$X$71,19,FALSE))</f>
        <v>69</v>
      </c>
      <c r="P231" s="110">
        <f t="shared" si="53"/>
        <v>12</v>
      </c>
      <c r="Q231" s="110">
        <v>3</v>
      </c>
    </row>
    <row r="232" spans="2:17" x14ac:dyDescent="0.2">
      <c r="D232" s="57" t="str">
        <f t="shared" si="54"/>
        <v/>
      </c>
      <c r="F232" s="57" t="str">
        <f t="shared" si="48"/>
        <v/>
      </c>
      <c r="G232" s="102" t="str">
        <f t="shared" si="49"/>
        <v/>
      </c>
      <c r="H232" s="57" t="str">
        <f t="shared" si="50"/>
        <v/>
      </c>
      <c r="I232" s="102" t="str">
        <f>IF(VLOOKUP($P232,无限模式!$A$52:$X$71,20,FALSE)="","",VLOOKUP($P232,无限模式!$A$52:$X$71,21,FALSE))</f>
        <v/>
      </c>
      <c r="J232" s="102" t="str">
        <f>IF(VLOOKUP($P232,无限模式!$A$52:$X$71,20,FALSE)="","",VLOOKUP($P232,无限模式!$A$52:$X$71,22,FALSE))</f>
        <v/>
      </c>
      <c r="K232" s="102" t="str">
        <f t="shared" si="51"/>
        <v/>
      </c>
      <c r="L232" s="102" t="str">
        <f>IF(VLOOKUP($P232,无限模式!$A$52:$X$71,20,FALSE)="","","Monster_Season2_Infinite_"&amp;P232&amp;"_4")</f>
        <v/>
      </c>
      <c r="M232" s="57" t="str">
        <f t="shared" si="52"/>
        <v/>
      </c>
      <c r="O232" s="102" t="str">
        <f>IF(VLOOKUP($P232,无限模式!$A$52:$X$71,20,FALSE)="","",VLOOKUP($P232,无限模式!$A$52:$X$71,24,FALSE))</f>
        <v/>
      </c>
      <c r="P232" s="110">
        <f t="shared" si="53"/>
        <v>12</v>
      </c>
      <c r="Q232" s="110">
        <v>4</v>
      </c>
    </row>
    <row r="233" spans="2:17" x14ac:dyDescent="0.2">
      <c r="B233" s="57" t="s">
        <v>3138</v>
      </c>
      <c r="C233" s="57">
        <v>13</v>
      </c>
      <c r="D233" s="57" t="str">
        <f t="shared" si="54"/>
        <v>赛季2无限模式第13波</v>
      </c>
      <c r="F233" s="57">
        <f t="shared" si="48"/>
        <v>0</v>
      </c>
      <c r="G233" s="102">
        <f t="shared" si="49"/>
        <v>180</v>
      </c>
      <c r="H233" s="57">
        <f t="shared" si="50"/>
        <v>0</v>
      </c>
      <c r="I233" s="102">
        <f>IF(VLOOKUP($P233,无限模式!$A$52:$X$71,5,FALSE)="","",VLOOKUP($P233,无限模式!$A$52:$X$71,6,FALSE))</f>
        <v>15</v>
      </c>
      <c r="J233" s="102">
        <f>IF(VLOOKUP($P233,无限模式!$A$52:$X$71,5,FALSE)="","",VLOOKUP($P233,无限模式!$A$52:$X$71,7,FALSE))</f>
        <v>1.5</v>
      </c>
      <c r="K233" s="102">
        <f t="shared" si="51"/>
        <v>1</v>
      </c>
      <c r="L233" s="102" t="str">
        <f>IF(VLOOKUP($P233,无限模式!$A$52:$X$71,5,FALSE)="","","Monster_Season2_Infinite_"&amp;P233&amp;"_1")</f>
        <v>Monster_Season2_Infinite_13_1</v>
      </c>
      <c r="M233" s="57">
        <f t="shared" si="52"/>
        <v>1</v>
      </c>
      <c r="O233" s="102">
        <f>IF(VLOOKUP($P233,无限模式!$A$52:$X$71,5,FALSE)="","",VLOOKUP($P233,无限模式!$A$52:$X$71,9,FALSE))</f>
        <v>20</v>
      </c>
      <c r="P233" s="110">
        <f t="shared" si="53"/>
        <v>13</v>
      </c>
      <c r="Q233" s="110">
        <v>1</v>
      </c>
    </row>
    <row r="234" spans="2:17" x14ac:dyDescent="0.2">
      <c r="D234" s="57" t="str">
        <f t="shared" si="54"/>
        <v/>
      </c>
      <c r="F234" s="57" t="str">
        <f t="shared" si="48"/>
        <v/>
      </c>
      <c r="G234" s="102" t="str">
        <f t="shared" si="49"/>
        <v/>
      </c>
      <c r="H234" s="57" t="str">
        <f t="shared" si="50"/>
        <v/>
      </c>
      <c r="I234" s="102" t="str">
        <f>IF(VLOOKUP($P234,无限模式!$A$52:$X$71,10,FALSE)="","",VLOOKUP($P234,无限模式!$A$52:$X$71,11,FALSE))</f>
        <v/>
      </c>
      <c r="J234" s="102" t="str">
        <f>IF(VLOOKUP($P234,无限模式!$A$52:$X$71,10,FALSE)="","",VLOOKUP($P234,无限模式!$A$52:$X$71,12,FALSE))</f>
        <v/>
      </c>
      <c r="K234" s="102" t="str">
        <f t="shared" si="51"/>
        <v/>
      </c>
      <c r="L234" s="102" t="str">
        <f>IF(VLOOKUP($P234,无限模式!$A$52:$X$71,10,FALSE)="","","Monster_Season2_Infinite_"&amp;P234&amp;"_2")</f>
        <v/>
      </c>
      <c r="M234" s="57" t="str">
        <f t="shared" si="52"/>
        <v/>
      </c>
      <c r="O234" s="102" t="str">
        <f>IF(VLOOKUP($P234,无限模式!$A$52:$X$71,10,FALSE)="","",VLOOKUP($P234,无限模式!$A$52:$X$71,14,FALSE))</f>
        <v/>
      </c>
      <c r="P234" s="110">
        <f t="shared" si="53"/>
        <v>13</v>
      </c>
      <c r="Q234" s="110">
        <v>2</v>
      </c>
    </row>
    <row r="235" spans="2:17" x14ac:dyDescent="0.2">
      <c r="D235" s="57" t="str">
        <f t="shared" si="54"/>
        <v/>
      </c>
      <c r="F235" s="57" t="str">
        <f t="shared" si="48"/>
        <v/>
      </c>
      <c r="G235" s="102" t="str">
        <f t="shared" si="49"/>
        <v/>
      </c>
      <c r="H235" s="57" t="str">
        <f t="shared" si="50"/>
        <v/>
      </c>
      <c r="I235" s="102" t="str">
        <f>IF(VLOOKUP($P235,无限模式!$A$52:$X$71,15,FALSE)="","",VLOOKUP(P235,无限模式!$A$52:$X$71,16,FALSE))</f>
        <v/>
      </c>
      <c r="J235" s="102" t="str">
        <f>IF(VLOOKUP($P235,无限模式!$A$52:$X$71,15,FALSE)="","",VLOOKUP($P235,无限模式!$A$52:$X$71,17,FALSE))</f>
        <v/>
      </c>
      <c r="K235" s="102" t="str">
        <f t="shared" si="51"/>
        <v/>
      </c>
      <c r="L235" s="102" t="str">
        <f>IF(VLOOKUP($P235,无限模式!$A$52:$X$71,15,FALSE)="","","Monster_Season2_Infinite_"&amp;P235&amp;"_3")</f>
        <v/>
      </c>
      <c r="M235" s="57" t="str">
        <f t="shared" si="52"/>
        <v/>
      </c>
      <c r="O235" s="102" t="str">
        <f>IF(VLOOKUP($P235,无限模式!$A$52:$X$71,15,FALSE)="","",VLOOKUP($P235,无限模式!$A$52:$X$71,19,FALSE))</f>
        <v/>
      </c>
      <c r="P235" s="110">
        <f t="shared" si="53"/>
        <v>13</v>
      </c>
      <c r="Q235" s="110">
        <v>3</v>
      </c>
    </row>
    <row r="236" spans="2:17" x14ac:dyDescent="0.2">
      <c r="D236" s="57" t="str">
        <f t="shared" si="54"/>
        <v/>
      </c>
      <c r="F236" s="57" t="str">
        <f t="shared" si="48"/>
        <v/>
      </c>
      <c r="G236" s="102" t="str">
        <f t="shared" si="49"/>
        <v/>
      </c>
      <c r="H236" s="57" t="str">
        <f t="shared" si="50"/>
        <v/>
      </c>
      <c r="I236" s="102" t="str">
        <f>IF(VLOOKUP($P236,无限模式!$A$52:$X$71,20,FALSE)="","",VLOOKUP($P236,无限模式!$A$52:$X$71,21,FALSE))</f>
        <v/>
      </c>
      <c r="J236" s="102" t="str">
        <f>IF(VLOOKUP($P236,无限模式!$A$52:$X$71,20,FALSE)="","",VLOOKUP($P236,无限模式!$A$52:$X$71,22,FALSE))</f>
        <v/>
      </c>
      <c r="K236" s="102" t="str">
        <f t="shared" si="51"/>
        <v/>
      </c>
      <c r="L236" s="102" t="str">
        <f>IF(VLOOKUP($P236,无限模式!$A$52:$X$71,20,FALSE)="","","Monster_Season2_Infinite_"&amp;P236&amp;"_4")</f>
        <v/>
      </c>
      <c r="M236" s="57" t="str">
        <f t="shared" si="52"/>
        <v/>
      </c>
      <c r="O236" s="102" t="str">
        <f>IF(VLOOKUP($P236,无限模式!$A$52:$X$71,20,FALSE)="","",VLOOKUP($P236,无限模式!$A$52:$X$71,24,FALSE))</f>
        <v/>
      </c>
      <c r="P236" s="110">
        <f t="shared" si="53"/>
        <v>13</v>
      </c>
      <c r="Q236" s="110">
        <v>4</v>
      </c>
    </row>
    <row r="237" spans="2:17" x14ac:dyDescent="0.2">
      <c r="B237" s="57" t="s">
        <v>3138</v>
      </c>
      <c r="C237" s="57">
        <v>14</v>
      </c>
      <c r="D237" s="57" t="str">
        <f t="shared" si="54"/>
        <v>赛季2无限模式第14波</v>
      </c>
      <c r="F237" s="57">
        <f t="shared" si="48"/>
        <v>0</v>
      </c>
      <c r="G237" s="102">
        <f t="shared" si="49"/>
        <v>180</v>
      </c>
      <c r="H237" s="57">
        <f t="shared" si="50"/>
        <v>0</v>
      </c>
      <c r="I237" s="102">
        <f>IF(VLOOKUP($P237,无限模式!$A$52:$X$71,5,FALSE)="","",VLOOKUP($P237,无限模式!$A$52:$X$71,6,FALSE))</f>
        <v>15</v>
      </c>
      <c r="J237" s="102">
        <f>IF(VLOOKUP($P237,无限模式!$A$52:$X$71,5,FALSE)="","",VLOOKUP($P237,无限模式!$A$52:$X$71,7,FALSE))</f>
        <v>1.5</v>
      </c>
      <c r="K237" s="102">
        <f t="shared" si="51"/>
        <v>1</v>
      </c>
      <c r="L237" s="102" t="str">
        <f>IF(VLOOKUP($P237,无限模式!$A$52:$X$71,5,FALSE)="","","Monster_Season2_Infinite_"&amp;P237&amp;"_1")</f>
        <v>Monster_Season2_Infinite_14_1</v>
      </c>
      <c r="M237" s="57">
        <f t="shared" si="52"/>
        <v>1</v>
      </c>
      <c r="O237" s="102">
        <f>IF(VLOOKUP($P237,无限模式!$A$52:$X$71,5,FALSE)="","",VLOOKUP($P237,无限模式!$A$52:$X$71,9,FALSE))</f>
        <v>2</v>
      </c>
      <c r="P237" s="110">
        <f t="shared" si="53"/>
        <v>14</v>
      </c>
      <c r="Q237" s="110">
        <v>1</v>
      </c>
    </row>
    <row r="238" spans="2:17" x14ac:dyDescent="0.2">
      <c r="D238" s="57" t="str">
        <f t="shared" si="54"/>
        <v/>
      </c>
      <c r="F238" s="57" t="str">
        <f t="shared" si="48"/>
        <v/>
      </c>
      <c r="G238" s="102" t="str">
        <f t="shared" si="49"/>
        <v/>
      </c>
      <c r="H238" s="57">
        <f t="shared" si="50"/>
        <v>0</v>
      </c>
      <c r="I238" s="102">
        <f>IF(VLOOKUP($P238,无限模式!$A$52:$X$71,10,FALSE)="","",VLOOKUP($P238,无限模式!$A$52:$X$71,11,FALSE))</f>
        <v>6</v>
      </c>
      <c r="J238" s="102">
        <f>IF(VLOOKUP($P238,无限模式!$A$52:$X$71,10,FALSE)="","",VLOOKUP($P238,无限模式!$A$52:$X$71,12,FALSE))</f>
        <v>4</v>
      </c>
      <c r="K238" s="102">
        <f t="shared" si="51"/>
        <v>1</v>
      </c>
      <c r="L238" s="102" t="str">
        <f>IF(VLOOKUP($P238,无限模式!$A$52:$X$71,10,FALSE)="","","Monster_Season2_Infinite_"&amp;P238&amp;"_2")</f>
        <v>Monster_Season2_Infinite_14_2</v>
      </c>
      <c r="M238" s="57">
        <f t="shared" si="52"/>
        <v>1</v>
      </c>
      <c r="O238" s="102">
        <f>IF(VLOOKUP($P238,无限模式!$A$52:$X$71,10,FALSE)="","",VLOOKUP($P238,无限模式!$A$52:$X$71,14,FALSE))</f>
        <v>46</v>
      </c>
      <c r="P238" s="110">
        <f t="shared" si="53"/>
        <v>14</v>
      </c>
      <c r="Q238" s="110">
        <v>2</v>
      </c>
    </row>
    <row r="239" spans="2:17" x14ac:dyDescent="0.2">
      <c r="D239" s="57" t="str">
        <f t="shared" si="54"/>
        <v/>
      </c>
      <c r="F239" s="57" t="str">
        <f t="shared" si="48"/>
        <v/>
      </c>
      <c r="G239" s="102" t="str">
        <f t="shared" si="49"/>
        <v/>
      </c>
      <c r="H239" s="57" t="str">
        <f t="shared" si="50"/>
        <v/>
      </c>
      <c r="I239" s="102" t="str">
        <f>IF(VLOOKUP($P239,无限模式!$A$52:$X$71,15,FALSE)="","",VLOOKUP(P239,无限模式!$A$52:$X$71,16,FALSE))</f>
        <v/>
      </c>
      <c r="J239" s="102" t="str">
        <f>IF(VLOOKUP($P239,无限模式!$A$52:$X$71,15,FALSE)="","",VLOOKUP($P239,无限模式!$A$52:$X$71,17,FALSE))</f>
        <v/>
      </c>
      <c r="K239" s="102" t="str">
        <f t="shared" si="51"/>
        <v/>
      </c>
      <c r="L239" s="102" t="str">
        <f>IF(VLOOKUP($P239,无限模式!$A$52:$X$71,15,FALSE)="","","Monster_Season2_Infinite_"&amp;P239&amp;"_3")</f>
        <v/>
      </c>
      <c r="M239" s="57" t="str">
        <f t="shared" si="52"/>
        <v/>
      </c>
      <c r="O239" s="102" t="str">
        <f>IF(VLOOKUP($P239,无限模式!$A$52:$X$71,15,FALSE)="","",VLOOKUP($P239,无限模式!$A$52:$X$71,19,FALSE))</f>
        <v/>
      </c>
      <c r="P239" s="110">
        <f t="shared" si="53"/>
        <v>14</v>
      </c>
      <c r="Q239" s="110">
        <v>3</v>
      </c>
    </row>
    <row r="240" spans="2:17" x14ac:dyDescent="0.2">
      <c r="D240" s="57" t="str">
        <f t="shared" si="54"/>
        <v/>
      </c>
      <c r="F240" s="57" t="str">
        <f t="shared" si="48"/>
        <v/>
      </c>
      <c r="G240" s="102" t="str">
        <f t="shared" si="49"/>
        <v/>
      </c>
      <c r="H240" s="57" t="str">
        <f t="shared" si="50"/>
        <v/>
      </c>
      <c r="I240" s="102" t="str">
        <f>IF(VLOOKUP($P240,无限模式!$A$52:$X$71,20,FALSE)="","",VLOOKUP($P240,无限模式!$A$52:$X$71,21,FALSE))</f>
        <v/>
      </c>
      <c r="J240" s="102" t="str">
        <f>IF(VLOOKUP($P240,无限模式!$A$52:$X$71,20,FALSE)="","",VLOOKUP($P240,无限模式!$A$52:$X$71,22,FALSE))</f>
        <v/>
      </c>
      <c r="K240" s="102" t="str">
        <f t="shared" si="51"/>
        <v/>
      </c>
      <c r="L240" s="102" t="str">
        <f>IF(VLOOKUP($P240,无限模式!$A$52:$X$71,20,FALSE)="","","Monster_Season2_Infinite_"&amp;P240&amp;"_4")</f>
        <v/>
      </c>
      <c r="M240" s="57" t="str">
        <f t="shared" si="52"/>
        <v/>
      </c>
      <c r="O240" s="102" t="str">
        <f>IF(VLOOKUP($P240,无限模式!$A$52:$X$71,20,FALSE)="","",VLOOKUP($P240,无限模式!$A$52:$X$71,24,FALSE))</f>
        <v/>
      </c>
      <c r="P240" s="110">
        <f t="shared" si="53"/>
        <v>14</v>
      </c>
      <c r="Q240" s="110">
        <v>4</v>
      </c>
    </row>
    <row r="241" spans="2:17" x14ac:dyDescent="0.2">
      <c r="B241" s="57" t="s">
        <v>3138</v>
      </c>
      <c r="C241" s="57">
        <v>15</v>
      </c>
      <c r="D241" s="57" t="str">
        <f t="shared" si="54"/>
        <v>赛季2无限模式第15波</v>
      </c>
      <c r="F241" s="57">
        <f t="shared" si="48"/>
        <v>0</v>
      </c>
      <c r="G241" s="102">
        <f t="shared" si="49"/>
        <v>180</v>
      </c>
      <c r="H241" s="57">
        <f t="shared" si="50"/>
        <v>0</v>
      </c>
      <c r="I241" s="102">
        <f>IF(VLOOKUP($P241,无限模式!$A$52:$X$71,5,FALSE)="","",VLOOKUP($P241,无限模式!$A$52:$X$71,6,FALSE))</f>
        <v>48</v>
      </c>
      <c r="J241" s="102">
        <f>IF(VLOOKUP($P241,无限模式!$A$52:$X$71,5,FALSE)="","",VLOOKUP($P241,无限模式!$A$52:$X$71,7,FALSE))</f>
        <v>0.5</v>
      </c>
      <c r="K241" s="102">
        <f t="shared" si="51"/>
        <v>1</v>
      </c>
      <c r="L241" s="102" t="str">
        <f>IF(VLOOKUP($P241,无限模式!$A$52:$X$71,5,FALSE)="","","Monster_Season2_Infinite_"&amp;P241&amp;"_1")</f>
        <v>Monster_Season2_Infinite_15_1</v>
      </c>
      <c r="M241" s="57">
        <f t="shared" si="52"/>
        <v>1</v>
      </c>
      <c r="O241" s="102">
        <f>IF(VLOOKUP($P241,无限模式!$A$52:$X$71,5,FALSE)="","",VLOOKUP($P241,无限模式!$A$52:$X$71,9,FALSE))</f>
        <v>4</v>
      </c>
      <c r="P241" s="110">
        <f t="shared" si="53"/>
        <v>15</v>
      </c>
      <c r="Q241" s="110">
        <v>1</v>
      </c>
    </row>
    <row r="242" spans="2:17" x14ac:dyDescent="0.2">
      <c r="D242" s="57" t="str">
        <f t="shared" si="54"/>
        <v/>
      </c>
      <c r="F242" s="57" t="str">
        <f t="shared" si="48"/>
        <v/>
      </c>
      <c r="G242" s="102" t="str">
        <f t="shared" si="49"/>
        <v/>
      </c>
      <c r="H242" s="57">
        <f t="shared" si="50"/>
        <v>0</v>
      </c>
      <c r="I242" s="102">
        <f>IF(VLOOKUP($P242,无限模式!$A$52:$X$71,10,FALSE)="","",VLOOKUP($P242,无限模式!$A$52:$X$71,11,FALSE))</f>
        <v>12</v>
      </c>
      <c r="J242" s="102">
        <f>IF(VLOOKUP($P242,无限模式!$A$52:$X$71,10,FALSE)="","",VLOOKUP($P242,无限模式!$A$52:$X$71,12,FALSE))</f>
        <v>2</v>
      </c>
      <c r="K242" s="102">
        <f t="shared" si="51"/>
        <v>1</v>
      </c>
      <c r="L242" s="102" t="str">
        <f>IF(VLOOKUP($P242,无限模式!$A$52:$X$71,10,FALSE)="","","Monster_Season2_Infinite_"&amp;P242&amp;"_2")</f>
        <v>Monster_Season2_Infinite_15_2</v>
      </c>
      <c r="M242" s="57">
        <f t="shared" si="52"/>
        <v>1</v>
      </c>
      <c r="O242" s="102">
        <f>IF(VLOOKUP($P242,无限模式!$A$52:$X$71,10,FALSE)="","",VLOOKUP($P242,无限模式!$A$52:$X$71,14,FALSE))</f>
        <v>8</v>
      </c>
      <c r="P242" s="110">
        <f t="shared" si="53"/>
        <v>15</v>
      </c>
      <c r="Q242" s="110">
        <v>2</v>
      </c>
    </row>
    <row r="243" spans="2:17" x14ac:dyDescent="0.2">
      <c r="D243" s="57" t="str">
        <f t="shared" si="54"/>
        <v/>
      </c>
      <c r="F243" s="57" t="str">
        <f t="shared" si="48"/>
        <v/>
      </c>
      <c r="G243" s="102" t="str">
        <f t="shared" si="49"/>
        <v/>
      </c>
      <c r="H243" s="57" t="str">
        <f t="shared" si="50"/>
        <v/>
      </c>
      <c r="I243" s="102" t="str">
        <f>IF(VLOOKUP($P243,无限模式!$A$52:$X$71,15,FALSE)="","",VLOOKUP(P243,无限模式!$A$52:$X$71,16,FALSE))</f>
        <v/>
      </c>
      <c r="J243" s="102" t="str">
        <f>IF(VLOOKUP($P243,无限模式!$A$52:$X$71,15,FALSE)="","",VLOOKUP($P243,无限模式!$A$52:$X$71,17,FALSE))</f>
        <v/>
      </c>
      <c r="K243" s="102" t="str">
        <f t="shared" si="51"/>
        <v/>
      </c>
      <c r="L243" s="102" t="str">
        <f>IF(VLOOKUP($P243,无限模式!$A$52:$X$71,15,FALSE)="","","Monster_Season2_Infinite_"&amp;P243&amp;"_3")</f>
        <v/>
      </c>
      <c r="M243" s="57" t="str">
        <f t="shared" si="52"/>
        <v/>
      </c>
      <c r="O243" s="102" t="str">
        <f>IF(VLOOKUP($P243,无限模式!$A$52:$X$71,15,FALSE)="","",VLOOKUP($P243,无限模式!$A$52:$X$71,19,FALSE))</f>
        <v/>
      </c>
      <c r="P243" s="110">
        <f t="shared" si="53"/>
        <v>15</v>
      </c>
      <c r="Q243" s="110">
        <v>3</v>
      </c>
    </row>
    <row r="244" spans="2:17" x14ac:dyDescent="0.2">
      <c r="D244" s="57" t="str">
        <f t="shared" si="54"/>
        <v/>
      </c>
      <c r="F244" s="57" t="str">
        <f t="shared" si="48"/>
        <v/>
      </c>
      <c r="G244" s="102" t="str">
        <f t="shared" si="49"/>
        <v/>
      </c>
      <c r="H244" s="57" t="str">
        <f t="shared" si="50"/>
        <v/>
      </c>
      <c r="I244" s="102" t="str">
        <f>IF(VLOOKUP($P244,无限模式!$A$52:$X$71,20,FALSE)="","",VLOOKUP($P244,无限模式!$A$52:$X$71,21,FALSE))</f>
        <v/>
      </c>
      <c r="J244" s="102" t="str">
        <f>IF(VLOOKUP($P244,无限模式!$A$52:$X$71,20,FALSE)="","",VLOOKUP($P244,无限模式!$A$52:$X$71,22,FALSE))</f>
        <v/>
      </c>
      <c r="K244" s="102" t="str">
        <f t="shared" si="51"/>
        <v/>
      </c>
      <c r="L244" s="102" t="str">
        <f>IF(VLOOKUP($P244,无限模式!$A$52:$X$71,20,FALSE)="","","Monster_Season2_Infinite_"&amp;P244&amp;"_4")</f>
        <v/>
      </c>
      <c r="M244" s="57" t="str">
        <f t="shared" si="52"/>
        <v/>
      </c>
      <c r="O244" s="102" t="str">
        <f>IF(VLOOKUP($P244,无限模式!$A$52:$X$71,20,FALSE)="","",VLOOKUP($P244,无限模式!$A$52:$X$71,24,FALSE))</f>
        <v/>
      </c>
      <c r="P244" s="110">
        <f t="shared" si="53"/>
        <v>15</v>
      </c>
      <c r="Q244" s="110">
        <v>4</v>
      </c>
    </row>
    <row r="245" spans="2:17" x14ac:dyDescent="0.2">
      <c r="B245" s="57" t="s">
        <v>3138</v>
      </c>
      <c r="C245" s="57">
        <v>16</v>
      </c>
      <c r="D245" s="57" t="str">
        <f t="shared" si="54"/>
        <v>赛季2无限模式第16波</v>
      </c>
      <c r="F245" s="57">
        <f t="shared" si="48"/>
        <v>0</v>
      </c>
      <c r="G245" s="102">
        <f t="shared" si="49"/>
        <v>180</v>
      </c>
      <c r="H245" s="57">
        <f t="shared" si="50"/>
        <v>0</v>
      </c>
      <c r="I245" s="102">
        <f>IF(VLOOKUP($P245,无限模式!$A$52:$X$71,5,FALSE)="","",VLOOKUP($P245,无限模式!$A$52:$X$71,6,FALSE))</f>
        <v>6</v>
      </c>
      <c r="J245" s="102">
        <f>IF(VLOOKUP($P245,无限模式!$A$52:$X$71,5,FALSE)="","",VLOOKUP($P245,无限模式!$A$52:$X$71,7,FALSE))</f>
        <v>4</v>
      </c>
      <c r="K245" s="102">
        <f t="shared" si="51"/>
        <v>1</v>
      </c>
      <c r="L245" s="102" t="str">
        <f>IF(VLOOKUP($P245,无限模式!$A$52:$X$71,5,FALSE)="","","Monster_Season2_Infinite_"&amp;P245&amp;"_1")</f>
        <v>Monster_Season2_Infinite_16_1</v>
      </c>
      <c r="M245" s="57">
        <f t="shared" si="52"/>
        <v>1</v>
      </c>
      <c r="O245" s="102">
        <f>IF(VLOOKUP($P245,无限模式!$A$52:$X$71,5,FALSE)="","",VLOOKUP($P245,无限模式!$A$52:$X$71,9,FALSE))</f>
        <v>45</v>
      </c>
      <c r="P245" s="110">
        <f t="shared" si="53"/>
        <v>16</v>
      </c>
      <c r="Q245" s="110">
        <v>1</v>
      </c>
    </row>
    <row r="246" spans="2:17" x14ac:dyDescent="0.2">
      <c r="D246" s="57" t="str">
        <f t="shared" si="54"/>
        <v/>
      </c>
      <c r="F246" s="57" t="str">
        <f t="shared" si="48"/>
        <v/>
      </c>
      <c r="G246" s="102" t="str">
        <f t="shared" si="49"/>
        <v/>
      </c>
      <c r="H246" s="57">
        <f t="shared" si="50"/>
        <v>0</v>
      </c>
      <c r="I246" s="102">
        <f>IF(VLOOKUP($P246,无限模式!$A$52:$X$71,10,FALSE)="","",VLOOKUP($P246,无限模式!$A$52:$X$71,11,FALSE))</f>
        <v>1</v>
      </c>
      <c r="J246" s="102">
        <f>IF(VLOOKUP($P246,无限模式!$A$52:$X$71,10,FALSE)="","",VLOOKUP($P246,无限模式!$A$52:$X$71,12,FALSE))</f>
        <v>0</v>
      </c>
      <c r="K246" s="102">
        <f t="shared" si="51"/>
        <v>1</v>
      </c>
      <c r="L246" s="102" t="str">
        <f>IF(VLOOKUP($P246,无限模式!$A$52:$X$71,10,FALSE)="","","Monster_Season2_Infinite_"&amp;P246&amp;"_2")</f>
        <v>Monster_Season2_Infinite_16_2</v>
      </c>
      <c r="M246" s="57">
        <f t="shared" si="52"/>
        <v>1</v>
      </c>
      <c r="O246" s="102">
        <f>IF(VLOOKUP($P246,无限模式!$A$52:$X$71,10,FALSE)="","",VLOOKUP($P246,无限模式!$A$52:$X$71,14,FALSE))</f>
        <v>30</v>
      </c>
      <c r="P246" s="110">
        <f t="shared" si="53"/>
        <v>16</v>
      </c>
      <c r="Q246" s="110">
        <v>2</v>
      </c>
    </row>
    <row r="247" spans="2:17" x14ac:dyDescent="0.2">
      <c r="D247" s="57" t="str">
        <f t="shared" si="54"/>
        <v/>
      </c>
      <c r="F247" s="57" t="str">
        <f t="shared" si="48"/>
        <v/>
      </c>
      <c r="G247" s="102" t="str">
        <f t="shared" si="49"/>
        <v/>
      </c>
      <c r="H247" s="57" t="str">
        <f t="shared" si="50"/>
        <v/>
      </c>
      <c r="I247" s="102" t="str">
        <f>IF(VLOOKUP($P247,无限模式!$A$52:$X$71,15,FALSE)="","",VLOOKUP(P247,无限模式!$A$52:$X$71,16,FALSE))</f>
        <v/>
      </c>
      <c r="J247" s="102" t="str">
        <f>IF(VLOOKUP($P247,无限模式!$A$52:$X$71,15,FALSE)="","",VLOOKUP($P247,无限模式!$A$52:$X$71,17,FALSE))</f>
        <v/>
      </c>
      <c r="K247" s="102" t="str">
        <f t="shared" si="51"/>
        <v/>
      </c>
      <c r="L247" s="102" t="str">
        <f>IF(VLOOKUP($P247,无限模式!$A$52:$X$71,15,FALSE)="","","Monster_Season2_Infinite_"&amp;P247&amp;"_3")</f>
        <v/>
      </c>
      <c r="M247" s="57" t="str">
        <f t="shared" si="52"/>
        <v/>
      </c>
      <c r="O247" s="102" t="str">
        <f>IF(VLOOKUP($P247,无限模式!$A$52:$X$71,15,FALSE)="","",VLOOKUP($P247,无限模式!$A$52:$X$71,19,FALSE))</f>
        <v/>
      </c>
      <c r="P247" s="110">
        <f t="shared" si="53"/>
        <v>16</v>
      </c>
      <c r="Q247" s="110">
        <v>3</v>
      </c>
    </row>
    <row r="248" spans="2:17" x14ac:dyDescent="0.2">
      <c r="D248" s="57" t="str">
        <f t="shared" si="54"/>
        <v/>
      </c>
      <c r="F248" s="57" t="str">
        <f t="shared" si="48"/>
        <v/>
      </c>
      <c r="G248" s="102" t="str">
        <f t="shared" si="49"/>
        <v/>
      </c>
      <c r="H248" s="57" t="str">
        <f t="shared" si="50"/>
        <v/>
      </c>
      <c r="I248" s="102" t="str">
        <f>IF(VLOOKUP($P248,无限模式!$A$52:$X$71,20,FALSE)="","",VLOOKUP($P248,无限模式!$A$52:$X$71,21,FALSE))</f>
        <v/>
      </c>
      <c r="J248" s="102" t="str">
        <f>IF(VLOOKUP($P248,无限模式!$A$52:$X$71,20,FALSE)="","",VLOOKUP($P248,无限模式!$A$52:$X$71,22,FALSE))</f>
        <v/>
      </c>
      <c r="K248" s="102" t="str">
        <f t="shared" si="51"/>
        <v/>
      </c>
      <c r="L248" s="102" t="str">
        <f>IF(VLOOKUP($P248,无限模式!$A$52:$X$71,20,FALSE)="","","Monster_Season2_Infinite_"&amp;P248&amp;"_4")</f>
        <v/>
      </c>
      <c r="M248" s="57" t="str">
        <f t="shared" si="52"/>
        <v/>
      </c>
      <c r="O248" s="102" t="str">
        <f>IF(VLOOKUP($P248,无限模式!$A$52:$X$71,20,FALSE)="","",VLOOKUP($P248,无限模式!$A$52:$X$71,24,FALSE))</f>
        <v/>
      </c>
      <c r="P248" s="110">
        <f t="shared" si="53"/>
        <v>16</v>
      </c>
      <c r="Q248" s="110">
        <v>4</v>
      </c>
    </row>
    <row r="249" spans="2:17" x14ac:dyDescent="0.2">
      <c r="B249" s="57" t="s">
        <v>3138</v>
      </c>
      <c r="C249" s="57">
        <v>17</v>
      </c>
      <c r="D249" s="57" t="str">
        <f t="shared" ref="D249:D263" si="55">IF(C249="","","赛季2无限模式第"&amp;C249&amp;"波")</f>
        <v>赛季2无限模式第17波</v>
      </c>
      <c r="F249" s="57">
        <f t="shared" si="48"/>
        <v>0</v>
      </c>
      <c r="G249" s="102">
        <f t="shared" si="49"/>
        <v>180</v>
      </c>
      <c r="H249" s="57">
        <f t="shared" si="50"/>
        <v>0</v>
      </c>
      <c r="I249" s="102">
        <f>IF(VLOOKUP($P249,无限模式!$A$52:$X$71,5,FALSE)="","",VLOOKUP($P249,无限模式!$A$52:$X$71,6,FALSE))</f>
        <v>4</v>
      </c>
      <c r="J249" s="102">
        <f>IF(VLOOKUP($P249,无限模式!$A$52:$X$71,5,FALSE)="","",VLOOKUP($P249,无限模式!$A$52:$X$71,7,FALSE))</f>
        <v>6</v>
      </c>
      <c r="K249" s="102">
        <f t="shared" si="51"/>
        <v>1</v>
      </c>
      <c r="L249" s="102" t="str">
        <f>IF(VLOOKUP($P249,无限模式!$A$52:$X$71,5,FALSE)="","","Monster_Season2_Infinite_"&amp;P249&amp;"_1")</f>
        <v>Monster_Season2_Infinite_17_1</v>
      </c>
      <c r="M249" s="57">
        <f t="shared" si="52"/>
        <v>1</v>
      </c>
      <c r="O249" s="102">
        <f>IF(VLOOKUP($P249,无限模式!$A$52:$X$71,5,FALSE)="","",VLOOKUP($P249,无限模式!$A$52:$X$71,9,FALSE))</f>
        <v>67</v>
      </c>
      <c r="P249" s="110">
        <f t="shared" si="53"/>
        <v>17</v>
      </c>
      <c r="Q249" s="110">
        <v>1</v>
      </c>
    </row>
    <row r="250" spans="2:17" x14ac:dyDescent="0.2">
      <c r="D250" s="57" t="str">
        <f t="shared" si="55"/>
        <v/>
      </c>
      <c r="F250" s="57" t="str">
        <f t="shared" ref="F250:F265" si="56">IF(C250="","",0)</f>
        <v/>
      </c>
      <c r="G250" s="102" t="str">
        <f t="shared" ref="G250:G264" si="57">IF(C250="","",180)</f>
        <v/>
      </c>
      <c r="H250" s="57">
        <f t="shared" ref="H250:H264" si="58">IF(I250="","",0)</f>
        <v>0</v>
      </c>
      <c r="I250" s="102">
        <f>IF(VLOOKUP($P250,无限模式!$A$52:$X$71,10,FALSE)="","",VLOOKUP($P250,无限模式!$A$52:$X$71,11,FALSE))</f>
        <v>9</v>
      </c>
      <c r="J250" s="102">
        <f>IF(VLOOKUP($P250,无限模式!$A$52:$X$71,10,FALSE)="","",VLOOKUP($P250,无限模式!$A$52:$X$71,12,FALSE))</f>
        <v>3</v>
      </c>
      <c r="K250" s="102">
        <f t="shared" ref="K250:K264" si="59">IF(I250="","",1)</f>
        <v>1</v>
      </c>
      <c r="L250" s="102" t="str">
        <f>IF(VLOOKUP($P250,无限模式!$A$52:$X$71,10,FALSE)="","","Monster_Season2_Infinite_"&amp;P250&amp;"_2")</f>
        <v>Monster_Season2_Infinite_17_2</v>
      </c>
      <c r="M250" s="57">
        <f t="shared" ref="M250:M264" si="60">IF(I250="","",1)</f>
        <v>1</v>
      </c>
      <c r="O250" s="102">
        <f>IF(VLOOKUP($P250,无限模式!$A$52:$X$71,10,FALSE)="","",VLOOKUP($P250,无限模式!$A$52:$X$71,14,FALSE))</f>
        <v>3</v>
      </c>
      <c r="P250" s="110">
        <f t="shared" ref="P250:P264" si="61">IF(C250="",P249,C250)</f>
        <v>17</v>
      </c>
      <c r="Q250" s="110">
        <v>2</v>
      </c>
    </row>
    <row r="251" spans="2:17" x14ac:dyDescent="0.2">
      <c r="D251" s="57" t="str">
        <f t="shared" si="55"/>
        <v/>
      </c>
      <c r="F251" s="57" t="str">
        <f t="shared" si="56"/>
        <v/>
      </c>
      <c r="G251" s="102" t="str">
        <f t="shared" si="57"/>
        <v/>
      </c>
      <c r="H251" s="57" t="str">
        <f t="shared" si="58"/>
        <v/>
      </c>
      <c r="I251" s="102" t="str">
        <f>IF(VLOOKUP($P251,无限模式!$A$52:$X$71,15,FALSE)="","",VLOOKUP(P251,无限模式!$A$52:$X$71,16,FALSE))</f>
        <v/>
      </c>
      <c r="J251" s="102" t="str">
        <f>IF(VLOOKUP($P251,无限模式!$A$52:$X$71,15,FALSE)="","",VLOOKUP($P251,无限模式!$A$52:$X$71,17,FALSE))</f>
        <v/>
      </c>
      <c r="K251" s="102" t="str">
        <f t="shared" si="59"/>
        <v/>
      </c>
      <c r="L251" s="102" t="str">
        <f>IF(VLOOKUP($P251,无限模式!$A$52:$X$71,15,FALSE)="","","Monster_Season2_Infinite_"&amp;P251&amp;"_3")</f>
        <v/>
      </c>
      <c r="M251" s="57" t="str">
        <f t="shared" si="60"/>
        <v/>
      </c>
      <c r="O251" s="102" t="str">
        <f>IF(VLOOKUP($P251,无限模式!$A$52:$X$71,15,FALSE)="","",VLOOKUP($P251,无限模式!$A$52:$X$71,19,FALSE))</f>
        <v/>
      </c>
      <c r="P251" s="110">
        <f t="shared" si="61"/>
        <v>17</v>
      </c>
      <c r="Q251" s="110">
        <v>3</v>
      </c>
    </row>
    <row r="252" spans="2:17" x14ac:dyDescent="0.2">
      <c r="D252" s="57" t="str">
        <f t="shared" si="55"/>
        <v/>
      </c>
      <c r="F252" s="57" t="str">
        <f t="shared" si="56"/>
        <v/>
      </c>
      <c r="G252" s="102" t="str">
        <f t="shared" si="57"/>
        <v/>
      </c>
      <c r="H252" s="57" t="str">
        <f t="shared" si="58"/>
        <v/>
      </c>
      <c r="I252" s="102" t="str">
        <f>IF(VLOOKUP($P252,无限模式!$A$52:$X$71,20,FALSE)="","",VLOOKUP($P252,无限模式!$A$52:$X$71,21,FALSE))</f>
        <v/>
      </c>
      <c r="J252" s="102" t="str">
        <f>IF(VLOOKUP($P252,无限模式!$A$52:$X$71,20,FALSE)="","",VLOOKUP($P252,无限模式!$A$52:$X$71,22,FALSE))</f>
        <v/>
      </c>
      <c r="K252" s="102" t="str">
        <f t="shared" si="59"/>
        <v/>
      </c>
      <c r="L252" s="102" t="str">
        <f>IF(VLOOKUP($P252,无限模式!$A$52:$X$71,20,FALSE)="","","Monster_Season2_Infinite_"&amp;P252&amp;"_4")</f>
        <v/>
      </c>
      <c r="M252" s="57" t="str">
        <f t="shared" si="60"/>
        <v/>
      </c>
      <c r="O252" s="102" t="str">
        <f>IF(VLOOKUP($P252,无限模式!$A$52:$X$71,20,FALSE)="","",VLOOKUP($P252,无限模式!$A$52:$X$71,24,FALSE))</f>
        <v/>
      </c>
      <c r="P252" s="110">
        <f t="shared" si="61"/>
        <v>17</v>
      </c>
      <c r="Q252" s="110">
        <v>4</v>
      </c>
    </row>
    <row r="253" spans="2:17" x14ac:dyDescent="0.2">
      <c r="B253" s="57" t="s">
        <v>3138</v>
      </c>
      <c r="C253" s="57">
        <v>18</v>
      </c>
      <c r="D253" s="57" t="str">
        <f t="shared" si="55"/>
        <v>赛季2无限模式第18波</v>
      </c>
      <c r="F253" s="57">
        <f t="shared" si="56"/>
        <v>0</v>
      </c>
      <c r="G253" s="102">
        <f t="shared" si="57"/>
        <v>180</v>
      </c>
      <c r="H253" s="57">
        <f t="shared" si="58"/>
        <v>0</v>
      </c>
      <c r="I253" s="102">
        <f>IF(VLOOKUP($P253,无限模式!$A$52:$X$71,5,FALSE)="","",VLOOKUP($P253,无限模式!$A$52:$X$71,6,FALSE))</f>
        <v>18</v>
      </c>
      <c r="J253" s="102">
        <f>IF(VLOOKUP($P253,无限模式!$A$52:$X$71,5,FALSE)="","",VLOOKUP($P253,无限模式!$A$52:$X$71,7,FALSE))</f>
        <v>1.5</v>
      </c>
      <c r="K253" s="102">
        <f t="shared" si="59"/>
        <v>1</v>
      </c>
      <c r="L253" s="102" t="str">
        <f>IF(VLOOKUP($P253,无限模式!$A$52:$X$71,5,FALSE)="","","Monster_Season2_Infinite_"&amp;P253&amp;"_1")</f>
        <v>Monster_Season2_Infinite_18_1</v>
      </c>
      <c r="M253" s="57">
        <f t="shared" si="60"/>
        <v>1</v>
      </c>
      <c r="O253" s="102">
        <f>IF(VLOOKUP($P253,无限模式!$A$52:$X$71,5,FALSE)="","",VLOOKUP($P253,无限模式!$A$52:$X$71,9,FALSE))</f>
        <v>8</v>
      </c>
      <c r="P253" s="110">
        <f t="shared" si="61"/>
        <v>18</v>
      </c>
      <c r="Q253" s="110">
        <v>1</v>
      </c>
    </row>
    <row r="254" spans="2:17" x14ac:dyDescent="0.2">
      <c r="D254" s="57" t="str">
        <f t="shared" si="55"/>
        <v/>
      </c>
      <c r="F254" s="57" t="str">
        <f t="shared" si="56"/>
        <v/>
      </c>
      <c r="G254" s="102" t="str">
        <f t="shared" si="57"/>
        <v/>
      </c>
      <c r="H254" s="57">
        <f t="shared" si="58"/>
        <v>0</v>
      </c>
      <c r="I254" s="102">
        <f>IF(VLOOKUP($P254,无限模式!$A$52:$X$71,10,FALSE)="","",VLOOKUP($P254,无限模式!$A$52:$X$71,11,FALSE))</f>
        <v>36</v>
      </c>
      <c r="J254" s="102">
        <f>IF(VLOOKUP($P254,无限模式!$A$52:$X$71,10,FALSE)="","",VLOOKUP($P254,无限模式!$A$52:$X$71,12,FALSE))</f>
        <v>0.75</v>
      </c>
      <c r="K254" s="102">
        <f t="shared" si="59"/>
        <v>1</v>
      </c>
      <c r="L254" s="102" t="str">
        <f>IF(VLOOKUP($P254,无限模式!$A$52:$X$71,10,FALSE)="","","Monster_Season2_Infinite_"&amp;P254&amp;"_2")</f>
        <v>Monster_Season2_Infinite_18_2</v>
      </c>
      <c r="M254" s="57">
        <f t="shared" si="60"/>
        <v>1</v>
      </c>
      <c r="O254" s="102">
        <f>IF(VLOOKUP($P254,无限模式!$A$52:$X$71,10,FALSE)="","",VLOOKUP($P254,无限模式!$A$52:$X$71,14,FALSE))</f>
        <v>4</v>
      </c>
      <c r="P254" s="110">
        <f t="shared" si="61"/>
        <v>18</v>
      </c>
      <c r="Q254" s="110">
        <v>2</v>
      </c>
    </row>
    <row r="255" spans="2:17" x14ac:dyDescent="0.2">
      <c r="D255" s="57" t="str">
        <f t="shared" si="55"/>
        <v/>
      </c>
      <c r="F255" s="57" t="str">
        <f t="shared" si="56"/>
        <v/>
      </c>
      <c r="G255" s="102" t="str">
        <f t="shared" si="57"/>
        <v/>
      </c>
      <c r="H255" s="57" t="str">
        <f t="shared" si="58"/>
        <v/>
      </c>
      <c r="I255" s="102" t="str">
        <f>IF(VLOOKUP($P255,无限模式!$A$52:$X$71,15,FALSE)="","",VLOOKUP(P255,无限模式!$A$52:$X$71,16,FALSE))</f>
        <v/>
      </c>
      <c r="J255" s="102" t="str">
        <f>IF(VLOOKUP($P255,无限模式!$A$52:$X$71,15,FALSE)="","",VLOOKUP($P255,无限模式!$A$52:$X$71,17,FALSE))</f>
        <v/>
      </c>
      <c r="K255" s="102" t="str">
        <f t="shared" si="59"/>
        <v/>
      </c>
      <c r="L255" s="102" t="str">
        <f>IF(VLOOKUP($P255,无限模式!$A$52:$X$71,15,FALSE)="","","Monster_Season2_Infinite_"&amp;P255&amp;"_3")</f>
        <v/>
      </c>
      <c r="M255" s="57" t="str">
        <f t="shared" si="60"/>
        <v/>
      </c>
      <c r="O255" s="102" t="str">
        <f>IF(VLOOKUP($P255,无限模式!$A$52:$X$71,15,FALSE)="","",VLOOKUP($P255,无限模式!$A$52:$X$71,19,FALSE))</f>
        <v/>
      </c>
      <c r="P255" s="110">
        <f t="shared" si="61"/>
        <v>18</v>
      </c>
      <c r="Q255" s="110">
        <v>3</v>
      </c>
    </row>
    <row r="256" spans="2:17" x14ac:dyDescent="0.2">
      <c r="D256" s="57" t="str">
        <f t="shared" si="55"/>
        <v/>
      </c>
      <c r="F256" s="57" t="str">
        <f t="shared" si="56"/>
        <v/>
      </c>
      <c r="G256" s="102" t="str">
        <f t="shared" si="57"/>
        <v/>
      </c>
      <c r="H256" s="57" t="str">
        <f t="shared" si="58"/>
        <v/>
      </c>
      <c r="I256" s="102" t="str">
        <f>IF(VLOOKUP($P256,无限模式!$A$52:$X$71,20,FALSE)="","",VLOOKUP($P256,无限模式!$A$52:$X$71,21,FALSE))</f>
        <v/>
      </c>
      <c r="J256" s="102" t="str">
        <f>IF(VLOOKUP($P256,无限模式!$A$52:$X$71,20,FALSE)="","",VLOOKUP($P256,无限模式!$A$52:$X$71,22,FALSE))</f>
        <v/>
      </c>
      <c r="K256" s="102" t="str">
        <f t="shared" si="59"/>
        <v/>
      </c>
      <c r="L256" s="102" t="str">
        <f>IF(VLOOKUP($P256,无限模式!$A$52:$X$71,20,FALSE)="","","Monster_Season2_Infinite_"&amp;P256&amp;"_4")</f>
        <v/>
      </c>
      <c r="M256" s="57" t="str">
        <f t="shared" si="60"/>
        <v/>
      </c>
      <c r="O256" s="102" t="str">
        <f>IF(VLOOKUP($P256,无限模式!$A$52:$X$71,20,FALSE)="","",VLOOKUP($P256,无限模式!$A$52:$X$71,24,FALSE))</f>
        <v/>
      </c>
      <c r="P256" s="110">
        <f t="shared" si="61"/>
        <v>18</v>
      </c>
      <c r="Q256" s="110">
        <v>4</v>
      </c>
    </row>
    <row r="257" spans="2:17" x14ac:dyDescent="0.2">
      <c r="B257" s="57" t="s">
        <v>3138</v>
      </c>
      <c r="C257" s="57">
        <v>19</v>
      </c>
      <c r="D257" s="57" t="str">
        <f t="shared" si="55"/>
        <v>赛季2无限模式第19波</v>
      </c>
      <c r="F257" s="57">
        <f t="shared" si="56"/>
        <v>0</v>
      </c>
      <c r="G257" s="102">
        <f t="shared" si="57"/>
        <v>180</v>
      </c>
      <c r="H257" s="57">
        <f t="shared" si="58"/>
        <v>0</v>
      </c>
      <c r="I257" s="102">
        <f>IF(VLOOKUP($P257,无限模式!$A$52:$X$71,5,FALSE)="","",VLOOKUP($P257,无限模式!$A$52:$X$71,6,FALSE))</f>
        <v>19</v>
      </c>
      <c r="J257" s="102">
        <f>IF(VLOOKUP($P257,无限模式!$A$52:$X$71,5,FALSE)="","",VLOOKUP($P257,无限模式!$A$52:$X$71,7,FALSE))</f>
        <v>1.5</v>
      </c>
      <c r="K257" s="102">
        <f t="shared" si="59"/>
        <v>1</v>
      </c>
      <c r="L257" s="102" t="str">
        <f>IF(VLOOKUP($P257,无限模式!$A$52:$X$71,5,FALSE)="","","Monster_Season2_Infinite_"&amp;P257&amp;"_1")</f>
        <v>Monster_Season2_Infinite_19_1</v>
      </c>
      <c r="M257" s="57">
        <f t="shared" si="60"/>
        <v>1</v>
      </c>
      <c r="O257" s="102">
        <f>IF(VLOOKUP($P257,无限模式!$A$52:$X$71,5,FALSE)="","",VLOOKUP($P257,无限模式!$A$52:$X$71,9,FALSE))</f>
        <v>2</v>
      </c>
      <c r="P257" s="110">
        <f t="shared" si="61"/>
        <v>19</v>
      </c>
      <c r="Q257" s="110">
        <v>1</v>
      </c>
    </row>
    <row r="258" spans="2:17" x14ac:dyDescent="0.2">
      <c r="D258" s="57" t="str">
        <f t="shared" si="55"/>
        <v/>
      </c>
      <c r="F258" s="57" t="str">
        <f t="shared" si="56"/>
        <v/>
      </c>
      <c r="G258" s="102" t="str">
        <f t="shared" si="57"/>
        <v/>
      </c>
      <c r="H258" s="57">
        <f t="shared" si="58"/>
        <v>0</v>
      </c>
      <c r="I258" s="102">
        <f>IF(VLOOKUP($P258,无限模式!$A$52:$X$71,10,FALSE)="","",VLOOKUP($P258,无限模式!$A$52:$X$71,11,FALSE))</f>
        <v>5</v>
      </c>
      <c r="J258" s="102">
        <f>IF(VLOOKUP($P258,无限模式!$A$52:$X$71,10,FALSE)="","",VLOOKUP($P258,无限模式!$A$52:$X$71,12,FALSE))</f>
        <v>6</v>
      </c>
      <c r="K258" s="102">
        <f t="shared" si="59"/>
        <v>1</v>
      </c>
      <c r="L258" s="102" t="str">
        <f>IF(VLOOKUP($P258,无限模式!$A$52:$X$71,10,FALSE)="","","Monster_Season2_Infinite_"&amp;P258&amp;"_2")</f>
        <v>Monster_Season2_Infinite_19_2</v>
      </c>
      <c r="M258" s="57">
        <f t="shared" si="60"/>
        <v>1</v>
      </c>
      <c r="O258" s="102">
        <f>IF(VLOOKUP($P258,无限模式!$A$52:$X$71,10,FALSE)="","",VLOOKUP($P258,无限模式!$A$52:$X$71,14,FALSE))</f>
        <v>45</v>
      </c>
      <c r="P258" s="110">
        <f t="shared" si="61"/>
        <v>19</v>
      </c>
      <c r="Q258" s="110">
        <v>2</v>
      </c>
    </row>
    <row r="259" spans="2:17" x14ac:dyDescent="0.2">
      <c r="D259" s="57" t="str">
        <f t="shared" si="55"/>
        <v/>
      </c>
      <c r="F259" s="57" t="str">
        <f t="shared" si="56"/>
        <v/>
      </c>
      <c r="G259" s="102" t="str">
        <f t="shared" si="57"/>
        <v/>
      </c>
      <c r="H259" s="57">
        <f t="shared" si="58"/>
        <v>0</v>
      </c>
      <c r="I259" s="102">
        <f>IF(VLOOKUP($P259,无限模式!$A$52:$X$71,15,FALSE)="","",VLOOKUP(P259,无限模式!$A$52:$X$71,16,FALSE))</f>
        <v>14</v>
      </c>
      <c r="J259" s="102">
        <f>IF(VLOOKUP($P259,无限模式!$A$52:$X$71,15,FALSE)="","",VLOOKUP($P259,无限模式!$A$52:$X$71,17,FALSE))</f>
        <v>2</v>
      </c>
      <c r="K259" s="102">
        <f t="shared" si="59"/>
        <v>1</v>
      </c>
      <c r="L259" s="102" t="str">
        <f>IF(VLOOKUP($P259,无限模式!$A$52:$X$71,15,FALSE)="","","Monster_Season2_Infinite_"&amp;P259&amp;"_3")</f>
        <v>Monster_Season2_Infinite_19_3</v>
      </c>
      <c r="M259" s="57">
        <f t="shared" si="60"/>
        <v>1</v>
      </c>
      <c r="O259" s="102">
        <f>IF(VLOOKUP($P259,无限模式!$A$52:$X$71,15,FALSE)="","",VLOOKUP($P259,无限模式!$A$52:$X$71,19,FALSE))</f>
        <v>2</v>
      </c>
      <c r="P259" s="110">
        <f t="shared" si="61"/>
        <v>19</v>
      </c>
      <c r="Q259" s="110">
        <v>3</v>
      </c>
    </row>
    <row r="260" spans="2:17" x14ac:dyDescent="0.2">
      <c r="D260" s="57" t="str">
        <f t="shared" si="55"/>
        <v/>
      </c>
      <c r="F260" s="57" t="str">
        <f t="shared" si="56"/>
        <v/>
      </c>
      <c r="G260" s="102" t="str">
        <f t="shared" si="57"/>
        <v/>
      </c>
      <c r="H260" s="57" t="str">
        <f t="shared" si="58"/>
        <v/>
      </c>
      <c r="I260" s="102" t="str">
        <f>IF(VLOOKUP($P260,无限模式!$A$52:$X$71,20,FALSE)="","",VLOOKUP($P260,无限模式!$A$52:$X$71,21,FALSE))</f>
        <v/>
      </c>
      <c r="J260" s="102" t="str">
        <f>IF(VLOOKUP($P260,无限模式!$A$52:$X$71,20,FALSE)="","",VLOOKUP($P260,无限模式!$A$52:$X$71,22,FALSE))</f>
        <v/>
      </c>
      <c r="K260" s="102" t="str">
        <f t="shared" si="59"/>
        <v/>
      </c>
      <c r="L260" s="102" t="str">
        <f>IF(VLOOKUP($P260,无限模式!$A$52:$X$71,20,FALSE)="","","Monster_Season2_Infinite_"&amp;P260&amp;"_4")</f>
        <v/>
      </c>
      <c r="M260" s="57" t="str">
        <f t="shared" si="60"/>
        <v/>
      </c>
      <c r="O260" s="102" t="str">
        <f>IF(VLOOKUP($P260,无限模式!$A$52:$X$71,20,FALSE)="","",VLOOKUP($P260,无限模式!$A$52:$X$71,24,FALSE))</f>
        <v/>
      </c>
      <c r="P260" s="110">
        <f t="shared" si="61"/>
        <v>19</v>
      </c>
      <c r="Q260" s="110">
        <v>4</v>
      </c>
    </row>
    <row r="261" spans="2:17" x14ac:dyDescent="0.2">
      <c r="B261" s="57" t="s">
        <v>3138</v>
      </c>
      <c r="C261" s="57">
        <v>20</v>
      </c>
      <c r="D261" s="57" t="str">
        <f t="shared" si="55"/>
        <v>赛季2无限模式第20波</v>
      </c>
      <c r="F261" s="57">
        <f t="shared" si="56"/>
        <v>0</v>
      </c>
      <c r="G261" s="102">
        <f t="shared" si="57"/>
        <v>180</v>
      </c>
      <c r="H261" s="57">
        <f t="shared" si="58"/>
        <v>0</v>
      </c>
      <c r="I261" s="102">
        <f>IF(VLOOKUP($P261,无限模式!$A$52:$X$71,5,FALSE)="","",VLOOKUP($P261,无限模式!$A$52:$X$71,6,FALSE))</f>
        <v>1</v>
      </c>
      <c r="J261" s="102">
        <f>IF(VLOOKUP($P261,无限模式!$A$52:$X$71,5,FALSE)="","",VLOOKUP($P261,无限模式!$A$52:$X$71,7,FALSE))</f>
        <v>0</v>
      </c>
      <c r="K261" s="102">
        <f t="shared" si="59"/>
        <v>1</v>
      </c>
      <c r="L261" s="102" t="str">
        <f>IF(VLOOKUP($P261,无限模式!$A$52:$X$71,5,FALSE)="","","Monster_Season2_Infinite_"&amp;P261&amp;"_1")</f>
        <v>Monster_Season2_Infinite_20_1</v>
      </c>
      <c r="M261" s="57">
        <f t="shared" si="60"/>
        <v>1</v>
      </c>
      <c r="O261" s="102">
        <f>IF(VLOOKUP($P261,无限模式!$A$52:$X$71,5,FALSE)="","",VLOOKUP($P261,无限模式!$A$52:$X$71,9,FALSE))</f>
        <v>29</v>
      </c>
      <c r="P261" s="110">
        <f t="shared" si="61"/>
        <v>20</v>
      </c>
      <c r="Q261" s="110">
        <v>1</v>
      </c>
    </row>
    <row r="262" spans="2:17" x14ac:dyDescent="0.2">
      <c r="D262" s="57" t="str">
        <f t="shared" si="55"/>
        <v/>
      </c>
      <c r="F262" s="57" t="str">
        <f t="shared" si="56"/>
        <v/>
      </c>
      <c r="G262" s="102" t="str">
        <f t="shared" si="57"/>
        <v/>
      </c>
      <c r="H262" s="57">
        <f t="shared" si="58"/>
        <v>0</v>
      </c>
      <c r="I262" s="102">
        <f>IF(VLOOKUP($P262,无限模式!$A$52:$X$71,10,FALSE)="","",VLOOKUP($P262,无限模式!$A$52:$X$71,11,FALSE))</f>
        <v>39</v>
      </c>
      <c r="J262" s="102">
        <f>IF(VLOOKUP($P262,无限模式!$A$52:$X$71,10,FALSE)="","",VLOOKUP($P262,无限模式!$A$52:$X$71,12,FALSE))</f>
        <v>0.75</v>
      </c>
      <c r="K262" s="102">
        <f t="shared" si="59"/>
        <v>1</v>
      </c>
      <c r="L262" s="102" t="str">
        <f>IF(VLOOKUP($P262,无限模式!$A$52:$X$71,10,FALSE)="","","Monster_Season2_Infinite_"&amp;P262&amp;"_2")</f>
        <v>Monster_Season2_Infinite_20_2</v>
      </c>
      <c r="M262" s="57">
        <f t="shared" si="60"/>
        <v>1</v>
      </c>
      <c r="O262" s="102">
        <f>IF(VLOOKUP($P262,无限模式!$A$52:$X$71,10,FALSE)="","",VLOOKUP($P262,无限模式!$A$52:$X$71,14,FALSE))</f>
        <v>1</v>
      </c>
      <c r="P262" s="110">
        <f t="shared" si="61"/>
        <v>20</v>
      </c>
      <c r="Q262" s="110">
        <v>2</v>
      </c>
    </row>
    <row r="263" spans="2:17" x14ac:dyDescent="0.2">
      <c r="D263" s="57" t="str">
        <f t="shared" si="55"/>
        <v/>
      </c>
      <c r="F263" s="57" t="str">
        <f t="shared" si="56"/>
        <v/>
      </c>
      <c r="G263" s="102" t="str">
        <f t="shared" si="57"/>
        <v/>
      </c>
      <c r="H263" s="57">
        <f t="shared" si="58"/>
        <v>0</v>
      </c>
      <c r="I263" s="102">
        <f>IF(VLOOKUP($P263,无限模式!$A$52:$X$71,15,FALSE)="","",VLOOKUP(P263,无限模式!$A$52:$X$71,16,FALSE))</f>
        <v>29</v>
      </c>
      <c r="J263" s="102">
        <f>IF(VLOOKUP($P263,无限模式!$A$52:$X$71,15,FALSE)="","",VLOOKUP($P263,无限模式!$A$52:$X$71,17,FALSE))</f>
        <v>1</v>
      </c>
      <c r="K263" s="102">
        <f t="shared" si="59"/>
        <v>1</v>
      </c>
      <c r="L263" s="102" t="str">
        <f>IF(VLOOKUP($P263,无限模式!$A$52:$X$71,15,FALSE)="","","Monster_Season2_Infinite_"&amp;P263&amp;"_3")</f>
        <v>Monster_Season2_Infinite_20_3</v>
      </c>
      <c r="M263" s="57">
        <f t="shared" si="60"/>
        <v>1</v>
      </c>
      <c r="O263" s="102">
        <f>IF(VLOOKUP($P263,无限模式!$A$52:$X$71,15,FALSE)="","",VLOOKUP($P263,无限模式!$A$52:$X$71,19,FALSE))</f>
        <v>1</v>
      </c>
      <c r="P263" s="110">
        <f t="shared" si="61"/>
        <v>20</v>
      </c>
      <c r="Q263" s="110">
        <v>3</v>
      </c>
    </row>
    <row r="264" spans="2:17" x14ac:dyDescent="0.2">
      <c r="D264" s="57" t="str">
        <f t="shared" ref="D264" si="62">IF(C264="","","无限模式第"&amp;C264&amp;"波")</f>
        <v/>
      </c>
      <c r="F264" s="57" t="str">
        <f t="shared" si="56"/>
        <v/>
      </c>
      <c r="G264" s="102" t="str">
        <f t="shared" si="57"/>
        <v/>
      </c>
      <c r="H264" s="57">
        <f t="shared" si="58"/>
        <v>0</v>
      </c>
      <c r="I264" s="102">
        <f>IF(VLOOKUP($P264,无限模式!$A$52:$X$71,20,FALSE)="","",VLOOKUP($P264,无限模式!$A$52:$X$71,21,FALSE))</f>
        <v>7</v>
      </c>
      <c r="J264" s="102">
        <f>IF(VLOOKUP($P264,无限模式!$A$52:$X$71,20,FALSE)="","",VLOOKUP($P264,无限模式!$A$52:$X$71,22,FALSE))</f>
        <v>4</v>
      </c>
      <c r="K264" s="102">
        <f t="shared" si="59"/>
        <v>1</v>
      </c>
      <c r="L264" s="102" t="str">
        <f>IF(VLOOKUP($P264,无限模式!$A$52:$X$71,20,FALSE)="","","Monster_Season2_Infinite_"&amp;P264&amp;"_4")</f>
        <v>Monster_Season2_Infinite_20_4</v>
      </c>
      <c r="M264" s="57">
        <f t="shared" si="60"/>
        <v>1</v>
      </c>
      <c r="O264" s="102">
        <f>IF(VLOOKUP($P264,无限模式!$A$52:$X$71,20,FALSE)="","",VLOOKUP($P264,无限模式!$A$52:$X$71,24,FALSE))</f>
        <v>29</v>
      </c>
      <c r="P264" s="110">
        <f t="shared" si="61"/>
        <v>20</v>
      </c>
      <c r="Q264" s="110">
        <v>4</v>
      </c>
    </row>
    <row r="265" spans="2:17" s="166" customFormat="1" x14ac:dyDescent="0.2">
      <c r="F265" s="166" t="str">
        <f t="shared" si="56"/>
        <v/>
      </c>
    </row>
    <row r="266" spans="2:17" x14ac:dyDescent="0.2">
      <c r="B266" s="57" t="s">
        <v>3139</v>
      </c>
      <c r="C266" s="57">
        <v>1</v>
      </c>
      <c r="D266" s="57" t="str">
        <f t="shared" ref="D266:D297" si="63">IF(C266="","","赛季3无限模式第"&amp;C266&amp;"波")</f>
        <v>赛季3无限模式第1波</v>
      </c>
      <c r="F266" s="57">
        <f>IF(C266="","",0)</f>
        <v>0</v>
      </c>
      <c r="G266" s="102">
        <f>IF(C266="","",180)</f>
        <v>180</v>
      </c>
      <c r="H266" s="57">
        <f>IF(I266="","",0)</f>
        <v>0</v>
      </c>
      <c r="I266" s="102">
        <f>IF(VLOOKUP($P266,无限模式!$A$76:$X$95,5,FALSE)="","",VLOOKUP($P266,无限模式!$A$76:$X$95,6,FALSE))</f>
        <v>7</v>
      </c>
      <c r="J266" s="102">
        <f>IF(VLOOKUP($P266,无限模式!$A$76:$X$95,5,FALSE)="","",VLOOKUP($P266,无限模式!$A$76:$X$95,7,FALSE))</f>
        <v>1.5</v>
      </c>
      <c r="K266" s="102">
        <f>IF(I266="","",1)</f>
        <v>1</v>
      </c>
      <c r="L266" s="102" t="str">
        <f>IF(VLOOKUP($P266,无限模式!$A$76:$X$95,5,FALSE)="","","Monster_Season3_Infinite_"&amp;P266&amp;"_1")</f>
        <v>Monster_Season3_Infinite_1_1</v>
      </c>
      <c r="M266" s="57">
        <f>IF(I266="","",1)</f>
        <v>1</v>
      </c>
      <c r="O266" s="102">
        <f>IF(VLOOKUP($P266,无限模式!$A$76:$X$95,5,FALSE)="","",VLOOKUP($P266,无限模式!$A$76:$X$95,9,FALSE))</f>
        <v>43</v>
      </c>
      <c r="P266" s="110">
        <f>IF(C266="",P249,C266)</f>
        <v>1</v>
      </c>
      <c r="Q266" s="110">
        <v>1</v>
      </c>
    </row>
    <row r="267" spans="2:17" x14ac:dyDescent="0.2">
      <c r="D267" s="57" t="str">
        <f t="shared" si="63"/>
        <v/>
      </c>
      <c r="F267" s="57" t="str">
        <f t="shared" ref="F267:F330" si="64">IF(C267="","",0)</f>
        <v/>
      </c>
      <c r="G267" s="102" t="str">
        <f t="shared" ref="G267:G330" si="65">IF(C267="","",180)</f>
        <v/>
      </c>
      <c r="H267" s="57" t="str">
        <f t="shared" ref="H267:H330" si="66">IF(I267="","",0)</f>
        <v/>
      </c>
      <c r="I267" s="102" t="str">
        <f>IF(VLOOKUP($P267,无限模式!$A$76:$X$95,10,FALSE)="","",VLOOKUP($P267,无限模式!$A$76:$X$95,11,FALSE))</f>
        <v/>
      </c>
      <c r="J267" s="102" t="str">
        <f>IF(VLOOKUP($P267,无限模式!$A$76:$X$95,10,FALSE)="","",VLOOKUP($P267,无限模式!$A$76:$X$95,12,FALSE))</f>
        <v/>
      </c>
      <c r="K267" s="102" t="str">
        <f t="shared" ref="K267:K330" si="67">IF(I267="","",1)</f>
        <v/>
      </c>
      <c r="L267" s="102" t="str">
        <f>IF(VLOOKUP($P267,无限模式!$A$76:$X$95,10,FALSE)="","","Monster_Season3_Infinite_"&amp;P267&amp;"_2")</f>
        <v/>
      </c>
      <c r="M267" s="57" t="str">
        <f t="shared" ref="M267:M330" si="68">IF(I267="","",1)</f>
        <v/>
      </c>
      <c r="O267" s="102" t="str">
        <f>IF(VLOOKUP($P267,无限模式!$A$76:$X$95,10,FALSE)="","",VLOOKUP($P267,无限模式!$A$76:$X$95,14,FALSE))</f>
        <v/>
      </c>
      <c r="P267" s="110">
        <f t="shared" ref="P267:P330" si="69">IF(C267="",P266,C267)</f>
        <v>1</v>
      </c>
      <c r="Q267" s="110">
        <v>2</v>
      </c>
    </row>
    <row r="268" spans="2:17" x14ac:dyDescent="0.2">
      <c r="D268" s="57" t="str">
        <f t="shared" si="63"/>
        <v/>
      </c>
      <c r="F268" s="57" t="str">
        <f t="shared" si="64"/>
        <v/>
      </c>
      <c r="G268" s="102" t="str">
        <f t="shared" si="65"/>
        <v/>
      </c>
      <c r="H268" s="57" t="str">
        <f t="shared" si="66"/>
        <v/>
      </c>
      <c r="I268" s="102" t="str">
        <f>IF(VLOOKUP($P268,无限模式!$A$76:$X$95,15,FALSE)="","",VLOOKUP($P268,无限模式!$A$76:$X$95,16,FALSE))</f>
        <v/>
      </c>
      <c r="J268" s="102" t="str">
        <f>IF(VLOOKUP($P268,无限模式!$A$76:$X$95,15,FALSE)="","",VLOOKUP($P268,无限模式!$A$76:$X$95,17,FALSE))</f>
        <v/>
      </c>
      <c r="K268" s="102" t="str">
        <f t="shared" si="67"/>
        <v/>
      </c>
      <c r="L268" s="102" t="str">
        <f>IF(VLOOKUP($P268,无限模式!$A$76:$X$95,15,FALSE)="","","Monster_Season3_Infinite_"&amp;P268&amp;"_3")</f>
        <v/>
      </c>
      <c r="M268" s="57" t="str">
        <f t="shared" si="68"/>
        <v/>
      </c>
      <c r="O268" s="102" t="str">
        <f>IF(VLOOKUP($P268,无限模式!$A$76:$X$95,15,FALSE)="","",VLOOKUP($P268,无限模式!$A$76:$X$95,19,FALSE))</f>
        <v/>
      </c>
      <c r="P268" s="110">
        <f t="shared" si="69"/>
        <v>1</v>
      </c>
      <c r="Q268" s="110">
        <v>3</v>
      </c>
    </row>
    <row r="269" spans="2:17" x14ac:dyDescent="0.2">
      <c r="D269" s="57" t="str">
        <f t="shared" si="63"/>
        <v/>
      </c>
      <c r="F269" s="57" t="str">
        <f t="shared" si="64"/>
        <v/>
      </c>
      <c r="G269" s="102" t="str">
        <f t="shared" si="65"/>
        <v/>
      </c>
      <c r="H269" s="57" t="str">
        <f t="shared" si="66"/>
        <v/>
      </c>
      <c r="I269" s="102" t="str">
        <f>IF(VLOOKUP($P269,无限模式!$A$76:$X$95,20,FALSE)="","",VLOOKUP($P269,无限模式!$A$76:$X$95,21,FALSE))</f>
        <v/>
      </c>
      <c r="J269" s="102" t="str">
        <f>IF(VLOOKUP($P269,无限模式!$A$76:$X$95,20,FALSE)="","",VLOOKUP($P269,无限模式!$A$76:$X$95,22,FALSE))</f>
        <v/>
      </c>
      <c r="K269" s="102" t="str">
        <f t="shared" si="67"/>
        <v/>
      </c>
      <c r="L269" s="102" t="str">
        <f>IF(VLOOKUP($P269,无限模式!$A$76:$X$95,20,FALSE)="","","Monster_Season3_Infinite_"&amp;P269&amp;"_4")</f>
        <v/>
      </c>
      <c r="M269" s="57" t="str">
        <f t="shared" si="68"/>
        <v/>
      </c>
      <c r="O269" s="102" t="str">
        <f>IF(VLOOKUP($P269,无限模式!$A$76:$X$95,20,FALSE)="","",VLOOKUP($P269,无限模式!$A$76:$X$95,24,FALSE))</f>
        <v/>
      </c>
      <c r="P269" s="110">
        <f t="shared" si="69"/>
        <v>1</v>
      </c>
      <c r="Q269" s="110">
        <v>4</v>
      </c>
    </row>
    <row r="270" spans="2:17" x14ac:dyDescent="0.2">
      <c r="B270" s="57" t="s">
        <v>3139</v>
      </c>
      <c r="C270" s="57">
        <v>2</v>
      </c>
      <c r="D270" s="57" t="str">
        <f t="shared" si="63"/>
        <v>赛季3无限模式第2波</v>
      </c>
      <c r="F270" s="57">
        <f t="shared" si="64"/>
        <v>0</v>
      </c>
      <c r="G270" s="102">
        <f t="shared" si="65"/>
        <v>180</v>
      </c>
      <c r="H270" s="57">
        <f t="shared" si="66"/>
        <v>0</v>
      </c>
      <c r="I270" s="102">
        <f>IF(VLOOKUP($P270,无限模式!$A$76:$X$95,5,FALSE)="","",VLOOKUP($P270,无限模式!$A$76:$X$95,6,FALSE))</f>
        <v>15</v>
      </c>
      <c r="J270" s="102">
        <f>IF(VLOOKUP($P270,无限模式!$A$76:$X$95,5,FALSE)="","",VLOOKUP($P270,无限模式!$A$76:$X$95,7,FALSE))</f>
        <v>0.75</v>
      </c>
      <c r="K270" s="102">
        <f t="shared" si="67"/>
        <v>1</v>
      </c>
      <c r="L270" s="102" t="str">
        <f>IF(VLOOKUP($P270,无限模式!$A$76:$X$95,5,FALSE)="","","Monster_Season3_Infinite_"&amp;P270&amp;"_1")</f>
        <v>Monster_Season3_Infinite_2_1</v>
      </c>
      <c r="M270" s="57">
        <f t="shared" si="68"/>
        <v>1</v>
      </c>
      <c r="O270" s="102">
        <f>IF(VLOOKUP($P270,无限模式!$A$76:$X$95,5,FALSE)="","",VLOOKUP($P270,无限模式!$A$76:$X$95,9,FALSE))</f>
        <v>7</v>
      </c>
      <c r="P270" s="110">
        <f t="shared" si="69"/>
        <v>2</v>
      </c>
      <c r="Q270" s="110">
        <v>1</v>
      </c>
    </row>
    <row r="271" spans="2:17" x14ac:dyDescent="0.2">
      <c r="D271" s="57" t="str">
        <f t="shared" si="63"/>
        <v/>
      </c>
      <c r="F271" s="57" t="str">
        <f t="shared" si="64"/>
        <v/>
      </c>
      <c r="G271" s="102" t="str">
        <f t="shared" si="65"/>
        <v/>
      </c>
      <c r="H271" s="57">
        <f t="shared" si="66"/>
        <v>0</v>
      </c>
      <c r="I271" s="102">
        <f>IF(VLOOKUP($P271,无限模式!$A$76:$X$95,10,FALSE)="","",VLOOKUP($P271,无限模式!$A$76:$X$95,11,FALSE))</f>
        <v>7</v>
      </c>
      <c r="J271" s="102">
        <f>IF(VLOOKUP($P271,无限模式!$A$76:$X$95,10,FALSE)="","",VLOOKUP($P271,无限模式!$A$76:$X$95,12,FALSE))</f>
        <v>1.5</v>
      </c>
      <c r="K271" s="102">
        <f t="shared" si="67"/>
        <v>1</v>
      </c>
      <c r="L271" s="102" t="str">
        <f>IF(VLOOKUP($P271,无限模式!$A$76:$X$95,10,FALSE)="","","Monster_Season3_Infinite_"&amp;P271&amp;"_2")</f>
        <v>Monster_Season3_Infinite_2_2</v>
      </c>
      <c r="M271" s="57">
        <f t="shared" si="68"/>
        <v>1</v>
      </c>
      <c r="O271" s="102">
        <f>IF(VLOOKUP($P271,无限模式!$A$76:$X$95,10,FALSE)="","",VLOOKUP($P271,无限模式!$A$76:$X$95,14,FALSE))</f>
        <v>28</v>
      </c>
      <c r="P271" s="110">
        <f t="shared" si="69"/>
        <v>2</v>
      </c>
      <c r="Q271" s="110">
        <v>2</v>
      </c>
    </row>
    <row r="272" spans="2:17" x14ac:dyDescent="0.2">
      <c r="D272" s="57" t="str">
        <f t="shared" si="63"/>
        <v/>
      </c>
      <c r="F272" s="57" t="str">
        <f t="shared" si="64"/>
        <v/>
      </c>
      <c r="G272" s="102" t="str">
        <f t="shared" si="65"/>
        <v/>
      </c>
      <c r="H272" s="57" t="str">
        <f t="shared" si="66"/>
        <v/>
      </c>
      <c r="I272" s="102" t="str">
        <f>IF(VLOOKUP($P272,无限模式!$A$76:$X$95,15,FALSE)="","",VLOOKUP(P272,无限模式!$A$76:$X$95,16,FALSE))</f>
        <v/>
      </c>
      <c r="J272" s="102" t="str">
        <f>IF(VLOOKUP($P272,无限模式!$A$76:$X$95,15,FALSE)="","",VLOOKUP($P272,无限模式!$A$76:$X$95,17,FALSE))</f>
        <v/>
      </c>
      <c r="K272" s="102" t="str">
        <f t="shared" si="67"/>
        <v/>
      </c>
      <c r="L272" s="102" t="str">
        <f>IF(VLOOKUP($P272,无限模式!$A$76:$X$95,15,FALSE)="","","Monster_Season3_Infinite_"&amp;P272&amp;"_3")</f>
        <v/>
      </c>
      <c r="M272" s="57" t="str">
        <f t="shared" si="68"/>
        <v/>
      </c>
      <c r="O272" s="102" t="str">
        <f>IF(VLOOKUP($P272,无限模式!$A$76:$X$95,15,FALSE)="","",VLOOKUP($P272,无限模式!$A$76:$X$95,19,FALSE))</f>
        <v/>
      </c>
      <c r="P272" s="110">
        <f t="shared" si="69"/>
        <v>2</v>
      </c>
      <c r="Q272" s="110">
        <v>3</v>
      </c>
    </row>
    <row r="273" spans="2:17" x14ac:dyDescent="0.2">
      <c r="D273" s="57" t="str">
        <f t="shared" si="63"/>
        <v/>
      </c>
      <c r="F273" s="57" t="str">
        <f t="shared" si="64"/>
        <v/>
      </c>
      <c r="G273" s="102" t="str">
        <f t="shared" si="65"/>
        <v/>
      </c>
      <c r="H273" s="57" t="str">
        <f t="shared" si="66"/>
        <v/>
      </c>
      <c r="I273" s="102" t="str">
        <f>IF(VLOOKUP($P273,无限模式!$A$76:$X$95,20,FALSE)="","",VLOOKUP($P273,无限模式!$A$76:$X$95,21,FALSE))</f>
        <v/>
      </c>
      <c r="J273" s="102" t="str">
        <f>IF(VLOOKUP($P273,无限模式!$A$76:$X$95,20,FALSE)="","",VLOOKUP($P273,无限模式!$A$76:$X$95,22,FALSE))</f>
        <v/>
      </c>
      <c r="K273" s="102" t="str">
        <f t="shared" si="67"/>
        <v/>
      </c>
      <c r="L273" s="102" t="str">
        <f>IF(VLOOKUP($P273,无限模式!$A$76:$X$95,20,FALSE)="","","Monster_Season3_Infinite_"&amp;P273&amp;"_4")</f>
        <v/>
      </c>
      <c r="M273" s="57" t="str">
        <f t="shared" si="68"/>
        <v/>
      </c>
      <c r="O273" s="102" t="str">
        <f>IF(VLOOKUP($P273,无限模式!$A$76:$X$95,20,FALSE)="","",VLOOKUP($P273,无限模式!$A$76:$X$95,24,FALSE))</f>
        <v/>
      </c>
      <c r="P273" s="110">
        <f t="shared" si="69"/>
        <v>2</v>
      </c>
      <c r="Q273" s="110">
        <v>4</v>
      </c>
    </row>
    <row r="274" spans="2:17" x14ac:dyDescent="0.2">
      <c r="B274" s="57" t="s">
        <v>3139</v>
      </c>
      <c r="C274" s="57">
        <v>3</v>
      </c>
      <c r="D274" s="57" t="str">
        <f t="shared" si="63"/>
        <v>赛季3无限模式第3波</v>
      </c>
      <c r="F274" s="57">
        <f t="shared" si="64"/>
        <v>0</v>
      </c>
      <c r="G274" s="102">
        <f t="shared" si="65"/>
        <v>180</v>
      </c>
      <c r="H274" s="57">
        <f t="shared" si="66"/>
        <v>0</v>
      </c>
      <c r="I274" s="102">
        <f>IF(VLOOKUP($P274,无限模式!$A$76:$X$95,5,FALSE)="","",VLOOKUP($P274,无限模式!$A$76:$X$95,6,FALSE))</f>
        <v>8</v>
      </c>
      <c r="J274" s="102">
        <f>IF(VLOOKUP($P274,无限模式!$A$76:$X$95,5,FALSE)="","",VLOOKUP($P274,无限模式!$A$76:$X$95,7,FALSE))</f>
        <v>1.5</v>
      </c>
      <c r="K274" s="102">
        <f t="shared" si="67"/>
        <v>1</v>
      </c>
      <c r="L274" s="102" t="str">
        <f>IF(VLOOKUP($P274,无限模式!$A$76:$X$95,5,FALSE)="","","Monster_Season3_Infinite_"&amp;P274&amp;"_1")</f>
        <v>Monster_Season3_Infinite_3_1</v>
      </c>
      <c r="M274" s="57">
        <f t="shared" si="68"/>
        <v>1</v>
      </c>
      <c r="O274" s="102">
        <f>IF(VLOOKUP($P274,无限模式!$A$76:$X$95,5,FALSE)="","",VLOOKUP($P274,无限模式!$A$76:$X$95,9,FALSE))</f>
        <v>13</v>
      </c>
      <c r="P274" s="110">
        <f t="shared" si="69"/>
        <v>3</v>
      </c>
      <c r="Q274" s="110">
        <v>1</v>
      </c>
    </row>
    <row r="275" spans="2:17" x14ac:dyDescent="0.2">
      <c r="D275" s="57" t="str">
        <f t="shared" si="63"/>
        <v/>
      </c>
      <c r="F275" s="57" t="str">
        <f t="shared" si="64"/>
        <v/>
      </c>
      <c r="G275" s="102" t="str">
        <f t="shared" si="65"/>
        <v/>
      </c>
      <c r="H275" s="57">
        <f t="shared" si="66"/>
        <v>0</v>
      </c>
      <c r="I275" s="102">
        <f>IF(VLOOKUP($P275,无限模式!$A$76:$X$95,10,FALSE)="","",VLOOKUP($P275,无限模式!$A$76:$X$95,11,FALSE))</f>
        <v>60</v>
      </c>
      <c r="J275" s="102">
        <f>IF(VLOOKUP($P275,无限模式!$A$76:$X$95,10,FALSE)="","",VLOOKUP($P275,无限模式!$A$76:$X$95,12,FALSE))</f>
        <v>0.2</v>
      </c>
      <c r="K275" s="102">
        <f t="shared" si="67"/>
        <v>1</v>
      </c>
      <c r="L275" s="102" t="str">
        <f>IF(VLOOKUP($P275,无限模式!$A$76:$X$95,10,FALSE)="","","Monster_Season3_Infinite_"&amp;P275&amp;"_2")</f>
        <v>Monster_Season3_Infinite_3_2</v>
      </c>
      <c r="M275" s="57">
        <f t="shared" si="68"/>
        <v>1</v>
      </c>
      <c r="O275" s="102">
        <f>IF(VLOOKUP($P275,无限模式!$A$76:$X$95,10,FALSE)="","",VLOOKUP($P275,无限模式!$A$76:$X$95,14,FALSE))</f>
        <v>3</v>
      </c>
      <c r="P275" s="110">
        <f t="shared" si="69"/>
        <v>3</v>
      </c>
      <c r="Q275" s="110">
        <v>2</v>
      </c>
    </row>
    <row r="276" spans="2:17" x14ac:dyDescent="0.2">
      <c r="D276" s="57" t="str">
        <f t="shared" si="63"/>
        <v/>
      </c>
      <c r="F276" s="57" t="str">
        <f t="shared" si="64"/>
        <v/>
      </c>
      <c r="G276" s="102" t="str">
        <f t="shared" si="65"/>
        <v/>
      </c>
      <c r="H276" s="57" t="str">
        <f t="shared" si="66"/>
        <v/>
      </c>
      <c r="I276" s="102" t="str">
        <f>IF(VLOOKUP($P276,无限模式!$A$76:$X$95,15,FALSE)="","",VLOOKUP(P276,无限模式!$A$76:$X$95,16,FALSE))</f>
        <v/>
      </c>
      <c r="J276" s="102" t="str">
        <f>IF(VLOOKUP($P276,无限模式!$A$76:$X$95,15,FALSE)="","",VLOOKUP($P276,无限模式!$A$76:$X$95,17,FALSE))</f>
        <v/>
      </c>
      <c r="K276" s="102" t="str">
        <f t="shared" si="67"/>
        <v/>
      </c>
      <c r="L276" s="102" t="str">
        <f>IF(VLOOKUP($P276,无限模式!$A$76:$X$95,15,FALSE)="","","Monster_Season3_Infinite_"&amp;P276&amp;"_3")</f>
        <v/>
      </c>
      <c r="M276" s="57" t="str">
        <f t="shared" si="68"/>
        <v/>
      </c>
      <c r="O276" s="102" t="str">
        <f>IF(VLOOKUP($P276,无限模式!$A$76:$X$95,15,FALSE)="","",VLOOKUP($P276,无限模式!$A$76:$X$95,19,FALSE))</f>
        <v/>
      </c>
      <c r="P276" s="110">
        <f t="shared" si="69"/>
        <v>3</v>
      </c>
      <c r="Q276" s="110">
        <v>3</v>
      </c>
    </row>
    <row r="277" spans="2:17" x14ac:dyDescent="0.2">
      <c r="D277" s="57" t="str">
        <f t="shared" si="63"/>
        <v/>
      </c>
      <c r="F277" s="57" t="str">
        <f t="shared" si="64"/>
        <v/>
      </c>
      <c r="G277" s="102" t="str">
        <f t="shared" si="65"/>
        <v/>
      </c>
      <c r="H277" s="57" t="str">
        <f t="shared" si="66"/>
        <v/>
      </c>
      <c r="I277" s="102" t="str">
        <f>IF(VLOOKUP($P277,无限模式!$A$76:$X$95,20,FALSE)="","",VLOOKUP($P277,无限模式!$A$76:$X$95,21,FALSE))</f>
        <v/>
      </c>
      <c r="J277" s="102" t="str">
        <f>IF(VLOOKUP($P277,无限模式!$A$76:$X$95,20,FALSE)="","",VLOOKUP($P277,无限模式!$A$76:$X$95,22,FALSE))</f>
        <v/>
      </c>
      <c r="K277" s="102" t="str">
        <f t="shared" si="67"/>
        <v/>
      </c>
      <c r="L277" s="102" t="str">
        <f>IF(VLOOKUP($P277,无限模式!$A$76:$X$95,20,FALSE)="","","Monster_Season3_Infinite_"&amp;P277&amp;"_4")</f>
        <v/>
      </c>
      <c r="M277" s="57" t="str">
        <f t="shared" si="68"/>
        <v/>
      </c>
      <c r="O277" s="102" t="str">
        <f>IF(VLOOKUP($P277,无限模式!$A$76:$X$95,20,FALSE)="","",VLOOKUP($P277,无限模式!$A$76:$X$95,24,FALSE))</f>
        <v/>
      </c>
      <c r="P277" s="110">
        <f t="shared" si="69"/>
        <v>3</v>
      </c>
      <c r="Q277" s="110">
        <v>4</v>
      </c>
    </row>
    <row r="278" spans="2:17" x14ac:dyDescent="0.2">
      <c r="B278" s="57" t="s">
        <v>3139</v>
      </c>
      <c r="C278" s="57">
        <v>4</v>
      </c>
      <c r="D278" s="57" t="str">
        <f t="shared" si="63"/>
        <v>赛季3无限模式第4波</v>
      </c>
      <c r="F278" s="57">
        <f t="shared" si="64"/>
        <v>0</v>
      </c>
      <c r="G278" s="102">
        <f t="shared" si="65"/>
        <v>180</v>
      </c>
      <c r="H278" s="57">
        <f t="shared" si="66"/>
        <v>0</v>
      </c>
      <c r="I278" s="102">
        <f>IF(VLOOKUP($P278,无限模式!$A$76:$X$95,5,FALSE)="","",VLOOKUP($P278,无限模式!$A$76:$X$95,6,FALSE))</f>
        <v>1</v>
      </c>
      <c r="J278" s="102">
        <f>IF(VLOOKUP($P278,无限模式!$A$76:$X$95,5,FALSE)="","",VLOOKUP($P278,无限模式!$A$76:$X$95,7,FALSE))</f>
        <v>0</v>
      </c>
      <c r="K278" s="102">
        <f t="shared" si="67"/>
        <v>1</v>
      </c>
      <c r="L278" s="102" t="str">
        <f>IF(VLOOKUP($P278,无限模式!$A$76:$X$95,5,FALSE)="","","Monster_Season3_Infinite_"&amp;P278&amp;"_1")</f>
        <v>Monster_Season3_Infinite_4_1</v>
      </c>
      <c r="M278" s="57">
        <f t="shared" si="68"/>
        <v>1</v>
      </c>
      <c r="O278" s="102">
        <f>IF(VLOOKUP($P278,无限模式!$A$76:$X$95,5,FALSE)="","",VLOOKUP($P278,无限模式!$A$76:$X$95,9,FALSE))</f>
        <v>182</v>
      </c>
      <c r="P278" s="110">
        <f t="shared" si="69"/>
        <v>4</v>
      </c>
      <c r="Q278" s="110">
        <v>1</v>
      </c>
    </row>
    <row r="279" spans="2:17" x14ac:dyDescent="0.2">
      <c r="D279" s="57" t="str">
        <f t="shared" si="63"/>
        <v/>
      </c>
      <c r="F279" s="57" t="str">
        <f t="shared" si="64"/>
        <v/>
      </c>
      <c r="G279" s="102" t="str">
        <f t="shared" si="65"/>
        <v/>
      </c>
      <c r="H279" s="57">
        <f t="shared" si="66"/>
        <v>0</v>
      </c>
      <c r="I279" s="102">
        <f>IF(VLOOKUP($P279,无限模式!$A$76:$X$95,10,FALSE)="","",VLOOKUP($P279,无限模式!$A$76:$X$95,11,FALSE))</f>
        <v>13</v>
      </c>
      <c r="J279" s="102">
        <f>IF(VLOOKUP($P279,无限模式!$A$76:$X$95,10,FALSE)="","",VLOOKUP($P279,无限模式!$A$76:$X$95,12,FALSE))</f>
        <v>1</v>
      </c>
      <c r="K279" s="102">
        <f t="shared" si="67"/>
        <v>1</v>
      </c>
      <c r="L279" s="102" t="str">
        <f>IF(VLOOKUP($P279,无限模式!$A$76:$X$95,10,FALSE)="","","Monster_Season3_Infinite_"&amp;P279&amp;"_2")</f>
        <v>Monster_Season3_Infinite_4_2</v>
      </c>
      <c r="M279" s="57">
        <f t="shared" si="68"/>
        <v>1</v>
      </c>
      <c r="O279" s="102">
        <f>IF(VLOOKUP($P279,无限模式!$A$76:$X$95,10,FALSE)="","",VLOOKUP($P279,无限模式!$A$76:$X$95,14,FALSE))</f>
        <v>9</v>
      </c>
      <c r="P279" s="110">
        <f t="shared" si="69"/>
        <v>4</v>
      </c>
      <c r="Q279" s="110">
        <v>2</v>
      </c>
    </row>
    <row r="280" spans="2:17" x14ac:dyDescent="0.2">
      <c r="D280" s="57" t="str">
        <f t="shared" si="63"/>
        <v/>
      </c>
      <c r="F280" s="57" t="str">
        <f t="shared" si="64"/>
        <v/>
      </c>
      <c r="G280" s="102" t="str">
        <f t="shared" si="65"/>
        <v/>
      </c>
      <c r="H280" s="57" t="str">
        <f t="shared" si="66"/>
        <v/>
      </c>
      <c r="I280" s="102" t="str">
        <f>IF(VLOOKUP($P280,无限模式!$A$76:$X$95,15,FALSE)="","",VLOOKUP(P280,无限模式!$A$76:$X$95,16,FALSE))</f>
        <v/>
      </c>
      <c r="J280" s="102" t="str">
        <f>IF(VLOOKUP($P280,无限模式!$A$76:$X$95,15,FALSE)="","",VLOOKUP($P280,无限模式!$A$76:$X$95,17,FALSE))</f>
        <v/>
      </c>
      <c r="K280" s="102" t="str">
        <f t="shared" si="67"/>
        <v/>
      </c>
      <c r="L280" s="102" t="str">
        <f>IF(VLOOKUP($P280,无限模式!$A$76:$X$95,15,FALSE)="","","Monster_Season3_Infinite_"&amp;P280&amp;"_3")</f>
        <v/>
      </c>
      <c r="M280" s="57" t="str">
        <f t="shared" si="68"/>
        <v/>
      </c>
      <c r="O280" s="102" t="str">
        <f>IF(VLOOKUP($P280,无限模式!$A$76:$X$95,15,FALSE)="","",VLOOKUP($P280,无限模式!$A$76:$X$95,19,FALSE))</f>
        <v/>
      </c>
      <c r="P280" s="110">
        <f t="shared" si="69"/>
        <v>4</v>
      </c>
      <c r="Q280" s="110">
        <v>3</v>
      </c>
    </row>
    <row r="281" spans="2:17" x14ac:dyDescent="0.2">
      <c r="D281" s="57" t="str">
        <f t="shared" si="63"/>
        <v/>
      </c>
      <c r="F281" s="57" t="str">
        <f t="shared" si="64"/>
        <v/>
      </c>
      <c r="G281" s="102" t="str">
        <f t="shared" si="65"/>
        <v/>
      </c>
      <c r="H281" s="57" t="str">
        <f t="shared" si="66"/>
        <v/>
      </c>
      <c r="I281" s="102" t="str">
        <f>IF(VLOOKUP($P281,无限模式!$A$76:$X$95,20,FALSE)="","",VLOOKUP($P281,无限模式!$A$76:$X$95,21,FALSE))</f>
        <v/>
      </c>
      <c r="J281" s="102" t="str">
        <f>IF(VLOOKUP($P281,无限模式!$A$76:$X$95,20,FALSE)="","",VLOOKUP($P281,无限模式!$A$76:$X$95,22,FALSE))</f>
        <v/>
      </c>
      <c r="K281" s="102" t="str">
        <f t="shared" si="67"/>
        <v/>
      </c>
      <c r="L281" s="102" t="str">
        <f>IF(VLOOKUP($P281,无限模式!$A$76:$X$95,20,FALSE)="","","Monster_Season3_Infinite_"&amp;P281&amp;"_4")</f>
        <v/>
      </c>
      <c r="M281" s="57" t="str">
        <f t="shared" si="68"/>
        <v/>
      </c>
      <c r="O281" s="102" t="str">
        <f>IF(VLOOKUP($P281,无限模式!$A$76:$X$95,20,FALSE)="","",VLOOKUP($P281,无限模式!$A$76:$X$95,24,FALSE))</f>
        <v/>
      </c>
      <c r="P281" s="110">
        <f t="shared" si="69"/>
        <v>4</v>
      </c>
      <c r="Q281" s="110">
        <v>4</v>
      </c>
    </row>
    <row r="282" spans="2:17" x14ac:dyDescent="0.2">
      <c r="B282" s="57" t="s">
        <v>3139</v>
      </c>
      <c r="C282" s="57">
        <v>5</v>
      </c>
      <c r="D282" s="57" t="str">
        <f t="shared" si="63"/>
        <v>赛季3无限模式第5波</v>
      </c>
      <c r="F282" s="57">
        <f t="shared" si="64"/>
        <v>0</v>
      </c>
      <c r="G282" s="102">
        <f t="shared" si="65"/>
        <v>180</v>
      </c>
      <c r="H282" s="57">
        <f t="shared" si="66"/>
        <v>0</v>
      </c>
      <c r="I282" s="102">
        <f>IF(VLOOKUP($P282,无限模式!$A$76:$X$95,5,FALSE)="","",VLOOKUP($P282,无限模式!$A$76:$X$95,6,FALSE))</f>
        <v>14</v>
      </c>
      <c r="J282" s="102">
        <f>IF(VLOOKUP($P282,无限模式!$A$76:$X$95,5,FALSE)="","",VLOOKUP($P282,无限模式!$A$76:$X$95,7,FALSE))</f>
        <v>1</v>
      </c>
      <c r="K282" s="102">
        <f t="shared" si="67"/>
        <v>1</v>
      </c>
      <c r="L282" s="102" t="str">
        <f>IF(VLOOKUP($P282,无限模式!$A$76:$X$95,5,FALSE)="","","Monster_Season3_Infinite_"&amp;P282&amp;"_1")</f>
        <v>Monster_Season3_Infinite_5_1</v>
      </c>
      <c r="M282" s="57">
        <f t="shared" si="68"/>
        <v>1</v>
      </c>
      <c r="O282" s="102">
        <f>IF(VLOOKUP($P282,无限模式!$A$76:$X$95,5,FALSE)="","",VLOOKUP($P282,无限模式!$A$76:$X$95,9,FALSE))</f>
        <v>14</v>
      </c>
      <c r="P282" s="110">
        <f t="shared" si="69"/>
        <v>5</v>
      </c>
      <c r="Q282" s="110">
        <v>1</v>
      </c>
    </row>
    <row r="283" spans="2:17" x14ac:dyDescent="0.2">
      <c r="D283" s="57" t="str">
        <f t="shared" si="63"/>
        <v/>
      </c>
      <c r="F283" s="57" t="str">
        <f t="shared" si="64"/>
        <v/>
      </c>
      <c r="G283" s="102" t="str">
        <f t="shared" si="65"/>
        <v/>
      </c>
      <c r="H283" s="57">
        <f t="shared" si="66"/>
        <v>0</v>
      </c>
      <c r="I283" s="102">
        <f>IF(VLOOKUP($P283,无限模式!$A$76:$X$95,10,FALSE)="","",VLOOKUP($P283,无限模式!$A$76:$X$95,11,FALSE))</f>
        <v>14</v>
      </c>
      <c r="J283" s="102">
        <f>IF(VLOOKUP($P283,无限模式!$A$76:$X$95,10,FALSE)="","",VLOOKUP($P283,无限模式!$A$76:$X$95,12,FALSE))</f>
        <v>1</v>
      </c>
      <c r="K283" s="102">
        <f t="shared" si="67"/>
        <v>1</v>
      </c>
      <c r="L283" s="102" t="str">
        <f>IF(VLOOKUP($P283,无限模式!$A$76:$X$95,10,FALSE)="","","Monster_Season3_Infinite_"&amp;P283&amp;"_2")</f>
        <v>Monster_Season3_Infinite_5_2</v>
      </c>
      <c r="M283" s="57">
        <f t="shared" si="68"/>
        <v>1</v>
      </c>
      <c r="O283" s="102">
        <f>IF(VLOOKUP($P283,无限模式!$A$76:$X$95,10,FALSE)="","",VLOOKUP($P283,无限模式!$A$76:$X$95,14,FALSE))</f>
        <v>7</v>
      </c>
      <c r="P283" s="110">
        <f t="shared" si="69"/>
        <v>5</v>
      </c>
      <c r="Q283" s="110">
        <v>2</v>
      </c>
    </row>
    <row r="284" spans="2:17" x14ac:dyDescent="0.2">
      <c r="D284" s="57" t="str">
        <f t="shared" si="63"/>
        <v/>
      </c>
      <c r="F284" s="57" t="str">
        <f t="shared" si="64"/>
        <v/>
      </c>
      <c r="G284" s="102" t="str">
        <f t="shared" si="65"/>
        <v/>
      </c>
      <c r="H284" s="57" t="str">
        <f t="shared" si="66"/>
        <v/>
      </c>
      <c r="I284" s="102" t="str">
        <f>IF(VLOOKUP($P284,无限模式!$A$76:$X$95,15,FALSE)="","",VLOOKUP(P284,无限模式!$A$76:$X$95,16,FALSE))</f>
        <v/>
      </c>
      <c r="J284" s="102" t="str">
        <f>IF(VLOOKUP($P284,无限模式!$A$76:$X$95,15,FALSE)="","",VLOOKUP($P284,无限模式!$A$76:$X$95,17,FALSE))</f>
        <v/>
      </c>
      <c r="K284" s="102" t="str">
        <f t="shared" si="67"/>
        <v/>
      </c>
      <c r="L284" s="102" t="str">
        <f>IF(VLOOKUP($P284,无限模式!$A$76:$X$95,15,FALSE)="","","Monster_Season3_Infinite_"&amp;P284&amp;"_3")</f>
        <v/>
      </c>
      <c r="M284" s="57" t="str">
        <f t="shared" si="68"/>
        <v/>
      </c>
      <c r="O284" s="102" t="str">
        <f>IF(VLOOKUP($P284,无限模式!$A$76:$X$95,15,FALSE)="","",VLOOKUP($P284,无限模式!$A$76:$X$95,19,FALSE))</f>
        <v/>
      </c>
      <c r="P284" s="110">
        <f t="shared" si="69"/>
        <v>5</v>
      </c>
      <c r="Q284" s="110">
        <v>3</v>
      </c>
    </row>
    <row r="285" spans="2:17" x14ac:dyDescent="0.2">
      <c r="D285" s="57" t="str">
        <f t="shared" si="63"/>
        <v/>
      </c>
      <c r="F285" s="57" t="str">
        <f t="shared" si="64"/>
        <v/>
      </c>
      <c r="G285" s="102" t="str">
        <f t="shared" si="65"/>
        <v/>
      </c>
      <c r="H285" s="57" t="str">
        <f t="shared" si="66"/>
        <v/>
      </c>
      <c r="I285" s="102" t="str">
        <f>IF(VLOOKUP($P285,无限模式!$A$76:$X$95,20,FALSE)="","",VLOOKUP($P285,无限模式!$A$76:$X$95,21,FALSE))</f>
        <v/>
      </c>
      <c r="J285" s="102" t="str">
        <f>IF(VLOOKUP($P285,无限模式!$A$76:$X$95,20,FALSE)="","",VLOOKUP($P285,无限模式!$A$76:$X$95,22,FALSE))</f>
        <v/>
      </c>
      <c r="K285" s="102" t="str">
        <f t="shared" si="67"/>
        <v/>
      </c>
      <c r="L285" s="102" t="str">
        <f>IF(VLOOKUP($P285,无限模式!$A$76:$X$95,20,FALSE)="","","Monster_Season3_Infinite_"&amp;P285&amp;"_4")</f>
        <v/>
      </c>
      <c r="M285" s="57" t="str">
        <f t="shared" si="68"/>
        <v/>
      </c>
      <c r="O285" s="102" t="str">
        <f>IF(VLOOKUP($P285,无限模式!$A$76:$X$95,20,FALSE)="","",VLOOKUP($P285,无限模式!$A$76:$X$95,24,FALSE))</f>
        <v/>
      </c>
      <c r="P285" s="110">
        <f t="shared" si="69"/>
        <v>5</v>
      </c>
      <c r="Q285" s="110">
        <v>4</v>
      </c>
    </row>
    <row r="286" spans="2:17" x14ac:dyDescent="0.2">
      <c r="B286" s="57" t="s">
        <v>3139</v>
      </c>
      <c r="C286" s="57">
        <v>6</v>
      </c>
      <c r="D286" s="57" t="str">
        <f t="shared" si="63"/>
        <v>赛季3无限模式第6波</v>
      </c>
      <c r="F286" s="57">
        <f t="shared" si="64"/>
        <v>0</v>
      </c>
      <c r="G286" s="102">
        <f t="shared" si="65"/>
        <v>180</v>
      </c>
      <c r="H286" s="57">
        <f t="shared" si="66"/>
        <v>0</v>
      </c>
      <c r="I286" s="102">
        <f>IF(VLOOKUP($P286,无限模式!$A$76:$X$95,5,FALSE)="","",VLOOKUP($P286,无限模式!$A$76:$X$95,6,FALSE))</f>
        <v>20</v>
      </c>
      <c r="J286" s="102">
        <f>IF(VLOOKUP($P286,无限模式!$A$76:$X$95,5,FALSE)="","",VLOOKUP($P286,无限模式!$A$76:$X$95,7,FALSE))</f>
        <v>0.75</v>
      </c>
      <c r="K286" s="102">
        <f t="shared" si="67"/>
        <v>1</v>
      </c>
      <c r="L286" s="102" t="str">
        <f>IF(VLOOKUP($P286,无限模式!$A$76:$X$95,5,FALSE)="","","Monster_Season3_Infinite_"&amp;P286&amp;"_1")</f>
        <v>Monster_Season3_Infinite_6_1</v>
      </c>
      <c r="M286" s="57">
        <f t="shared" si="68"/>
        <v>1</v>
      </c>
      <c r="O286" s="102">
        <f>IF(VLOOKUP($P286,无限模式!$A$76:$X$95,5,FALSE)="","",VLOOKUP($P286,无限模式!$A$76:$X$95,9,FALSE))</f>
        <v>9</v>
      </c>
      <c r="P286" s="110">
        <f t="shared" si="69"/>
        <v>6</v>
      </c>
      <c r="Q286" s="110">
        <v>1</v>
      </c>
    </row>
    <row r="287" spans="2:17" x14ac:dyDescent="0.2">
      <c r="D287" s="57" t="str">
        <f t="shared" si="63"/>
        <v/>
      </c>
      <c r="F287" s="57" t="str">
        <f t="shared" si="64"/>
        <v/>
      </c>
      <c r="G287" s="102" t="str">
        <f t="shared" si="65"/>
        <v/>
      </c>
      <c r="H287" s="57">
        <f t="shared" si="66"/>
        <v>0</v>
      </c>
      <c r="I287" s="102">
        <f>IF(VLOOKUP($P287,无限模式!$A$76:$X$95,10,FALSE)="","",VLOOKUP($P287,无限模式!$A$76:$X$95,11,FALSE))</f>
        <v>15</v>
      </c>
      <c r="J287" s="102">
        <f>IF(VLOOKUP($P287,无限模式!$A$76:$X$95,10,FALSE)="","",VLOOKUP($P287,无限模式!$A$76:$X$95,12,FALSE))</f>
        <v>1</v>
      </c>
      <c r="K287" s="102">
        <f t="shared" si="67"/>
        <v>1</v>
      </c>
      <c r="L287" s="102" t="str">
        <f>IF(VLOOKUP($P287,无限模式!$A$76:$X$95,10,FALSE)="","","Monster_Season3_Infinite_"&amp;P287&amp;"_2")</f>
        <v>Monster_Season3_Infinite_6_2</v>
      </c>
      <c r="M287" s="57">
        <f t="shared" si="68"/>
        <v>1</v>
      </c>
      <c r="O287" s="102">
        <f>IF(VLOOKUP($P287,无限模式!$A$76:$X$95,10,FALSE)="","",VLOOKUP($P287,无限模式!$A$76:$X$95,14,FALSE))</f>
        <v>9</v>
      </c>
      <c r="P287" s="110">
        <f t="shared" si="69"/>
        <v>6</v>
      </c>
      <c r="Q287" s="110">
        <v>2</v>
      </c>
    </row>
    <row r="288" spans="2:17" x14ac:dyDescent="0.2">
      <c r="D288" s="57" t="str">
        <f t="shared" si="63"/>
        <v/>
      </c>
      <c r="F288" s="57" t="str">
        <f t="shared" si="64"/>
        <v/>
      </c>
      <c r="G288" s="102" t="str">
        <f t="shared" si="65"/>
        <v/>
      </c>
      <c r="H288" s="57" t="str">
        <f t="shared" si="66"/>
        <v/>
      </c>
      <c r="I288" s="102" t="str">
        <f>IF(VLOOKUP($P288,无限模式!$A$76:$X$95,15,FALSE)="","",VLOOKUP(P288,无限模式!$A$76:$X$95,16,FALSE))</f>
        <v/>
      </c>
      <c r="J288" s="102" t="str">
        <f>IF(VLOOKUP($P288,无限模式!$A$76:$X$95,15,FALSE)="","",VLOOKUP($P288,无限模式!$A$76:$X$95,17,FALSE))</f>
        <v/>
      </c>
      <c r="K288" s="102" t="str">
        <f t="shared" si="67"/>
        <v/>
      </c>
      <c r="L288" s="102" t="str">
        <f>IF(VLOOKUP($P288,无限模式!$A$76:$X$95,15,FALSE)="","","Monster_Season3_Infinite_"&amp;P288&amp;"_3")</f>
        <v/>
      </c>
      <c r="M288" s="57" t="str">
        <f t="shared" si="68"/>
        <v/>
      </c>
      <c r="O288" s="102" t="str">
        <f>IF(VLOOKUP($P288,无限模式!$A$76:$X$95,15,FALSE)="","",VLOOKUP($P288,无限模式!$A$76:$X$95,19,FALSE))</f>
        <v/>
      </c>
      <c r="P288" s="110">
        <f t="shared" si="69"/>
        <v>6</v>
      </c>
      <c r="Q288" s="110">
        <v>3</v>
      </c>
    </row>
    <row r="289" spans="2:17" x14ac:dyDescent="0.2">
      <c r="D289" s="57" t="str">
        <f t="shared" si="63"/>
        <v/>
      </c>
      <c r="F289" s="57" t="str">
        <f t="shared" si="64"/>
        <v/>
      </c>
      <c r="G289" s="102" t="str">
        <f t="shared" si="65"/>
        <v/>
      </c>
      <c r="H289" s="57" t="str">
        <f t="shared" si="66"/>
        <v/>
      </c>
      <c r="I289" s="102" t="str">
        <f>IF(VLOOKUP($P289,无限模式!$A$76:$X$95,20,FALSE)="","",VLOOKUP($P289,无限模式!$A$76:$X$95,21,FALSE))</f>
        <v/>
      </c>
      <c r="J289" s="102" t="str">
        <f>IF(VLOOKUP($P289,无限模式!$A$76:$X$95,20,FALSE)="","",VLOOKUP($P289,无限模式!$A$76:$X$95,22,FALSE))</f>
        <v/>
      </c>
      <c r="K289" s="102" t="str">
        <f t="shared" si="67"/>
        <v/>
      </c>
      <c r="L289" s="102" t="str">
        <f>IF(VLOOKUP($P289,无限模式!$A$76:$X$95,20,FALSE)="","","Monster_Season3_Infinite_"&amp;P289&amp;"_4")</f>
        <v/>
      </c>
      <c r="M289" s="57" t="str">
        <f t="shared" si="68"/>
        <v/>
      </c>
      <c r="O289" s="102" t="str">
        <f>IF(VLOOKUP($P289,无限模式!$A$76:$X$95,20,FALSE)="","",VLOOKUP($P289,无限模式!$A$76:$X$95,24,FALSE))</f>
        <v/>
      </c>
      <c r="P289" s="110">
        <f t="shared" si="69"/>
        <v>6</v>
      </c>
      <c r="Q289" s="110">
        <v>4</v>
      </c>
    </row>
    <row r="290" spans="2:17" x14ac:dyDescent="0.2">
      <c r="B290" s="57" t="s">
        <v>3139</v>
      </c>
      <c r="C290" s="57">
        <v>7</v>
      </c>
      <c r="D290" s="57" t="str">
        <f t="shared" si="63"/>
        <v>赛季3无限模式第7波</v>
      </c>
      <c r="F290" s="57">
        <f t="shared" si="64"/>
        <v>0</v>
      </c>
      <c r="G290" s="102">
        <f t="shared" si="65"/>
        <v>180</v>
      </c>
      <c r="H290" s="57">
        <f t="shared" si="66"/>
        <v>0</v>
      </c>
      <c r="I290" s="102">
        <f>IF(VLOOKUP($P290,无限模式!$A$76:$X$95,5,FALSE)="","",VLOOKUP($P290,无限模式!$A$76:$X$95,6,FALSE))</f>
        <v>16</v>
      </c>
      <c r="J290" s="102">
        <f>IF(VLOOKUP($P290,无限模式!$A$76:$X$95,5,FALSE)="","",VLOOKUP($P290,无限模式!$A$76:$X$95,7,FALSE))</f>
        <v>1</v>
      </c>
      <c r="K290" s="102">
        <f t="shared" si="67"/>
        <v>1</v>
      </c>
      <c r="L290" s="102" t="str">
        <f>IF(VLOOKUP($P290,无限模式!$A$76:$X$95,5,FALSE)="","","Monster_Season3_Infinite_"&amp;P290&amp;"_1")</f>
        <v>Monster_Season3_Infinite_7_1</v>
      </c>
      <c r="M290" s="57">
        <f t="shared" si="68"/>
        <v>1</v>
      </c>
      <c r="O290" s="102">
        <f>IF(VLOOKUP($P290,无限模式!$A$76:$X$95,5,FALSE)="","",VLOOKUP($P290,无限模式!$A$76:$X$95,9,FALSE))</f>
        <v>9</v>
      </c>
      <c r="P290" s="110">
        <f t="shared" si="69"/>
        <v>7</v>
      </c>
      <c r="Q290" s="110">
        <v>1</v>
      </c>
    </row>
    <row r="291" spans="2:17" x14ac:dyDescent="0.2">
      <c r="D291" s="57" t="str">
        <f t="shared" si="63"/>
        <v/>
      </c>
      <c r="F291" s="57" t="str">
        <f t="shared" si="64"/>
        <v/>
      </c>
      <c r="G291" s="102" t="str">
        <f t="shared" si="65"/>
        <v/>
      </c>
      <c r="H291" s="57">
        <f t="shared" si="66"/>
        <v>0</v>
      </c>
      <c r="I291" s="102">
        <f>IF(VLOOKUP($P291,无限模式!$A$76:$X$95,10,FALSE)="","",VLOOKUP($P291,无限模式!$A$76:$X$95,11,FALSE))</f>
        <v>32</v>
      </c>
      <c r="J291" s="102">
        <f>IF(VLOOKUP($P291,无限模式!$A$76:$X$95,10,FALSE)="","",VLOOKUP($P291,无限模式!$A$76:$X$95,12,FALSE))</f>
        <v>0.5</v>
      </c>
      <c r="K291" s="102">
        <f t="shared" si="67"/>
        <v>1</v>
      </c>
      <c r="L291" s="102" t="str">
        <f>IF(VLOOKUP($P291,无限模式!$A$76:$X$95,10,FALSE)="","","Monster_Season3_Infinite_"&amp;P291&amp;"_2")</f>
        <v>Monster_Season3_Infinite_7_2</v>
      </c>
      <c r="M291" s="57">
        <f t="shared" si="68"/>
        <v>1</v>
      </c>
      <c r="O291" s="102">
        <f>IF(VLOOKUP($P291,无限模式!$A$76:$X$95,10,FALSE)="","",VLOOKUP($P291,无限模式!$A$76:$X$95,14,FALSE))</f>
        <v>5</v>
      </c>
      <c r="P291" s="110">
        <f t="shared" si="69"/>
        <v>7</v>
      </c>
      <c r="Q291" s="110">
        <v>2</v>
      </c>
    </row>
    <row r="292" spans="2:17" x14ac:dyDescent="0.2">
      <c r="D292" s="57" t="str">
        <f t="shared" si="63"/>
        <v/>
      </c>
      <c r="F292" s="57" t="str">
        <f t="shared" si="64"/>
        <v/>
      </c>
      <c r="G292" s="102" t="str">
        <f t="shared" si="65"/>
        <v/>
      </c>
      <c r="H292" s="57" t="str">
        <f t="shared" si="66"/>
        <v/>
      </c>
      <c r="I292" s="102" t="str">
        <f>IF(VLOOKUP($P292,无限模式!$A$76:$X$95,15,FALSE)="","",VLOOKUP(P292,无限模式!$A$76:$X$95,16,FALSE))</f>
        <v/>
      </c>
      <c r="J292" s="102" t="str">
        <f>IF(VLOOKUP($P292,无限模式!$A$76:$X$95,15,FALSE)="","",VLOOKUP($P292,无限模式!$A$76:$X$95,17,FALSE))</f>
        <v/>
      </c>
      <c r="K292" s="102" t="str">
        <f t="shared" si="67"/>
        <v/>
      </c>
      <c r="L292" s="102" t="str">
        <f>IF(VLOOKUP($P292,无限模式!$A$76:$X$95,15,FALSE)="","","Monster_Season3_Infinite_"&amp;P292&amp;"_3")</f>
        <v/>
      </c>
      <c r="M292" s="57" t="str">
        <f t="shared" si="68"/>
        <v/>
      </c>
      <c r="O292" s="102" t="str">
        <f>IF(VLOOKUP($P292,无限模式!$A$76:$X$95,15,FALSE)="","",VLOOKUP($P292,无限模式!$A$76:$X$95,19,FALSE))</f>
        <v/>
      </c>
      <c r="P292" s="110">
        <f t="shared" si="69"/>
        <v>7</v>
      </c>
      <c r="Q292" s="110">
        <v>3</v>
      </c>
    </row>
    <row r="293" spans="2:17" x14ac:dyDescent="0.2">
      <c r="D293" s="57" t="str">
        <f t="shared" si="63"/>
        <v/>
      </c>
      <c r="F293" s="57" t="str">
        <f t="shared" si="64"/>
        <v/>
      </c>
      <c r="G293" s="102" t="str">
        <f t="shared" si="65"/>
        <v/>
      </c>
      <c r="H293" s="57" t="str">
        <f t="shared" si="66"/>
        <v/>
      </c>
      <c r="I293" s="102" t="str">
        <f>IF(VLOOKUP($P293,无限模式!$A$76:$X$95,20,FALSE)="","",VLOOKUP($P293,无限模式!$A$76:$X$95,21,FALSE))</f>
        <v/>
      </c>
      <c r="J293" s="102" t="str">
        <f>IF(VLOOKUP($P293,无限模式!$A$76:$X$95,20,FALSE)="","",VLOOKUP($P293,无限模式!$A$76:$X$95,22,FALSE))</f>
        <v/>
      </c>
      <c r="K293" s="102" t="str">
        <f t="shared" si="67"/>
        <v/>
      </c>
      <c r="L293" s="102" t="str">
        <f>IF(VLOOKUP($P293,无限模式!$A$76:$X$95,20,FALSE)="","","Monster_Season3_Infinite_"&amp;P293&amp;"_4")</f>
        <v/>
      </c>
      <c r="M293" s="57" t="str">
        <f t="shared" si="68"/>
        <v/>
      </c>
      <c r="O293" s="102" t="str">
        <f>IF(VLOOKUP($P293,无限模式!$A$76:$X$95,20,FALSE)="","",VLOOKUP($P293,无限模式!$A$76:$X$95,24,FALSE))</f>
        <v/>
      </c>
      <c r="P293" s="110">
        <f t="shared" si="69"/>
        <v>7</v>
      </c>
      <c r="Q293" s="110">
        <v>4</v>
      </c>
    </row>
    <row r="294" spans="2:17" x14ac:dyDescent="0.2">
      <c r="B294" s="57" t="s">
        <v>3139</v>
      </c>
      <c r="C294" s="57">
        <v>8</v>
      </c>
      <c r="D294" s="57" t="str">
        <f t="shared" si="63"/>
        <v>赛季3无限模式第8波</v>
      </c>
      <c r="F294" s="57">
        <f t="shared" si="64"/>
        <v>0</v>
      </c>
      <c r="G294" s="102">
        <f t="shared" si="65"/>
        <v>180</v>
      </c>
      <c r="H294" s="57">
        <f t="shared" si="66"/>
        <v>0</v>
      </c>
      <c r="I294" s="102">
        <f>IF(VLOOKUP($P294,无限模式!$A$76:$X$95,5,FALSE)="","",VLOOKUP($P294,无限模式!$A$76:$X$95,6,FALSE))</f>
        <v>17</v>
      </c>
      <c r="J294" s="102">
        <f>IF(VLOOKUP($P294,无限模式!$A$76:$X$95,5,FALSE)="","",VLOOKUP($P294,无限模式!$A$76:$X$95,7,FALSE))</f>
        <v>1</v>
      </c>
      <c r="K294" s="102">
        <f t="shared" si="67"/>
        <v>1</v>
      </c>
      <c r="L294" s="102" t="str">
        <f>IF(VLOOKUP($P294,无限模式!$A$76:$X$95,5,FALSE)="","","Monster_Season3_Infinite_"&amp;P294&amp;"_1")</f>
        <v>Monster_Season3_Infinite_8_1</v>
      </c>
      <c r="M294" s="57">
        <f t="shared" si="68"/>
        <v>1</v>
      </c>
      <c r="O294" s="102">
        <f>IF(VLOOKUP($P294,无限模式!$A$76:$X$95,5,FALSE)="","",VLOOKUP($P294,无限模式!$A$76:$X$95,9,FALSE))</f>
        <v>11</v>
      </c>
      <c r="P294" s="110">
        <f t="shared" si="69"/>
        <v>8</v>
      </c>
      <c r="Q294" s="110">
        <v>1</v>
      </c>
    </row>
    <row r="295" spans="2:17" x14ac:dyDescent="0.2">
      <c r="D295" s="57" t="str">
        <f t="shared" si="63"/>
        <v/>
      </c>
      <c r="F295" s="57" t="str">
        <f t="shared" si="64"/>
        <v/>
      </c>
      <c r="G295" s="102" t="str">
        <f t="shared" si="65"/>
        <v/>
      </c>
      <c r="H295" s="57">
        <f t="shared" si="66"/>
        <v>0</v>
      </c>
      <c r="I295" s="102">
        <f>IF(VLOOKUP($P295,无限模式!$A$76:$X$95,10,FALSE)="","",VLOOKUP($P295,无限模式!$A$76:$X$95,11,FALSE))</f>
        <v>1</v>
      </c>
      <c r="J295" s="102">
        <f>IF(VLOOKUP($P295,无限模式!$A$76:$X$95,10,FALSE)="","",VLOOKUP($P295,无限模式!$A$76:$X$95,12,FALSE))</f>
        <v>0</v>
      </c>
      <c r="K295" s="102">
        <f t="shared" si="67"/>
        <v>1</v>
      </c>
      <c r="L295" s="102" t="str">
        <f>IF(VLOOKUP($P295,无限模式!$A$76:$X$95,10,FALSE)="","","Monster_Season3_Infinite_"&amp;P295&amp;"_2")</f>
        <v>Monster_Season3_Infinite_8_2</v>
      </c>
      <c r="M295" s="57">
        <f t="shared" si="68"/>
        <v>1</v>
      </c>
      <c r="O295" s="102">
        <f>IF(VLOOKUP($P295,无限模式!$A$76:$X$95,10,FALSE)="","",VLOOKUP($P295,无限模式!$A$76:$X$95,14,FALSE))</f>
        <v>111</v>
      </c>
      <c r="P295" s="110">
        <f t="shared" si="69"/>
        <v>8</v>
      </c>
      <c r="Q295" s="110">
        <v>2</v>
      </c>
    </row>
    <row r="296" spans="2:17" x14ac:dyDescent="0.2">
      <c r="D296" s="57" t="str">
        <f t="shared" si="63"/>
        <v/>
      </c>
      <c r="F296" s="57" t="str">
        <f t="shared" si="64"/>
        <v/>
      </c>
      <c r="G296" s="102" t="str">
        <f t="shared" si="65"/>
        <v/>
      </c>
      <c r="H296" s="57" t="str">
        <f t="shared" si="66"/>
        <v/>
      </c>
      <c r="I296" s="102" t="str">
        <f>IF(VLOOKUP($P296,无限模式!$A$76:$X$95,15,FALSE)="","",VLOOKUP(P296,无限模式!$A$76:$X$95,16,FALSE))</f>
        <v/>
      </c>
      <c r="J296" s="102" t="str">
        <f>IF(VLOOKUP($P296,无限模式!$A$76:$X$95,15,FALSE)="","",VLOOKUP($P296,无限模式!$A$76:$X$95,17,FALSE))</f>
        <v/>
      </c>
      <c r="K296" s="102" t="str">
        <f t="shared" si="67"/>
        <v/>
      </c>
      <c r="L296" s="102" t="str">
        <f>IF(VLOOKUP($P296,无限模式!$A$76:$X$95,15,FALSE)="","","Monster_Season3_Infinite_"&amp;P296&amp;"_3")</f>
        <v/>
      </c>
      <c r="M296" s="57" t="str">
        <f t="shared" si="68"/>
        <v/>
      </c>
      <c r="O296" s="102" t="str">
        <f>IF(VLOOKUP($P296,无限模式!$A$76:$X$95,15,FALSE)="","",VLOOKUP($P296,无限模式!$A$76:$X$95,19,FALSE))</f>
        <v/>
      </c>
      <c r="P296" s="110">
        <f t="shared" si="69"/>
        <v>8</v>
      </c>
      <c r="Q296" s="110">
        <v>3</v>
      </c>
    </row>
    <row r="297" spans="2:17" x14ac:dyDescent="0.2">
      <c r="D297" s="57" t="str">
        <f t="shared" si="63"/>
        <v/>
      </c>
      <c r="F297" s="57" t="str">
        <f t="shared" si="64"/>
        <v/>
      </c>
      <c r="G297" s="102" t="str">
        <f t="shared" si="65"/>
        <v/>
      </c>
      <c r="H297" s="57" t="str">
        <f t="shared" si="66"/>
        <v/>
      </c>
      <c r="I297" s="102" t="str">
        <f>IF(VLOOKUP($P297,无限模式!$A$76:$X$95,20,FALSE)="","",VLOOKUP($P297,无限模式!$A$76:$X$95,21,FALSE))</f>
        <v/>
      </c>
      <c r="J297" s="102" t="str">
        <f>IF(VLOOKUP($P297,无限模式!$A$76:$X$95,20,FALSE)="","",VLOOKUP($P297,无限模式!$A$76:$X$95,22,FALSE))</f>
        <v/>
      </c>
      <c r="K297" s="102" t="str">
        <f t="shared" si="67"/>
        <v/>
      </c>
      <c r="L297" s="102" t="str">
        <f>IF(VLOOKUP($P297,无限模式!$A$76:$X$95,20,FALSE)="","","Monster_Season3_Infinite_"&amp;P297&amp;"_4")</f>
        <v/>
      </c>
      <c r="M297" s="57" t="str">
        <f t="shared" si="68"/>
        <v/>
      </c>
      <c r="O297" s="102" t="str">
        <f>IF(VLOOKUP($P297,无限模式!$A$76:$X$95,20,FALSE)="","",VLOOKUP($P297,无限模式!$A$76:$X$95,24,FALSE))</f>
        <v/>
      </c>
      <c r="P297" s="110">
        <f t="shared" si="69"/>
        <v>8</v>
      </c>
      <c r="Q297" s="110">
        <v>4</v>
      </c>
    </row>
    <row r="298" spans="2:17" x14ac:dyDescent="0.2">
      <c r="B298" s="57" t="s">
        <v>3139</v>
      </c>
      <c r="C298" s="57">
        <v>9</v>
      </c>
      <c r="D298" s="57" t="str">
        <f t="shared" ref="D298:D329" si="70">IF(C298="","","赛季3无限模式第"&amp;C298&amp;"波")</f>
        <v>赛季3无限模式第9波</v>
      </c>
      <c r="F298" s="57">
        <f t="shared" si="64"/>
        <v>0</v>
      </c>
      <c r="G298" s="102">
        <f t="shared" si="65"/>
        <v>180</v>
      </c>
      <c r="H298" s="57">
        <f t="shared" si="66"/>
        <v>0</v>
      </c>
      <c r="I298" s="102">
        <f>IF(VLOOKUP($P298,无限模式!$A$76:$X$95,5,FALSE)="","",VLOOKUP($P298,无限模式!$A$76:$X$95,6,FALSE))</f>
        <v>12</v>
      </c>
      <c r="J298" s="102">
        <f>IF(VLOOKUP($P298,无限模式!$A$76:$X$95,5,FALSE)="","",VLOOKUP($P298,无限模式!$A$76:$X$95,7,FALSE))</f>
        <v>1.5</v>
      </c>
      <c r="K298" s="102">
        <f t="shared" si="67"/>
        <v>1</v>
      </c>
      <c r="L298" s="102" t="str">
        <f>IF(VLOOKUP($P298,无限模式!$A$76:$X$95,5,FALSE)="","","Monster_Season3_Infinite_"&amp;P298&amp;"_1")</f>
        <v>Monster_Season3_Infinite_9_1</v>
      </c>
      <c r="M298" s="57">
        <f t="shared" si="68"/>
        <v>1</v>
      </c>
      <c r="O298" s="102">
        <f>IF(VLOOKUP($P298,无限模式!$A$76:$X$95,5,FALSE)="","",VLOOKUP($P298,无限模式!$A$76:$X$95,9,FALSE))</f>
        <v>17</v>
      </c>
      <c r="P298" s="110">
        <f t="shared" si="69"/>
        <v>9</v>
      </c>
      <c r="Q298" s="110">
        <v>1</v>
      </c>
    </row>
    <row r="299" spans="2:17" x14ac:dyDescent="0.2">
      <c r="D299" s="57" t="str">
        <f t="shared" si="70"/>
        <v/>
      </c>
      <c r="F299" s="57" t="str">
        <f t="shared" si="64"/>
        <v/>
      </c>
      <c r="G299" s="102" t="str">
        <f t="shared" si="65"/>
        <v/>
      </c>
      <c r="H299" s="57">
        <f t="shared" si="66"/>
        <v>0</v>
      </c>
      <c r="I299" s="102">
        <f>IF(VLOOKUP($P299,无限模式!$A$76:$X$95,10,FALSE)="","",VLOOKUP($P299,无限模式!$A$76:$X$95,11,FALSE))</f>
        <v>6</v>
      </c>
      <c r="J299" s="102">
        <f>IF(VLOOKUP($P299,无限模式!$A$76:$X$95,10,FALSE)="","",VLOOKUP($P299,无限模式!$A$76:$X$95,12,FALSE))</f>
        <v>3</v>
      </c>
      <c r="K299" s="102">
        <f t="shared" si="67"/>
        <v>1</v>
      </c>
      <c r="L299" s="102" t="str">
        <f>IF(VLOOKUP($P299,无限模式!$A$76:$X$95,10,FALSE)="","","Monster_Season3_Infinite_"&amp;P299&amp;"_2")</f>
        <v>Monster_Season3_Infinite_9_2</v>
      </c>
      <c r="M299" s="57">
        <f t="shared" si="68"/>
        <v>1</v>
      </c>
      <c r="O299" s="102">
        <f>IF(VLOOKUP($P299,无限模式!$A$76:$X$95,10,FALSE)="","",VLOOKUP($P299,无限模式!$A$76:$X$95,14,FALSE))</f>
        <v>17</v>
      </c>
      <c r="P299" s="110">
        <f t="shared" si="69"/>
        <v>9</v>
      </c>
      <c r="Q299" s="110">
        <v>2</v>
      </c>
    </row>
    <row r="300" spans="2:17" x14ac:dyDescent="0.2">
      <c r="D300" s="57" t="str">
        <f t="shared" si="70"/>
        <v/>
      </c>
      <c r="F300" s="57" t="str">
        <f t="shared" si="64"/>
        <v/>
      </c>
      <c r="G300" s="102" t="str">
        <f t="shared" si="65"/>
        <v/>
      </c>
      <c r="H300" s="57" t="str">
        <f t="shared" si="66"/>
        <v/>
      </c>
      <c r="I300" s="102" t="str">
        <f>IF(VLOOKUP($P300,无限模式!$A$76:$X$95,15,FALSE)="","",VLOOKUP(P300,无限模式!$A$76:$X$95,16,FALSE))</f>
        <v/>
      </c>
      <c r="J300" s="102" t="str">
        <f>IF(VLOOKUP($P300,无限模式!$A$76:$X$95,15,FALSE)="","",VLOOKUP($P300,无限模式!$A$76:$X$95,17,FALSE))</f>
        <v/>
      </c>
      <c r="K300" s="102" t="str">
        <f t="shared" si="67"/>
        <v/>
      </c>
      <c r="L300" s="102" t="str">
        <f>IF(VLOOKUP($P300,无限模式!$A$76:$X$95,15,FALSE)="","","Monster_Season3_Infinite_"&amp;P300&amp;"_3")</f>
        <v/>
      </c>
      <c r="M300" s="57" t="str">
        <f t="shared" si="68"/>
        <v/>
      </c>
      <c r="O300" s="102" t="str">
        <f>IF(VLOOKUP($P300,无限模式!$A$76:$X$95,15,FALSE)="","",VLOOKUP($P300,无限模式!$A$76:$X$95,19,FALSE))</f>
        <v/>
      </c>
      <c r="P300" s="110">
        <f t="shared" si="69"/>
        <v>9</v>
      </c>
      <c r="Q300" s="110">
        <v>3</v>
      </c>
    </row>
    <row r="301" spans="2:17" x14ac:dyDescent="0.2">
      <c r="D301" s="57" t="str">
        <f t="shared" si="70"/>
        <v/>
      </c>
      <c r="F301" s="57" t="str">
        <f t="shared" si="64"/>
        <v/>
      </c>
      <c r="G301" s="102" t="str">
        <f t="shared" si="65"/>
        <v/>
      </c>
      <c r="H301" s="57" t="str">
        <f t="shared" si="66"/>
        <v/>
      </c>
      <c r="I301" s="102" t="str">
        <f>IF(VLOOKUP($P301,无限模式!$A$76:$X$95,20,FALSE)="","",VLOOKUP($P301,无限模式!$A$76:$X$95,21,FALSE))</f>
        <v/>
      </c>
      <c r="J301" s="102" t="str">
        <f>IF(VLOOKUP($P301,无限模式!$A$76:$X$95,20,FALSE)="","",VLOOKUP($P301,无限模式!$A$76:$X$95,22,FALSE))</f>
        <v/>
      </c>
      <c r="K301" s="102" t="str">
        <f t="shared" si="67"/>
        <v/>
      </c>
      <c r="L301" s="102" t="str">
        <f>IF(VLOOKUP($P301,无限模式!$A$76:$X$95,20,FALSE)="","","Monster_Season3_Infinite_"&amp;P301&amp;"_4")</f>
        <v/>
      </c>
      <c r="M301" s="57" t="str">
        <f t="shared" si="68"/>
        <v/>
      </c>
      <c r="O301" s="102" t="str">
        <f>IF(VLOOKUP($P301,无限模式!$A$76:$X$95,20,FALSE)="","",VLOOKUP($P301,无限模式!$A$76:$X$95,24,FALSE))</f>
        <v/>
      </c>
      <c r="P301" s="110">
        <f t="shared" si="69"/>
        <v>9</v>
      </c>
      <c r="Q301" s="110">
        <v>4</v>
      </c>
    </row>
    <row r="302" spans="2:17" x14ac:dyDescent="0.2">
      <c r="B302" s="57" t="s">
        <v>3139</v>
      </c>
      <c r="C302" s="57">
        <v>10</v>
      </c>
      <c r="D302" s="57" t="str">
        <f t="shared" si="70"/>
        <v>赛季3无限模式第10波</v>
      </c>
      <c r="F302" s="57">
        <f t="shared" si="64"/>
        <v>0</v>
      </c>
      <c r="G302" s="102">
        <f t="shared" si="65"/>
        <v>180</v>
      </c>
      <c r="H302" s="57">
        <f t="shared" si="66"/>
        <v>0</v>
      </c>
      <c r="I302" s="102">
        <f>IF(VLOOKUP($P302,无限模式!$A$76:$X$95,5,FALSE)="","",VLOOKUP($P302,无限模式!$A$76:$X$95,6,FALSE))</f>
        <v>19</v>
      </c>
      <c r="J302" s="102">
        <f>IF(VLOOKUP($P302,无限模式!$A$76:$X$95,5,FALSE)="","",VLOOKUP($P302,无限模式!$A$76:$X$95,7,FALSE))</f>
        <v>1</v>
      </c>
      <c r="K302" s="102">
        <f t="shared" si="67"/>
        <v>1</v>
      </c>
      <c r="L302" s="102" t="str">
        <f>IF(VLOOKUP($P302,无限模式!$A$76:$X$95,5,FALSE)="","","Monster_Season3_Infinite_"&amp;P302&amp;"_1")</f>
        <v>Monster_Season3_Infinite_10_1</v>
      </c>
      <c r="M302" s="57">
        <f t="shared" si="68"/>
        <v>1</v>
      </c>
      <c r="O302" s="102">
        <f>IF(VLOOKUP($P302,无限模式!$A$76:$X$95,5,FALSE)="","",VLOOKUP($P302,无限模式!$A$76:$X$95,9,FALSE))</f>
        <v>12</v>
      </c>
      <c r="P302" s="110">
        <f t="shared" si="69"/>
        <v>10</v>
      </c>
      <c r="Q302" s="110">
        <v>1</v>
      </c>
    </row>
    <row r="303" spans="2:17" x14ac:dyDescent="0.2">
      <c r="D303" s="57" t="str">
        <f t="shared" si="70"/>
        <v/>
      </c>
      <c r="F303" s="57" t="str">
        <f t="shared" si="64"/>
        <v/>
      </c>
      <c r="G303" s="102" t="str">
        <f t="shared" si="65"/>
        <v/>
      </c>
      <c r="H303" s="57">
        <f t="shared" si="66"/>
        <v>0</v>
      </c>
      <c r="I303" s="102">
        <f>IF(VLOOKUP($P303,无限模式!$A$76:$X$95,10,FALSE)="","",VLOOKUP($P303,无限模式!$A$76:$X$95,11,FALSE))</f>
        <v>6</v>
      </c>
      <c r="J303" s="102">
        <f>IF(VLOOKUP($P303,无限模式!$A$76:$X$95,10,FALSE)="","",VLOOKUP($P303,无限模式!$A$76:$X$95,12,FALSE))</f>
        <v>3</v>
      </c>
      <c r="K303" s="102">
        <f t="shared" si="67"/>
        <v>1</v>
      </c>
      <c r="L303" s="102" t="str">
        <f>IF(VLOOKUP($P303,无限模式!$A$76:$X$95,10,FALSE)="","","Monster_Season3_Infinite_"&amp;P303&amp;"_2")</f>
        <v>Monster_Season3_Infinite_10_2</v>
      </c>
      <c r="M303" s="57">
        <f t="shared" si="68"/>
        <v>1</v>
      </c>
      <c r="O303" s="102">
        <f>IF(VLOOKUP($P303,无限模式!$A$76:$X$95,10,FALSE)="","",VLOOKUP($P303,无限模式!$A$76:$X$95,14,FALSE))</f>
        <v>12</v>
      </c>
      <c r="P303" s="110">
        <f t="shared" si="69"/>
        <v>10</v>
      </c>
      <c r="Q303" s="110">
        <v>2</v>
      </c>
    </row>
    <row r="304" spans="2:17" x14ac:dyDescent="0.2">
      <c r="D304" s="57" t="str">
        <f t="shared" si="70"/>
        <v/>
      </c>
      <c r="F304" s="57" t="str">
        <f t="shared" si="64"/>
        <v/>
      </c>
      <c r="G304" s="102" t="str">
        <f t="shared" si="65"/>
        <v/>
      </c>
      <c r="H304" s="57" t="str">
        <f t="shared" si="66"/>
        <v/>
      </c>
      <c r="I304" s="102" t="str">
        <f>IF(VLOOKUP($P304,无限模式!$A$76:$X$95,15,FALSE)="","",VLOOKUP(P304,无限模式!$A$76:$X$95,16,FALSE))</f>
        <v/>
      </c>
      <c r="J304" s="102" t="str">
        <f>IF(VLOOKUP($P304,无限模式!$A$76:$X$95,15,FALSE)="","",VLOOKUP($P304,无限模式!$A$76:$X$95,17,FALSE))</f>
        <v/>
      </c>
      <c r="K304" s="102" t="str">
        <f t="shared" si="67"/>
        <v/>
      </c>
      <c r="L304" s="102" t="str">
        <f>IF(VLOOKUP($P304,无限模式!$A$76:$X$95,15,FALSE)="","","Monster_Season3_Infinite_"&amp;P304&amp;"_3")</f>
        <v/>
      </c>
      <c r="M304" s="57" t="str">
        <f t="shared" si="68"/>
        <v/>
      </c>
      <c r="O304" s="102" t="str">
        <f>IF(VLOOKUP($P304,无限模式!$A$76:$X$95,15,FALSE)="","",VLOOKUP($P304,无限模式!$A$76:$X$95,19,FALSE))</f>
        <v/>
      </c>
      <c r="P304" s="110">
        <f t="shared" si="69"/>
        <v>10</v>
      </c>
      <c r="Q304" s="110">
        <v>3</v>
      </c>
    </row>
    <row r="305" spans="2:17" x14ac:dyDescent="0.2">
      <c r="D305" s="57" t="str">
        <f t="shared" si="70"/>
        <v/>
      </c>
      <c r="F305" s="57" t="str">
        <f t="shared" si="64"/>
        <v/>
      </c>
      <c r="G305" s="102" t="str">
        <f t="shared" si="65"/>
        <v/>
      </c>
      <c r="H305" s="57" t="str">
        <f t="shared" si="66"/>
        <v/>
      </c>
      <c r="I305" s="102" t="str">
        <f>IF(VLOOKUP($P305,无限模式!$A$76:$X$95,20,FALSE)="","",VLOOKUP($P305,无限模式!$A$76:$X$95,21,FALSE))</f>
        <v/>
      </c>
      <c r="J305" s="102" t="str">
        <f>IF(VLOOKUP($P305,无限模式!$A$76:$X$95,20,FALSE)="","",VLOOKUP($P305,无限模式!$A$76:$X$95,22,FALSE))</f>
        <v/>
      </c>
      <c r="K305" s="102" t="str">
        <f t="shared" si="67"/>
        <v/>
      </c>
      <c r="L305" s="102" t="str">
        <f>IF(VLOOKUP($P305,无限模式!$A$76:$X$95,20,FALSE)="","","Monster_Season3_Infinite_"&amp;P305&amp;"_4")</f>
        <v/>
      </c>
      <c r="M305" s="57" t="str">
        <f t="shared" si="68"/>
        <v/>
      </c>
      <c r="O305" s="102" t="str">
        <f>IF(VLOOKUP($P305,无限模式!$A$76:$X$95,20,FALSE)="","",VLOOKUP($P305,无限模式!$A$76:$X$95,24,FALSE))</f>
        <v/>
      </c>
      <c r="P305" s="110">
        <f t="shared" si="69"/>
        <v>10</v>
      </c>
      <c r="Q305" s="110">
        <v>4</v>
      </c>
    </row>
    <row r="306" spans="2:17" x14ac:dyDescent="0.2">
      <c r="B306" s="57" t="s">
        <v>3139</v>
      </c>
      <c r="C306" s="57">
        <v>11</v>
      </c>
      <c r="D306" s="57" t="str">
        <f t="shared" si="70"/>
        <v>赛季3无限模式第11波</v>
      </c>
      <c r="F306" s="57">
        <f t="shared" si="64"/>
        <v>0</v>
      </c>
      <c r="G306" s="102">
        <f t="shared" si="65"/>
        <v>180</v>
      </c>
      <c r="H306" s="57">
        <f t="shared" si="66"/>
        <v>0</v>
      </c>
      <c r="I306" s="102">
        <f>IF(VLOOKUP($P306,无限模式!$A$76:$X$95,5,FALSE)="","",VLOOKUP($P306,无限模式!$A$76:$X$95,6,FALSE))</f>
        <v>20</v>
      </c>
      <c r="J306" s="102">
        <f>IF(VLOOKUP($P306,无限模式!$A$76:$X$95,5,FALSE)="","",VLOOKUP($P306,无限模式!$A$76:$X$95,7,FALSE))</f>
        <v>1</v>
      </c>
      <c r="K306" s="102">
        <f t="shared" si="67"/>
        <v>1</v>
      </c>
      <c r="L306" s="102" t="str">
        <f>IF(VLOOKUP($P306,无限模式!$A$76:$X$95,5,FALSE)="","","Monster_Season3_Infinite_"&amp;P306&amp;"_1")</f>
        <v>Monster_Season3_Infinite_11_1</v>
      </c>
      <c r="M306" s="57">
        <f t="shared" si="68"/>
        <v>1</v>
      </c>
      <c r="O306" s="102">
        <f>IF(VLOOKUP($P306,无限模式!$A$76:$X$95,5,FALSE)="","",VLOOKUP($P306,无限模式!$A$76:$X$95,9,FALSE))</f>
        <v>12</v>
      </c>
      <c r="P306" s="110">
        <f t="shared" si="69"/>
        <v>11</v>
      </c>
      <c r="Q306" s="110">
        <v>1</v>
      </c>
    </row>
    <row r="307" spans="2:17" x14ac:dyDescent="0.2">
      <c r="D307" s="57" t="str">
        <f t="shared" si="70"/>
        <v/>
      </c>
      <c r="F307" s="57" t="str">
        <f t="shared" si="64"/>
        <v/>
      </c>
      <c r="G307" s="102" t="str">
        <f t="shared" si="65"/>
        <v/>
      </c>
      <c r="H307" s="57">
        <f t="shared" si="66"/>
        <v>0</v>
      </c>
      <c r="I307" s="102">
        <f>IF(VLOOKUP($P307,无限模式!$A$76:$X$95,10,FALSE)="","",VLOOKUP($P307,无限模式!$A$76:$X$95,11,FALSE))</f>
        <v>10</v>
      </c>
      <c r="J307" s="102">
        <f>IF(VLOOKUP($P307,无限模式!$A$76:$X$95,10,FALSE)="","",VLOOKUP($P307,无限模式!$A$76:$X$95,12,FALSE))</f>
        <v>2</v>
      </c>
      <c r="K307" s="102">
        <f t="shared" si="67"/>
        <v>1</v>
      </c>
      <c r="L307" s="102" t="str">
        <f>IF(VLOOKUP($P307,无限模式!$A$76:$X$95,10,FALSE)="","","Monster_Season3_Infinite_"&amp;P307&amp;"_2")</f>
        <v>Monster_Season3_Infinite_11_2</v>
      </c>
      <c r="M307" s="57">
        <f t="shared" si="68"/>
        <v>1</v>
      </c>
      <c r="O307" s="102">
        <f>IF(VLOOKUP($P307,无限模式!$A$76:$X$95,10,FALSE)="","",VLOOKUP($P307,无限模式!$A$76:$X$95,14,FALSE))</f>
        <v>6</v>
      </c>
      <c r="P307" s="110">
        <f t="shared" si="69"/>
        <v>11</v>
      </c>
      <c r="Q307" s="110">
        <v>2</v>
      </c>
    </row>
    <row r="308" spans="2:17" x14ac:dyDescent="0.2">
      <c r="D308" s="57" t="str">
        <f t="shared" si="70"/>
        <v/>
      </c>
      <c r="F308" s="57" t="str">
        <f t="shared" si="64"/>
        <v/>
      </c>
      <c r="G308" s="102" t="str">
        <f t="shared" si="65"/>
        <v/>
      </c>
      <c r="H308" s="57" t="str">
        <f t="shared" si="66"/>
        <v/>
      </c>
      <c r="I308" s="102" t="str">
        <f>IF(VLOOKUP($P308,无限模式!$A$76:$X$95,15,FALSE)="","",VLOOKUP(P308,无限模式!$A$76:$X$95,16,FALSE))</f>
        <v/>
      </c>
      <c r="J308" s="102" t="str">
        <f>IF(VLOOKUP($P308,无限模式!$A$76:$X$95,15,FALSE)="","",VLOOKUP($P308,无限模式!$A$76:$X$95,17,FALSE))</f>
        <v/>
      </c>
      <c r="K308" s="102" t="str">
        <f t="shared" si="67"/>
        <v/>
      </c>
      <c r="L308" s="102" t="str">
        <f>IF(VLOOKUP($P308,无限模式!$A$76:$X$95,15,FALSE)="","","Monster_Season3_Infinite_"&amp;P308&amp;"_3")</f>
        <v/>
      </c>
      <c r="M308" s="57" t="str">
        <f t="shared" si="68"/>
        <v/>
      </c>
      <c r="O308" s="102" t="str">
        <f>IF(VLOOKUP($P308,无限模式!$A$76:$X$95,15,FALSE)="","",VLOOKUP($P308,无限模式!$A$76:$X$95,19,FALSE))</f>
        <v/>
      </c>
      <c r="P308" s="110">
        <f t="shared" si="69"/>
        <v>11</v>
      </c>
      <c r="Q308" s="110">
        <v>3</v>
      </c>
    </row>
    <row r="309" spans="2:17" x14ac:dyDescent="0.2">
      <c r="D309" s="57" t="str">
        <f t="shared" si="70"/>
        <v/>
      </c>
      <c r="F309" s="57" t="str">
        <f t="shared" si="64"/>
        <v/>
      </c>
      <c r="G309" s="102" t="str">
        <f t="shared" si="65"/>
        <v/>
      </c>
      <c r="H309" s="57" t="str">
        <f t="shared" si="66"/>
        <v/>
      </c>
      <c r="I309" s="102" t="str">
        <f>IF(VLOOKUP($P309,无限模式!$A$76:$X$95,20,FALSE)="","",VLOOKUP($P309,无限模式!$A$76:$X$95,21,FALSE))</f>
        <v/>
      </c>
      <c r="J309" s="102" t="str">
        <f>IF(VLOOKUP($P309,无限模式!$A$76:$X$95,20,FALSE)="","",VLOOKUP($P309,无限模式!$A$76:$X$95,22,FALSE))</f>
        <v/>
      </c>
      <c r="K309" s="102" t="str">
        <f t="shared" si="67"/>
        <v/>
      </c>
      <c r="L309" s="102" t="str">
        <f>IF(VLOOKUP($P309,无限模式!$A$76:$X$95,20,FALSE)="","","Monster_Season3_Infinite_"&amp;P309&amp;"_4")</f>
        <v/>
      </c>
      <c r="M309" s="57" t="str">
        <f t="shared" si="68"/>
        <v/>
      </c>
      <c r="O309" s="102" t="str">
        <f>IF(VLOOKUP($P309,无限模式!$A$76:$X$95,20,FALSE)="","",VLOOKUP($P309,无限模式!$A$76:$X$95,24,FALSE))</f>
        <v/>
      </c>
      <c r="P309" s="110">
        <f t="shared" si="69"/>
        <v>11</v>
      </c>
      <c r="Q309" s="110">
        <v>4</v>
      </c>
    </row>
    <row r="310" spans="2:17" x14ac:dyDescent="0.2">
      <c r="B310" s="57" t="s">
        <v>3139</v>
      </c>
      <c r="C310" s="57">
        <v>12</v>
      </c>
      <c r="D310" s="57" t="str">
        <f t="shared" si="70"/>
        <v>赛季3无限模式第12波</v>
      </c>
      <c r="F310" s="57">
        <f t="shared" si="64"/>
        <v>0</v>
      </c>
      <c r="G310" s="102">
        <f t="shared" si="65"/>
        <v>180</v>
      </c>
      <c r="H310" s="57">
        <f t="shared" si="66"/>
        <v>0</v>
      </c>
      <c r="I310" s="102">
        <f>IF(VLOOKUP($P310,无限模式!$A$76:$X$95,5,FALSE)="","",VLOOKUP($P310,无限模式!$A$76:$X$95,6,FALSE))</f>
        <v>21</v>
      </c>
      <c r="J310" s="102">
        <f>IF(VLOOKUP($P310,无限模式!$A$76:$X$95,5,FALSE)="","",VLOOKUP($P310,无限模式!$A$76:$X$95,7,FALSE))</f>
        <v>1</v>
      </c>
      <c r="K310" s="102">
        <f t="shared" si="67"/>
        <v>1</v>
      </c>
      <c r="L310" s="102" t="str">
        <f>IF(VLOOKUP($P310,无限模式!$A$76:$X$95,5,FALSE)="","","Monster_Season3_Infinite_"&amp;P310&amp;"_1")</f>
        <v>Monster_Season3_Infinite_12_1</v>
      </c>
      <c r="M310" s="57">
        <f t="shared" si="68"/>
        <v>1</v>
      </c>
      <c r="O310" s="102">
        <f>IF(VLOOKUP($P310,无限模式!$A$76:$X$95,5,FALSE)="","",VLOOKUP($P310,无限模式!$A$76:$X$95,9,FALSE))</f>
        <v>6</v>
      </c>
      <c r="P310" s="110">
        <f t="shared" si="69"/>
        <v>12</v>
      </c>
      <c r="Q310" s="110">
        <v>1</v>
      </c>
    </row>
    <row r="311" spans="2:17" x14ac:dyDescent="0.2">
      <c r="D311" s="57" t="str">
        <f t="shared" si="70"/>
        <v/>
      </c>
      <c r="F311" s="57" t="str">
        <f t="shared" si="64"/>
        <v/>
      </c>
      <c r="G311" s="102" t="str">
        <f t="shared" si="65"/>
        <v/>
      </c>
      <c r="H311" s="57">
        <f t="shared" si="66"/>
        <v>0</v>
      </c>
      <c r="I311" s="102">
        <f>IF(VLOOKUP($P311,无限模式!$A$76:$X$95,10,FALSE)="","",VLOOKUP($P311,无限模式!$A$76:$X$95,11,FALSE))</f>
        <v>7</v>
      </c>
      <c r="J311" s="102">
        <f>IF(VLOOKUP($P311,无限模式!$A$76:$X$95,10,FALSE)="","",VLOOKUP($P311,无限模式!$A$76:$X$95,12,FALSE))</f>
        <v>3</v>
      </c>
      <c r="K311" s="102">
        <f t="shared" si="67"/>
        <v>1</v>
      </c>
      <c r="L311" s="102" t="str">
        <f>IF(VLOOKUP($P311,无限模式!$A$76:$X$95,10,FALSE)="","","Monster_Season3_Infinite_"&amp;P311&amp;"_2")</f>
        <v>Monster_Season3_Infinite_12_2</v>
      </c>
      <c r="M311" s="57">
        <f t="shared" si="68"/>
        <v>1</v>
      </c>
      <c r="O311" s="102">
        <f>IF(VLOOKUP($P311,无限模式!$A$76:$X$95,10,FALSE)="","",VLOOKUP($P311,无限模式!$A$76:$X$95,14,FALSE))</f>
        <v>6</v>
      </c>
      <c r="P311" s="110">
        <f t="shared" si="69"/>
        <v>12</v>
      </c>
      <c r="Q311" s="110">
        <v>2</v>
      </c>
    </row>
    <row r="312" spans="2:17" x14ac:dyDescent="0.2">
      <c r="D312" s="57" t="str">
        <f t="shared" si="70"/>
        <v/>
      </c>
      <c r="F312" s="57" t="str">
        <f t="shared" si="64"/>
        <v/>
      </c>
      <c r="G312" s="102" t="str">
        <f t="shared" si="65"/>
        <v/>
      </c>
      <c r="H312" s="57">
        <f t="shared" si="66"/>
        <v>0</v>
      </c>
      <c r="I312" s="102">
        <f>IF(VLOOKUP($P312,无限模式!$A$76:$X$95,15,FALSE)="","",VLOOKUP(P312,无限模式!$A$76:$X$95,16,FALSE))</f>
        <v>1</v>
      </c>
      <c r="J312" s="102">
        <f>IF(VLOOKUP($P312,无限模式!$A$76:$X$95,15,FALSE)="","",VLOOKUP($P312,无限模式!$A$76:$X$95,17,FALSE))</f>
        <v>0</v>
      </c>
      <c r="K312" s="102">
        <f t="shared" si="67"/>
        <v>1</v>
      </c>
      <c r="L312" s="102" t="str">
        <f>IF(VLOOKUP($P312,无限模式!$A$76:$X$95,15,FALSE)="","","Monster_Season3_Infinite_"&amp;P312&amp;"_3")</f>
        <v>Monster_Season3_Infinite_12_3</v>
      </c>
      <c r="M312" s="57">
        <f t="shared" si="68"/>
        <v>1</v>
      </c>
      <c r="O312" s="102">
        <f>IF(VLOOKUP($P312,无限模式!$A$76:$X$95,15,FALSE)="","",VLOOKUP($P312,无限模式!$A$76:$X$95,19,FALSE))</f>
        <v>125</v>
      </c>
      <c r="P312" s="110">
        <f t="shared" si="69"/>
        <v>12</v>
      </c>
      <c r="Q312" s="110">
        <v>3</v>
      </c>
    </row>
    <row r="313" spans="2:17" x14ac:dyDescent="0.2">
      <c r="D313" s="57" t="str">
        <f t="shared" si="70"/>
        <v/>
      </c>
      <c r="F313" s="57" t="str">
        <f t="shared" si="64"/>
        <v/>
      </c>
      <c r="G313" s="102" t="str">
        <f t="shared" si="65"/>
        <v/>
      </c>
      <c r="H313" s="57" t="str">
        <f t="shared" si="66"/>
        <v/>
      </c>
      <c r="I313" s="102" t="str">
        <f>IF(VLOOKUP($P313,无限模式!$A$76:$X$95,20,FALSE)="","",VLOOKUP($P313,无限模式!$A$76:$X$95,21,FALSE))</f>
        <v/>
      </c>
      <c r="J313" s="102" t="str">
        <f>IF(VLOOKUP($P313,无限模式!$A$76:$X$95,20,FALSE)="","",VLOOKUP($P313,无限模式!$A$76:$X$95,22,FALSE))</f>
        <v/>
      </c>
      <c r="K313" s="102" t="str">
        <f t="shared" si="67"/>
        <v/>
      </c>
      <c r="L313" s="102" t="str">
        <f>IF(VLOOKUP($P313,无限模式!$A$76:$X$95,20,FALSE)="","","Monster_Season3_Infinite_"&amp;P313&amp;"_4")</f>
        <v/>
      </c>
      <c r="M313" s="57" t="str">
        <f t="shared" si="68"/>
        <v/>
      </c>
      <c r="O313" s="102" t="str">
        <f>IF(VLOOKUP($P313,无限模式!$A$76:$X$95,20,FALSE)="","",VLOOKUP($P313,无限模式!$A$76:$X$95,24,FALSE))</f>
        <v/>
      </c>
      <c r="P313" s="110">
        <f t="shared" si="69"/>
        <v>12</v>
      </c>
      <c r="Q313" s="110">
        <v>4</v>
      </c>
    </row>
    <row r="314" spans="2:17" x14ac:dyDescent="0.2">
      <c r="B314" s="57" t="s">
        <v>3139</v>
      </c>
      <c r="C314" s="57">
        <v>13</v>
      </c>
      <c r="D314" s="57" t="str">
        <f t="shared" si="70"/>
        <v>赛季3无限模式第13波</v>
      </c>
      <c r="F314" s="57">
        <f t="shared" si="64"/>
        <v>0</v>
      </c>
      <c r="G314" s="102">
        <f t="shared" si="65"/>
        <v>180</v>
      </c>
      <c r="H314" s="57">
        <f t="shared" si="66"/>
        <v>0</v>
      </c>
      <c r="I314" s="102">
        <f>IF(VLOOKUP($P314,无限模式!$A$76:$X$95,5,FALSE)="","",VLOOKUP($P314,无限模式!$A$76:$X$95,6,FALSE))</f>
        <v>15</v>
      </c>
      <c r="J314" s="102">
        <f>IF(VLOOKUP($P314,无限模式!$A$76:$X$95,5,FALSE)="","",VLOOKUP($P314,无限模式!$A$76:$X$95,7,FALSE))</f>
        <v>1.5</v>
      </c>
      <c r="K314" s="102">
        <f t="shared" si="67"/>
        <v>1</v>
      </c>
      <c r="L314" s="102" t="str">
        <f>IF(VLOOKUP($P314,无限模式!$A$76:$X$95,5,FALSE)="","","Monster_Season3_Infinite_"&amp;P314&amp;"_1")</f>
        <v>Monster_Season3_Infinite_13_1</v>
      </c>
      <c r="M314" s="57">
        <f t="shared" si="68"/>
        <v>1</v>
      </c>
      <c r="O314" s="102">
        <f>IF(VLOOKUP($P314,无限模式!$A$76:$X$95,5,FALSE)="","",VLOOKUP($P314,无限模式!$A$76:$X$95,9,FALSE))</f>
        <v>20</v>
      </c>
      <c r="P314" s="110">
        <f t="shared" si="69"/>
        <v>13</v>
      </c>
      <c r="Q314" s="110">
        <v>1</v>
      </c>
    </row>
    <row r="315" spans="2:17" x14ac:dyDescent="0.2">
      <c r="D315" s="57" t="str">
        <f t="shared" si="70"/>
        <v/>
      </c>
      <c r="F315" s="57" t="str">
        <f t="shared" si="64"/>
        <v/>
      </c>
      <c r="G315" s="102" t="str">
        <f t="shared" si="65"/>
        <v/>
      </c>
      <c r="H315" s="57" t="str">
        <f t="shared" si="66"/>
        <v/>
      </c>
      <c r="I315" s="102" t="str">
        <f>IF(VLOOKUP($P315,无限模式!$A$76:$X$95,10,FALSE)="","",VLOOKUP($P315,无限模式!$A$76:$X$95,11,FALSE))</f>
        <v/>
      </c>
      <c r="J315" s="102" t="str">
        <f>IF(VLOOKUP($P315,无限模式!$A$76:$X$95,10,FALSE)="","",VLOOKUP($P315,无限模式!$A$76:$X$95,12,FALSE))</f>
        <v/>
      </c>
      <c r="K315" s="102" t="str">
        <f t="shared" si="67"/>
        <v/>
      </c>
      <c r="L315" s="102" t="str">
        <f>IF(VLOOKUP($P315,无限模式!$A$76:$X$95,10,FALSE)="","","Monster_Season3_Infinite_"&amp;P315&amp;"_2")</f>
        <v/>
      </c>
      <c r="M315" s="57" t="str">
        <f t="shared" si="68"/>
        <v/>
      </c>
      <c r="O315" s="102" t="str">
        <f>IF(VLOOKUP($P315,无限模式!$A$76:$X$95,10,FALSE)="","",VLOOKUP($P315,无限模式!$A$76:$X$95,14,FALSE))</f>
        <v/>
      </c>
      <c r="P315" s="110">
        <f t="shared" si="69"/>
        <v>13</v>
      </c>
      <c r="Q315" s="110">
        <v>2</v>
      </c>
    </row>
    <row r="316" spans="2:17" x14ac:dyDescent="0.2">
      <c r="D316" s="57" t="str">
        <f t="shared" si="70"/>
        <v/>
      </c>
      <c r="F316" s="57" t="str">
        <f t="shared" si="64"/>
        <v/>
      </c>
      <c r="G316" s="102" t="str">
        <f t="shared" si="65"/>
        <v/>
      </c>
      <c r="H316" s="57" t="str">
        <f t="shared" si="66"/>
        <v/>
      </c>
      <c r="I316" s="102" t="str">
        <f>IF(VLOOKUP($P316,无限模式!$A$76:$X$95,15,FALSE)="","",VLOOKUP(P316,无限模式!$A$76:$X$95,16,FALSE))</f>
        <v/>
      </c>
      <c r="J316" s="102" t="str">
        <f>IF(VLOOKUP($P316,无限模式!$A$76:$X$95,15,FALSE)="","",VLOOKUP($P316,无限模式!$A$76:$X$95,17,FALSE))</f>
        <v/>
      </c>
      <c r="K316" s="102" t="str">
        <f t="shared" si="67"/>
        <v/>
      </c>
      <c r="L316" s="102" t="str">
        <f>IF(VLOOKUP($P316,无限模式!$A$76:$X$95,15,FALSE)="","","Monster_Season3_Infinite_"&amp;P316&amp;"_3")</f>
        <v/>
      </c>
      <c r="M316" s="57" t="str">
        <f t="shared" si="68"/>
        <v/>
      </c>
      <c r="O316" s="102" t="str">
        <f>IF(VLOOKUP($P316,无限模式!$A$76:$X$95,15,FALSE)="","",VLOOKUP($P316,无限模式!$A$76:$X$95,19,FALSE))</f>
        <v/>
      </c>
      <c r="P316" s="110">
        <f t="shared" si="69"/>
        <v>13</v>
      </c>
      <c r="Q316" s="110">
        <v>3</v>
      </c>
    </row>
    <row r="317" spans="2:17" x14ac:dyDescent="0.2">
      <c r="D317" s="57" t="str">
        <f t="shared" si="70"/>
        <v/>
      </c>
      <c r="F317" s="57" t="str">
        <f t="shared" si="64"/>
        <v/>
      </c>
      <c r="G317" s="102" t="str">
        <f t="shared" si="65"/>
        <v/>
      </c>
      <c r="H317" s="57" t="str">
        <f t="shared" si="66"/>
        <v/>
      </c>
      <c r="I317" s="102" t="str">
        <f>IF(VLOOKUP($P317,无限模式!$A$76:$X$95,20,FALSE)="","",VLOOKUP($P317,无限模式!$A$76:$X$95,21,FALSE))</f>
        <v/>
      </c>
      <c r="J317" s="102" t="str">
        <f>IF(VLOOKUP($P317,无限模式!$A$76:$X$95,20,FALSE)="","",VLOOKUP($P317,无限模式!$A$76:$X$95,22,FALSE))</f>
        <v/>
      </c>
      <c r="K317" s="102" t="str">
        <f t="shared" si="67"/>
        <v/>
      </c>
      <c r="L317" s="102" t="str">
        <f>IF(VLOOKUP($P317,无限模式!$A$76:$X$95,20,FALSE)="","","Monster_Season3_Infinite_"&amp;P317&amp;"_4")</f>
        <v/>
      </c>
      <c r="M317" s="57" t="str">
        <f t="shared" si="68"/>
        <v/>
      </c>
      <c r="O317" s="102" t="str">
        <f>IF(VLOOKUP($P317,无限模式!$A$76:$X$95,20,FALSE)="","",VLOOKUP($P317,无限模式!$A$76:$X$95,24,FALSE))</f>
        <v/>
      </c>
      <c r="P317" s="110">
        <f t="shared" si="69"/>
        <v>13</v>
      </c>
      <c r="Q317" s="110">
        <v>4</v>
      </c>
    </row>
    <row r="318" spans="2:17" x14ac:dyDescent="0.2">
      <c r="B318" s="57" t="s">
        <v>3139</v>
      </c>
      <c r="C318" s="57">
        <v>14</v>
      </c>
      <c r="D318" s="57" t="str">
        <f t="shared" si="70"/>
        <v>赛季3无限模式第14波</v>
      </c>
      <c r="F318" s="57">
        <f t="shared" si="64"/>
        <v>0</v>
      </c>
      <c r="G318" s="102">
        <f t="shared" si="65"/>
        <v>180</v>
      </c>
      <c r="H318" s="57">
        <f t="shared" si="66"/>
        <v>0</v>
      </c>
      <c r="I318" s="102">
        <f>IF(VLOOKUP($P318,无限模式!$A$76:$X$95,5,FALSE)="","",VLOOKUP($P318,无限模式!$A$76:$X$95,6,FALSE))</f>
        <v>15</v>
      </c>
      <c r="J318" s="102">
        <f>IF(VLOOKUP($P318,无限模式!$A$76:$X$95,5,FALSE)="","",VLOOKUP($P318,无限模式!$A$76:$X$95,7,FALSE))</f>
        <v>1.5</v>
      </c>
      <c r="K318" s="102">
        <f t="shared" si="67"/>
        <v>1</v>
      </c>
      <c r="L318" s="102" t="str">
        <f>IF(VLOOKUP($P318,无限模式!$A$76:$X$95,5,FALSE)="","","Monster_Season3_Infinite_"&amp;P318&amp;"_1")</f>
        <v>Monster_Season3_Infinite_14_1</v>
      </c>
      <c r="M318" s="57">
        <f t="shared" si="68"/>
        <v>1</v>
      </c>
      <c r="O318" s="102">
        <f>IF(VLOOKUP($P318,无限模式!$A$76:$X$95,5,FALSE)="","",VLOOKUP($P318,无限模式!$A$76:$X$95,9,FALSE))</f>
        <v>7</v>
      </c>
      <c r="P318" s="110">
        <f t="shared" si="69"/>
        <v>14</v>
      </c>
      <c r="Q318" s="110">
        <v>1</v>
      </c>
    </row>
    <row r="319" spans="2:17" x14ac:dyDescent="0.2">
      <c r="D319" s="57" t="str">
        <f t="shared" si="70"/>
        <v/>
      </c>
      <c r="F319" s="57" t="str">
        <f t="shared" si="64"/>
        <v/>
      </c>
      <c r="G319" s="102" t="str">
        <f t="shared" si="65"/>
        <v/>
      </c>
      <c r="H319" s="57">
        <f t="shared" si="66"/>
        <v>0</v>
      </c>
      <c r="I319" s="102">
        <f>IF(VLOOKUP($P319,无限模式!$A$76:$X$95,10,FALSE)="","",VLOOKUP($P319,无限模式!$A$76:$X$95,11,FALSE))</f>
        <v>15</v>
      </c>
      <c r="J319" s="102">
        <f>IF(VLOOKUP($P319,无限模式!$A$76:$X$95,10,FALSE)="","",VLOOKUP($P319,无限模式!$A$76:$X$95,12,FALSE))</f>
        <v>1.5</v>
      </c>
      <c r="K319" s="102">
        <f t="shared" si="67"/>
        <v>1</v>
      </c>
      <c r="L319" s="102" t="str">
        <f>IF(VLOOKUP($P319,无限模式!$A$76:$X$95,10,FALSE)="","","Monster_Season3_Infinite_"&amp;P319&amp;"_2")</f>
        <v>Monster_Season3_Infinite_14_2</v>
      </c>
      <c r="M319" s="57">
        <f t="shared" si="68"/>
        <v>1</v>
      </c>
      <c r="O319" s="102">
        <f>IF(VLOOKUP($P319,无限模式!$A$76:$X$95,10,FALSE)="","",VLOOKUP($P319,无限模式!$A$76:$X$95,14,FALSE))</f>
        <v>13</v>
      </c>
      <c r="P319" s="110">
        <f t="shared" si="69"/>
        <v>14</v>
      </c>
      <c r="Q319" s="110">
        <v>2</v>
      </c>
    </row>
    <row r="320" spans="2:17" x14ac:dyDescent="0.2">
      <c r="D320" s="57" t="str">
        <f t="shared" si="70"/>
        <v/>
      </c>
      <c r="F320" s="57" t="str">
        <f t="shared" si="64"/>
        <v/>
      </c>
      <c r="G320" s="102" t="str">
        <f t="shared" si="65"/>
        <v/>
      </c>
      <c r="H320" s="57" t="str">
        <f t="shared" si="66"/>
        <v/>
      </c>
      <c r="I320" s="102" t="str">
        <f>IF(VLOOKUP($P320,无限模式!$A$76:$X$95,15,FALSE)="","",VLOOKUP(P320,无限模式!$A$76:$X$95,16,FALSE))</f>
        <v/>
      </c>
      <c r="J320" s="102" t="str">
        <f>IF(VLOOKUP($P320,无限模式!$A$76:$X$95,15,FALSE)="","",VLOOKUP($P320,无限模式!$A$76:$X$95,17,FALSE))</f>
        <v/>
      </c>
      <c r="K320" s="102" t="str">
        <f t="shared" si="67"/>
        <v/>
      </c>
      <c r="L320" s="102" t="str">
        <f>IF(VLOOKUP($P320,无限模式!$A$76:$X$95,15,FALSE)="","","Monster_Season3_Infinite_"&amp;P320&amp;"_3")</f>
        <v/>
      </c>
      <c r="M320" s="57" t="str">
        <f t="shared" si="68"/>
        <v/>
      </c>
      <c r="O320" s="102" t="str">
        <f>IF(VLOOKUP($P320,无限模式!$A$76:$X$95,15,FALSE)="","",VLOOKUP($P320,无限模式!$A$76:$X$95,19,FALSE))</f>
        <v/>
      </c>
      <c r="P320" s="110">
        <f t="shared" si="69"/>
        <v>14</v>
      </c>
      <c r="Q320" s="110">
        <v>3</v>
      </c>
    </row>
    <row r="321" spans="2:17" x14ac:dyDescent="0.2">
      <c r="D321" s="57" t="str">
        <f t="shared" si="70"/>
        <v/>
      </c>
      <c r="F321" s="57" t="str">
        <f t="shared" si="64"/>
        <v/>
      </c>
      <c r="G321" s="102" t="str">
        <f t="shared" si="65"/>
        <v/>
      </c>
      <c r="H321" s="57" t="str">
        <f t="shared" si="66"/>
        <v/>
      </c>
      <c r="I321" s="102" t="str">
        <f>IF(VLOOKUP($P321,无限模式!$A$76:$X$95,20,FALSE)="","",VLOOKUP($P321,无限模式!$A$76:$X$95,21,FALSE))</f>
        <v/>
      </c>
      <c r="J321" s="102" t="str">
        <f>IF(VLOOKUP($P321,无限模式!$A$76:$X$95,20,FALSE)="","",VLOOKUP($P321,无限模式!$A$76:$X$95,22,FALSE))</f>
        <v/>
      </c>
      <c r="K321" s="102" t="str">
        <f t="shared" si="67"/>
        <v/>
      </c>
      <c r="L321" s="102" t="str">
        <f>IF(VLOOKUP($P321,无限模式!$A$76:$X$95,20,FALSE)="","","Monster_Season3_Infinite_"&amp;P321&amp;"_4")</f>
        <v/>
      </c>
      <c r="M321" s="57" t="str">
        <f t="shared" si="68"/>
        <v/>
      </c>
      <c r="O321" s="102" t="str">
        <f>IF(VLOOKUP($P321,无限模式!$A$76:$X$95,20,FALSE)="","",VLOOKUP($P321,无限模式!$A$76:$X$95,24,FALSE))</f>
        <v/>
      </c>
      <c r="P321" s="110">
        <f t="shared" si="69"/>
        <v>14</v>
      </c>
      <c r="Q321" s="110">
        <v>4</v>
      </c>
    </row>
    <row r="322" spans="2:17" x14ac:dyDescent="0.2">
      <c r="B322" s="57" t="s">
        <v>3139</v>
      </c>
      <c r="C322" s="57">
        <v>15</v>
      </c>
      <c r="D322" s="57" t="str">
        <f t="shared" si="70"/>
        <v>赛季3无限模式第15波</v>
      </c>
      <c r="F322" s="57">
        <f t="shared" si="64"/>
        <v>0</v>
      </c>
      <c r="G322" s="102">
        <f t="shared" si="65"/>
        <v>180</v>
      </c>
      <c r="H322" s="57">
        <f t="shared" si="66"/>
        <v>0</v>
      </c>
      <c r="I322" s="102">
        <f>IF(VLOOKUP($P322,无限模式!$A$76:$X$95,5,FALSE)="","",VLOOKUP($P322,无限模式!$A$76:$X$95,6,FALSE))</f>
        <v>48</v>
      </c>
      <c r="J322" s="102">
        <f>IF(VLOOKUP($P322,无限模式!$A$76:$X$95,5,FALSE)="","",VLOOKUP($P322,无限模式!$A$76:$X$95,7,FALSE))</f>
        <v>0.5</v>
      </c>
      <c r="K322" s="102">
        <f t="shared" si="67"/>
        <v>1</v>
      </c>
      <c r="L322" s="102" t="str">
        <f>IF(VLOOKUP($P322,无限模式!$A$76:$X$95,5,FALSE)="","","Monster_Season3_Infinite_"&amp;P322&amp;"_1")</f>
        <v>Monster_Season3_Infinite_15_1</v>
      </c>
      <c r="M322" s="57">
        <f t="shared" si="68"/>
        <v>1</v>
      </c>
      <c r="O322" s="102">
        <f>IF(VLOOKUP($P322,无限模式!$A$76:$X$95,5,FALSE)="","",VLOOKUP($P322,无限模式!$A$76:$X$95,9,FALSE))</f>
        <v>4</v>
      </c>
      <c r="P322" s="110">
        <f t="shared" si="69"/>
        <v>15</v>
      </c>
      <c r="Q322" s="110">
        <v>1</v>
      </c>
    </row>
    <row r="323" spans="2:17" x14ac:dyDescent="0.2">
      <c r="D323" s="57" t="str">
        <f t="shared" si="70"/>
        <v/>
      </c>
      <c r="F323" s="57" t="str">
        <f t="shared" si="64"/>
        <v/>
      </c>
      <c r="G323" s="102" t="str">
        <f t="shared" si="65"/>
        <v/>
      </c>
      <c r="H323" s="57">
        <f t="shared" si="66"/>
        <v>0</v>
      </c>
      <c r="I323" s="102">
        <f>IF(VLOOKUP($P323,无限模式!$A$76:$X$95,10,FALSE)="","",VLOOKUP($P323,无限模式!$A$76:$X$95,11,FALSE))</f>
        <v>12</v>
      </c>
      <c r="J323" s="102">
        <f>IF(VLOOKUP($P323,无限模式!$A$76:$X$95,10,FALSE)="","",VLOOKUP($P323,无限模式!$A$76:$X$95,12,FALSE))</f>
        <v>2</v>
      </c>
      <c r="K323" s="102">
        <f t="shared" si="67"/>
        <v>1</v>
      </c>
      <c r="L323" s="102" t="str">
        <f>IF(VLOOKUP($P323,无限模式!$A$76:$X$95,10,FALSE)="","","Monster_Season3_Infinite_"&amp;P323&amp;"_2")</f>
        <v>Monster_Season3_Infinite_15_2</v>
      </c>
      <c r="M323" s="57">
        <f t="shared" si="68"/>
        <v>1</v>
      </c>
      <c r="O323" s="102">
        <f>IF(VLOOKUP($P323,无限模式!$A$76:$X$95,10,FALSE)="","",VLOOKUP($P323,无限模式!$A$76:$X$95,14,FALSE))</f>
        <v>8</v>
      </c>
      <c r="P323" s="110">
        <f t="shared" si="69"/>
        <v>15</v>
      </c>
      <c r="Q323" s="110">
        <v>2</v>
      </c>
    </row>
    <row r="324" spans="2:17" x14ac:dyDescent="0.2">
      <c r="D324" s="57" t="str">
        <f t="shared" si="70"/>
        <v/>
      </c>
      <c r="F324" s="57" t="str">
        <f t="shared" si="64"/>
        <v/>
      </c>
      <c r="G324" s="102" t="str">
        <f t="shared" si="65"/>
        <v/>
      </c>
      <c r="H324" s="57" t="str">
        <f t="shared" si="66"/>
        <v/>
      </c>
      <c r="I324" s="102" t="str">
        <f>IF(VLOOKUP($P324,无限模式!$A$76:$X$95,15,FALSE)="","",VLOOKUP(P324,无限模式!$A$76:$X$95,16,FALSE))</f>
        <v/>
      </c>
      <c r="J324" s="102" t="str">
        <f>IF(VLOOKUP($P324,无限模式!$A$76:$X$95,15,FALSE)="","",VLOOKUP($P324,无限模式!$A$76:$X$95,17,FALSE))</f>
        <v/>
      </c>
      <c r="K324" s="102" t="str">
        <f t="shared" si="67"/>
        <v/>
      </c>
      <c r="L324" s="102" t="str">
        <f>IF(VLOOKUP($P324,无限模式!$A$76:$X$95,15,FALSE)="","","Monster_Season3_Infinite_"&amp;P324&amp;"_3")</f>
        <v/>
      </c>
      <c r="M324" s="57" t="str">
        <f t="shared" si="68"/>
        <v/>
      </c>
      <c r="O324" s="102" t="str">
        <f>IF(VLOOKUP($P324,无限模式!$A$76:$X$95,15,FALSE)="","",VLOOKUP($P324,无限模式!$A$76:$X$95,19,FALSE))</f>
        <v/>
      </c>
      <c r="P324" s="110">
        <f t="shared" si="69"/>
        <v>15</v>
      </c>
      <c r="Q324" s="110">
        <v>3</v>
      </c>
    </row>
    <row r="325" spans="2:17" x14ac:dyDescent="0.2">
      <c r="D325" s="57" t="str">
        <f t="shared" si="70"/>
        <v/>
      </c>
      <c r="F325" s="57" t="str">
        <f t="shared" si="64"/>
        <v/>
      </c>
      <c r="G325" s="102" t="str">
        <f t="shared" si="65"/>
        <v/>
      </c>
      <c r="H325" s="57" t="str">
        <f t="shared" si="66"/>
        <v/>
      </c>
      <c r="I325" s="102" t="str">
        <f>IF(VLOOKUP($P325,无限模式!$A$76:$X$95,20,FALSE)="","",VLOOKUP($P325,无限模式!$A$76:$X$95,21,FALSE))</f>
        <v/>
      </c>
      <c r="J325" s="102" t="str">
        <f>IF(VLOOKUP($P325,无限模式!$A$76:$X$95,20,FALSE)="","",VLOOKUP($P325,无限模式!$A$76:$X$95,22,FALSE))</f>
        <v/>
      </c>
      <c r="K325" s="102" t="str">
        <f t="shared" si="67"/>
        <v/>
      </c>
      <c r="L325" s="102" t="str">
        <f>IF(VLOOKUP($P325,无限模式!$A$76:$X$95,20,FALSE)="","","Monster_Season3_Infinite_"&amp;P325&amp;"_4")</f>
        <v/>
      </c>
      <c r="M325" s="57" t="str">
        <f t="shared" si="68"/>
        <v/>
      </c>
      <c r="O325" s="102" t="str">
        <f>IF(VLOOKUP($P325,无限模式!$A$76:$X$95,20,FALSE)="","",VLOOKUP($P325,无限模式!$A$76:$X$95,24,FALSE))</f>
        <v/>
      </c>
      <c r="P325" s="110">
        <f t="shared" si="69"/>
        <v>15</v>
      </c>
      <c r="Q325" s="110">
        <v>4</v>
      </c>
    </row>
    <row r="326" spans="2:17" x14ac:dyDescent="0.2">
      <c r="B326" s="57" t="s">
        <v>3139</v>
      </c>
      <c r="C326" s="57">
        <v>16</v>
      </c>
      <c r="D326" s="57" t="str">
        <f t="shared" si="70"/>
        <v>赛季3无限模式第16波</v>
      </c>
      <c r="F326" s="57">
        <f t="shared" si="64"/>
        <v>0</v>
      </c>
      <c r="G326" s="102">
        <f t="shared" si="65"/>
        <v>180</v>
      </c>
      <c r="H326" s="57">
        <f t="shared" si="66"/>
        <v>0</v>
      </c>
      <c r="I326" s="102">
        <f>IF(VLOOKUP($P326,无限模式!$A$76:$X$95,5,FALSE)="","",VLOOKUP($P326,无限模式!$A$76:$X$95,6,FALSE))</f>
        <v>25</v>
      </c>
      <c r="J326" s="102">
        <f>IF(VLOOKUP($P326,无限模式!$A$76:$X$95,5,FALSE)="","",VLOOKUP($P326,无限模式!$A$76:$X$95,7,FALSE))</f>
        <v>1</v>
      </c>
      <c r="K326" s="102">
        <f t="shared" si="67"/>
        <v>1</v>
      </c>
      <c r="L326" s="102" t="str">
        <f>IF(VLOOKUP($P326,无限模式!$A$76:$X$95,5,FALSE)="","","Monster_Season3_Infinite_"&amp;P326&amp;"_1")</f>
        <v>Monster_Season3_Infinite_16_1</v>
      </c>
      <c r="M326" s="57">
        <f t="shared" si="68"/>
        <v>1</v>
      </c>
      <c r="O326" s="102">
        <f>IF(VLOOKUP($P326,无限模式!$A$76:$X$95,5,FALSE)="","",VLOOKUP($P326,无限模式!$A$76:$X$95,9,FALSE))</f>
        <v>9</v>
      </c>
      <c r="P326" s="110">
        <f t="shared" si="69"/>
        <v>16</v>
      </c>
      <c r="Q326" s="110">
        <v>1</v>
      </c>
    </row>
    <row r="327" spans="2:17" x14ac:dyDescent="0.2">
      <c r="D327" s="57" t="str">
        <f t="shared" si="70"/>
        <v/>
      </c>
      <c r="F327" s="57" t="str">
        <f t="shared" si="64"/>
        <v/>
      </c>
      <c r="G327" s="102" t="str">
        <f t="shared" si="65"/>
        <v/>
      </c>
      <c r="H327" s="57">
        <f t="shared" si="66"/>
        <v>0</v>
      </c>
      <c r="I327" s="102">
        <f>IF(VLOOKUP($P327,无限模式!$A$76:$X$95,10,FALSE)="","",VLOOKUP($P327,无限模式!$A$76:$X$95,11,FALSE))</f>
        <v>1</v>
      </c>
      <c r="J327" s="102">
        <f>IF(VLOOKUP($P327,无限模式!$A$76:$X$95,10,FALSE)="","",VLOOKUP($P327,无限模式!$A$76:$X$95,12,FALSE))</f>
        <v>0</v>
      </c>
      <c r="K327" s="102">
        <f t="shared" si="67"/>
        <v>1</v>
      </c>
      <c r="L327" s="102" t="str">
        <f>IF(VLOOKUP($P327,无限模式!$A$76:$X$95,10,FALSE)="","","Monster_Season3_Infinite_"&amp;P327&amp;"_2")</f>
        <v>Monster_Season3_Infinite_16_2</v>
      </c>
      <c r="M327" s="57">
        <f t="shared" si="68"/>
        <v>1</v>
      </c>
      <c r="O327" s="102">
        <f>IF(VLOOKUP($P327,无限模式!$A$76:$X$95,10,FALSE)="","",VLOOKUP($P327,无限模式!$A$76:$X$95,14,FALSE))</f>
        <v>86</v>
      </c>
      <c r="P327" s="110">
        <f t="shared" si="69"/>
        <v>16</v>
      </c>
      <c r="Q327" s="110">
        <v>2</v>
      </c>
    </row>
    <row r="328" spans="2:17" x14ac:dyDescent="0.2">
      <c r="D328" s="57" t="str">
        <f t="shared" si="70"/>
        <v/>
      </c>
      <c r="F328" s="57" t="str">
        <f t="shared" si="64"/>
        <v/>
      </c>
      <c r="G328" s="102" t="str">
        <f t="shared" si="65"/>
        <v/>
      </c>
      <c r="H328" s="57" t="str">
        <f t="shared" si="66"/>
        <v/>
      </c>
      <c r="I328" s="102" t="str">
        <f>IF(VLOOKUP($P328,无限模式!$A$76:$X$95,15,FALSE)="","",VLOOKUP(P328,无限模式!$A$76:$X$95,16,FALSE))</f>
        <v/>
      </c>
      <c r="J328" s="102" t="str">
        <f>IF(VLOOKUP($P328,无限模式!$A$76:$X$95,15,FALSE)="","",VLOOKUP($P328,无限模式!$A$76:$X$95,17,FALSE))</f>
        <v/>
      </c>
      <c r="K328" s="102" t="str">
        <f t="shared" si="67"/>
        <v/>
      </c>
      <c r="L328" s="102" t="str">
        <f>IF(VLOOKUP($P328,无限模式!$A$76:$X$95,15,FALSE)="","","Monster_Season3_Infinite_"&amp;P328&amp;"_3")</f>
        <v/>
      </c>
      <c r="M328" s="57" t="str">
        <f t="shared" si="68"/>
        <v/>
      </c>
      <c r="O328" s="102" t="str">
        <f>IF(VLOOKUP($P328,无限模式!$A$76:$X$95,15,FALSE)="","",VLOOKUP($P328,无限模式!$A$76:$X$95,19,FALSE))</f>
        <v/>
      </c>
      <c r="P328" s="110">
        <f t="shared" si="69"/>
        <v>16</v>
      </c>
      <c r="Q328" s="110">
        <v>3</v>
      </c>
    </row>
    <row r="329" spans="2:17" x14ac:dyDescent="0.2">
      <c r="D329" s="57" t="str">
        <f t="shared" si="70"/>
        <v/>
      </c>
      <c r="F329" s="57" t="str">
        <f t="shared" si="64"/>
        <v/>
      </c>
      <c r="G329" s="102" t="str">
        <f t="shared" si="65"/>
        <v/>
      </c>
      <c r="H329" s="57" t="str">
        <f t="shared" si="66"/>
        <v/>
      </c>
      <c r="I329" s="102" t="str">
        <f>IF(VLOOKUP($P329,无限模式!$A$76:$X$95,20,FALSE)="","",VLOOKUP($P329,无限模式!$A$76:$X$95,21,FALSE))</f>
        <v/>
      </c>
      <c r="J329" s="102" t="str">
        <f>IF(VLOOKUP($P329,无限模式!$A$76:$X$95,20,FALSE)="","",VLOOKUP($P329,无限模式!$A$76:$X$95,22,FALSE))</f>
        <v/>
      </c>
      <c r="K329" s="102" t="str">
        <f t="shared" si="67"/>
        <v/>
      </c>
      <c r="L329" s="102" t="str">
        <f>IF(VLOOKUP($P329,无限模式!$A$76:$X$95,20,FALSE)="","","Monster_Season3_Infinite_"&amp;P329&amp;"_4")</f>
        <v/>
      </c>
      <c r="M329" s="57" t="str">
        <f t="shared" si="68"/>
        <v/>
      </c>
      <c r="O329" s="102" t="str">
        <f>IF(VLOOKUP($P329,无限模式!$A$76:$X$95,20,FALSE)="","",VLOOKUP($P329,无限模式!$A$76:$X$95,24,FALSE))</f>
        <v/>
      </c>
      <c r="P329" s="110">
        <f t="shared" si="69"/>
        <v>16</v>
      </c>
      <c r="Q329" s="110">
        <v>4</v>
      </c>
    </row>
    <row r="330" spans="2:17" x14ac:dyDescent="0.2">
      <c r="B330" s="57" t="s">
        <v>3139</v>
      </c>
      <c r="C330" s="57">
        <v>17</v>
      </c>
      <c r="D330" s="57" t="str">
        <f t="shared" ref="D330:D344" si="71">IF(C330="","","赛季3无限模式第"&amp;C330&amp;"波")</f>
        <v>赛季3无限模式第17波</v>
      </c>
      <c r="F330" s="57">
        <f t="shared" si="64"/>
        <v>0</v>
      </c>
      <c r="G330" s="102">
        <f t="shared" si="65"/>
        <v>180</v>
      </c>
      <c r="H330" s="57">
        <f t="shared" si="66"/>
        <v>0</v>
      </c>
      <c r="I330" s="102">
        <f>IF(VLOOKUP($P330,无限模式!$A$76:$X$95,5,FALSE)="","",VLOOKUP($P330,无限模式!$A$76:$X$95,6,FALSE))</f>
        <v>26</v>
      </c>
      <c r="J330" s="102">
        <f>IF(VLOOKUP($P330,无限模式!$A$76:$X$95,5,FALSE)="","",VLOOKUP($P330,无限模式!$A$76:$X$95,7,FALSE))</f>
        <v>1</v>
      </c>
      <c r="K330" s="102">
        <f t="shared" si="67"/>
        <v>1</v>
      </c>
      <c r="L330" s="102" t="str">
        <f>IF(VLOOKUP($P330,无限模式!$A$76:$X$95,5,FALSE)="","","Monster_Season3_Infinite_"&amp;P330&amp;"_1")</f>
        <v>Monster_Season3_Infinite_17_1</v>
      </c>
      <c r="M330" s="57">
        <f t="shared" si="68"/>
        <v>1</v>
      </c>
      <c r="O330" s="102">
        <f>IF(VLOOKUP($P330,无限模式!$A$76:$X$95,5,FALSE)="","",VLOOKUP($P330,无限模式!$A$76:$X$95,9,FALSE))</f>
        <v>9</v>
      </c>
      <c r="P330" s="110">
        <f t="shared" si="69"/>
        <v>17</v>
      </c>
      <c r="Q330" s="110">
        <v>1</v>
      </c>
    </row>
    <row r="331" spans="2:17" x14ac:dyDescent="0.2">
      <c r="D331" s="57" t="str">
        <f t="shared" si="71"/>
        <v/>
      </c>
      <c r="F331" s="57" t="str">
        <f t="shared" ref="F331:F346" si="72">IF(C331="","",0)</f>
        <v/>
      </c>
      <c r="G331" s="102" t="str">
        <f t="shared" ref="G331:G345" si="73">IF(C331="","",180)</f>
        <v/>
      </c>
      <c r="H331" s="57">
        <f t="shared" ref="H331:H345" si="74">IF(I331="","",0)</f>
        <v>0</v>
      </c>
      <c r="I331" s="102">
        <f>IF(VLOOKUP($P331,无限模式!$A$76:$X$95,10,FALSE)="","",VLOOKUP($P331,无限模式!$A$76:$X$95,11,FALSE))</f>
        <v>9</v>
      </c>
      <c r="J331" s="102">
        <f>IF(VLOOKUP($P331,无限模式!$A$76:$X$95,10,FALSE)="","",VLOOKUP($P331,无限模式!$A$76:$X$95,12,FALSE))</f>
        <v>3</v>
      </c>
      <c r="K331" s="102">
        <f t="shared" ref="K331:K345" si="75">IF(I331="","",1)</f>
        <v>1</v>
      </c>
      <c r="L331" s="102" t="str">
        <f>IF(VLOOKUP($P331,无限模式!$A$76:$X$95,10,FALSE)="","","Monster_Season3_Infinite_"&amp;P331&amp;"_2")</f>
        <v>Monster_Season3_Infinite_17_2</v>
      </c>
      <c r="M331" s="57">
        <f t="shared" ref="M331:M345" si="76">IF(I331="","",1)</f>
        <v>1</v>
      </c>
      <c r="O331" s="102">
        <f>IF(VLOOKUP($P331,无限模式!$A$76:$X$95,10,FALSE)="","",VLOOKUP($P331,无限模式!$A$76:$X$95,14,FALSE))</f>
        <v>9</v>
      </c>
      <c r="P331" s="110">
        <f t="shared" ref="P331:P345" si="77">IF(C331="",P330,C331)</f>
        <v>17</v>
      </c>
      <c r="Q331" s="110">
        <v>2</v>
      </c>
    </row>
    <row r="332" spans="2:17" x14ac:dyDescent="0.2">
      <c r="D332" s="57" t="str">
        <f t="shared" si="71"/>
        <v/>
      </c>
      <c r="F332" s="57" t="str">
        <f t="shared" si="72"/>
        <v/>
      </c>
      <c r="G332" s="102" t="str">
        <f t="shared" si="73"/>
        <v/>
      </c>
      <c r="H332" s="57" t="str">
        <f t="shared" si="74"/>
        <v/>
      </c>
      <c r="I332" s="102" t="str">
        <f>IF(VLOOKUP($P332,无限模式!$A$76:$X$95,15,FALSE)="","",VLOOKUP(P332,无限模式!$A$76:$X$95,16,FALSE))</f>
        <v/>
      </c>
      <c r="J332" s="102" t="str">
        <f>IF(VLOOKUP($P332,无限模式!$A$76:$X$95,15,FALSE)="","",VLOOKUP($P332,无限模式!$A$76:$X$95,17,FALSE))</f>
        <v/>
      </c>
      <c r="K332" s="102" t="str">
        <f t="shared" si="75"/>
        <v/>
      </c>
      <c r="L332" s="102" t="str">
        <f>IF(VLOOKUP($P332,无限模式!$A$76:$X$95,15,FALSE)="","","Monster_Season3_Infinite_"&amp;P332&amp;"_3")</f>
        <v/>
      </c>
      <c r="M332" s="57" t="str">
        <f t="shared" si="76"/>
        <v/>
      </c>
      <c r="O332" s="102" t="str">
        <f>IF(VLOOKUP($P332,无限模式!$A$76:$X$95,15,FALSE)="","",VLOOKUP($P332,无限模式!$A$76:$X$95,19,FALSE))</f>
        <v/>
      </c>
      <c r="P332" s="110">
        <f t="shared" si="77"/>
        <v>17</v>
      </c>
      <c r="Q332" s="110">
        <v>3</v>
      </c>
    </row>
    <row r="333" spans="2:17" x14ac:dyDescent="0.2">
      <c r="D333" s="57" t="str">
        <f t="shared" si="71"/>
        <v/>
      </c>
      <c r="F333" s="57" t="str">
        <f t="shared" si="72"/>
        <v/>
      </c>
      <c r="G333" s="102" t="str">
        <f t="shared" si="73"/>
        <v/>
      </c>
      <c r="H333" s="57" t="str">
        <f t="shared" si="74"/>
        <v/>
      </c>
      <c r="I333" s="102" t="str">
        <f>IF(VLOOKUP($P333,无限模式!$A$76:$X$95,20,FALSE)="","",VLOOKUP($P333,无限模式!$A$76:$X$95,21,FALSE))</f>
        <v/>
      </c>
      <c r="J333" s="102" t="str">
        <f>IF(VLOOKUP($P333,无限模式!$A$76:$X$95,20,FALSE)="","",VLOOKUP($P333,无限模式!$A$76:$X$95,22,FALSE))</f>
        <v/>
      </c>
      <c r="K333" s="102" t="str">
        <f t="shared" si="75"/>
        <v/>
      </c>
      <c r="L333" s="102" t="str">
        <f>IF(VLOOKUP($P333,无限模式!$A$76:$X$95,20,FALSE)="","","Monster_Season3_Infinite_"&amp;P333&amp;"_4")</f>
        <v/>
      </c>
      <c r="M333" s="57" t="str">
        <f t="shared" si="76"/>
        <v/>
      </c>
      <c r="O333" s="102" t="str">
        <f>IF(VLOOKUP($P333,无限模式!$A$76:$X$95,20,FALSE)="","",VLOOKUP($P333,无限模式!$A$76:$X$95,24,FALSE))</f>
        <v/>
      </c>
      <c r="P333" s="110">
        <f t="shared" si="77"/>
        <v>17</v>
      </c>
      <c r="Q333" s="110">
        <v>4</v>
      </c>
    </row>
    <row r="334" spans="2:17" x14ac:dyDescent="0.2">
      <c r="B334" s="57" t="s">
        <v>3139</v>
      </c>
      <c r="C334" s="57">
        <v>18</v>
      </c>
      <c r="D334" s="57" t="str">
        <f t="shared" si="71"/>
        <v>赛季3无限模式第18波</v>
      </c>
      <c r="F334" s="57">
        <f t="shared" si="72"/>
        <v>0</v>
      </c>
      <c r="G334" s="102">
        <f t="shared" si="73"/>
        <v>180</v>
      </c>
      <c r="H334" s="57">
        <f t="shared" si="74"/>
        <v>0</v>
      </c>
      <c r="I334" s="102">
        <f>IF(VLOOKUP($P334,无限模式!$A$76:$X$95,5,FALSE)="","",VLOOKUP($P334,无限模式!$A$76:$X$95,6,FALSE))</f>
        <v>18</v>
      </c>
      <c r="J334" s="102">
        <f>IF(VLOOKUP($P334,无限模式!$A$76:$X$95,5,FALSE)="","",VLOOKUP($P334,无限模式!$A$76:$X$95,7,FALSE))</f>
        <v>1.5</v>
      </c>
      <c r="K334" s="102">
        <f t="shared" si="75"/>
        <v>1</v>
      </c>
      <c r="L334" s="102" t="str">
        <f>IF(VLOOKUP($P334,无限模式!$A$76:$X$95,5,FALSE)="","","Monster_Season3_Infinite_"&amp;P334&amp;"_1")</f>
        <v>Monster_Season3_Infinite_18_1</v>
      </c>
      <c r="M334" s="57">
        <f t="shared" si="76"/>
        <v>1</v>
      </c>
      <c r="O334" s="102">
        <f>IF(VLOOKUP($P334,无限模式!$A$76:$X$95,5,FALSE)="","",VLOOKUP($P334,无限模式!$A$76:$X$95,9,FALSE))</f>
        <v>8</v>
      </c>
      <c r="P334" s="110">
        <f t="shared" si="77"/>
        <v>18</v>
      </c>
      <c r="Q334" s="110">
        <v>1</v>
      </c>
    </row>
    <row r="335" spans="2:17" x14ac:dyDescent="0.2">
      <c r="D335" s="57" t="str">
        <f t="shared" si="71"/>
        <v/>
      </c>
      <c r="F335" s="57" t="str">
        <f t="shared" si="72"/>
        <v/>
      </c>
      <c r="G335" s="102" t="str">
        <f t="shared" si="73"/>
        <v/>
      </c>
      <c r="H335" s="57">
        <f t="shared" si="74"/>
        <v>0</v>
      </c>
      <c r="I335" s="102">
        <f>IF(VLOOKUP($P335,无限模式!$A$76:$X$95,10,FALSE)="","",VLOOKUP($P335,无限模式!$A$76:$X$95,11,FALSE))</f>
        <v>36</v>
      </c>
      <c r="J335" s="102">
        <f>IF(VLOOKUP($P335,无限模式!$A$76:$X$95,10,FALSE)="","",VLOOKUP($P335,无限模式!$A$76:$X$95,12,FALSE))</f>
        <v>0.75</v>
      </c>
      <c r="K335" s="102">
        <f t="shared" si="75"/>
        <v>1</v>
      </c>
      <c r="L335" s="102" t="str">
        <f>IF(VLOOKUP($P335,无限模式!$A$76:$X$95,10,FALSE)="","","Monster_Season3_Infinite_"&amp;P335&amp;"_2")</f>
        <v>Monster_Season3_Infinite_18_2</v>
      </c>
      <c r="M335" s="57">
        <f t="shared" si="76"/>
        <v>1</v>
      </c>
      <c r="O335" s="102">
        <f>IF(VLOOKUP($P335,无限模式!$A$76:$X$95,10,FALSE)="","",VLOOKUP($P335,无限模式!$A$76:$X$95,14,FALSE))</f>
        <v>4</v>
      </c>
      <c r="P335" s="110">
        <f t="shared" si="77"/>
        <v>18</v>
      </c>
      <c r="Q335" s="110">
        <v>2</v>
      </c>
    </row>
    <row r="336" spans="2:17" x14ac:dyDescent="0.2">
      <c r="D336" s="57" t="str">
        <f t="shared" si="71"/>
        <v/>
      </c>
      <c r="F336" s="57" t="str">
        <f t="shared" si="72"/>
        <v/>
      </c>
      <c r="G336" s="102" t="str">
        <f t="shared" si="73"/>
        <v/>
      </c>
      <c r="H336" s="57" t="str">
        <f t="shared" si="74"/>
        <v/>
      </c>
      <c r="I336" s="102" t="str">
        <f>IF(VLOOKUP($P336,无限模式!$A$76:$X$95,15,FALSE)="","",VLOOKUP(P336,无限模式!$A$76:$X$95,16,FALSE))</f>
        <v/>
      </c>
      <c r="J336" s="102" t="str">
        <f>IF(VLOOKUP($P336,无限模式!$A$76:$X$95,15,FALSE)="","",VLOOKUP($P336,无限模式!$A$76:$X$95,17,FALSE))</f>
        <v/>
      </c>
      <c r="K336" s="102" t="str">
        <f t="shared" si="75"/>
        <v/>
      </c>
      <c r="L336" s="102" t="str">
        <f>IF(VLOOKUP($P336,无限模式!$A$76:$X$95,15,FALSE)="","","Monster_Season3_Infinite_"&amp;P336&amp;"_3")</f>
        <v/>
      </c>
      <c r="M336" s="57" t="str">
        <f t="shared" si="76"/>
        <v/>
      </c>
      <c r="O336" s="102" t="str">
        <f>IF(VLOOKUP($P336,无限模式!$A$76:$X$95,15,FALSE)="","",VLOOKUP($P336,无限模式!$A$76:$X$95,19,FALSE))</f>
        <v/>
      </c>
      <c r="P336" s="110">
        <f t="shared" si="77"/>
        <v>18</v>
      </c>
      <c r="Q336" s="110">
        <v>3</v>
      </c>
    </row>
    <row r="337" spans="2:17" x14ac:dyDescent="0.2">
      <c r="D337" s="57" t="str">
        <f t="shared" si="71"/>
        <v/>
      </c>
      <c r="F337" s="57" t="str">
        <f t="shared" si="72"/>
        <v/>
      </c>
      <c r="G337" s="102" t="str">
        <f t="shared" si="73"/>
        <v/>
      </c>
      <c r="H337" s="57" t="str">
        <f t="shared" si="74"/>
        <v/>
      </c>
      <c r="I337" s="102" t="str">
        <f>IF(VLOOKUP($P337,无限模式!$A$76:$X$95,20,FALSE)="","",VLOOKUP($P337,无限模式!$A$76:$X$95,21,FALSE))</f>
        <v/>
      </c>
      <c r="J337" s="102" t="str">
        <f>IF(VLOOKUP($P337,无限模式!$A$76:$X$95,20,FALSE)="","",VLOOKUP($P337,无限模式!$A$76:$X$95,22,FALSE))</f>
        <v/>
      </c>
      <c r="K337" s="102" t="str">
        <f t="shared" si="75"/>
        <v/>
      </c>
      <c r="L337" s="102" t="str">
        <f>IF(VLOOKUP($P337,无限模式!$A$76:$X$95,20,FALSE)="","","Monster_Season3_Infinite_"&amp;P337&amp;"_4")</f>
        <v/>
      </c>
      <c r="M337" s="57" t="str">
        <f t="shared" si="76"/>
        <v/>
      </c>
      <c r="O337" s="102" t="str">
        <f>IF(VLOOKUP($P337,无限模式!$A$76:$X$95,20,FALSE)="","",VLOOKUP($P337,无限模式!$A$76:$X$95,24,FALSE))</f>
        <v/>
      </c>
      <c r="P337" s="110">
        <f t="shared" si="77"/>
        <v>18</v>
      </c>
      <c r="Q337" s="110">
        <v>4</v>
      </c>
    </row>
    <row r="338" spans="2:17" x14ac:dyDescent="0.2">
      <c r="B338" s="57" t="s">
        <v>3139</v>
      </c>
      <c r="C338" s="57">
        <v>19</v>
      </c>
      <c r="D338" s="57" t="str">
        <f t="shared" si="71"/>
        <v>赛季3无限模式第19波</v>
      </c>
      <c r="F338" s="57">
        <f t="shared" si="72"/>
        <v>0</v>
      </c>
      <c r="G338" s="102">
        <f t="shared" si="73"/>
        <v>180</v>
      </c>
      <c r="H338" s="57">
        <f t="shared" si="74"/>
        <v>0</v>
      </c>
      <c r="I338" s="102">
        <f>IF(VLOOKUP($P338,无限模式!$A$76:$X$95,5,FALSE)="","",VLOOKUP($P338,无限模式!$A$76:$X$95,6,FALSE))</f>
        <v>19</v>
      </c>
      <c r="J338" s="102">
        <f>IF(VLOOKUP($P338,无限模式!$A$76:$X$95,5,FALSE)="","",VLOOKUP($P338,无限模式!$A$76:$X$95,7,FALSE))</f>
        <v>1.5</v>
      </c>
      <c r="K338" s="102">
        <f t="shared" si="75"/>
        <v>1</v>
      </c>
      <c r="L338" s="102" t="str">
        <f>IF(VLOOKUP($P338,无限模式!$A$76:$X$95,5,FALSE)="","","Monster_Season3_Infinite_"&amp;P338&amp;"_1")</f>
        <v>Monster_Season3_Infinite_19_1</v>
      </c>
      <c r="M338" s="57">
        <f t="shared" si="76"/>
        <v>1</v>
      </c>
      <c r="O338" s="102">
        <f>IF(VLOOKUP($P338,无限模式!$A$76:$X$95,5,FALSE)="","",VLOOKUP($P338,无限模式!$A$76:$X$95,9,FALSE))</f>
        <v>5</v>
      </c>
      <c r="P338" s="110">
        <f t="shared" si="77"/>
        <v>19</v>
      </c>
      <c r="Q338" s="110">
        <v>1</v>
      </c>
    </row>
    <row r="339" spans="2:17" x14ac:dyDescent="0.2">
      <c r="D339" s="57" t="str">
        <f t="shared" si="71"/>
        <v/>
      </c>
      <c r="F339" s="57" t="str">
        <f t="shared" si="72"/>
        <v/>
      </c>
      <c r="G339" s="102" t="str">
        <f t="shared" si="73"/>
        <v/>
      </c>
      <c r="H339" s="57">
        <f t="shared" si="74"/>
        <v>0</v>
      </c>
      <c r="I339" s="102">
        <f>IF(VLOOKUP($P339,无限模式!$A$76:$X$95,10,FALSE)="","",VLOOKUP($P339,无限模式!$A$76:$X$95,11,FALSE))</f>
        <v>28</v>
      </c>
      <c r="J339" s="102">
        <f>IF(VLOOKUP($P339,无限模式!$A$76:$X$95,10,FALSE)="","",VLOOKUP($P339,无限模式!$A$76:$X$95,12,FALSE))</f>
        <v>1</v>
      </c>
      <c r="K339" s="102">
        <f t="shared" si="75"/>
        <v>1</v>
      </c>
      <c r="L339" s="102" t="str">
        <f>IF(VLOOKUP($P339,无限模式!$A$76:$X$95,10,FALSE)="","","Monster_Season3_Infinite_"&amp;P339&amp;"_2")</f>
        <v>Monster_Season3_Infinite_19_2</v>
      </c>
      <c r="M339" s="57">
        <f t="shared" si="76"/>
        <v>1</v>
      </c>
      <c r="O339" s="102">
        <f>IF(VLOOKUP($P339,无限模式!$A$76:$X$95,10,FALSE)="","",VLOOKUP($P339,无限模式!$A$76:$X$95,14,FALSE))</f>
        <v>5</v>
      </c>
      <c r="P339" s="110">
        <f t="shared" si="77"/>
        <v>19</v>
      </c>
      <c r="Q339" s="110">
        <v>2</v>
      </c>
    </row>
    <row r="340" spans="2:17" x14ac:dyDescent="0.2">
      <c r="D340" s="57" t="str">
        <f t="shared" si="71"/>
        <v/>
      </c>
      <c r="F340" s="57" t="str">
        <f t="shared" si="72"/>
        <v/>
      </c>
      <c r="G340" s="102" t="str">
        <f t="shared" si="73"/>
        <v/>
      </c>
      <c r="H340" s="57">
        <f t="shared" si="74"/>
        <v>0</v>
      </c>
      <c r="I340" s="102">
        <f>IF(VLOOKUP($P340,无限模式!$A$76:$X$95,15,FALSE)="","",VLOOKUP(P340,无限模式!$A$76:$X$95,16,FALSE))</f>
        <v>14</v>
      </c>
      <c r="J340" s="102">
        <f>IF(VLOOKUP($P340,无限模式!$A$76:$X$95,15,FALSE)="","",VLOOKUP($P340,无限模式!$A$76:$X$95,17,FALSE))</f>
        <v>2</v>
      </c>
      <c r="K340" s="102">
        <f t="shared" si="75"/>
        <v>1</v>
      </c>
      <c r="L340" s="102" t="str">
        <f>IF(VLOOKUP($P340,无限模式!$A$76:$X$95,15,FALSE)="","","Monster_Season3_Infinite_"&amp;P340&amp;"_3")</f>
        <v>Monster_Season3_Infinite_19_3</v>
      </c>
      <c r="M340" s="57">
        <f t="shared" si="76"/>
        <v>1</v>
      </c>
      <c r="O340" s="102">
        <f>IF(VLOOKUP($P340,无限模式!$A$76:$X$95,15,FALSE)="","",VLOOKUP($P340,无限模式!$A$76:$X$95,19,FALSE))</f>
        <v>5</v>
      </c>
      <c r="P340" s="110">
        <f t="shared" si="77"/>
        <v>19</v>
      </c>
      <c r="Q340" s="110">
        <v>3</v>
      </c>
    </row>
    <row r="341" spans="2:17" x14ac:dyDescent="0.2">
      <c r="D341" s="57" t="str">
        <f t="shared" si="71"/>
        <v/>
      </c>
      <c r="F341" s="57" t="str">
        <f t="shared" si="72"/>
        <v/>
      </c>
      <c r="G341" s="102" t="str">
        <f t="shared" si="73"/>
        <v/>
      </c>
      <c r="H341" s="57" t="str">
        <f t="shared" si="74"/>
        <v/>
      </c>
      <c r="I341" s="102" t="str">
        <f>IF(VLOOKUP($P341,无限模式!$A$76:$X$95,20,FALSE)="","",VLOOKUP($P341,无限模式!$A$76:$X$95,21,FALSE))</f>
        <v/>
      </c>
      <c r="J341" s="102" t="str">
        <f>IF(VLOOKUP($P341,无限模式!$A$76:$X$95,20,FALSE)="","",VLOOKUP($P341,无限模式!$A$76:$X$95,22,FALSE))</f>
        <v/>
      </c>
      <c r="K341" s="102" t="str">
        <f t="shared" si="75"/>
        <v/>
      </c>
      <c r="L341" s="102" t="str">
        <f>IF(VLOOKUP($P341,无限模式!$A$76:$X$95,20,FALSE)="","","Monster_Season3_Infinite_"&amp;P341&amp;"_4")</f>
        <v/>
      </c>
      <c r="M341" s="57" t="str">
        <f t="shared" si="76"/>
        <v/>
      </c>
      <c r="O341" s="102" t="str">
        <f>IF(VLOOKUP($P341,无限模式!$A$76:$X$95,20,FALSE)="","",VLOOKUP($P341,无限模式!$A$76:$X$95,24,FALSE))</f>
        <v/>
      </c>
      <c r="P341" s="110">
        <f t="shared" si="77"/>
        <v>19</v>
      </c>
      <c r="Q341" s="110">
        <v>4</v>
      </c>
    </row>
    <row r="342" spans="2:17" x14ac:dyDescent="0.2">
      <c r="B342" s="57" t="s">
        <v>3139</v>
      </c>
      <c r="C342" s="57">
        <v>20</v>
      </c>
      <c r="D342" s="57" t="str">
        <f t="shared" si="71"/>
        <v>赛季3无限模式第20波</v>
      </c>
      <c r="F342" s="57">
        <f t="shared" si="72"/>
        <v>0</v>
      </c>
      <c r="G342" s="102">
        <f t="shared" si="73"/>
        <v>180</v>
      </c>
      <c r="H342" s="57">
        <f t="shared" si="74"/>
        <v>0</v>
      </c>
      <c r="I342" s="102">
        <f>IF(VLOOKUP($P342,无限模式!$A$76:$X$95,5,FALSE)="","",VLOOKUP($P342,无限模式!$A$76:$X$95,6,FALSE))</f>
        <v>1</v>
      </c>
      <c r="J342" s="102">
        <f>IF(VLOOKUP($P342,无限模式!$A$76:$X$95,5,FALSE)="","",VLOOKUP($P342,无限模式!$A$76:$X$95,7,FALSE))</f>
        <v>0</v>
      </c>
      <c r="K342" s="102">
        <f t="shared" si="75"/>
        <v>1</v>
      </c>
      <c r="L342" s="102" t="str">
        <f>IF(VLOOKUP($P342,无限模式!$A$76:$X$95,5,FALSE)="","","Monster_Season3_Infinite_"&amp;P342&amp;"_1")</f>
        <v>Monster_Season3_Infinite_20_1</v>
      </c>
      <c r="M342" s="57">
        <f t="shared" si="76"/>
        <v>1</v>
      </c>
      <c r="O342" s="102">
        <f>IF(VLOOKUP($P342,无限模式!$A$76:$X$95,5,FALSE)="","",VLOOKUP($P342,无限模式!$A$76:$X$95,9,FALSE))</f>
        <v>62</v>
      </c>
      <c r="P342" s="110">
        <f t="shared" si="77"/>
        <v>20</v>
      </c>
      <c r="Q342" s="110">
        <v>1</v>
      </c>
    </row>
    <row r="343" spans="2:17" x14ac:dyDescent="0.2">
      <c r="D343" s="57" t="str">
        <f t="shared" si="71"/>
        <v/>
      </c>
      <c r="F343" s="57" t="str">
        <f t="shared" si="72"/>
        <v/>
      </c>
      <c r="G343" s="102" t="str">
        <f t="shared" si="73"/>
        <v/>
      </c>
      <c r="H343" s="57">
        <f t="shared" si="74"/>
        <v>0</v>
      </c>
      <c r="I343" s="102">
        <f>IF(VLOOKUP($P343,无限模式!$A$76:$X$95,10,FALSE)="","",VLOOKUP($P343,无限模式!$A$76:$X$95,11,FALSE))</f>
        <v>39</v>
      </c>
      <c r="J343" s="102">
        <f>IF(VLOOKUP($P343,无限模式!$A$76:$X$95,10,FALSE)="","",VLOOKUP($P343,无限模式!$A$76:$X$95,12,FALSE))</f>
        <v>0.75</v>
      </c>
      <c r="K343" s="102">
        <f t="shared" si="75"/>
        <v>1</v>
      </c>
      <c r="L343" s="102" t="str">
        <f>IF(VLOOKUP($P343,无限模式!$A$76:$X$95,10,FALSE)="","","Monster_Season3_Infinite_"&amp;P343&amp;"_2")</f>
        <v>Monster_Season3_Infinite_20_2</v>
      </c>
      <c r="M343" s="57">
        <f t="shared" si="76"/>
        <v>1</v>
      </c>
      <c r="O343" s="102">
        <f>IF(VLOOKUP($P343,无限模式!$A$76:$X$95,10,FALSE)="","",VLOOKUP($P343,无限模式!$A$76:$X$95,14,FALSE))</f>
        <v>2</v>
      </c>
      <c r="P343" s="110">
        <f t="shared" si="77"/>
        <v>20</v>
      </c>
      <c r="Q343" s="110">
        <v>2</v>
      </c>
    </row>
    <row r="344" spans="2:17" x14ac:dyDescent="0.2">
      <c r="D344" s="57" t="str">
        <f t="shared" si="71"/>
        <v/>
      </c>
      <c r="F344" s="57" t="str">
        <f t="shared" si="72"/>
        <v/>
      </c>
      <c r="G344" s="102" t="str">
        <f t="shared" si="73"/>
        <v/>
      </c>
      <c r="H344" s="57">
        <f t="shared" si="74"/>
        <v>0</v>
      </c>
      <c r="I344" s="102">
        <f>IF(VLOOKUP($P344,无限模式!$A$76:$X$95,15,FALSE)="","",VLOOKUP(P344,无限模式!$A$76:$X$95,16,FALSE))</f>
        <v>29</v>
      </c>
      <c r="J344" s="102">
        <f>IF(VLOOKUP($P344,无限模式!$A$76:$X$95,15,FALSE)="","",VLOOKUP($P344,无限模式!$A$76:$X$95,17,FALSE))</f>
        <v>1</v>
      </c>
      <c r="K344" s="102">
        <f t="shared" si="75"/>
        <v>1</v>
      </c>
      <c r="L344" s="102" t="str">
        <f>IF(VLOOKUP($P344,无限模式!$A$76:$X$95,15,FALSE)="","","Monster_Season3_Infinite_"&amp;P344&amp;"_3")</f>
        <v>Monster_Season3_Infinite_20_3</v>
      </c>
      <c r="M344" s="57">
        <f t="shared" si="76"/>
        <v>1</v>
      </c>
      <c r="O344" s="102">
        <f>IF(VLOOKUP($P344,无限模式!$A$76:$X$95,15,FALSE)="","",VLOOKUP($P344,无限模式!$A$76:$X$95,19,FALSE))</f>
        <v>3</v>
      </c>
      <c r="P344" s="110">
        <f t="shared" si="77"/>
        <v>20</v>
      </c>
      <c r="Q344" s="110">
        <v>3</v>
      </c>
    </row>
    <row r="345" spans="2:17" x14ac:dyDescent="0.2">
      <c r="D345" s="57" t="str">
        <f t="shared" ref="D345" si="78">IF(C345="","","无限模式第"&amp;C345&amp;"波")</f>
        <v/>
      </c>
      <c r="F345" s="57" t="str">
        <f t="shared" si="72"/>
        <v/>
      </c>
      <c r="G345" s="102" t="str">
        <f t="shared" si="73"/>
        <v/>
      </c>
      <c r="H345" s="57">
        <f t="shared" si="74"/>
        <v>0</v>
      </c>
      <c r="I345" s="102">
        <f>IF(VLOOKUP($P345,无限模式!$A$76:$X$95,20,FALSE)="","",VLOOKUP($P345,无限模式!$A$76:$X$95,21,FALSE))</f>
        <v>29</v>
      </c>
      <c r="J345" s="102">
        <f>IF(VLOOKUP($P345,无限模式!$A$76:$X$95,20,FALSE)="","",VLOOKUP($P345,无限模式!$A$76:$X$95,22,FALSE))</f>
        <v>1</v>
      </c>
      <c r="K345" s="102">
        <f t="shared" si="75"/>
        <v>1</v>
      </c>
      <c r="L345" s="102" t="str">
        <f>IF(VLOOKUP($P345,无限模式!$A$76:$X$95,20,FALSE)="","","Monster_Season3_Infinite_"&amp;P345&amp;"_4")</f>
        <v>Monster_Season3_Infinite_20_4</v>
      </c>
      <c r="M345" s="57">
        <f t="shared" si="76"/>
        <v>1</v>
      </c>
      <c r="O345" s="102">
        <f>IF(VLOOKUP($P345,无限模式!$A$76:$X$95,20,FALSE)="","",VLOOKUP($P345,无限模式!$A$76:$X$95,24,FALSE))</f>
        <v>3</v>
      </c>
      <c r="P345" s="110">
        <f t="shared" si="77"/>
        <v>20</v>
      </c>
      <c r="Q345" s="110">
        <v>4</v>
      </c>
    </row>
    <row r="346" spans="2:17" s="166" customFormat="1" x14ac:dyDescent="0.2">
      <c r="F346" s="166" t="str">
        <f t="shared" si="72"/>
        <v/>
      </c>
    </row>
    <row r="347" spans="2:17" x14ac:dyDescent="0.2">
      <c r="B347" s="57" t="s">
        <v>3140</v>
      </c>
      <c r="C347" s="57">
        <v>1</v>
      </c>
      <c r="D347" s="57" t="str">
        <f t="shared" ref="D347:D378" si="79">IF(C347="","","赛季4无限模式第"&amp;C347&amp;"波")</f>
        <v>赛季4无限模式第1波</v>
      </c>
      <c r="F347" s="57">
        <f>IF(C347="","",0)</f>
        <v>0</v>
      </c>
      <c r="G347" s="102">
        <f>IF(C347="","",180)</f>
        <v>180</v>
      </c>
      <c r="H347" s="57">
        <f>IF(I347="","",0)</f>
        <v>0</v>
      </c>
      <c r="I347" s="102">
        <f>IF(VLOOKUP($P347,无限模式!$A$100:$X$119,5,FALSE)="","",VLOOKUP($P347,无限模式!$A$100:$X$119,6,FALSE))</f>
        <v>7</v>
      </c>
      <c r="J347" s="102">
        <f>IF(VLOOKUP($P347,无限模式!$A$100:$X$119,5,FALSE)="","",VLOOKUP($P347,无限模式!$A$100:$X$119,7,FALSE))</f>
        <v>1.5</v>
      </c>
      <c r="K347" s="102">
        <f>IF(I347="","",1)</f>
        <v>1</v>
      </c>
      <c r="L347" s="102" t="str">
        <f>IF(VLOOKUP($P347,无限模式!$A$100:$X$119,5,FALSE)="","","Monster_Season4_Infinite_"&amp;P347&amp;"_1")</f>
        <v>Monster_Season4_Infinite_1_1</v>
      </c>
      <c r="M347" s="57">
        <f>IF(I347="","",1)</f>
        <v>1</v>
      </c>
      <c r="O347" s="102">
        <f>IF(VLOOKUP($P347,无限模式!$A$100:$X$119,5,FALSE)="","",VLOOKUP($P347,无限模式!$A$100:$X$119,9,FALSE))</f>
        <v>43</v>
      </c>
      <c r="P347" s="110">
        <f>IF(C347="",P330,C347)</f>
        <v>1</v>
      </c>
      <c r="Q347" s="110">
        <v>1</v>
      </c>
    </row>
    <row r="348" spans="2:17" x14ac:dyDescent="0.2">
      <c r="D348" s="57" t="str">
        <f t="shared" si="79"/>
        <v/>
      </c>
      <c r="F348" s="57" t="str">
        <f t="shared" ref="F348:F411" si="80">IF(C348="","",0)</f>
        <v/>
      </c>
      <c r="G348" s="102" t="str">
        <f t="shared" ref="G348:G411" si="81">IF(C348="","",180)</f>
        <v/>
      </c>
      <c r="H348" s="57" t="str">
        <f t="shared" ref="H348:H411" si="82">IF(I348="","",0)</f>
        <v/>
      </c>
      <c r="I348" s="102" t="str">
        <f>IF(VLOOKUP($P348,无限模式!$A$100:$X$119,10,FALSE)="","",VLOOKUP($P348,无限模式!$A$100:$X$119,11,FALSE))</f>
        <v/>
      </c>
      <c r="J348" s="102" t="str">
        <f>IF(VLOOKUP($P348,无限模式!$A$100:$X$119,10,FALSE)="","",VLOOKUP($P348,无限模式!$A$100:$X$119,12,FALSE))</f>
        <v/>
      </c>
      <c r="K348" s="102" t="str">
        <f t="shared" ref="K348:K411" si="83">IF(I348="","",1)</f>
        <v/>
      </c>
      <c r="L348" s="102" t="str">
        <f>IF(VLOOKUP($P348,无限模式!$A$100:$X$119,10,FALSE)="","","Monster_Season4_Infinite_"&amp;P348&amp;"_2")</f>
        <v/>
      </c>
      <c r="M348" s="57" t="str">
        <f t="shared" ref="M348:M411" si="84">IF(I348="","",1)</f>
        <v/>
      </c>
      <c r="O348" s="102" t="str">
        <f>IF(VLOOKUP($P348,无限模式!$A$100:$X$119,10,FALSE)="","",VLOOKUP($P348,无限模式!$A$100:$X$119,14,FALSE))</f>
        <v/>
      </c>
      <c r="P348" s="110">
        <f t="shared" ref="P348:P411" si="85">IF(C348="",P347,C348)</f>
        <v>1</v>
      </c>
      <c r="Q348" s="110">
        <v>2</v>
      </c>
    </row>
    <row r="349" spans="2:17" x14ac:dyDescent="0.2">
      <c r="D349" s="57" t="str">
        <f t="shared" si="79"/>
        <v/>
      </c>
      <c r="F349" s="57" t="str">
        <f t="shared" si="80"/>
        <v/>
      </c>
      <c r="G349" s="102" t="str">
        <f t="shared" si="81"/>
        <v/>
      </c>
      <c r="H349" s="57" t="str">
        <f t="shared" si="82"/>
        <v/>
      </c>
      <c r="I349" s="102" t="str">
        <f>IF(VLOOKUP($P349,无限模式!$A$100:$X$119,15,FALSE)="","",VLOOKUP($P349,无限模式!$A$100:$X$119,16,FALSE))</f>
        <v/>
      </c>
      <c r="J349" s="102" t="str">
        <f>IF(VLOOKUP($P349,无限模式!$A$100:$X$119,15,FALSE)="","",VLOOKUP($P349,无限模式!$A$100:$X$119,17,FALSE))</f>
        <v/>
      </c>
      <c r="K349" s="102" t="str">
        <f t="shared" si="83"/>
        <v/>
      </c>
      <c r="L349" s="102" t="str">
        <f>IF(VLOOKUP($P349,无限模式!$A$100:$X$119,15,FALSE)="","","Monster_Season4_Infinite_"&amp;P349&amp;"_3")</f>
        <v/>
      </c>
      <c r="M349" s="57" t="str">
        <f t="shared" si="84"/>
        <v/>
      </c>
      <c r="O349" s="102" t="str">
        <f>IF(VLOOKUP($P349,无限模式!$A$100:$X$119,15,FALSE)="","",VLOOKUP($P349,无限模式!$A$100:$X$119,19,FALSE))</f>
        <v/>
      </c>
      <c r="P349" s="110">
        <f t="shared" si="85"/>
        <v>1</v>
      </c>
      <c r="Q349" s="110">
        <v>3</v>
      </c>
    </row>
    <row r="350" spans="2:17" x14ac:dyDescent="0.2">
      <c r="D350" s="57" t="str">
        <f t="shared" si="79"/>
        <v/>
      </c>
      <c r="F350" s="57" t="str">
        <f t="shared" si="80"/>
        <v/>
      </c>
      <c r="G350" s="102" t="str">
        <f t="shared" si="81"/>
        <v/>
      </c>
      <c r="H350" s="57" t="str">
        <f t="shared" si="82"/>
        <v/>
      </c>
      <c r="I350" s="102" t="str">
        <f>IF(VLOOKUP($P350,无限模式!$A$100:$X$119,20,FALSE)="","",VLOOKUP($P350,无限模式!$A$100:$X$119,21,FALSE))</f>
        <v/>
      </c>
      <c r="J350" s="102" t="str">
        <f>IF(VLOOKUP($P350,无限模式!$A$100:$X$119,20,FALSE)="","",VLOOKUP($P350,无限模式!$A$100:$X$119,22,FALSE))</f>
        <v/>
      </c>
      <c r="K350" s="102" t="str">
        <f t="shared" si="83"/>
        <v/>
      </c>
      <c r="L350" s="102" t="str">
        <f>IF(VLOOKUP($P350,无限模式!$A$100:$X$119,20,FALSE)="","","Monster_Season4_Infinite_"&amp;P350&amp;"_4")</f>
        <v/>
      </c>
      <c r="M350" s="57" t="str">
        <f t="shared" si="84"/>
        <v/>
      </c>
      <c r="O350" s="102" t="str">
        <f>IF(VLOOKUP($P350,无限模式!$A$100:$X$119,20,FALSE)="","",VLOOKUP($P350,无限模式!$A$100:$X$119,24,FALSE))</f>
        <v/>
      </c>
      <c r="P350" s="110">
        <f t="shared" si="85"/>
        <v>1</v>
      </c>
      <c r="Q350" s="110">
        <v>4</v>
      </c>
    </row>
    <row r="351" spans="2:17" x14ac:dyDescent="0.2">
      <c r="B351" s="57" t="s">
        <v>3140</v>
      </c>
      <c r="C351" s="57">
        <v>2</v>
      </c>
      <c r="D351" s="57" t="str">
        <f t="shared" si="79"/>
        <v>赛季4无限模式第2波</v>
      </c>
      <c r="F351" s="57">
        <f t="shared" si="80"/>
        <v>0</v>
      </c>
      <c r="G351" s="102">
        <f t="shared" si="81"/>
        <v>180</v>
      </c>
      <c r="H351" s="57">
        <f t="shared" si="82"/>
        <v>0</v>
      </c>
      <c r="I351" s="102">
        <f>IF(VLOOKUP($P351,无限模式!$A$100:$X$119,5,FALSE)="","",VLOOKUP($P351,无限模式!$A$100:$X$119,6,FALSE))</f>
        <v>15</v>
      </c>
      <c r="J351" s="102">
        <f>IF(VLOOKUP($P351,无限模式!$A$100:$X$119,5,FALSE)="","",VLOOKUP($P351,无限模式!$A$100:$X$119,7,FALSE))</f>
        <v>0.75</v>
      </c>
      <c r="K351" s="102">
        <f t="shared" si="83"/>
        <v>1</v>
      </c>
      <c r="L351" s="102" t="str">
        <f>IF(VLOOKUP($P351,无限模式!$A$100:$X$119,5,FALSE)="","","Monster_Season4_Infinite_"&amp;P351&amp;"_1")</f>
        <v>Monster_Season4_Infinite_2_1</v>
      </c>
      <c r="M351" s="57">
        <f t="shared" si="84"/>
        <v>1</v>
      </c>
      <c r="O351" s="102">
        <f>IF(VLOOKUP($P351,无限模式!$A$100:$X$119,5,FALSE)="","",VLOOKUP($P351,无限模式!$A$100:$X$119,9,FALSE))</f>
        <v>7</v>
      </c>
      <c r="P351" s="110">
        <f t="shared" si="85"/>
        <v>2</v>
      </c>
      <c r="Q351" s="110">
        <v>1</v>
      </c>
    </row>
    <row r="352" spans="2:17" x14ac:dyDescent="0.2">
      <c r="D352" s="57" t="str">
        <f t="shared" si="79"/>
        <v/>
      </c>
      <c r="F352" s="57" t="str">
        <f t="shared" si="80"/>
        <v/>
      </c>
      <c r="G352" s="102" t="str">
        <f t="shared" si="81"/>
        <v/>
      </c>
      <c r="H352" s="57">
        <f t="shared" si="82"/>
        <v>0</v>
      </c>
      <c r="I352" s="102">
        <f>IF(VLOOKUP($P352,无限模式!$A$100:$X$119,10,FALSE)="","",VLOOKUP($P352,无限模式!$A$100:$X$119,11,FALSE))</f>
        <v>7</v>
      </c>
      <c r="J352" s="102">
        <f>IF(VLOOKUP($P352,无限模式!$A$100:$X$119,10,FALSE)="","",VLOOKUP($P352,无限模式!$A$100:$X$119,12,FALSE))</f>
        <v>1.5</v>
      </c>
      <c r="K352" s="102">
        <f t="shared" si="83"/>
        <v>1</v>
      </c>
      <c r="L352" s="102" t="str">
        <f>IF(VLOOKUP($P352,无限模式!$A$100:$X$119,10,FALSE)="","","Monster_Season4_Infinite_"&amp;P352&amp;"_2")</f>
        <v>Monster_Season4_Infinite_2_2</v>
      </c>
      <c r="M352" s="57">
        <f t="shared" si="84"/>
        <v>1</v>
      </c>
      <c r="O352" s="102">
        <f>IF(VLOOKUP($P352,无限模式!$A$100:$X$119,10,FALSE)="","",VLOOKUP($P352,无限模式!$A$100:$X$119,14,FALSE))</f>
        <v>28</v>
      </c>
      <c r="P352" s="110">
        <f t="shared" si="85"/>
        <v>2</v>
      </c>
      <c r="Q352" s="110">
        <v>2</v>
      </c>
    </row>
    <row r="353" spans="2:17" x14ac:dyDescent="0.2">
      <c r="D353" s="57" t="str">
        <f t="shared" si="79"/>
        <v/>
      </c>
      <c r="F353" s="57" t="str">
        <f t="shared" si="80"/>
        <v/>
      </c>
      <c r="G353" s="102" t="str">
        <f t="shared" si="81"/>
        <v/>
      </c>
      <c r="H353" s="57" t="str">
        <f t="shared" si="82"/>
        <v/>
      </c>
      <c r="I353" s="102" t="str">
        <f>IF(VLOOKUP($P353,无限模式!$A$100:$X$119,15,FALSE)="","",VLOOKUP(P353,无限模式!$A$100:$X$119,16,FALSE))</f>
        <v/>
      </c>
      <c r="J353" s="102" t="str">
        <f>IF(VLOOKUP($P353,无限模式!$A$100:$X$119,15,FALSE)="","",VLOOKUP($P353,无限模式!$A$100:$X$119,17,FALSE))</f>
        <v/>
      </c>
      <c r="K353" s="102" t="str">
        <f t="shared" si="83"/>
        <v/>
      </c>
      <c r="L353" s="102" t="str">
        <f>IF(VLOOKUP($P353,无限模式!$A$100:$X$119,15,FALSE)="","","Monster_Season4_Infinite_"&amp;P353&amp;"_3")</f>
        <v/>
      </c>
      <c r="M353" s="57" t="str">
        <f t="shared" si="84"/>
        <v/>
      </c>
      <c r="O353" s="102" t="str">
        <f>IF(VLOOKUP($P353,无限模式!$A$100:$X$119,15,FALSE)="","",VLOOKUP($P353,无限模式!$A$100:$X$119,19,FALSE))</f>
        <v/>
      </c>
      <c r="P353" s="110">
        <f t="shared" si="85"/>
        <v>2</v>
      </c>
      <c r="Q353" s="110">
        <v>3</v>
      </c>
    </row>
    <row r="354" spans="2:17" x14ac:dyDescent="0.2">
      <c r="D354" s="57" t="str">
        <f t="shared" si="79"/>
        <v/>
      </c>
      <c r="F354" s="57" t="str">
        <f t="shared" si="80"/>
        <v/>
      </c>
      <c r="G354" s="102" t="str">
        <f t="shared" si="81"/>
        <v/>
      </c>
      <c r="H354" s="57" t="str">
        <f t="shared" si="82"/>
        <v/>
      </c>
      <c r="I354" s="102" t="str">
        <f>IF(VLOOKUP($P354,无限模式!$A$100:$X$119,20,FALSE)="","",VLOOKUP($P354,无限模式!$A$100:$X$119,21,FALSE))</f>
        <v/>
      </c>
      <c r="J354" s="102" t="str">
        <f>IF(VLOOKUP($P354,无限模式!$A$100:$X$119,20,FALSE)="","",VLOOKUP($P354,无限模式!$A$100:$X$119,22,FALSE))</f>
        <v/>
      </c>
      <c r="K354" s="102" t="str">
        <f t="shared" si="83"/>
        <v/>
      </c>
      <c r="L354" s="102" t="str">
        <f>IF(VLOOKUP($P354,无限模式!$A$100:$X$119,20,FALSE)="","","Monster_Season4_Infinite_"&amp;P354&amp;"_4")</f>
        <v/>
      </c>
      <c r="M354" s="57" t="str">
        <f t="shared" si="84"/>
        <v/>
      </c>
      <c r="O354" s="102" t="str">
        <f>IF(VLOOKUP($P354,无限模式!$A$100:$X$119,20,FALSE)="","",VLOOKUP($P354,无限模式!$A$100:$X$119,24,FALSE))</f>
        <v/>
      </c>
      <c r="P354" s="110">
        <f t="shared" si="85"/>
        <v>2</v>
      </c>
      <c r="Q354" s="110">
        <v>4</v>
      </c>
    </row>
    <row r="355" spans="2:17" x14ac:dyDescent="0.2">
      <c r="B355" s="57" t="s">
        <v>3140</v>
      </c>
      <c r="C355" s="57">
        <v>3</v>
      </c>
      <c r="D355" s="57" t="str">
        <f t="shared" si="79"/>
        <v>赛季4无限模式第3波</v>
      </c>
      <c r="F355" s="57">
        <f t="shared" si="80"/>
        <v>0</v>
      </c>
      <c r="G355" s="102">
        <f t="shared" si="81"/>
        <v>180</v>
      </c>
      <c r="H355" s="57">
        <f t="shared" si="82"/>
        <v>0</v>
      </c>
      <c r="I355" s="102">
        <f>IF(VLOOKUP($P355,无限模式!$A$100:$X$119,5,FALSE)="","",VLOOKUP($P355,无限模式!$A$100:$X$119,6,FALSE))</f>
        <v>8</v>
      </c>
      <c r="J355" s="102">
        <f>IF(VLOOKUP($P355,无限模式!$A$100:$X$119,5,FALSE)="","",VLOOKUP($P355,无限模式!$A$100:$X$119,7,FALSE))</f>
        <v>1.5</v>
      </c>
      <c r="K355" s="102">
        <f t="shared" si="83"/>
        <v>1</v>
      </c>
      <c r="L355" s="102" t="str">
        <f>IF(VLOOKUP($P355,无限模式!$A$100:$X$119,5,FALSE)="","","Monster_Season4_Infinite_"&amp;P355&amp;"_1")</f>
        <v>Monster_Season4_Infinite_3_1</v>
      </c>
      <c r="M355" s="57">
        <f t="shared" si="84"/>
        <v>1</v>
      </c>
      <c r="O355" s="102">
        <f>IF(VLOOKUP($P355,无限模式!$A$100:$X$119,5,FALSE)="","",VLOOKUP($P355,无限模式!$A$100:$X$119,9,FALSE))</f>
        <v>13</v>
      </c>
      <c r="P355" s="110">
        <f t="shared" si="85"/>
        <v>3</v>
      </c>
      <c r="Q355" s="110">
        <v>1</v>
      </c>
    </row>
    <row r="356" spans="2:17" x14ac:dyDescent="0.2">
      <c r="D356" s="57" t="str">
        <f t="shared" si="79"/>
        <v/>
      </c>
      <c r="F356" s="57" t="str">
        <f t="shared" si="80"/>
        <v/>
      </c>
      <c r="G356" s="102" t="str">
        <f t="shared" si="81"/>
        <v/>
      </c>
      <c r="H356" s="57">
        <f t="shared" si="82"/>
        <v>0</v>
      </c>
      <c r="I356" s="102">
        <f>IF(VLOOKUP($P356,无限模式!$A$100:$X$119,10,FALSE)="","",VLOOKUP($P356,无限模式!$A$100:$X$119,11,FALSE))</f>
        <v>60</v>
      </c>
      <c r="J356" s="102">
        <f>IF(VLOOKUP($P356,无限模式!$A$100:$X$119,10,FALSE)="","",VLOOKUP($P356,无限模式!$A$100:$X$119,12,FALSE))</f>
        <v>0.2</v>
      </c>
      <c r="K356" s="102">
        <f t="shared" si="83"/>
        <v>1</v>
      </c>
      <c r="L356" s="102" t="str">
        <f>IF(VLOOKUP($P356,无限模式!$A$100:$X$119,10,FALSE)="","","Monster_Season4_Infinite_"&amp;P356&amp;"_2")</f>
        <v>Monster_Season4_Infinite_3_2</v>
      </c>
      <c r="M356" s="57">
        <f t="shared" si="84"/>
        <v>1</v>
      </c>
      <c r="O356" s="102">
        <f>IF(VLOOKUP($P356,无限模式!$A$100:$X$119,10,FALSE)="","",VLOOKUP($P356,无限模式!$A$100:$X$119,14,FALSE))</f>
        <v>3</v>
      </c>
      <c r="P356" s="110">
        <f t="shared" si="85"/>
        <v>3</v>
      </c>
      <c r="Q356" s="110">
        <v>2</v>
      </c>
    </row>
    <row r="357" spans="2:17" x14ac:dyDescent="0.2">
      <c r="D357" s="57" t="str">
        <f t="shared" si="79"/>
        <v/>
      </c>
      <c r="F357" s="57" t="str">
        <f t="shared" si="80"/>
        <v/>
      </c>
      <c r="G357" s="102" t="str">
        <f t="shared" si="81"/>
        <v/>
      </c>
      <c r="H357" s="57" t="str">
        <f t="shared" si="82"/>
        <v/>
      </c>
      <c r="I357" s="102" t="str">
        <f>IF(VLOOKUP($P357,无限模式!$A$100:$X$119,15,FALSE)="","",VLOOKUP(P357,无限模式!$A$100:$X$119,16,FALSE))</f>
        <v/>
      </c>
      <c r="J357" s="102" t="str">
        <f>IF(VLOOKUP($P357,无限模式!$A$100:$X$119,15,FALSE)="","",VLOOKUP($P357,无限模式!$A$100:$X$119,17,FALSE))</f>
        <v/>
      </c>
      <c r="K357" s="102" t="str">
        <f t="shared" si="83"/>
        <v/>
      </c>
      <c r="L357" s="102" t="str">
        <f>IF(VLOOKUP($P357,无限模式!$A$100:$X$119,15,FALSE)="","","Monster_Season4_Infinite_"&amp;P357&amp;"_3")</f>
        <v/>
      </c>
      <c r="M357" s="57" t="str">
        <f t="shared" si="84"/>
        <v/>
      </c>
      <c r="O357" s="102" t="str">
        <f>IF(VLOOKUP($P357,无限模式!$A$100:$X$119,15,FALSE)="","",VLOOKUP($P357,无限模式!$A$100:$X$119,19,FALSE))</f>
        <v/>
      </c>
      <c r="P357" s="110">
        <f t="shared" si="85"/>
        <v>3</v>
      </c>
      <c r="Q357" s="110">
        <v>3</v>
      </c>
    </row>
    <row r="358" spans="2:17" x14ac:dyDescent="0.2">
      <c r="D358" s="57" t="str">
        <f t="shared" si="79"/>
        <v/>
      </c>
      <c r="F358" s="57" t="str">
        <f t="shared" si="80"/>
        <v/>
      </c>
      <c r="G358" s="102" t="str">
        <f t="shared" si="81"/>
        <v/>
      </c>
      <c r="H358" s="57" t="str">
        <f t="shared" si="82"/>
        <v/>
      </c>
      <c r="I358" s="102" t="str">
        <f>IF(VLOOKUP($P358,无限模式!$A$100:$X$119,20,FALSE)="","",VLOOKUP($P358,无限模式!$A$100:$X$119,21,FALSE))</f>
        <v/>
      </c>
      <c r="J358" s="102" t="str">
        <f>IF(VLOOKUP($P358,无限模式!$A$100:$X$119,20,FALSE)="","",VLOOKUP($P358,无限模式!$A$100:$X$119,22,FALSE))</f>
        <v/>
      </c>
      <c r="K358" s="102" t="str">
        <f t="shared" si="83"/>
        <v/>
      </c>
      <c r="L358" s="102" t="str">
        <f>IF(VLOOKUP($P358,无限模式!$A$100:$X$119,20,FALSE)="","","Monster_Season4_Infinite_"&amp;P358&amp;"_4")</f>
        <v/>
      </c>
      <c r="M358" s="57" t="str">
        <f t="shared" si="84"/>
        <v/>
      </c>
      <c r="O358" s="102" t="str">
        <f>IF(VLOOKUP($P358,无限模式!$A$100:$X$119,20,FALSE)="","",VLOOKUP($P358,无限模式!$A$100:$X$119,24,FALSE))</f>
        <v/>
      </c>
      <c r="P358" s="110">
        <f t="shared" si="85"/>
        <v>3</v>
      </c>
      <c r="Q358" s="110">
        <v>4</v>
      </c>
    </row>
    <row r="359" spans="2:17" x14ac:dyDescent="0.2">
      <c r="B359" s="57" t="s">
        <v>3140</v>
      </c>
      <c r="C359" s="57">
        <v>4</v>
      </c>
      <c r="D359" s="57" t="str">
        <f t="shared" si="79"/>
        <v>赛季4无限模式第4波</v>
      </c>
      <c r="F359" s="57">
        <f t="shared" si="80"/>
        <v>0</v>
      </c>
      <c r="G359" s="102">
        <f t="shared" si="81"/>
        <v>180</v>
      </c>
      <c r="H359" s="57">
        <f t="shared" si="82"/>
        <v>0</v>
      </c>
      <c r="I359" s="102">
        <f>IF(VLOOKUP($P359,无限模式!$A$100:$X$119,5,FALSE)="","",VLOOKUP($P359,无限模式!$A$100:$X$119,6,FALSE))</f>
        <v>1</v>
      </c>
      <c r="J359" s="102">
        <f>IF(VLOOKUP($P359,无限模式!$A$100:$X$119,5,FALSE)="","",VLOOKUP($P359,无限模式!$A$100:$X$119,7,FALSE))</f>
        <v>0</v>
      </c>
      <c r="K359" s="102">
        <f t="shared" si="83"/>
        <v>1</v>
      </c>
      <c r="L359" s="102" t="str">
        <f>IF(VLOOKUP($P359,无限模式!$A$100:$X$119,5,FALSE)="","","Monster_Season4_Infinite_"&amp;P359&amp;"_1")</f>
        <v>Monster_Season4_Infinite_4_1</v>
      </c>
      <c r="M359" s="57">
        <f t="shared" si="84"/>
        <v>1</v>
      </c>
      <c r="O359" s="102">
        <f>IF(VLOOKUP($P359,无限模式!$A$100:$X$119,5,FALSE)="","",VLOOKUP($P359,无限模式!$A$100:$X$119,9,FALSE))</f>
        <v>182</v>
      </c>
      <c r="P359" s="110">
        <f t="shared" si="85"/>
        <v>4</v>
      </c>
      <c r="Q359" s="110">
        <v>1</v>
      </c>
    </row>
    <row r="360" spans="2:17" x14ac:dyDescent="0.2">
      <c r="D360" s="57" t="str">
        <f t="shared" si="79"/>
        <v/>
      </c>
      <c r="F360" s="57" t="str">
        <f t="shared" si="80"/>
        <v/>
      </c>
      <c r="G360" s="102" t="str">
        <f t="shared" si="81"/>
        <v/>
      </c>
      <c r="H360" s="57">
        <f t="shared" si="82"/>
        <v>0</v>
      </c>
      <c r="I360" s="102">
        <f>IF(VLOOKUP($P360,无限模式!$A$100:$X$119,10,FALSE)="","",VLOOKUP($P360,无限模式!$A$100:$X$119,11,FALSE))</f>
        <v>13</v>
      </c>
      <c r="J360" s="102">
        <f>IF(VLOOKUP($P360,无限模式!$A$100:$X$119,10,FALSE)="","",VLOOKUP($P360,无限模式!$A$100:$X$119,12,FALSE))</f>
        <v>1</v>
      </c>
      <c r="K360" s="102">
        <f t="shared" si="83"/>
        <v>1</v>
      </c>
      <c r="L360" s="102" t="str">
        <f>IF(VLOOKUP($P360,无限模式!$A$100:$X$119,10,FALSE)="","","Monster_Season4_Infinite_"&amp;P360&amp;"_2")</f>
        <v>Monster_Season4_Infinite_4_2</v>
      </c>
      <c r="M360" s="57">
        <f t="shared" si="84"/>
        <v>1</v>
      </c>
      <c r="O360" s="102">
        <f>IF(VLOOKUP($P360,无限模式!$A$100:$X$119,10,FALSE)="","",VLOOKUP($P360,无限模式!$A$100:$X$119,14,FALSE))</f>
        <v>9</v>
      </c>
      <c r="P360" s="110">
        <f t="shared" si="85"/>
        <v>4</v>
      </c>
      <c r="Q360" s="110">
        <v>2</v>
      </c>
    </row>
    <row r="361" spans="2:17" x14ac:dyDescent="0.2">
      <c r="D361" s="57" t="str">
        <f t="shared" si="79"/>
        <v/>
      </c>
      <c r="F361" s="57" t="str">
        <f t="shared" si="80"/>
        <v/>
      </c>
      <c r="G361" s="102" t="str">
        <f t="shared" si="81"/>
        <v/>
      </c>
      <c r="H361" s="57" t="str">
        <f t="shared" si="82"/>
        <v/>
      </c>
      <c r="I361" s="102" t="str">
        <f>IF(VLOOKUP($P361,无限模式!$A$100:$X$119,15,FALSE)="","",VLOOKUP(P361,无限模式!$A$100:$X$119,16,FALSE))</f>
        <v/>
      </c>
      <c r="J361" s="102" t="str">
        <f>IF(VLOOKUP($P361,无限模式!$A$100:$X$119,15,FALSE)="","",VLOOKUP($P361,无限模式!$A$100:$X$119,17,FALSE))</f>
        <v/>
      </c>
      <c r="K361" s="102" t="str">
        <f t="shared" si="83"/>
        <v/>
      </c>
      <c r="L361" s="102" t="str">
        <f>IF(VLOOKUP($P361,无限模式!$A$100:$X$119,15,FALSE)="","","Monster_Season4_Infinite_"&amp;P361&amp;"_3")</f>
        <v/>
      </c>
      <c r="M361" s="57" t="str">
        <f t="shared" si="84"/>
        <v/>
      </c>
      <c r="O361" s="102" t="str">
        <f>IF(VLOOKUP($P361,无限模式!$A$100:$X$119,15,FALSE)="","",VLOOKUP($P361,无限模式!$A$100:$X$119,19,FALSE))</f>
        <v/>
      </c>
      <c r="P361" s="110">
        <f t="shared" si="85"/>
        <v>4</v>
      </c>
      <c r="Q361" s="110">
        <v>3</v>
      </c>
    </row>
    <row r="362" spans="2:17" x14ac:dyDescent="0.2">
      <c r="D362" s="57" t="str">
        <f t="shared" si="79"/>
        <v/>
      </c>
      <c r="F362" s="57" t="str">
        <f t="shared" si="80"/>
        <v/>
      </c>
      <c r="G362" s="102" t="str">
        <f t="shared" si="81"/>
        <v/>
      </c>
      <c r="H362" s="57" t="str">
        <f t="shared" si="82"/>
        <v/>
      </c>
      <c r="I362" s="102" t="str">
        <f>IF(VLOOKUP($P362,无限模式!$A$100:$X$119,20,FALSE)="","",VLOOKUP($P362,无限模式!$A$100:$X$119,21,FALSE))</f>
        <v/>
      </c>
      <c r="J362" s="102" t="str">
        <f>IF(VLOOKUP($P362,无限模式!$A$100:$X$119,20,FALSE)="","",VLOOKUP($P362,无限模式!$A$100:$X$119,22,FALSE))</f>
        <v/>
      </c>
      <c r="K362" s="102" t="str">
        <f t="shared" si="83"/>
        <v/>
      </c>
      <c r="L362" s="102" t="str">
        <f>IF(VLOOKUP($P362,无限模式!$A$100:$X$119,20,FALSE)="","","Monster_Season4_Infinite_"&amp;P362&amp;"_4")</f>
        <v/>
      </c>
      <c r="M362" s="57" t="str">
        <f t="shared" si="84"/>
        <v/>
      </c>
      <c r="O362" s="102" t="str">
        <f>IF(VLOOKUP($P362,无限模式!$A$100:$X$119,20,FALSE)="","",VLOOKUP($P362,无限模式!$A$100:$X$119,24,FALSE))</f>
        <v/>
      </c>
      <c r="P362" s="110">
        <f t="shared" si="85"/>
        <v>4</v>
      </c>
      <c r="Q362" s="110">
        <v>4</v>
      </c>
    </row>
    <row r="363" spans="2:17" x14ac:dyDescent="0.2">
      <c r="B363" s="57" t="s">
        <v>3140</v>
      </c>
      <c r="C363" s="57">
        <v>5</v>
      </c>
      <c r="D363" s="57" t="str">
        <f t="shared" si="79"/>
        <v>赛季4无限模式第5波</v>
      </c>
      <c r="F363" s="57">
        <f t="shared" si="80"/>
        <v>0</v>
      </c>
      <c r="G363" s="102">
        <f t="shared" si="81"/>
        <v>180</v>
      </c>
      <c r="H363" s="57">
        <f t="shared" si="82"/>
        <v>0</v>
      </c>
      <c r="I363" s="102">
        <f>IF(VLOOKUP($P363,无限模式!$A$100:$X$119,5,FALSE)="","",VLOOKUP($P363,无限模式!$A$100:$X$119,6,FALSE))</f>
        <v>14</v>
      </c>
      <c r="J363" s="102">
        <f>IF(VLOOKUP($P363,无限模式!$A$100:$X$119,5,FALSE)="","",VLOOKUP($P363,无限模式!$A$100:$X$119,7,FALSE))</f>
        <v>1</v>
      </c>
      <c r="K363" s="102">
        <f t="shared" si="83"/>
        <v>1</v>
      </c>
      <c r="L363" s="102" t="str">
        <f>IF(VLOOKUP($P363,无限模式!$A$100:$X$119,5,FALSE)="","","Monster_Season4_Infinite_"&amp;P363&amp;"_1")</f>
        <v>Monster_Season4_Infinite_5_1</v>
      </c>
      <c r="M363" s="57">
        <f t="shared" si="84"/>
        <v>1</v>
      </c>
      <c r="O363" s="102">
        <f>IF(VLOOKUP($P363,无限模式!$A$100:$X$119,5,FALSE)="","",VLOOKUP($P363,无限模式!$A$100:$X$119,9,FALSE))</f>
        <v>14</v>
      </c>
      <c r="P363" s="110">
        <f t="shared" si="85"/>
        <v>5</v>
      </c>
      <c r="Q363" s="110">
        <v>1</v>
      </c>
    </row>
    <row r="364" spans="2:17" x14ac:dyDescent="0.2">
      <c r="D364" s="57" t="str">
        <f t="shared" si="79"/>
        <v/>
      </c>
      <c r="F364" s="57" t="str">
        <f t="shared" si="80"/>
        <v/>
      </c>
      <c r="G364" s="102" t="str">
        <f t="shared" si="81"/>
        <v/>
      </c>
      <c r="H364" s="57">
        <f t="shared" si="82"/>
        <v>0</v>
      </c>
      <c r="I364" s="102">
        <f>IF(VLOOKUP($P364,无限模式!$A$100:$X$119,10,FALSE)="","",VLOOKUP($P364,无限模式!$A$100:$X$119,11,FALSE))</f>
        <v>14</v>
      </c>
      <c r="J364" s="102">
        <f>IF(VLOOKUP($P364,无限模式!$A$100:$X$119,10,FALSE)="","",VLOOKUP($P364,无限模式!$A$100:$X$119,12,FALSE))</f>
        <v>1</v>
      </c>
      <c r="K364" s="102">
        <f t="shared" si="83"/>
        <v>1</v>
      </c>
      <c r="L364" s="102" t="str">
        <f>IF(VLOOKUP($P364,无限模式!$A$100:$X$119,10,FALSE)="","","Monster_Season4_Infinite_"&amp;P364&amp;"_2")</f>
        <v>Monster_Season4_Infinite_5_2</v>
      </c>
      <c r="M364" s="57">
        <f t="shared" si="84"/>
        <v>1</v>
      </c>
      <c r="O364" s="102">
        <f>IF(VLOOKUP($P364,无限模式!$A$100:$X$119,10,FALSE)="","",VLOOKUP($P364,无限模式!$A$100:$X$119,14,FALSE))</f>
        <v>7</v>
      </c>
      <c r="P364" s="110">
        <f t="shared" si="85"/>
        <v>5</v>
      </c>
      <c r="Q364" s="110">
        <v>2</v>
      </c>
    </row>
    <row r="365" spans="2:17" x14ac:dyDescent="0.2">
      <c r="D365" s="57" t="str">
        <f t="shared" si="79"/>
        <v/>
      </c>
      <c r="F365" s="57" t="str">
        <f t="shared" si="80"/>
        <v/>
      </c>
      <c r="G365" s="102" t="str">
        <f t="shared" si="81"/>
        <v/>
      </c>
      <c r="H365" s="57" t="str">
        <f t="shared" si="82"/>
        <v/>
      </c>
      <c r="I365" s="102" t="str">
        <f>IF(VLOOKUP($P365,无限模式!$A$100:$X$119,15,FALSE)="","",VLOOKUP(P365,无限模式!$A$100:$X$119,16,FALSE))</f>
        <v/>
      </c>
      <c r="J365" s="102" t="str">
        <f>IF(VLOOKUP($P365,无限模式!$A$100:$X$119,15,FALSE)="","",VLOOKUP($P365,无限模式!$A$100:$X$119,17,FALSE))</f>
        <v/>
      </c>
      <c r="K365" s="102" t="str">
        <f t="shared" si="83"/>
        <v/>
      </c>
      <c r="L365" s="102" t="str">
        <f>IF(VLOOKUP($P365,无限模式!$A$100:$X$119,15,FALSE)="","","Monster_Season4_Infinite_"&amp;P365&amp;"_3")</f>
        <v/>
      </c>
      <c r="M365" s="57" t="str">
        <f t="shared" si="84"/>
        <v/>
      </c>
      <c r="O365" s="102" t="str">
        <f>IF(VLOOKUP($P365,无限模式!$A$100:$X$119,15,FALSE)="","",VLOOKUP($P365,无限模式!$A$100:$X$119,19,FALSE))</f>
        <v/>
      </c>
      <c r="P365" s="110">
        <f t="shared" si="85"/>
        <v>5</v>
      </c>
      <c r="Q365" s="110">
        <v>3</v>
      </c>
    </row>
    <row r="366" spans="2:17" x14ac:dyDescent="0.2">
      <c r="D366" s="57" t="str">
        <f t="shared" si="79"/>
        <v/>
      </c>
      <c r="F366" s="57" t="str">
        <f t="shared" si="80"/>
        <v/>
      </c>
      <c r="G366" s="102" t="str">
        <f t="shared" si="81"/>
        <v/>
      </c>
      <c r="H366" s="57" t="str">
        <f t="shared" si="82"/>
        <v/>
      </c>
      <c r="I366" s="102" t="str">
        <f>IF(VLOOKUP($P366,无限模式!$A$100:$X$119,20,FALSE)="","",VLOOKUP($P366,无限模式!$A$100:$X$119,21,FALSE))</f>
        <v/>
      </c>
      <c r="J366" s="102" t="str">
        <f>IF(VLOOKUP($P366,无限模式!$A$100:$X$119,20,FALSE)="","",VLOOKUP($P366,无限模式!$A$100:$X$119,22,FALSE))</f>
        <v/>
      </c>
      <c r="K366" s="102" t="str">
        <f t="shared" si="83"/>
        <v/>
      </c>
      <c r="L366" s="102" t="str">
        <f>IF(VLOOKUP($P366,无限模式!$A$100:$X$119,20,FALSE)="","","Monster_Season4_Infinite_"&amp;P366&amp;"_4")</f>
        <v/>
      </c>
      <c r="M366" s="57" t="str">
        <f t="shared" si="84"/>
        <v/>
      </c>
      <c r="O366" s="102" t="str">
        <f>IF(VLOOKUP($P366,无限模式!$A$100:$X$119,20,FALSE)="","",VLOOKUP($P366,无限模式!$A$100:$X$119,24,FALSE))</f>
        <v/>
      </c>
      <c r="P366" s="110">
        <f t="shared" si="85"/>
        <v>5</v>
      </c>
      <c r="Q366" s="110">
        <v>4</v>
      </c>
    </row>
    <row r="367" spans="2:17" x14ac:dyDescent="0.2">
      <c r="B367" s="57" t="s">
        <v>3140</v>
      </c>
      <c r="C367" s="57">
        <v>6</v>
      </c>
      <c r="D367" s="57" t="str">
        <f t="shared" si="79"/>
        <v>赛季4无限模式第6波</v>
      </c>
      <c r="F367" s="57">
        <f t="shared" si="80"/>
        <v>0</v>
      </c>
      <c r="G367" s="102">
        <f t="shared" si="81"/>
        <v>180</v>
      </c>
      <c r="H367" s="57">
        <f t="shared" si="82"/>
        <v>0</v>
      </c>
      <c r="I367" s="102">
        <f>IF(VLOOKUP($P367,无限模式!$A$100:$X$119,5,FALSE)="","",VLOOKUP($P367,无限模式!$A$100:$X$119,6,FALSE))</f>
        <v>20</v>
      </c>
      <c r="J367" s="102">
        <f>IF(VLOOKUP($P367,无限模式!$A$100:$X$119,5,FALSE)="","",VLOOKUP($P367,无限模式!$A$100:$X$119,7,FALSE))</f>
        <v>0.75</v>
      </c>
      <c r="K367" s="102">
        <f t="shared" si="83"/>
        <v>1</v>
      </c>
      <c r="L367" s="102" t="str">
        <f>IF(VLOOKUP($P367,无限模式!$A$100:$X$119,5,FALSE)="","","Monster_Season4_Infinite_"&amp;P367&amp;"_1")</f>
        <v>Monster_Season4_Infinite_6_1</v>
      </c>
      <c r="M367" s="57">
        <f t="shared" si="84"/>
        <v>1</v>
      </c>
      <c r="O367" s="102">
        <f>IF(VLOOKUP($P367,无限模式!$A$100:$X$119,5,FALSE)="","",VLOOKUP($P367,无限模式!$A$100:$X$119,9,FALSE))</f>
        <v>9</v>
      </c>
      <c r="P367" s="110">
        <f t="shared" si="85"/>
        <v>6</v>
      </c>
      <c r="Q367" s="110">
        <v>1</v>
      </c>
    </row>
    <row r="368" spans="2:17" x14ac:dyDescent="0.2">
      <c r="D368" s="57" t="str">
        <f t="shared" si="79"/>
        <v/>
      </c>
      <c r="F368" s="57" t="str">
        <f t="shared" si="80"/>
        <v/>
      </c>
      <c r="G368" s="102" t="str">
        <f t="shared" si="81"/>
        <v/>
      </c>
      <c r="H368" s="57">
        <f t="shared" si="82"/>
        <v>0</v>
      </c>
      <c r="I368" s="102">
        <f>IF(VLOOKUP($P368,无限模式!$A$100:$X$119,10,FALSE)="","",VLOOKUP($P368,无限模式!$A$100:$X$119,11,FALSE))</f>
        <v>15</v>
      </c>
      <c r="J368" s="102">
        <f>IF(VLOOKUP($P368,无限模式!$A$100:$X$119,10,FALSE)="","",VLOOKUP($P368,无限模式!$A$100:$X$119,12,FALSE))</f>
        <v>1</v>
      </c>
      <c r="K368" s="102">
        <f t="shared" si="83"/>
        <v>1</v>
      </c>
      <c r="L368" s="102" t="str">
        <f>IF(VLOOKUP($P368,无限模式!$A$100:$X$119,10,FALSE)="","","Monster_Season4_Infinite_"&amp;P368&amp;"_2")</f>
        <v>Monster_Season4_Infinite_6_2</v>
      </c>
      <c r="M368" s="57">
        <f t="shared" si="84"/>
        <v>1</v>
      </c>
      <c r="O368" s="102">
        <f>IF(VLOOKUP($P368,无限模式!$A$100:$X$119,10,FALSE)="","",VLOOKUP($P368,无限模式!$A$100:$X$119,14,FALSE))</f>
        <v>9</v>
      </c>
      <c r="P368" s="110">
        <f t="shared" si="85"/>
        <v>6</v>
      </c>
      <c r="Q368" s="110">
        <v>2</v>
      </c>
    </row>
    <row r="369" spans="2:17" x14ac:dyDescent="0.2">
      <c r="D369" s="57" t="str">
        <f t="shared" si="79"/>
        <v/>
      </c>
      <c r="F369" s="57" t="str">
        <f t="shared" si="80"/>
        <v/>
      </c>
      <c r="G369" s="102" t="str">
        <f t="shared" si="81"/>
        <v/>
      </c>
      <c r="H369" s="57" t="str">
        <f t="shared" si="82"/>
        <v/>
      </c>
      <c r="I369" s="102" t="str">
        <f>IF(VLOOKUP($P369,无限模式!$A$100:$X$119,15,FALSE)="","",VLOOKUP(P369,无限模式!$A$100:$X$119,16,FALSE))</f>
        <v/>
      </c>
      <c r="J369" s="102" t="str">
        <f>IF(VLOOKUP($P369,无限模式!$A$100:$X$119,15,FALSE)="","",VLOOKUP($P369,无限模式!$A$100:$X$119,17,FALSE))</f>
        <v/>
      </c>
      <c r="K369" s="102" t="str">
        <f t="shared" si="83"/>
        <v/>
      </c>
      <c r="L369" s="102" t="str">
        <f>IF(VLOOKUP($P369,无限模式!$A$100:$X$119,15,FALSE)="","","Monster_Season4_Infinite_"&amp;P369&amp;"_3")</f>
        <v/>
      </c>
      <c r="M369" s="57" t="str">
        <f t="shared" si="84"/>
        <v/>
      </c>
      <c r="O369" s="102" t="str">
        <f>IF(VLOOKUP($P369,无限模式!$A$100:$X$119,15,FALSE)="","",VLOOKUP($P369,无限模式!$A$100:$X$119,19,FALSE))</f>
        <v/>
      </c>
      <c r="P369" s="110">
        <f t="shared" si="85"/>
        <v>6</v>
      </c>
      <c r="Q369" s="110">
        <v>3</v>
      </c>
    </row>
    <row r="370" spans="2:17" x14ac:dyDescent="0.2">
      <c r="D370" s="57" t="str">
        <f t="shared" si="79"/>
        <v/>
      </c>
      <c r="F370" s="57" t="str">
        <f t="shared" si="80"/>
        <v/>
      </c>
      <c r="G370" s="102" t="str">
        <f t="shared" si="81"/>
        <v/>
      </c>
      <c r="H370" s="57" t="str">
        <f t="shared" si="82"/>
        <v/>
      </c>
      <c r="I370" s="102" t="str">
        <f>IF(VLOOKUP($P370,无限模式!$A$100:$X$119,20,FALSE)="","",VLOOKUP($P370,无限模式!$A$100:$X$119,21,FALSE))</f>
        <v/>
      </c>
      <c r="J370" s="102" t="str">
        <f>IF(VLOOKUP($P370,无限模式!$A$100:$X$119,20,FALSE)="","",VLOOKUP($P370,无限模式!$A$100:$X$119,22,FALSE))</f>
        <v/>
      </c>
      <c r="K370" s="102" t="str">
        <f t="shared" si="83"/>
        <v/>
      </c>
      <c r="L370" s="102" t="str">
        <f>IF(VLOOKUP($P370,无限模式!$A$100:$X$119,20,FALSE)="","","Monster_Season4_Infinite_"&amp;P370&amp;"_4")</f>
        <v/>
      </c>
      <c r="M370" s="57" t="str">
        <f t="shared" si="84"/>
        <v/>
      </c>
      <c r="O370" s="102" t="str">
        <f>IF(VLOOKUP($P370,无限模式!$A$100:$X$119,20,FALSE)="","",VLOOKUP($P370,无限模式!$A$100:$X$119,24,FALSE))</f>
        <v/>
      </c>
      <c r="P370" s="110">
        <f t="shared" si="85"/>
        <v>6</v>
      </c>
      <c r="Q370" s="110">
        <v>4</v>
      </c>
    </row>
    <row r="371" spans="2:17" x14ac:dyDescent="0.2">
      <c r="B371" s="57" t="s">
        <v>3140</v>
      </c>
      <c r="C371" s="57">
        <v>7</v>
      </c>
      <c r="D371" s="57" t="str">
        <f t="shared" si="79"/>
        <v>赛季4无限模式第7波</v>
      </c>
      <c r="F371" s="57">
        <f t="shared" si="80"/>
        <v>0</v>
      </c>
      <c r="G371" s="102">
        <f t="shared" si="81"/>
        <v>180</v>
      </c>
      <c r="H371" s="57">
        <f t="shared" si="82"/>
        <v>0</v>
      </c>
      <c r="I371" s="102">
        <f>IF(VLOOKUP($P371,无限模式!$A$100:$X$119,5,FALSE)="","",VLOOKUP($P371,无限模式!$A$100:$X$119,6,FALSE))</f>
        <v>16</v>
      </c>
      <c r="J371" s="102">
        <f>IF(VLOOKUP($P371,无限模式!$A$100:$X$119,5,FALSE)="","",VLOOKUP($P371,无限模式!$A$100:$X$119,7,FALSE))</f>
        <v>1</v>
      </c>
      <c r="K371" s="102">
        <f t="shared" si="83"/>
        <v>1</v>
      </c>
      <c r="L371" s="102" t="str">
        <f>IF(VLOOKUP($P371,无限模式!$A$100:$X$119,5,FALSE)="","","Monster_Season4_Infinite_"&amp;P371&amp;"_1")</f>
        <v>Monster_Season4_Infinite_7_1</v>
      </c>
      <c r="M371" s="57">
        <f t="shared" si="84"/>
        <v>1</v>
      </c>
      <c r="O371" s="102">
        <f>IF(VLOOKUP($P371,无限模式!$A$100:$X$119,5,FALSE)="","",VLOOKUP($P371,无限模式!$A$100:$X$119,9,FALSE))</f>
        <v>9</v>
      </c>
      <c r="P371" s="110">
        <f t="shared" si="85"/>
        <v>7</v>
      </c>
      <c r="Q371" s="110">
        <v>1</v>
      </c>
    </row>
    <row r="372" spans="2:17" x14ac:dyDescent="0.2">
      <c r="D372" s="57" t="str">
        <f t="shared" si="79"/>
        <v/>
      </c>
      <c r="F372" s="57" t="str">
        <f t="shared" si="80"/>
        <v/>
      </c>
      <c r="G372" s="102" t="str">
        <f t="shared" si="81"/>
        <v/>
      </c>
      <c r="H372" s="57">
        <f t="shared" si="82"/>
        <v>0</v>
      </c>
      <c r="I372" s="102">
        <f>IF(VLOOKUP($P372,无限模式!$A$100:$X$119,10,FALSE)="","",VLOOKUP($P372,无限模式!$A$100:$X$119,11,FALSE))</f>
        <v>32</v>
      </c>
      <c r="J372" s="102">
        <f>IF(VLOOKUP($P372,无限模式!$A$100:$X$119,10,FALSE)="","",VLOOKUP($P372,无限模式!$A$100:$X$119,12,FALSE))</f>
        <v>0.5</v>
      </c>
      <c r="K372" s="102">
        <f t="shared" si="83"/>
        <v>1</v>
      </c>
      <c r="L372" s="102" t="str">
        <f>IF(VLOOKUP($P372,无限模式!$A$100:$X$119,10,FALSE)="","","Monster_Season4_Infinite_"&amp;P372&amp;"_2")</f>
        <v>Monster_Season4_Infinite_7_2</v>
      </c>
      <c r="M372" s="57">
        <f t="shared" si="84"/>
        <v>1</v>
      </c>
      <c r="O372" s="102">
        <f>IF(VLOOKUP($P372,无限模式!$A$100:$X$119,10,FALSE)="","",VLOOKUP($P372,无限模式!$A$100:$X$119,14,FALSE))</f>
        <v>5</v>
      </c>
      <c r="P372" s="110">
        <f t="shared" si="85"/>
        <v>7</v>
      </c>
      <c r="Q372" s="110">
        <v>2</v>
      </c>
    </row>
    <row r="373" spans="2:17" x14ac:dyDescent="0.2">
      <c r="D373" s="57" t="str">
        <f t="shared" si="79"/>
        <v/>
      </c>
      <c r="F373" s="57" t="str">
        <f t="shared" si="80"/>
        <v/>
      </c>
      <c r="G373" s="102" t="str">
        <f t="shared" si="81"/>
        <v/>
      </c>
      <c r="H373" s="57" t="str">
        <f t="shared" si="82"/>
        <v/>
      </c>
      <c r="I373" s="102" t="str">
        <f>IF(VLOOKUP($P373,无限模式!$A$100:$X$119,15,FALSE)="","",VLOOKUP(P373,无限模式!$A$100:$X$119,16,FALSE))</f>
        <v/>
      </c>
      <c r="J373" s="102" t="str">
        <f>IF(VLOOKUP($P373,无限模式!$A$100:$X$119,15,FALSE)="","",VLOOKUP($P373,无限模式!$A$100:$X$119,17,FALSE))</f>
        <v/>
      </c>
      <c r="K373" s="102" t="str">
        <f t="shared" si="83"/>
        <v/>
      </c>
      <c r="L373" s="102" t="str">
        <f>IF(VLOOKUP($P373,无限模式!$A$100:$X$119,15,FALSE)="","","Monster_Season4_Infinite_"&amp;P373&amp;"_3")</f>
        <v/>
      </c>
      <c r="M373" s="57" t="str">
        <f t="shared" si="84"/>
        <v/>
      </c>
      <c r="O373" s="102" t="str">
        <f>IF(VLOOKUP($P373,无限模式!$A$100:$X$119,15,FALSE)="","",VLOOKUP($P373,无限模式!$A$100:$X$119,19,FALSE))</f>
        <v/>
      </c>
      <c r="P373" s="110">
        <f t="shared" si="85"/>
        <v>7</v>
      </c>
      <c r="Q373" s="110">
        <v>3</v>
      </c>
    </row>
    <row r="374" spans="2:17" x14ac:dyDescent="0.2">
      <c r="D374" s="57" t="str">
        <f t="shared" si="79"/>
        <v/>
      </c>
      <c r="F374" s="57" t="str">
        <f t="shared" si="80"/>
        <v/>
      </c>
      <c r="G374" s="102" t="str">
        <f t="shared" si="81"/>
        <v/>
      </c>
      <c r="H374" s="57" t="str">
        <f t="shared" si="82"/>
        <v/>
      </c>
      <c r="I374" s="102" t="str">
        <f>IF(VLOOKUP($P374,无限模式!$A$100:$X$119,20,FALSE)="","",VLOOKUP($P374,无限模式!$A$100:$X$119,21,FALSE))</f>
        <v/>
      </c>
      <c r="J374" s="102" t="str">
        <f>IF(VLOOKUP($P374,无限模式!$A$100:$X$119,20,FALSE)="","",VLOOKUP($P374,无限模式!$A$100:$X$119,22,FALSE))</f>
        <v/>
      </c>
      <c r="K374" s="102" t="str">
        <f t="shared" si="83"/>
        <v/>
      </c>
      <c r="L374" s="102" t="str">
        <f>IF(VLOOKUP($P374,无限模式!$A$100:$X$119,20,FALSE)="","","Monster_Season4_Infinite_"&amp;P374&amp;"_4")</f>
        <v/>
      </c>
      <c r="M374" s="57" t="str">
        <f t="shared" si="84"/>
        <v/>
      </c>
      <c r="O374" s="102" t="str">
        <f>IF(VLOOKUP($P374,无限模式!$A$100:$X$119,20,FALSE)="","",VLOOKUP($P374,无限模式!$A$100:$X$119,24,FALSE))</f>
        <v/>
      </c>
      <c r="P374" s="110">
        <f t="shared" si="85"/>
        <v>7</v>
      </c>
      <c r="Q374" s="110">
        <v>4</v>
      </c>
    </row>
    <row r="375" spans="2:17" x14ac:dyDescent="0.2">
      <c r="B375" s="57" t="s">
        <v>3140</v>
      </c>
      <c r="C375" s="57">
        <v>8</v>
      </c>
      <c r="D375" s="57" t="str">
        <f t="shared" si="79"/>
        <v>赛季4无限模式第8波</v>
      </c>
      <c r="F375" s="57">
        <f t="shared" si="80"/>
        <v>0</v>
      </c>
      <c r="G375" s="102">
        <f t="shared" si="81"/>
        <v>180</v>
      </c>
      <c r="H375" s="57">
        <f t="shared" si="82"/>
        <v>0</v>
      </c>
      <c r="I375" s="102">
        <f>IF(VLOOKUP($P375,无限模式!$A$100:$X$119,5,FALSE)="","",VLOOKUP($P375,无限模式!$A$100:$X$119,6,FALSE))</f>
        <v>17</v>
      </c>
      <c r="J375" s="102">
        <f>IF(VLOOKUP($P375,无限模式!$A$100:$X$119,5,FALSE)="","",VLOOKUP($P375,无限模式!$A$100:$X$119,7,FALSE))</f>
        <v>1</v>
      </c>
      <c r="K375" s="102">
        <f t="shared" si="83"/>
        <v>1</v>
      </c>
      <c r="L375" s="102" t="str">
        <f>IF(VLOOKUP($P375,无限模式!$A$100:$X$119,5,FALSE)="","","Monster_Season4_Infinite_"&amp;P375&amp;"_1")</f>
        <v>Monster_Season4_Infinite_8_1</v>
      </c>
      <c r="M375" s="57">
        <f t="shared" si="84"/>
        <v>1</v>
      </c>
      <c r="O375" s="102">
        <f>IF(VLOOKUP($P375,无限模式!$A$100:$X$119,5,FALSE)="","",VLOOKUP($P375,无限模式!$A$100:$X$119,9,FALSE))</f>
        <v>11</v>
      </c>
      <c r="P375" s="110">
        <f t="shared" si="85"/>
        <v>8</v>
      </c>
      <c r="Q375" s="110">
        <v>1</v>
      </c>
    </row>
    <row r="376" spans="2:17" x14ac:dyDescent="0.2">
      <c r="D376" s="57" t="str">
        <f t="shared" si="79"/>
        <v/>
      </c>
      <c r="F376" s="57" t="str">
        <f t="shared" si="80"/>
        <v/>
      </c>
      <c r="G376" s="102" t="str">
        <f t="shared" si="81"/>
        <v/>
      </c>
      <c r="H376" s="57">
        <f t="shared" si="82"/>
        <v>0</v>
      </c>
      <c r="I376" s="102">
        <f>IF(VLOOKUP($P376,无限模式!$A$100:$X$119,10,FALSE)="","",VLOOKUP($P376,无限模式!$A$100:$X$119,11,FALSE))</f>
        <v>1</v>
      </c>
      <c r="J376" s="102">
        <f>IF(VLOOKUP($P376,无限模式!$A$100:$X$119,10,FALSE)="","",VLOOKUP($P376,无限模式!$A$100:$X$119,12,FALSE))</f>
        <v>0</v>
      </c>
      <c r="K376" s="102">
        <f t="shared" si="83"/>
        <v>1</v>
      </c>
      <c r="L376" s="102" t="str">
        <f>IF(VLOOKUP($P376,无限模式!$A$100:$X$119,10,FALSE)="","","Monster_Season4_Infinite_"&amp;P376&amp;"_2")</f>
        <v>Monster_Season4_Infinite_8_2</v>
      </c>
      <c r="M376" s="57">
        <f t="shared" si="84"/>
        <v>1</v>
      </c>
      <c r="O376" s="102">
        <f>IF(VLOOKUP($P376,无限模式!$A$100:$X$119,10,FALSE)="","",VLOOKUP($P376,无限模式!$A$100:$X$119,14,FALSE))</f>
        <v>111</v>
      </c>
      <c r="P376" s="110">
        <f t="shared" si="85"/>
        <v>8</v>
      </c>
      <c r="Q376" s="110">
        <v>2</v>
      </c>
    </row>
    <row r="377" spans="2:17" x14ac:dyDescent="0.2">
      <c r="D377" s="57" t="str">
        <f t="shared" si="79"/>
        <v/>
      </c>
      <c r="F377" s="57" t="str">
        <f t="shared" si="80"/>
        <v/>
      </c>
      <c r="G377" s="102" t="str">
        <f t="shared" si="81"/>
        <v/>
      </c>
      <c r="H377" s="57" t="str">
        <f t="shared" si="82"/>
        <v/>
      </c>
      <c r="I377" s="102" t="str">
        <f>IF(VLOOKUP($P377,无限模式!$A$100:$X$119,15,FALSE)="","",VLOOKUP(P377,无限模式!$A$100:$X$119,16,FALSE))</f>
        <v/>
      </c>
      <c r="J377" s="102" t="str">
        <f>IF(VLOOKUP($P377,无限模式!$A$100:$X$119,15,FALSE)="","",VLOOKUP($P377,无限模式!$A$100:$X$119,17,FALSE))</f>
        <v/>
      </c>
      <c r="K377" s="102" t="str">
        <f t="shared" si="83"/>
        <v/>
      </c>
      <c r="L377" s="102" t="str">
        <f>IF(VLOOKUP($P377,无限模式!$A$100:$X$119,15,FALSE)="","","Monster_Season4_Infinite_"&amp;P377&amp;"_3")</f>
        <v/>
      </c>
      <c r="M377" s="57" t="str">
        <f t="shared" si="84"/>
        <v/>
      </c>
      <c r="O377" s="102" t="str">
        <f>IF(VLOOKUP($P377,无限模式!$A$100:$X$119,15,FALSE)="","",VLOOKUP($P377,无限模式!$A$100:$X$119,19,FALSE))</f>
        <v/>
      </c>
      <c r="P377" s="110">
        <f t="shared" si="85"/>
        <v>8</v>
      </c>
      <c r="Q377" s="110">
        <v>3</v>
      </c>
    </row>
    <row r="378" spans="2:17" x14ac:dyDescent="0.2">
      <c r="D378" s="57" t="str">
        <f t="shared" si="79"/>
        <v/>
      </c>
      <c r="F378" s="57" t="str">
        <f t="shared" si="80"/>
        <v/>
      </c>
      <c r="G378" s="102" t="str">
        <f t="shared" si="81"/>
        <v/>
      </c>
      <c r="H378" s="57" t="str">
        <f t="shared" si="82"/>
        <v/>
      </c>
      <c r="I378" s="102" t="str">
        <f>IF(VLOOKUP($P378,无限模式!$A$100:$X$119,20,FALSE)="","",VLOOKUP($P378,无限模式!$A$100:$X$119,21,FALSE))</f>
        <v/>
      </c>
      <c r="J378" s="102" t="str">
        <f>IF(VLOOKUP($P378,无限模式!$A$100:$X$119,20,FALSE)="","",VLOOKUP($P378,无限模式!$A$100:$X$119,22,FALSE))</f>
        <v/>
      </c>
      <c r="K378" s="102" t="str">
        <f t="shared" si="83"/>
        <v/>
      </c>
      <c r="L378" s="102" t="str">
        <f>IF(VLOOKUP($P378,无限模式!$A$100:$X$119,20,FALSE)="","","Monster_Season4_Infinite_"&amp;P378&amp;"_4")</f>
        <v/>
      </c>
      <c r="M378" s="57" t="str">
        <f t="shared" si="84"/>
        <v/>
      </c>
      <c r="O378" s="102" t="str">
        <f>IF(VLOOKUP($P378,无限模式!$A$100:$X$119,20,FALSE)="","",VLOOKUP($P378,无限模式!$A$100:$X$119,24,FALSE))</f>
        <v/>
      </c>
      <c r="P378" s="110">
        <f t="shared" si="85"/>
        <v>8</v>
      </c>
      <c r="Q378" s="110">
        <v>4</v>
      </c>
    </row>
    <row r="379" spans="2:17" x14ac:dyDescent="0.2">
      <c r="B379" s="57" t="s">
        <v>3140</v>
      </c>
      <c r="C379" s="57">
        <v>9</v>
      </c>
      <c r="D379" s="57" t="str">
        <f t="shared" ref="D379:D410" si="86">IF(C379="","","赛季4无限模式第"&amp;C379&amp;"波")</f>
        <v>赛季4无限模式第9波</v>
      </c>
      <c r="F379" s="57">
        <f t="shared" si="80"/>
        <v>0</v>
      </c>
      <c r="G379" s="102">
        <f t="shared" si="81"/>
        <v>180</v>
      </c>
      <c r="H379" s="57">
        <f t="shared" si="82"/>
        <v>0</v>
      </c>
      <c r="I379" s="102">
        <f>IF(VLOOKUP($P379,无限模式!$A$100:$X$119,5,FALSE)="","",VLOOKUP($P379,无限模式!$A$100:$X$119,6,FALSE))</f>
        <v>12</v>
      </c>
      <c r="J379" s="102">
        <f>IF(VLOOKUP($P379,无限模式!$A$100:$X$119,5,FALSE)="","",VLOOKUP($P379,无限模式!$A$100:$X$119,7,FALSE))</f>
        <v>1.5</v>
      </c>
      <c r="K379" s="102">
        <f t="shared" si="83"/>
        <v>1</v>
      </c>
      <c r="L379" s="102" t="str">
        <f>IF(VLOOKUP($P379,无限模式!$A$100:$X$119,5,FALSE)="","","Monster_Season4_Infinite_"&amp;P379&amp;"_1")</f>
        <v>Monster_Season4_Infinite_9_1</v>
      </c>
      <c r="M379" s="57">
        <f t="shared" si="84"/>
        <v>1</v>
      </c>
      <c r="O379" s="102">
        <f>IF(VLOOKUP($P379,无限模式!$A$100:$X$119,5,FALSE)="","",VLOOKUP($P379,无限模式!$A$100:$X$119,9,FALSE))</f>
        <v>17</v>
      </c>
      <c r="P379" s="110">
        <f t="shared" si="85"/>
        <v>9</v>
      </c>
      <c r="Q379" s="110">
        <v>1</v>
      </c>
    </row>
    <row r="380" spans="2:17" x14ac:dyDescent="0.2">
      <c r="D380" s="57" t="str">
        <f t="shared" si="86"/>
        <v/>
      </c>
      <c r="F380" s="57" t="str">
        <f t="shared" si="80"/>
        <v/>
      </c>
      <c r="G380" s="102" t="str">
        <f t="shared" si="81"/>
        <v/>
      </c>
      <c r="H380" s="57">
        <f t="shared" si="82"/>
        <v>0</v>
      </c>
      <c r="I380" s="102">
        <f>IF(VLOOKUP($P380,无限模式!$A$100:$X$119,10,FALSE)="","",VLOOKUP($P380,无限模式!$A$100:$X$119,11,FALSE))</f>
        <v>6</v>
      </c>
      <c r="J380" s="102">
        <f>IF(VLOOKUP($P380,无限模式!$A$100:$X$119,10,FALSE)="","",VLOOKUP($P380,无限模式!$A$100:$X$119,12,FALSE))</f>
        <v>3</v>
      </c>
      <c r="K380" s="102">
        <f t="shared" si="83"/>
        <v>1</v>
      </c>
      <c r="L380" s="102" t="str">
        <f>IF(VLOOKUP($P380,无限模式!$A$100:$X$119,10,FALSE)="","","Monster_Season4_Infinite_"&amp;P380&amp;"_2")</f>
        <v>Monster_Season4_Infinite_9_2</v>
      </c>
      <c r="M380" s="57">
        <f t="shared" si="84"/>
        <v>1</v>
      </c>
      <c r="O380" s="102">
        <f>IF(VLOOKUP($P380,无限模式!$A$100:$X$119,10,FALSE)="","",VLOOKUP($P380,无限模式!$A$100:$X$119,14,FALSE))</f>
        <v>17</v>
      </c>
      <c r="P380" s="110">
        <f t="shared" si="85"/>
        <v>9</v>
      </c>
      <c r="Q380" s="110">
        <v>2</v>
      </c>
    </row>
    <row r="381" spans="2:17" x14ac:dyDescent="0.2">
      <c r="D381" s="57" t="str">
        <f t="shared" si="86"/>
        <v/>
      </c>
      <c r="F381" s="57" t="str">
        <f t="shared" si="80"/>
        <v/>
      </c>
      <c r="G381" s="102" t="str">
        <f t="shared" si="81"/>
        <v/>
      </c>
      <c r="H381" s="57" t="str">
        <f t="shared" si="82"/>
        <v/>
      </c>
      <c r="I381" s="102" t="str">
        <f>IF(VLOOKUP($P381,无限模式!$A$100:$X$119,15,FALSE)="","",VLOOKUP(P381,无限模式!$A$100:$X$119,16,FALSE))</f>
        <v/>
      </c>
      <c r="J381" s="102" t="str">
        <f>IF(VLOOKUP($P381,无限模式!$A$100:$X$119,15,FALSE)="","",VLOOKUP($P381,无限模式!$A$100:$X$119,17,FALSE))</f>
        <v/>
      </c>
      <c r="K381" s="102" t="str">
        <f t="shared" si="83"/>
        <v/>
      </c>
      <c r="L381" s="102" t="str">
        <f>IF(VLOOKUP($P381,无限模式!$A$100:$X$119,15,FALSE)="","","Monster_Season4_Infinite_"&amp;P381&amp;"_3")</f>
        <v/>
      </c>
      <c r="M381" s="57" t="str">
        <f t="shared" si="84"/>
        <v/>
      </c>
      <c r="O381" s="102" t="str">
        <f>IF(VLOOKUP($P381,无限模式!$A$100:$X$119,15,FALSE)="","",VLOOKUP($P381,无限模式!$A$100:$X$119,19,FALSE))</f>
        <v/>
      </c>
      <c r="P381" s="110">
        <f t="shared" si="85"/>
        <v>9</v>
      </c>
      <c r="Q381" s="110">
        <v>3</v>
      </c>
    </row>
    <row r="382" spans="2:17" x14ac:dyDescent="0.2">
      <c r="D382" s="57" t="str">
        <f t="shared" si="86"/>
        <v/>
      </c>
      <c r="F382" s="57" t="str">
        <f t="shared" si="80"/>
        <v/>
      </c>
      <c r="G382" s="102" t="str">
        <f t="shared" si="81"/>
        <v/>
      </c>
      <c r="H382" s="57" t="str">
        <f t="shared" si="82"/>
        <v/>
      </c>
      <c r="I382" s="102" t="str">
        <f>IF(VLOOKUP($P382,无限模式!$A$100:$X$119,20,FALSE)="","",VLOOKUP($P382,无限模式!$A$100:$X$119,21,FALSE))</f>
        <v/>
      </c>
      <c r="J382" s="102" t="str">
        <f>IF(VLOOKUP($P382,无限模式!$A$100:$X$119,20,FALSE)="","",VLOOKUP($P382,无限模式!$A$100:$X$119,22,FALSE))</f>
        <v/>
      </c>
      <c r="K382" s="102" t="str">
        <f t="shared" si="83"/>
        <v/>
      </c>
      <c r="L382" s="102" t="str">
        <f>IF(VLOOKUP($P382,无限模式!$A$100:$X$119,20,FALSE)="","","Monster_Season4_Infinite_"&amp;P382&amp;"_4")</f>
        <v/>
      </c>
      <c r="M382" s="57" t="str">
        <f t="shared" si="84"/>
        <v/>
      </c>
      <c r="O382" s="102" t="str">
        <f>IF(VLOOKUP($P382,无限模式!$A$100:$X$119,20,FALSE)="","",VLOOKUP($P382,无限模式!$A$100:$X$119,24,FALSE))</f>
        <v/>
      </c>
      <c r="P382" s="110">
        <f t="shared" si="85"/>
        <v>9</v>
      </c>
      <c r="Q382" s="110">
        <v>4</v>
      </c>
    </row>
    <row r="383" spans="2:17" x14ac:dyDescent="0.2">
      <c r="B383" s="57" t="s">
        <v>3140</v>
      </c>
      <c r="C383" s="57">
        <v>10</v>
      </c>
      <c r="D383" s="57" t="str">
        <f t="shared" si="86"/>
        <v>赛季4无限模式第10波</v>
      </c>
      <c r="F383" s="57">
        <f t="shared" si="80"/>
        <v>0</v>
      </c>
      <c r="G383" s="102">
        <f t="shared" si="81"/>
        <v>180</v>
      </c>
      <c r="H383" s="57">
        <f t="shared" si="82"/>
        <v>0</v>
      </c>
      <c r="I383" s="102">
        <f>IF(VLOOKUP($P383,无限模式!$A$100:$X$119,5,FALSE)="","",VLOOKUP($P383,无限模式!$A$100:$X$119,6,FALSE))</f>
        <v>19</v>
      </c>
      <c r="J383" s="102">
        <f>IF(VLOOKUP($P383,无限模式!$A$100:$X$119,5,FALSE)="","",VLOOKUP($P383,无限模式!$A$100:$X$119,7,FALSE))</f>
        <v>1</v>
      </c>
      <c r="K383" s="102">
        <f t="shared" si="83"/>
        <v>1</v>
      </c>
      <c r="L383" s="102" t="str">
        <f>IF(VLOOKUP($P383,无限模式!$A$100:$X$119,5,FALSE)="","","Monster_Season4_Infinite_"&amp;P383&amp;"_1")</f>
        <v>Monster_Season4_Infinite_10_1</v>
      </c>
      <c r="M383" s="57">
        <f t="shared" si="84"/>
        <v>1</v>
      </c>
      <c r="O383" s="102">
        <f>IF(VLOOKUP($P383,无限模式!$A$100:$X$119,5,FALSE)="","",VLOOKUP($P383,无限模式!$A$100:$X$119,9,FALSE))</f>
        <v>12</v>
      </c>
      <c r="P383" s="110">
        <f t="shared" si="85"/>
        <v>10</v>
      </c>
      <c r="Q383" s="110">
        <v>1</v>
      </c>
    </row>
    <row r="384" spans="2:17" x14ac:dyDescent="0.2">
      <c r="D384" s="57" t="str">
        <f t="shared" si="86"/>
        <v/>
      </c>
      <c r="F384" s="57" t="str">
        <f t="shared" si="80"/>
        <v/>
      </c>
      <c r="G384" s="102" t="str">
        <f t="shared" si="81"/>
        <v/>
      </c>
      <c r="H384" s="57">
        <f t="shared" si="82"/>
        <v>0</v>
      </c>
      <c r="I384" s="102">
        <f>IF(VLOOKUP($P384,无限模式!$A$100:$X$119,10,FALSE)="","",VLOOKUP($P384,无限模式!$A$100:$X$119,11,FALSE))</f>
        <v>6</v>
      </c>
      <c r="J384" s="102">
        <f>IF(VLOOKUP($P384,无限模式!$A$100:$X$119,10,FALSE)="","",VLOOKUP($P384,无限模式!$A$100:$X$119,12,FALSE))</f>
        <v>3</v>
      </c>
      <c r="K384" s="102">
        <f t="shared" si="83"/>
        <v>1</v>
      </c>
      <c r="L384" s="102" t="str">
        <f>IF(VLOOKUP($P384,无限模式!$A$100:$X$119,10,FALSE)="","","Monster_Season4_Infinite_"&amp;P384&amp;"_2")</f>
        <v>Monster_Season4_Infinite_10_2</v>
      </c>
      <c r="M384" s="57">
        <f t="shared" si="84"/>
        <v>1</v>
      </c>
      <c r="O384" s="102">
        <f>IF(VLOOKUP($P384,无限模式!$A$100:$X$119,10,FALSE)="","",VLOOKUP($P384,无限模式!$A$100:$X$119,14,FALSE))</f>
        <v>12</v>
      </c>
      <c r="P384" s="110">
        <f t="shared" si="85"/>
        <v>10</v>
      </c>
      <c r="Q384" s="110">
        <v>2</v>
      </c>
    </row>
    <row r="385" spans="2:17" x14ac:dyDescent="0.2">
      <c r="D385" s="57" t="str">
        <f t="shared" si="86"/>
        <v/>
      </c>
      <c r="F385" s="57" t="str">
        <f t="shared" si="80"/>
        <v/>
      </c>
      <c r="G385" s="102" t="str">
        <f t="shared" si="81"/>
        <v/>
      </c>
      <c r="H385" s="57" t="str">
        <f t="shared" si="82"/>
        <v/>
      </c>
      <c r="I385" s="102" t="str">
        <f>IF(VLOOKUP($P385,无限模式!$A$100:$X$119,15,FALSE)="","",VLOOKUP(P385,无限模式!$A$100:$X$119,16,FALSE))</f>
        <v/>
      </c>
      <c r="J385" s="102" t="str">
        <f>IF(VLOOKUP($P385,无限模式!$A$100:$X$119,15,FALSE)="","",VLOOKUP($P385,无限模式!$A$100:$X$119,17,FALSE))</f>
        <v/>
      </c>
      <c r="K385" s="102" t="str">
        <f t="shared" si="83"/>
        <v/>
      </c>
      <c r="L385" s="102" t="str">
        <f>IF(VLOOKUP($P385,无限模式!$A$100:$X$119,15,FALSE)="","","Monster_Season4_Infinite_"&amp;P385&amp;"_3")</f>
        <v/>
      </c>
      <c r="M385" s="57" t="str">
        <f t="shared" si="84"/>
        <v/>
      </c>
      <c r="O385" s="102" t="str">
        <f>IF(VLOOKUP($P385,无限模式!$A$100:$X$119,15,FALSE)="","",VLOOKUP($P385,无限模式!$A$100:$X$119,19,FALSE))</f>
        <v/>
      </c>
      <c r="P385" s="110">
        <f t="shared" si="85"/>
        <v>10</v>
      </c>
      <c r="Q385" s="110">
        <v>3</v>
      </c>
    </row>
    <row r="386" spans="2:17" x14ac:dyDescent="0.2">
      <c r="D386" s="57" t="str">
        <f t="shared" si="86"/>
        <v/>
      </c>
      <c r="F386" s="57" t="str">
        <f t="shared" si="80"/>
        <v/>
      </c>
      <c r="G386" s="102" t="str">
        <f t="shared" si="81"/>
        <v/>
      </c>
      <c r="H386" s="57" t="str">
        <f t="shared" si="82"/>
        <v/>
      </c>
      <c r="I386" s="102" t="str">
        <f>IF(VLOOKUP($P386,无限模式!$A$100:$X$119,20,FALSE)="","",VLOOKUP($P386,无限模式!$A$100:$X$119,21,FALSE))</f>
        <v/>
      </c>
      <c r="J386" s="102" t="str">
        <f>IF(VLOOKUP($P386,无限模式!$A$100:$X$119,20,FALSE)="","",VLOOKUP($P386,无限模式!$A$100:$X$119,22,FALSE))</f>
        <v/>
      </c>
      <c r="K386" s="102" t="str">
        <f t="shared" si="83"/>
        <v/>
      </c>
      <c r="L386" s="102" t="str">
        <f>IF(VLOOKUP($P386,无限模式!$A$100:$X$119,20,FALSE)="","","Monster_Season4_Infinite_"&amp;P386&amp;"_4")</f>
        <v/>
      </c>
      <c r="M386" s="57" t="str">
        <f t="shared" si="84"/>
        <v/>
      </c>
      <c r="O386" s="102" t="str">
        <f>IF(VLOOKUP($P386,无限模式!$A$100:$X$119,20,FALSE)="","",VLOOKUP($P386,无限模式!$A$100:$X$119,24,FALSE))</f>
        <v/>
      </c>
      <c r="P386" s="110">
        <f t="shared" si="85"/>
        <v>10</v>
      </c>
      <c r="Q386" s="110">
        <v>4</v>
      </c>
    </row>
    <row r="387" spans="2:17" x14ac:dyDescent="0.2">
      <c r="B387" s="57" t="s">
        <v>3140</v>
      </c>
      <c r="C387" s="57">
        <v>11</v>
      </c>
      <c r="D387" s="57" t="str">
        <f t="shared" si="86"/>
        <v>赛季4无限模式第11波</v>
      </c>
      <c r="F387" s="57">
        <f t="shared" si="80"/>
        <v>0</v>
      </c>
      <c r="G387" s="102">
        <f t="shared" si="81"/>
        <v>180</v>
      </c>
      <c r="H387" s="57">
        <f t="shared" si="82"/>
        <v>0</v>
      </c>
      <c r="I387" s="102">
        <f>IF(VLOOKUP($P387,无限模式!$A$100:$X$119,5,FALSE)="","",VLOOKUP($P387,无限模式!$A$100:$X$119,6,FALSE))</f>
        <v>20</v>
      </c>
      <c r="J387" s="102">
        <f>IF(VLOOKUP($P387,无限模式!$A$100:$X$119,5,FALSE)="","",VLOOKUP($P387,无限模式!$A$100:$X$119,7,FALSE))</f>
        <v>1</v>
      </c>
      <c r="K387" s="102">
        <f t="shared" si="83"/>
        <v>1</v>
      </c>
      <c r="L387" s="102" t="str">
        <f>IF(VLOOKUP($P387,无限模式!$A$100:$X$119,5,FALSE)="","","Monster_Season4_Infinite_"&amp;P387&amp;"_1")</f>
        <v>Monster_Season4_Infinite_11_1</v>
      </c>
      <c r="M387" s="57">
        <f t="shared" si="84"/>
        <v>1</v>
      </c>
      <c r="O387" s="102">
        <f>IF(VLOOKUP($P387,无限模式!$A$100:$X$119,5,FALSE)="","",VLOOKUP($P387,无限模式!$A$100:$X$119,9,FALSE))</f>
        <v>12</v>
      </c>
      <c r="P387" s="110">
        <f t="shared" si="85"/>
        <v>11</v>
      </c>
      <c r="Q387" s="110">
        <v>1</v>
      </c>
    </row>
    <row r="388" spans="2:17" x14ac:dyDescent="0.2">
      <c r="D388" s="57" t="str">
        <f t="shared" si="86"/>
        <v/>
      </c>
      <c r="F388" s="57" t="str">
        <f t="shared" si="80"/>
        <v/>
      </c>
      <c r="G388" s="102" t="str">
        <f t="shared" si="81"/>
        <v/>
      </c>
      <c r="H388" s="57">
        <f t="shared" si="82"/>
        <v>0</v>
      </c>
      <c r="I388" s="102">
        <f>IF(VLOOKUP($P388,无限模式!$A$100:$X$119,10,FALSE)="","",VLOOKUP($P388,无限模式!$A$100:$X$119,11,FALSE))</f>
        <v>10</v>
      </c>
      <c r="J388" s="102">
        <f>IF(VLOOKUP($P388,无限模式!$A$100:$X$119,10,FALSE)="","",VLOOKUP($P388,无限模式!$A$100:$X$119,12,FALSE))</f>
        <v>2</v>
      </c>
      <c r="K388" s="102">
        <f t="shared" si="83"/>
        <v>1</v>
      </c>
      <c r="L388" s="102" t="str">
        <f>IF(VLOOKUP($P388,无限模式!$A$100:$X$119,10,FALSE)="","","Monster_Season4_Infinite_"&amp;P388&amp;"_2")</f>
        <v>Monster_Season4_Infinite_11_2</v>
      </c>
      <c r="M388" s="57">
        <f t="shared" si="84"/>
        <v>1</v>
      </c>
      <c r="O388" s="102">
        <f>IF(VLOOKUP($P388,无限模式!$A$100:$X$119,10,FALSE)="","",VLOOKUP($P388,无限模式!$A$100:$X$119,14,FALSE))</f>
        <v>6</v>
      </c>
      <c r="P388" s="110">
        <f t="shared" si="85"/>
        <v>11</v>
      </c>
      <c r="Q388" s="110">
        <v>2</v>
      </c>
    </row>
    <row r="389" spans="2:17" x14ac:dyDescent="0.2">
      <c r="D389" s="57" t="str">
        <f t="shared" si="86"/>
        <v/>
      </c>
      <c r="F389" s="57" t="str">
        <f t="shared" si="80"/>
        <v/>
      </c>
      <c r="G389" s="102" t="str">
        <f t="shared" si="81"/>
        <v/>
      </c>
      <c r="H389" s="57" t="str">
        <f t="shared" si="82"/>
        <v/>
      </c>
      <c r="I389" s="102" t="str">
        <f>IF(VLOOKUP($P389,无限模式!$A$100:$X$119,15,FALSE)="","",VLOOKUP(P389,无限模式!$A$100:$X$119,16,FALSE))</f>
        <v/>
      </c>
      <c r="J389" s="102" t="str">
        <f>IF(VLOOKUP($P389,无限模式!$A$100:$X$119,15,FALSE)="","",VLOOKUP($P389,无限模式!$A$100:$X$119,17,FALSE))</f>
        <v/>
      </c>
      <c r="K389" s="102" t="str">
        <f t="shared" si="83"/>
        <v/>
      </c>
      <c r="L389" s="102" t="str">
        <f>IF(VLOOKUP($P389,无限模式!$A$100:$X$119,15,FALSE)="","","Monster_Season4_Infinite_"&amp;P389&amp;"_3")</f>
        <v/>
      </c>
      <c r="M389" s="57" t="str">
        <f t="shared" si="84"/>
        <v/>
      </c>
      <c r="O389" s="102" t="str">
        <f>IF(VLOOKUP($P389,无限模式!$A$100:$X$119,15,FALSE)="","",VLOOKUP($P389,无限模式!$A$100:$X$119,19,FALSE))</f>
        <v/>
      </c>
      <c r="P389" s="110">
        <f t="shared" si="85"/>
        <v>11</v>
      </c>
      <c r="Q389" s="110">
        <v>3</v>
      </c>
    </row>
    <row r="390" spans="2:17" x14ac:dyDescent="0.2">
      <c r="D390" s="57" t="str">
        <f t="shared" si="86"/>
        <v/>
      </c>
      <c r="F390" s="57" t="str">
        <f t="shared" si="80"/>
        <v/>
      </c>
      <c r="G390" s="102" t="str">
        <f t="shared" si="81"/>
        <v/>
      </c>
      <c r="H390" s="57" t="str">
        <f t="shared" si="82"/>
        <v/>
      </c>
      <c r="I390" s="102" t="str">
        <f>IF(VLOOKUP($P390,无限模式!$A$100:$X$119,20,FALSE)="","",VLOOKUP($P390,无限模式!$A$100:$X$119,21,FALSE))</f>
        <v/>
      </c>
      <c r="J390" s="102" t="str">
        <f>IF(VLOOKUP($P390,无限模式!$A$100:$X$119,20,FALSE)="","",VLOOKUP($P390,无限模式!$A$100:$X$119,22,FALSE))</f>
        <v/>
      </c>
      <c r="K390" s="102" t="str">
        <f t="shared" si="83"/>
        <v/>
      </c>
      <c r="L390" s="102" t="str">
        <f>IF(VLOOKUP($P390,无限模式!$A$100:$X$119,20,FALSE)="","","Monster_Season4_Infinite_"&amp;P390&amp;"_4")</f>
        <v/>
      </c>
      <c r="M390" s="57" t="str">
        <f t="shared" si="84"/>
        <v/>
      </c>
      <c r="O390" s="102" t="str">
        <f>IF(VLOOKUP($P390,无限模式!$A$100:$X$119,20,FALSE)="","",VLOOKUP($P390,无限模式!$A$100:$X$119,24,FALSE))</f>
        <v/>
      </c>
      <c r="P390" s="110">
        <f t="shared" si="85"/>
        <v>11</v>
      </c>
      <c r="Q390" s="110">
        <v>4</v>
      </c>
    </row>
    <row r="391" spans="2:17" x14ac:dyDescent="0.2">
      <c r="B391" s="57" t="s">
        <v>3140</v>
      </c>
      <c r="C391" s="57">
        <v>12</v>
      </c>
      <c r="D391" s="57" t="str">
        <f t="shared" si="86"/>
        <v>赛季4无限模式第12波</v>
      </c>
      <c r="F391" s="57">
        <f t="shared" si="80"/>
        <v>0</v>
      </c>
      <c r="G391" s="102">
        <f t="shared" si="81"/>
        <v>180</v>
      </c>
      <c r="H391" s="57">
        <f t="shared" si="82"/>
        <v>0</v>
      </c>
      <c r="I391" s="102">
        <f>IF(VLOOKUP($P391,无限模式!$A$100:$X$119,5,FALSE)="","",VLOOKUP($P391,无限模式!$A$100:$X$119,6,FALSE))</f>
        <v>21</v>
      </c>
      <c r="J391" s="102">
        <f>IF(VLOOKUP($P391,无限模式!$A$100:$X$119,5,FALSE)="","",VLOOKUP($P391,无限模式!$A$100:$X$119,7,FALSE))</f>
        <v>1</v>
      </c>
      <c r="K391" s="102">
        <f t="shared" si="83"/>
        <v>1</v>
      </c>
      <c r="L391" s="102" t="str">
        <f>IF(VLOOKUP($P391,无限模式!$A$100:$X$119,5,FALSE)="","","Monster_Season4_Infinite_"&amp;P391&amp;"_1")</f>
        <v>Monster_Season4_Infinite_12_1</v>
      </c>
      <c r="M391" s="57">
        <f t="shared" si="84"/>
        <v>1</v>
      </c>
      <c r="O391" s="102">
        <f>IF(VLOOKUP($P391,无限模式!$A$100:$X$119,5,FALSE)="","",VLOOKUP($P391,无限模式!$A$100:$X$119,9,FALSE))</f>
        <v>6</v>
      </c>
      <c r="P391" s="110">
        <f t="shared" si="85"/>
        <v>12</v>
      </c>
      <c r="Q391" s="110">
        <v>1</v>
      </c>
    </row>
    <row r="392" spans="2:17" x14ac:dyDescent="0.2">
      <c r="D392" s="57" t="str">
        <f t="shared" si="86"/>
        <v/>
      </c>
      <c r="F392" s="57" t="str">
        <f t="shared" si="80"/>
        <v/>
      </c>
      <c r="G392" s="102" t="str">
        <f t="shared" si="81"/>
        <v/>
      </c>
      <c r="H392" s="57">
        <f t="shared" si="82"/>
        <v>0</v>
      </c>
      <c r="I392" s="102">
        <f>IF(VLOOKUP($P392,无限模式!$A$100:$X$119,10,FALSE)="","",VLOOKUP($P392,无限模式!$A$100:$X$119,11,FALSE))</f>
        <v>7</v>
      </c>
      <c r="J392" s="102">
        <f>IF(VLOOKUP($P392,无限模式!$A$100:$X$119,10,FALSE)="","",VLOOKUP($P392,无限模式!$A$100:$X$119,12,FALSE))</f>
        <v>3</v>
      </c>
      <c r="K392" s="102">
        <f t="shared" si="83"/>
        <v>1</v>
      </c>
      <c r="L392" s="102" t="str">
        <f>IF(VLOOKUP($P392,无限模式!$A$100:$X$119,10,FALSE)="","","Monster_Season4_Infinite_"&amp;P392&amp;"_2")</f>
        <v>Monster_Season4_Infinite_12_2</v>
      </c>
      <c r="M392" s="57">
        <f t="shared" si="84"/>
        <v>1</v>
      </c>
      <c r="O392" s="102">
        <f>IF(VLOOKUP($P392,无限模式!$A$100:$X$119,10,FALSE)="","",VLOOKUP($P392,无限模式!$A$100:$X$119,14,FALSE))</f>
        <v>6</v>
      </c>
      <c r="P392" s="110">
        <f t="shared" si="85"/>
        <v>12</v>
      </c>
      <c r="Q392" s="110">
        <v>2</v>
      </c>
    </row>
    <row r="393" spans="2:17" x14ac:dyDescent="0.2">
      <c r="D393" s="57" t="str">
        <f t="shared" si="86"/>
        <v/>
      </c>
      <c r="F393" s="57" t="str">
        <f t="shared" si="80"/>
        <v/>
      </c>
      <c r="G393" s="102" t="str">
        <f t="shared" si="81"/>
        <v/>
      </c>
      <c r="H393" s="57">
        <f t="shared" si="82"/>
        <v>0</v>
      </c>
      <c r="I393" s="102">
        <f>IF(VLOOKUP($P393,无限模式!$A$100:$X$119,15,FALSE)="","",VLOOKUP(P393,无限模式!$A$100:$X$119,16,FALSE))</f>
        <v>1</v>
      </c>
      <c r="J393" s="102">
        <f>IF(VLOOKUP($P393,无限模式!$A$100:$X$119,15,FALSE)="","",VLOOKUP($P393,无限模式!$A$100:$X$119,17,FALSE))</f>
        <v>0</v>
      </c>
      <c r="K393" s="102">
        <f t="shared" si="83"/>
        <v>1</v>
      </c>
      <c r="L393" s="102" t="str">
        <f>IF(VLOOKUP($P393,无限模式!$A$100:$X$119,15,FALSE)="","","Monster_Season4_Infinite_"&amp;P393&amp;"_3")</f>
        <v>Monster_Season4_Infinite_12_3</v>
      </c>
      <c r="M393" s="57">
        <f t="shared" si="84"/>
        <v>1</v>
      </c>
      <c r="O393" s="102">
        <f>IF(VLOOKUP($P393,无限模式!$A$100:$X$119,15,FALSE)="","",VLOOKUP($P393,无限模式!$A$100:$X$119,19,FALSE))</f>
        <v>125</v>
      </c>
      <c r="P393" s="110">
        <f t="shared" si="85"/>
        <v>12</v>
      </c>
      <c r="Q393" s="110">
        <v>3</v>
      </c>
    </row>
    <row r="394" spans="2:17" x14ac:dyDescent="0.2">
      <c r="D394" s="57" t="str">
        <f t="shared" si="86"/>
        <v/>
      </c>
      <c r="F394" s="57" t="str">
        <f t="shared" si="80"/>
        <v/>
      </c>
      <c r="G394" s="102" t="str">
        <f t="shared" si="81"/>
        <v/>
      </c>
      <c r="H394" s="57" t="str">
        <f t="shared" si="82"/>
        <v/>
      </c>
      <c r="I394" s="102" t="str">
        <f>IF(VLOOKUP($P394,无限模式!$A$100:$X$119,20,FALSE)="","",VLOOKUP($P394,无限模式!$A$100:$X$119,21,FALSE))</f>
        <v/>
      </c>
      <c r="J394" s="102" t="str">
        <f>IF(VLOOKUP($P394,无限模式!$A$100:$X$119,20,FALSE)="","",VLOOKUP($P394,无限模式!$A$100:$X$119,22,FALSE))</f>
        <v/>
      </c>
      <c r="K394" s="102" t="str">
        <f t="shared" si="83"/>
        <v/>
      </c>
      <c r="L394" s="102" t="str">
        <f>IF(VLOOKUP($P394,无限模式!$A$100:$X$119,20,FALSE)="","","Monster_Season4_Infinite_"&amp;P394&amp;"_4")</f>
        <v/>
      </c>
      <c r="M394" s="57" t="str">
        <f t="shared" si="84"/>
        <v/>
      </c>
      <c r="O394" s="102" t="str">
        <f>IF(VLOOKUP($P394,无限模式!$A$100:$X$119,20,FALSE)="","",VLOOKUP($P394,无限模式!$A$100:$X$119,24,FALSE))</f>
        <v/>
      </c>
      <c r="P394" s="110">
        <f t="shared" si="85"/>
        <v>12</v>
      </c>
      <c r="Q394" s="110">
        <v>4</v>
      </c>
    </row>
    <row r="395" spans="2:17" x14ac:dyDescent="0.2">
      <c r="B395" s="57" t="s">
        <v>3140</v>
      </c>
      <c r="C395" s="57">
        <v>13</v>
      </c>
      <c r="D395" s="57" t="str">
        <f t="shared" si="86"/>
        <v>赛季4无限模式第13波</v>
      </c>
      <c r="F395" s="57">
        <f t="shared" si="80"/>
        <v>0</v>
      </c>
      <c r="G395" s="102">
        <f t="shared" si="81"/>
        <v>180</v>
      </c>
      <c r="H395" s="57">
        <f t="shared" si="82"/>
        <v>0</v>
      </c>
      <c r="I395" s="102">
        <f>IF(VLOOKUP($P395,无限模式!$A$100:$X$119,5,FALSE)="","",VLOOKUP($P395,无限模式!$A$100:$X$119,6,FALSE))</f>
        <v>15</v>
      </c>
      <c r="J395" s="102">
        <f>IF(VLOOKUP($P395,无限模式!$A$100:$X$119,5,FALSE)="","",VLOOKUP($P395,无限模式!$A$100:$X$119,7,FALSE))</f>
        <v>1.5</v>
      </c>
      <c r="K395" s="102">
        <f t="shared" si="83"/>
        <v>1</v>
      </c>
      <c r="L395" s="102" t="str">
        <f>IF(VLOOKUP($P395,无限模式!$A$100:$X$119,5,FALSE)="","","Monster_Season4_Infinite_"&amp;P395&amp;"_1")</f>
        <v>Monster_Season4_Infinite_13_1</v>
      </c>
      <c r="M395" s="57">
        <f t="shared" si="84"/>
        <v>1</v>
      </c>
      <c r="O395" s="102">
        <f>IF(VLOOKUP($P395,无限模式!$A$100:$X$119,5,FALSE)="","",VLOOKUP($P395,无限模式!$A$100:$X$119,9,FALSE))</f>
        <v>20</v>
      </c>
      <c r="P395" s="110">
        <f t="shared" si="85"/>
        <v>13</v>
      </c>
      <c r="Q395" s="110">
        <v>1</v>
      </c>
    </row>
    <row r="396" spans="2:17" x14ac:dyDescent="0.2">
      <c r="D396" s="57" t="str">
        <f t="shared" si="86"/>
        <v/>
      </c>
      <c r="F396" s="57" t="str">
        <f t="shared" si="80"/>
        <v/>
      </c>
      <c r="G396" s="102" t="str">
        <f t="shared" si="81"/>
        <v/>
      </c>
      <c r="H396" s="57" t="str">
        <f t="shared" si="82"/>
        <v/>
      </c>
      <c r="I396" s="102" t="str">
        <f>IF(VLOOKUP($P396,无限模式!$A$100:$X$119,10,FALSE)="","",VLOOKUP($P396,无限模式!$A$100:$X$119,11,FALSE))</f>
        <v/>
      </c>
      <c r="J396" s="102" t="str">
        <f>IF(VLOOKUP($P396,无限模式!$A$100:$X$119,10,FALSE)="","",VLOOKUP($P396,无限模式!$A$100:$X$119,12,FALSE))</f>
        <v/>
      </c>
      <c r="K396" s="102" t="str">
        <f t="shared" si="83"/>
        <v/>
      </c>
      <c r="L396" s="102" t="str">
        <f>IF(VLOOKUP($P396,无限模式!$A$100:$X$119,10,FALSE)="","","Monster_Season4_Infinite_"&amp;P396&amp;"_2")</f>
        <v/>
      </c>
      <c r="M396" s="57" t="str">
        <f t="shared" si="84"/>
        <v/>
      </c>
      <c r="O396" s="102" t="str">
        <f>IF(VLOOKUP($P396,无限模式!$A$100:$X$119,10,FALSE)="","",VLOOKUP($P396,无限模式!$A$100:$X$119,14,FALSE))</f>
        <v/>
      </c>
      <c r="P396" s="110">
        <f t="shared" si="85"/>
        <v>13</v>
      </c>
      <c r="Q396" s="110">
        <v>2</v>
      </c>
    </row>
    <row r="397" spans="2:17" x14ac:dyDescent="0.2">
      <c r="D397" s="57" t="str">
        <f t="shared" si="86"/>
        <v/>
      </c>
      <c r="F397" s="57" t="str">
        <f t="shared" si="80"/>
        <v/>
      </c>
      <c r="G397" s="102" t="str">
        <f t="shared" si="81"/>
        <v/>
      </c>
      <c r="H397" s="57" t="str">
        <f t="shared" si="82"/>
        <v/>
      </c>
      <c r="I397" s="102" t="str">
        <f>IF(VLOOKUP($P397,无限模式!$A$100:$X$119,15,FALSE)="","",VLOOKUP(P397,无限模式!$A$100:$X$119,16,FALSE))</f>
        <v/>
      </c>
      <c r="J397" s="102" t="str">
        <f>IF(VLOOKUP($P397,无限模式!$A$100:$X$119,15,FALSE)="","",VLOOKUP($P397,无限模式!$A$100:$X$119,17,FALSE))</f>
        <v/>
      </c>
      <c r="K397" s="102" t="str">
        <f t="shared" si="83"/>
        <v/>
      </c>
      <c r="L397" s="102" t="str">
        <f>IF(VLOOKUP($P397,无限模式!$A$100:$X$119,15,FALSE)="","","Monster_Season4_Infinite_"&amp;P397&amp;"_3")</f>
        <v/>
      </c>
      <c r="M397" s="57" t="str">
        <f t="shared" si="84"/>
        <v/>
      </c>
      <c r="O397" s="102" t="str">
        <f>IF(VLOOKUP($P397,无限模式!$A$100:$X$119,15,FALSE)="","",VLOOKUP($P397,无限模式!$A$100:$X$119,19,FALSE))</f>
        <v/>
      </c>
      <c r="P397" s="110">
        <f t="shared" si="85"/>
        <v>13</v>
      </c>
      <c r="Q397" s="110">
        <v>3</v>
      </c>
    </row>
    <row r="398" spans="2:17" x14ac:dyDescent="0.2">
      <c r="D398" s="57" t="str">
        <f t="shared" si="86"/>
        <v/>
      </c>
      <c r="F398" s="57" t="str">
        <f t="shared" si="80"/>
        <v/>
      </c>
      <c r="G398" s="102" t="str">
        <f t="shared" si="81"/>
        <v/>
      </c>
      <c r="H398" s="57" t="str">
        <f t="shared" si="82"/>
        <v/>
      </c>
      <c r="I398" s="102" t="str">
        <f>IF(VLOOKUP($P398,无限模式!$A$100:$X$119,20,FALSE)="","",VLOOKUP($P398,无限模式!$A$100:$X$119,21,FALSE))</f>
        <v/>
      </c>
      <c r="J398" s="102" t="str">
        <f>IF(VLOOKUP($P398,无限模式!$A$100:$X$119,20,FALSE)="","",VLOOKUP($P398,无限模式!$A$100:$X$119,22,FALSE))</f>
        <v/>
      </c>
      <c r="K398" s="102" t="str">
        <f t="shared" si="83"/>
        <v/>
      </c>
      <c r="L398" s="102" t="str">
        <f>IF(VLOOKUP($P398,无限模式!$A$100:$X$119,20,FALSE)="","","Monster_Season4_Infinite_"&amp;P398&amp;"_4")</f>
        <v/>
      </c>
      <c r="M398" s="57" t="str">
        <f t="shared" si="84"/>
        <v/>
      </c>
      <c r="O398" s="102" t="str">
        <f>IF(VLOOKUP($P398,无限模式!$A$100:$X$119,20,FALSE)="","",VLOOKUP($P398,无限模式!$A$100:$X$119,24,FALSE))</f>
        <v/>
      </c>
      <c r="P398" s="110">
        <f t="shared" si="85"/>
        <v>13</v>
      </c>
      <c r="Q398" s="110">
        <v>4</v>
      </c>
    </row>
    <row r="399" spans="2:17" x14ac:dyDescent="0.2">
      <c r="B399" s="57" t="s">
        <v>3140</v>
      </c>
      <c r="C399" s="57">
        <v>14</v>
      </c>
      <c r="D399" s="57" t="str">
        <f t="shared" si="86"/>
        <v>赛季4无限模式第14波</v>
      </c>
      <c r="F399" s="57">
        <f t="shared" si="80"/>
        <v>0</v>
      </c>
      <c r="G399" s="102">
        <f t="shared" si="81"/>
        <v>180</v>
      </c>
      <c r="H399" s="57">
        <f t="shared" si="82"/>
        <v>0</v>
      </c>
      <c r="I399" s="102">
        <f>IF(VLOOKUP($P399,无限模式!$A$100:$X$119,5,FALSE)="","",VLOOKUP($P399,无限模式!$A$100:$X$119,6,FALSE))</f>
        <v>15</v>
      </c>
      <c r="J399" s="102">
        <f>IF(VLOOKUP($P399,无限模式!$A$100:$X$119,5,FALSE)="","",VLOOKUP($P399,无限模式!$A$100:$X$119,7,FALSE))</f>
        <v>1.5</v>
      </c>
      <c r="K399" s="102">
        <f t="shared" si="83"/>
        <v>1</v>
      </c>
      <c r="L399" s="102" t="str">
        <f>IF(VLOOKUP($P399,无限模式!$A$100:$X$119,5,FALSE)="","","Monster_Season4_Infinite_"&amp;P399&amp;"_1")</f>
        <v>Monster_Season4_Infinite_14_1</v>
      </c>
      <c r="M399" s="57">
        <f t="shared" si="84"/>
        <v>1</v>
      </c>
      <c r="O399" s="102">
        <f>IF(VLOOKUP($P399,无限模式!$A$100:$X$119,5,FALSE)="","",VLOOKUP($P399,无限模式!$A$100:$X$119,9,FALSE))</f>
        <v>7</v>
      </c>
      <c r="P399" s="110">
        <f t="shared" si="85"/>
        <v>14</v>
      </c>
      <c r="Q399" s="110">
        <v>1</v>
      </c>
    </row>
    <row r="400" spans="2:17" x14ac:dyDescent="0.2">
      <c r="D400" s="57" t="str">
        <f t="shared" si="86"/>
        <v/>
      </c>
      <c r="F400" s="57" t="str">
        <f t="shared" si="80"/>
        <v/>
      </c>
      <c r="G400" s="102" t="str">
        <f t="shared" si="81"/>
        <v/>
      </c>
      <c r="H400" s="57">
        <f t="shared" si="82"/>
        <v>0</v>
      </c>
      <c r="I400" s="102">
        <f>IF(VLOOKUP($P400,无限模式!$A$100:$X$119,10,FALSE)="","",VLOOKUP($P400,无限模式!$A$100:$X$119,11,FALSE))</f>
        <v>15</v>
      </c>
      <c r="J400" s="102">
        <f>IF(VLOOKUP($P400,无限模式!$A$100:$X$119,10,FALSE)="","",VLOOKUP($P400,无限模式!$A$100:$X$119,12,FALSE))</f>
        <v>1.5</v>
      </c>
      <c r="K400" s="102">
        <f t="shared" si="83"/>
        <v>1</v>
      </c>
      <c r="L400" s="102" t="str">
        <f>IF(VLOOKUP($P400,无限模式!$A$100:$X$119,10,FALSE)="","","Monster_Season4_Infinite_"&amp;P400&amp;"_2")</f>
        <v>Monster_Season4_Infinite_14_2</v>
      </c>
      <c r="M400" s="57">
        <f t="shared" si="84"/>
        <v>1</v>
      </c>
      <c r="O400" s="102">
        <f>IF(VLOOKUP($P400,无限模式!$A$100:$X$119,10,FALSE)="","",VLOOKUP($P400,无限模式!$A$100:$X$119,14,FALSE))</f>
        <v>13</v>
      </c>
      <c r="P400" s="110">
        <f t="shared" si="85"/>
        <v>14</v>
      </c>
      <c r="Q400" s="110">
        <v>2</v>
      </c>
    </row>
    <row r="401" spans="2:17" x14ac:dyDescent="0.2">
      <c r="D401" s="57" t="str">
        <f t="shared" si="86"/>
        <v/>
      </c>
      <c r="F401" s="57" t="str">
        <f t="shared" si="80"/>
        <v/>
      </c>
      <c r="G401" s="102" t="str">
        <f t="shared" si="81"/>
        <v/>
      </c>
      <c r="H401" s="57" t="str">
        <f t="shared" si="82"/>
        <v/>
      </c>
      <c r="I401" s="102" t="str">
        <f>IF(VLOOKUP($P401,无限模式!$A$100:$X$119,15,FALSE)="","",VLOOKUP(P401,无限模式!$A$100:$X$119,16,FALSE))</f>
        <v/>
      </c>
      <c r="J401" s="102" t="str">
        <f>IF(VLOOKUP($P401,无限模式!$A$100:$X$119,15,FALSE)="","",VLOOKUP($P401,无限模式!$A$100:$X$119,17,FALSE))</f>
        <v/>
      </c>
      <c r="K401" s="102" t="str">
        <f t="shared" si="83"/>
        <v/>
      </c>
      <c r="L401" s="102" t="str">
        <f>IF(VLOOKUP($P401,无限模式!$A$100:$X$119,15,FALSE)="","","Monster_Season4_Infinite_"&amp;P401&amp;"_3")</f>
        <v/>
      </c>
      <c r="M401" s="57" t="str">
        <f t="shared" si="84"/>
        <v/>
      </c>
      <c r="O401" s="102" t="str">
        <f>IF(VLOOKUP($P401,无限模式!$A$100:$X$119,15,FALSE)="","",VLOOKUP($P401,无限模式!$A$100:$X$119,19,FALSE))</f>
        <v/>
      </c>
      <c r="P401" s="110">
        <f t="shared" si="85"/>
        <v>14</v>
      </c>
      <c r="Q401" s="110">
        <v>3</v>
      </c>
    </row>
    <row r="402" spans="2:17" x14ac:dyDescent="0.2">
      <c r="D402" s="57" t="str">
        <f t="shared" si="86"/>
        <v/>
      </c>
      <c r="F402" s="57" t="str">
        <f t="shared" si="80"/>
        <v/>
      </c>
      <c r="G402" s="102" t="str">
        <f t="shared" si="81"/>
        <v/>
      </c>
      <c r="H402" s="57" t="str">
        <f t="shared" si="82"/>
        <v/>
      </c>
      <c r="I402" s="102" t="str">
        <f>IF(VLOOKUP($P402,无限模式!$A$100:$X$119,20,FALSE)="","",VLOOKUP($P402,无限模式!$A$100:$X$119,21,FALSE))</f>
        <v/>
      </c>
      <c r="J402" s="102" t="str">
        <f>IF(VLOOKUP($P402,无限模式!$A$100:$X$119,20,FALSE)="","",VLOOKUP($P402,无限模式!$A$100:$X$119,22,FALSE))</f>
        <v/>
      </c>
      <c r="K402" s="102" t="str">
        <f t="shared" si="83"/>
        <v/>
      </c>
      <c r="L402" s="102" t="str">
        <f>IF(VLOOKUP($P402,无限模式!$A$100:$X$119,20,FALSE)="","","Monster_Season4_Infinite_"&amp;P402&amp;"_4")</f>
        <v/>
      </c>
      <c r="M402" s="57" t="str">
        <f t="shared" si="84"/>
        <v/>
      </c>
      <c r="O402" s="102" t="str">
        <f>IF(VLOOKUP($P402,无限模式!$A$100:$X$119,20,FALSE)="","",VLOOKUP($P402,无限模式!$A$100:$X$119,24,FALSE))</f>
        <v/>
      </c>
      <c r="P402" s="110">
        <f t="shared" si="85"/>
        <v>14</v>
      </c>
      <c r="Q402" s="110">
        <v>4</v>
      </c>
    </row>
    <row r="403" spans="2:17" x14ac:dyDescent="0.2">
      <c r="B403" s="57" t="s">
        <v>3140</v>
      </c>
      <c r="C403" s="57">
        <v>15</v>
      </c>
      <c r="D403" s="57" t="str">
        <f t="shared" si="86"/>
        <v>赛季4无限模式第15波</v>
      </c>
      <c r="F403" s="57">
        <f t="shared" si="80"/>
        <v>0</v>
      </c>
      <c r="G403" s="102">
        <f t="shared" si="81"/>
        <v>180</v>
      </c>
      <c r="H403" s="57">
        <f t="shared" si="82"/>
        <v>0</v>
      </c>
      <c r="I403" s="102">
        <f>IF(VLOOKUP($P403,无限模式!$A$100:$X$119,5,FALSE)="","",VLOOKUP($P403,无限模式!$A$100:$X$119,6,FALSE))</f>
        <v>48</v>
      </c>
      <c r="J403" s="102">
        <f>IF(VLOOKUP($P403,无限模式!$A$100:$X$119,5,FALSE)="","",VLOOKUP($P403,无限模式!$A$100:$X$119,7,FALSE))</f>
        <v>0.5</v>
      </c>
      <c r="K403" s="102">
        <f t="shared" si="83"/>
        <v>1</v>
      </c>
      <c r="L403" s="102" t="str">
        <f>IF(VLOOKUP($P403,无限模式!$A$100:$X$119,5,FALSE)="","","Monster_Season4_Infinite_"&amp;P403&amp;"_1")</f>
        <v>Monster_Season4_Infinite_15_1</v>
      </c>
      <c r="M403" s="57">
        <f t="shared" si="84"/>
        <v>1</v>
      </c>
      <c r="O403" s="102">
        <f>IF(VLOOKUP($P403,无限模式!$A$100:$X$119,5,FALSE)="","",VLOOKUP($P403,无限模式!$A$100:$X$119,9,FALSE))</f>
        <v>4</v>
      </c>
      <c r="P403" s="110">
        <f t="shared" si="85"/>
        <v>15</v>
      </c>
      <c r="Q403" s="110">
        <v>1</v>
      </c>
    </row>
    <row r="404" spans="2:17" x14ac:dyDescent="0.2">
      <c r="D404" s="57" t="str">
        <f t="shared" si="86"/>
        <v/>
      </c>
      <c r="F404" s="57" t="str">
        <f t="shared" si="80"/>
        <v/>
      </c>
      <c r="G404" s="102" t="str">
        <f t="shared" si="81"/>
        <v/>
      </c>
      <c r="H404" s="57">
        <f t="shared" si="82"/>
        <v>0</v>
      </c>
      <c r="I404" s="102">
        <f>IF(VLOOKUP($P404,无限模式!$A$100:$X$119,10,FALSE)="","",VLOOKUP($P404,无限模式!$A$100:$X$119,11,FALSE))</f>
        <v>12</v>
      </c>
      <c r="J404" s="102">
        <f>IF(VLOOKUP($P404,无限模式!$A$100:$X$119,10,FALSE)="","",VLOOKUP($P404,无限模式!$A$100:$X$119,12,FALSE))</f>
        <v>2</v>
      </c>
      <c r="K404" s="102">
        <f t="shared" si="83"/>
        <v>1</v>
      </c>
      <c r="L404" s="102" t="str">
        <f>IF(VLOOKUP($P404,无限模式!$A$100:$X$119,10,FALSE)="","","Monster_Season4_Infinite_"&amp;P404&amp;"_2")</f>
        <v>Monster_Season4_Infinite_15_2</v>
      </c>
      <c r="M404" s="57">
        <f t="shared" si="84"/>
        <v>1</v>
      </c>
      <c r="O404" s="102">
        <f>IF(VLOOKUP($P404,无限模式!$A$100:$X$119,10,FALSE)="","",VLOOKUP($P404,无限模式!$A$100:$X$119,14,FALSE))</f>
        <v>8</v>
      </c>
      <c r="P404" s="110">
        <f t="shared" si="85"/>
        <v>15</v>
      </c>
      <c r="Q404" s="110">
        <v>2</v>
      </c>
    </row>
    <row r="405" spans="2:17" x14ac:dyDescent="0.2">
      <c r="D405" s="57" t="str">
        <f t="shared" si="86"/>
        <v/>
      </c>
      <c r="F405" s="57" t="str">
        <f t="shared" si="80"/>
        <v/>
      </c>
      <c r="G405" s="102" t="str">
        <f t="shared" si="81"/>
        <v/>
      </c>
      <c r="H405" s="57" t="str">
        <f t="shared" si="82"/>
        <v/>
      </c>
      <c r="I405" s="102" t="str">
        <f>IF(VLOOKUP($P405,无限模式!$A$100:$X$119,15,FALSE)="","",VLOOKUP(P405,无限模式!$A$100:$X$119,16,FALSE))</f>
        <v/>
      </c>
      <c r="J405" s="102" t="str">
        <f>IF(VLOOKUP($P405,无限模式!$A$100:$X$119,15,FALSE)="","",VLOOKUP($P405,无限模式!$A$100:$X$119,17,FALSE))</f>
        <v/>
      </c>
      <c r="K405" s="102" t="str">
        <f t="shared" si="83"/>
        <v/>
      </c>
      <c r="L405" s="102" t="str">
        <f>IF(VLOOKUP($P405,无限模式!$A$100:$X$119,15,FALSE)="","","Monster_Season4_Infinite_"&amp;P405&amp;"_3")</f>
        <v/>
      </c>
      <c r="M405" s="57" t="str">
        <f t="shared" si="84"/>
        <v/>
      </c>
      <c r="O405" s="102" t="str">
        <f>IF(VLOOKUP($P405,无限模式!$A$100:$X$119,15,FALSE)="","",VLOOKUP($P405,无限模式!$A$100:$X$119,19,FALSE))</f>
        <v/>
      </c>
      <c r="P405" s="110">
        <f t="shared" si="85"/>
        <v>15</v>
      </c>
      <c r="Q405" s="110">
        <v>3</v>
      </c>
    </row>
    <row r="406" spans="2:17" x14ac:dyDescent="0.2">
      <c r="D406" s="57" t="str">
        <f t="shared" si="86"/>
        <v/>
      </c>
      <c r="F406" s="57" t="str">
        <f t="shared" si="80"/>
        <v/>
      </c>
      <c r="G406" s="102" t="str">
        <f t="shared" si="81"/>
        <v/>
      </c>
      <c r="H406" s="57" t="str">
        <f t="shared" si="82"/>
        <v/>
      </c>
      <c r="I406" s="102" t="str">
        <f>IF(VLOOKUP($P406,无限模式!$A$100:$X$119,20,FALSE)="","",VLOOKUP($P406,无限模式!$A$100:$X$119,21,FALSE))</f>
        <v/>
      </c>
      <c r="J406" s="102" t="str">
        <f>IF(VLOOKUP($P406,无限模式!$A$100:$X$119,20,FALSE)="","",VLOOKUP($P406,无限模式!$A$100:$X$119,22,FALSE))</f>
        <v/>
      </c>
      <c r="K406" s="102" t="str">
        <f t="shared" si="83"/>
        <v/>
      </c>
      <c r="L406" s="102" t="str">
        <f>IF(VLOOKUP($P406,无限模式!$A$100:$X$119,20,FALSE)="","","Monster_Season4_Infinite_"&amp;P406&amp;"_4")</f>
        <v/>
      </c>
      <c r="M406" s="57" t="str">
        <f t="shared" si="84"/>
        <v/>
      </c>
      <c r="O406" s="102" t="str">
        <f>IF(VLOOKUP($P406,无限模式!$A$100:$X$119,20,FALSE)="","",VLOOKUP($P406,无限模式!$A$100:$X$119,24,FALSE))</f>
        <v/>
      </c>
      <c r="P406" s="110">
        <f t="shared" si="85"/>
        <v>15</v>
      </c>
      <c r="Q406" s="110">
        <v>4</v>
      </c>
    </row>
    <row r="407" spans="2:17" x14ac:dyDescent="0.2">
      <c r="B407" s="57" t="s">
        <v>3140</v>
      </c>
      <c r="C407" s="57">
        <v>16</v>
      </c>
      <c r="D407" s="57" t="str">
        <f t="shared" si="86"/>
        <v>赛季4无限模式第16波</v>
      </c>
      <c r="F407" s="57">
        <f t="shared" si="80"/>
        <v>0</v>
      </c>
      <c r="G407" s="102">
        <f t="shared" si="81"/>
        <v>180</v>
      </c>
      <c r="H407" s="57">
        <f t="shared" si="82"/>
        <v>0</v>
      </c>
      <c r="I407" s="102">
        <f>IF(VLOOKUP($P407,无限模式!$A$100:$X$119,5,FALSE)="","",VLOOKUP($P407,无限模式!$A$100:$X$119,6,FALSE))</f>
        <v>25</v>
      </c>
      <c r="J407" s="102">
        <f>IF(VLOOKUP($P407,无限模式!$A$100:$X$119,5,FALSE)="","",VLOOKUP($P407,无限模式!$A$100:$X$119,7,FALSE))</f>
        <v>1</v>
      </c>
      <c r="K407" s="102">
        <f t="shared" si="83"/>
        <v>1</v>
      </c>
      <c r="L407" s="102" t="str">
        <f>IF(VLOOKUP($P407,无限模式!$A$100:$X$119,5,FALSE)="","","Monster_Season4_Infinite_"&amp;P407&amp;"_1")</f>
        <v>Monster_Season4_Infinite_16_1</v>
      </c>
      <c r="M407" s="57">
        <f t="shared" si="84"/>
        <v>1</v>
      </c>
      <c r="O407" s="102">
        <f>IF(VLOOKUP($P407,无限模式!$A$100:$X$119,5,FALSE)="","",VLOOKUP($P407,无限模式!$A$100:$X$119,9,FALSE))</f>
        <v>9</v>
      </c>
      <c r="P407" s="110">
        <f t="shared" si="85"/>
        <v>16</v>
      </c>
      <c r="Q407" s="110">
        <v>1</v>
      </c>
    </row>
    <row r="408" spans="2:17" x14ac:dyDescent="0.2">
      <c r="D408" s="57" t="str">
        <f t="shared" si="86"/>
        <v/>
      </c>
      <c r="F408" s="57" t="str">
        <f t="shared" si="80"/>
        <v/>
      </c>
      <c r="G408" s="102" t="str">
        <f t="shared" si="81"/>
        <v/>
      </c>
      <c r="H408" s="57">
        <f t="shared" si="82"/>
        <v>0</v>
      </c>
      <c r="I408" s="102">
        <f>IF(VLOOKUP($P408,无限模式!$A$100:$X$119,10,FALSE)="","",VLOOKUP($P408,无限模式!$A$100:$X$119,11,FALSE))</f>
        <v>1</v>
      </c>
      <c r="J408" s="102">
        <f>IF(VLOOKUP($P408,无限模式!$A$100:$X$119,10,FALSE)="","",VLOOKUP($P408,无限模式!$A$100:$X$119,12,FALSE))</f>
        <v>0</v>
      </c>
      <c r="K408" s="102">
        <f t="shared" si="83"/>
        <v>1</v>
      </c>
      <c r="L408" s="102" t="str">
        <f>IF(VLOOKUP($P408,无限模式!$A$100:$X$119,10,FALSE)="","","Monster_Season4_Infinite_"&amp;P408&amp;"_2")</f>
        <v>Monster_Season4_Infinite_16_2</v>
      </c>
      <c r="M408" s="57">
        <f t="shared" si="84"/>
        <v>1</v>
      </c>
      <c r="O408" s="102">
        <f>IF(VLOOKUP($P408,无限模式!$A$100:$X$119,10,FALSE)="","",VLOOKUP($P408,无限模式!$A$100:$X$119,14,FALSE))</f>
        <v>86</v>
      </c>
      <c r="P408" s="110">
        <f t="shared" si="85"/>
        <v>16</v>
      </c>
      <c r="Q408" s="110">
        <v>2</v>
      </c>
    </row>
    <row r="409" spans="2:17" x14ac:dyDescent="0.2">
      <c r="D409" s="57" t="str">
        <f t="shared" si="86"/>
        <v/>
      </c>
      <c r="F409" s="57" t="str">
        <f t="shared" si="80"/>
        <v/>
      </c>
      <c r="G409" s="102" t="str">
        <f t="shared" si="81"/>
        <v/>
      </c>
      <c r="H409" s="57" t="str">
        <f t="shared" si="82"/>
        <v/>
      </c>
      <c r="I409" s="102" t="str">
        <f>IF(VLOOKUP($P409,无限模式!$A$100:$X$119,15,FALSE)="","",VLOOKUP(P409,无限模式!$A$100:$X$119,16,FALSE))</f>
        <v/>
      </c>
      <c r="J409" s="102" t="str">
        <f>IF(VLOOKUP($P409,无限模式!$A$100:$X$119,15,FALSE)="","",VLOOKUP($P409,无限模式!$A$100:$X$119,17,FALSE))</f>
        <v/>
      </c>
      <c r="K409" s="102" t="str">
        <f t="shared" si="83"/>
        <v/>
      </c>
      <c r="L409" s="102" t="str">
        <f>IF(VLOOKUP($P409,无限模式!$A$100:$X$119,15,FALSE)="","","Monster_Season4_Infinite_"&amp;P409&amp;"_3")</f>
        <v/>
      </c>
      <c r="M409" s="57" t="str">
        <f t="shared" si="84"/>
        <v/>
      </c>
      <c r="O409" s="102" t="str">
        <f>IF(VLOOKUP($P409,无限模式!$A$100:$X$119,15,FALSE)="","",VLOOKUP($P409,无限模式!$A$100:$X$119,19,FALSE))</f>
        <v/>
      </c>
      <c r="P409" s="110">
        <f t="shared" si="85"/>
        <v>16</v>
      </c>
      <c r="Q409" s="110">
        <v>3</v>
      </c>
    </row>
    <row r="410" spans="2:17" x14ac:dyDescent="0.2">
      <c r="D410" s="57" t="str">
        <f t="shared" si="86"/>
        <v/>
      </c>
      <c r="F410" s="57" t="str">
        <f t="shared" si="80"/>
        <v/>
      </c>
      <c r="G410" s="102" t="str">
        <f t="shared" si="81"/>
        <v/>
      </c>
      <c r="H410" s="57" t="str">
        <f t="shared" si="82"/>
        <v/>
      </c>
      <c r="I410" s="102" t="str">
        <f>IF(VLOOKUP($P410,无限模式!$A$100:$X$119,20,FALSE)="","",VLOOKUP($P410,无限模式!$A$100:$X$119,21,FALSE))</f>
        <v/>
      </c>
      <c r="J410" s="102" t="str">
        <f>IF(VLOOKUP($P410,无限模式!$A$100:$X$119,20,FALSE)="","",VLOOKUP($P410,无限模式!$A$100:$X$119,22,FALSE))</f>
        <v/>
      </c>
      <c r="K410" s="102" t="str">
        <f t="shared" si="83"/>
        <v/>
      </c>
      <c r="L410" s="102" t="str">
        <f>IF(VLOOKUP($P410,无限模式!$A$100:$X$119,20,FALSE)="","","Monster_Season4_Infinite_"&amp;P410&amp;"_4")</f>
        <v/>
      </c>
      <c r="M410" s="57" t="str">
        <f t="shared" si="84"/>
        <v/>
      </c>
      <c r="O410" s="102" t="str">
        <f>IF(VLOOKUP($P410,无限模式!$A$100:$X$119,20,FALSE)="","",VLOOKUP($P410,无限模式!$A$100:$X$119,24,FALSE))</f>
        <v/>
      </c>
      <c r="P410" s="110">
        <f t="shared" si="85"/>
        <v>16</v>
      </c>
      <c r="Q410" s="110">
        <v>4</v>
      </c>
    </row>
    <row r="411" spans="2:17" x14ac:dyDescent="0.2">
      <c r="B411" s="57" t="s">
        <v>3140</v>
      </c>
      <c r="C411" s="57">
        <v>17</v>
      </c>
      <c r="D411" s="57" t="str">
        <f t="shared" ref="D411:D425" si="87">IF(C411="","","赛季4无限模式第"&amp;C411&amp;"波")</f>
        <v>赛季4无限模式第17波</v>
      </c>
      <c r="F411" s="57">
        <f t="shared" si="80"/>
        <v>0</v>
      </c>
      <c r="G411" s="102">
        <f t="shared" si="81"/>
        <v>180</v>
      </c>
      <c r="H411" s="57">
        <f t="shared" si="82"/>
        <v>0</v>
      </c>
      <c r="I411" s="102">
        <f>IF(VLOOKUP($P411,无限模式!$A$100:$X$119,5,FALSE)="","",VLOOKUP($P411,无限模式!$A$100:$X$119,6,FALSE))</f>
        <v>26</v>
      </c>
      <c r="J411" s="102">
        <f>IF(VLOOKUP($P411,无限模式!$A$100:$X$119,5,FALSE)="","",VLOOKUP($P411,无限模式!$A$100:$X$119,7,FALSE))</f>
        <v>1</v>
      </c>
      <c r="K411" s="102">
        <f t="shared" si="83"/>
        <v>1</v>
      </c>
      <c r="L411" s="102" t="str">
        <f>IF(VLOOKUP($P411,无限模式!$A$100:$X$119,5,FALSE)="","","Monster_Season4_Infinite_"&amp;P411&amp;"_1")</f>
        <v>Monster_Season4_Infinite_17_1</v>
      </c>
      <c r="M411" s="57">
        <f t="shared" si="84"/>
        <v>1</v>
      </c>
      <c r="O411" s="102">
        <f>IF(VLOOKUP($P411,无限模式!$A$100:$X$119,5,FALSE)="","",VLOOKUP($P411,无限模式!$A$100:$X$119,9,FALSE))</f>
        <v>9</v>
      </c>
      <c r="P411" s="110">
        <f t="shared" si="85"/>
        <v>17</v>
      </c>
      <c r="Q411" s="110">
        <v>1</v>
      </c>
    </row>
    <row r="412" spans="2:17" x14ac:dyDescent="0.2">
      <c r="D412" s="57" t="str">
        <f t="shared" si="87"/>
        <v/>
      </c>
      <c r="F412" s="57" t="str">
        <f t="shared" ref="F412:F427" si="88">IF(C412="","",0)</f>
        <v/>
      </c>
      <c r="G412" s="102" t="str">
        <f t="shared" ref="G412:G426" si="89">IF(C412="","",180)</f>
        <v/>
      </c>
      <c r="H412" s="57">
        <f t="shared" ref="H412:H426" si="90">IF(I412="","",0)</f>
        <v>0</v>
      </c>
      <c r="I412" s="102">
        <f>IF(VLOOKUP($P412,无限模式!$A$100:$X$119,10,FALSE)="","",VLOOKUP($P412,无限模式!$A$100:$X$119,11,FALSE))</f>
        <v>9</v>
      </c>
      <c r="J412" s="102">
        <f>IF(VLOOKUP($P412,无限模式!$A$100:$X$119,10,FALSE)="","",VLOOKUP($P412,无限模式!$A$100:$X$119,12,FALSE))</f>
        <v>3</v>
      </c>
      <c r="K412" s="102">
        <f t="shared" ref="K412:K426" si="91">IF(I412="","",1)</f>
        <v>1</v>
      </c>
      <c r="L412" s="102" t="str">
        <f>IF(VLOOKUP($P412,无限模式!$A$100:$X$119,10,FALSE)="","","Monster_Season4_Infinite_"&amp;P412&amp;"_2")</f>
        <v>Monster_Season4_Infinite_17_2</v>
      </c>
      <c r="M412" s="57">
        <f t="shared" ref="M412:M426" si="92">IF(I412="","",1)</f>
        <v>1</v>
      </c>
      <c r="O412" s="102">
        <f>IF(VLOOKUP($P412,无限模式!$A$100:$X$119,10,FALSE)="","",VLOOKUP($P412,无限模式!$A$100:$X$119,14,FALSE))</f>
        <v>9</v>
      </c>
      <c r="P412" s="110">
        <f t="shared" ref="P412:P426" si="93">IF(C412="",P411,C412)</f>
        <v>17</v>
      </c>
      <c r="Q412" s="110">
        <v>2</v>
      </c>
    </row>
    <row r="413" spans="2:17" x14ac:dyDescent="0.2">
      <c r="D413" s="57" t="str">
        <f t="shared" si="87"/>
        <v/>
      </c>
      <c r="F413" s="57" t="str">
        <f t="shared" si="88"/>
        <v/>
      </c>
      <c r="G413" s="102" t="str">
        <f t="shared" si="89"/>
        <v/>
      </c>
      <c r="H413" s="57" t="str">
        <f t="shared" si="90"/>
        <v/>
      </c>
      <c r="I413" s="102" t="str">
        <f>IF(VLOOKUP($P413,无限模式!$A$100:$X$119,15,FALSE)="","",VLOOKUP(P413,无限模式!$A$100:$X$119,16,FALSE))</f>
        <v/>
      </c>
      <c r="J413" s="102" t="str">
        <f>IF(VLOOKUP($P413,无限模式!$A$100:$X$119,15,FALSE)="","",VLOOKUP($P413,无限模式!$A$100:$X$119,17,FALSE))</f>
        <v/>
      </c>
      <c r="K413" s="102" t="str">
        <f t="shared" si="91"/>
        <v/>
      </c>
      <c r="L413" s="102" t="str">
        <f>IF(VLOOKUP($P413,无限模式!$A$100:$X$119,15,FALSE)="","","Monster_Season4_Infinite_"&amp;P413&amp;"_3")</f>
        <v/>
      </c>
      <c r="M413" s="57" t="str">
        <f t="shared" si="92"/>
        <v/>
      </c>
      <c r="O413" s="102" t="str">
        <f>IF(VLOOKUP($P413,无限模式!$A$100:$X$119,15,FALSE)="","",VLOOKUP($P413,无限模式!$A$100:$X$119,19,FALSE))</f>
        <v/>
      </c>
      <c r="P413" s="110">
        <f t="shared" si="93"/>
        <v>17</v>
      </c>
      <c r="Q413" s="110">
        <v>3</v>
      </c>
    </row>
    <row r="414" spans="2:17" x14ac:dyDescent="0.2">
      <c r="D414" s="57" t="str">
        <f t="shared" si="87"/>
        <v/>
      </c>
      <c r="F414" s="57" t="str">
        <f t="shared" si="88"/>
        <v/>
      </c>
      <c r="G414" s="102" t="str">
        <f t="shared" si="89"/>
        <v/>
      </c>
      <c r="H414" s="57" t="str">
        <f t="shared" si="90"/>
        <v/>
      </c>
      <c r="I414" s="102" t="str">
        <f>IF(VLOOKUP($P414,无限模式!$A$100:$X$119,20,FALSE)="","",VLOOKUP($P414,无限模式!$A$100:$X$119,21,FALSE))</f>
        <v/>
      </c>
      <c r="J414" s="102" t="str">
        <f>IF(VLOOKUP($P414,无限模式!$A$100:$X$119,20,FALSE)="","",VLOOKUP($P414,无限模式!$A$100:$X$119,22,FALSE))</f>
        <v/>
      </c>
      <c r="K414" s="102" t="str">
        <f t="shared" si="91"/>
        <v/>
      </c>
      <c r="L414" s="102" t="str">
        <f>IF(VLOOKUP($P414,无限模式!$A$100:$X$119,20,FALSE)="","","Monster_Season4_Infinite_"&amp;P414&amp;"_4")</f>
        <v/>
      </c>
      <c r="M414" s="57" t="str">
        <f t="shared" si="92"/>
        <v/>
      </c>
      <c r="O414" s="102" t="str">
        <f>IF(VLOOKUP($P414,无限模式!$A$100:$X$119,20,FALSE)="","",VLOOKUP($P414,无限模式!$A$100:$X$119,24,FALSE))</f>
        <v/>
      </c>
      <c r="P414" s="110">
        <f t="shared" si="93"/>
        <v>17</v>
      </c>
      <c r="Q414" s="110">
        <v>4</v>
      </c>
    </row>
    <row r="415" spans="2:17" x14ac:dyDescent="0.2">
      <c r="B415" s="57" t="s">
        <v>3140</v>
      </c>
      <c r="C415" s="57">
        <v>18</v>
      </c>
      <c r="D415" s="57" t="str">
        <f t="shared" si="87"/>
        <v>赛季4无限模式第18波</v>
      </c>
      <c r="F415" s="57">
        <f t="shared" si="88"/>
        <v>0</v>
      </c>
      <c r="G415" s="102">
        <f t="shared" si="89"/>
        <v>180</v>
      </c>
      <c r="H415" s="57">
        <f t="shared" si="90"/>
        <v>0</v>
      </c>
      <c r="I415" s="102">
        <f>IF(VLOOKUP($P415,无限模式!$A$100:$X$119,5,FALSE)="","",VLOOKUP($P415,无限模式!$A$100:$X$119,6,FALSE))</f>
        <v>18</v>
      </c>
      <c r="J415" s="102">
        <f>IF(VLOOKUP($P415,无限模式!$A$100:$X$119,5,FALSE)="","",VLOOKUP($P415,无限模式!$A$100:$X$119,7,FALSE))</f>
        <v>1.5</v>
      </c>
      <c r="K415" s="102">
        <f t="shared" si="91"/>
        <v>1</v>
      </c>
      <c r="L415" s="102" t="str">
        <f>IF(VLOOKUP($P415,无限模式!$A$100:$X$119,5,FALSE)="","","Monster_Season4_Infinite_"&amp;P415&amp;"_1")</f>
        <v>Monster_Season4_Infinite_18_1</v>
      </c>
      <c r="M415" s="57">
        <f t="shared" si="92"/>
        <v>1</v>
      </c>
      <c r="O415" s="102">
        <f>IF(VLOOKUP($P415,无限模式!$A$100:$X$119,5,FALSE)="","",VLOOKUP($P415,无限模式!$A$100:$X$119,9,FALSE))</f>
        <v>8</v>
      </c>
      <c r="P415" s="110">
        <f t="shared" si="93"/>
        <v>18</v>
      </c>
      <c r="Q415" s="110">
        <v>1</v>
      </c>
    </row>
    <row r="416" spans="2:17" x14ac:dyDescent="0.2">
      <c r="D416" s="57" t="str">
        <f t="shared" si="87"/>
        <v/>
      </c>
      <c r="F416" s="57" t="str">
        <f t="shared" si="88"/>
        <v/>
      </c>
      <c r="G416" s="102" t="str">
        <f t="shared" si="89"/>
        <v/>
      </c>
      <c r="H416" s="57">
        <f t="shared" si="90"/>
        <v>0</v>
      </c>
      <c r="I416" s="102">
        <f>IF(VLOOKUP($P416,无限模式!$A$100:$X$119,10,FALSE)="","",VLOOKUP($P416,无限模式!$A$100:$X$119,11,FALSE))</f>
        <v>36</v>
      </c>
      <c r="J416" s="102">
        <f>IF(VLOOKUP($P416,无限模式!$A$100:$X$119,10,FALSE)="","",VLOOKUP($P416,无限模式!$A$100:$X$119,12,FALSE))</f>
        <v>0.75</v>
      </c>
      <c r="K416" s="102">
        <f t="shared" si="91"/>
        <v>1</v>
      </c>
      <c r="L416" s="102" t="str">
        <f>IF(VLOOKUP($P416,无限模式!$A$100:$X$119,10,FALSE)="","","Monster_Season4_Infinite_"&amp;P416&amp;"_2")</f>
        <v>Monster_Season4_Infinite_18_2</v>
      </c>
      <c r="M416" s="57">
        <f t="shared" si="92"/>
        <v>1</v>
      </c>
      <c r="O416" s="102">
        <f>IF(VLOOKUP($P416,无限模式!$A$100:$X$119,10,FALSE)="","",VLOOKUP($P416,无限模式!$A$100:$X$119,14,FALSE))</f>
        <v>4</v>
      </c>
      <c r="P416" s="110">
        <f t="shared" si="93"/>
        <v>18</v>
      </c>
      <c r="Q416" s="110">
        <v>2</v>
      </c>
    </row>
    <row r="417" spans="2:18" x14ac:dyDescent="0.2">
      <c r="D417" s="57" t="str">
        <f t="shared" si="87"/>
        <v/>
      </c>
      <c r="F417" s="57" t="str">
        <f t="shared" si="88"/>
        <v/>
      </c>
      <c r="G417" s="102" t="str">
        <f t="shared" si="89"/>
        <v/>
      </c>
      <c r="H417" s="57" t="str">
        <f t="shared" si="90"/>
        <v/>
      </c>
      <c r="I417" s="102" t="str">
        <f>IF(VLOOKUP($P417,无限模式!$A$100:$X$119,15,FALSE)="","",VLOOKUP(P417,无限模式!$A$100:$X$119,16,FALSE))</f>
        <v/>
      </c>
      <c r="J417" s="102" t="str">
        <f>IF(VLOOKUP($P417,无限模式!$A$100:$X$119,15,FALSE)="","",VLOOKUP($P417,无限模式!$A$100:$X$119,17,FALSE))</f>
        <v/>
      </c>
      <c r="K417" s="102" t="str">
        <f t="shared" si="91"/>
        <v/>
      </c>
      <c r="L417" s="102" t="str">
        <f>IF(VLOOKUP($P417,无限模式!$A$100:$X$119,15,FALSE)="","","Monster_Season4_Infinite_"&amp;P417&amp;"_3")</f>
        <v/>
      </c>
      <c r="M417" s="57" t="str">
        <f t="shared" si="92"/>
        <v/>
      </c>
      <c r="O417" s="102" t="str">
        <f>IF(VLOOKUP($P417,无限模式!$A$100:$X$119,15,FALSE)="","",VLOOKUP($P417,无限模式!$A$100:$X$119,19,FALSE))</f>
        <v/>
      </c>
      <c r="P417" s="110">
        <f t="shared" si="93"/>
        <v>18</v>
      </c>
      <c r="Q417" s="110">
        <v>3</v>
      </c>
    </row>
    <row r="418" spans="2:18" x14ac:dyDescent="0.2">
      <c r="D418" s="57" t="str">
        <f t="shared" si="87"/>
        <v/>
      </c>
      <c r="F418" s="57" t="str">
        <f t="shared" si="88"/>
        <v/>
      </c>
      <c r="G418" s="102" t="str">
        <f t="shared" si="89"/>
        <v/>
      </c>
      <c r="H418" s="57" t="str">
        <f t="shared" si="90"/>
        <v/>
      </c>
      <c r="I418" s="102" t="str">
        <f>IF(VLOOKUP($P418,无限模式!$A$100:$X$119,20,FALSE)="","",VLOOKUP($P418,无限模式!$A$100:$X$119,21,FALSE))</f>
        <v/>
      </c>
      <c r="J418" s="102" t="str">
        <f>IF(VLOOKUP($P418,无限模式!$A$100:$X$119,20,FALSE)="","",VLOOKUP($P418,无限模式!$A$100:$X$119,22,FALSE))</f>
        <v/>
      </c>
      <c r="K418" s="102" t="str">
        <f t="shared" si="91"/>
        <v/>
      </c>
      <c r="L418" s="102" t="str">
        <f>IF(VLOOKUP($P418,无限模式!$A$100:$X$119,20,FALSE)="","","Monster_Season4_Infinite_"&amp;P418&amp;"_4")</f>
        <v/>
      </c>
      <c r="M418" s="57" t="str">
        <f t="shared" si="92"/>
        <v/>
      </c>
      <c r="O418" s="102" t="str">
        <f>IF(VLOOKUP($P418,无限模式!$A$100:$X$119,20,FALSE)="","",VLOOKUP($P418,无限模式!$A$100:$X$119,24,FALSE))</f>
        <v/>
      </c>
      <c r="P418" s="110">
        <f t="shared" si="93"/>
        <v>18</v>
      </c>
      <c r="Q418" s="110">
        <v>4</v>
      </c>
    </row>
    <row r="419" spans="2:18" x14ac:dyDescent="0.2">
      <c r="B419" s="57" t="s">
        <v>3140</v>
      </c>
      <c r="C419" s="57">
        <v>19</v>
      </c>
      <c r="D419" s="57" t="str">
        <f t="shared" si="87"/>
        <v>赛季4无限模式第19波</v>
      </c>
      <c r="F419" s="57">
        <f t="shared" si="88"/>
        <v>0</v>
      </c>
      <c r="G419" s="102">
        <f t="shared" si="89"/>
        <v>180</v>
      </c>
      <c r="H419" s="57">
        <f t="shared" si="90"/>
        <v>0</v>
      </c>
      <c r="I419" s="102">
        <f>IF(VLOOKUP($P419,无限模式!$A$100:$X$119,5,FALSE)="","",VLOOKUP($P419,无限模式!$A$100:$X$119,6,FALSE))</f>
        <v>19</v>
      </c>
      <c r="J419" s="102">
        <f>IF(VLOOKUP($P419,无限模式!$A$100:$X$119,5,FALSE)="","",VLOOKUP($P419,无限模式!$A$100:$X$119,7,FALSE))</f>
        <v>1.5</v>
      </c>
      <c r="K419" s="102">
        <f t="shared" si="91"/>
        <v>1</v>
      </c>
      <c r="L419" s="102" t="str">
        <f>IF(VLOOKUP($P419,无限模式!$A$100:$X$119,5,FALSE)="","","Monster_Season4_Infinite_"&amp;P419&amp;"_1")</f>
        <v>Monster_Season4_Infinite_19_1</v>
      </c>
      <c r="M419" s="57">
        <f t="shared" si="92"/>
        <v>1</v>
      </c>
      <c r="O419" s="102">
        <f>IF(VLOOKUP($P419,无限模式!$A$100:$X$119,5,FALSE)="","",VLOOKUP($P419,无限模式!$A$100:$X$119,9,FALSE))</f>
        <v>5</v>
      </c>
      <c r="P419" s="110">
        <f t="shared" si="93"/>
        <v>19</v>
      </c>
      <c r="Q419" s="110">
        <v>1</v>
      </c>
    </row>
    <row r="420" spans="2:18" x14ac:dyDescent="0.2">
      <c r="D420" s="57" t="str">
        <f t="shared" si="87"/>
        <v/>
      </c>
      <c r="F420" s="57" t="str">
        <f t="shared" si="88"/>
        <v/>
      </c>
      <c r="G420" s="102" t="str">
        <f t="shared" si="89"/>
        <v/>
      </c>
      <c r="H420" s="57">
        <f t="shared" si="90"/>
        <v>0</v>
      </c>
      <c r="I420" s="102">
        <f>IF(VLOOKUP($P420,无限模式!$A$100:$X$119,10,FALSE)="","",VLOOKUP($P420,无限模式!$A$100:$X$119,11,FALSE))</f>
        <v>28</v>
      </c>
      <c r="J420" s="102">
        <f>IF(VLOOKUP($P420,无限模式!$A$100:$X$119,10,FALSE)="","",VLOOKUP($P420,无限模式!$A$100:$X$119,12,FALSE))</f>
        <v>1</v>
      </c>
      <c r="K420" s="102">
        <f t="shared" si="91"/>
        <v>1</v>
      </c>
      <c r="L420" s="102" t="str">
        <f>IF(VLOOKUP($P420,无限模式!$A$100:$X$119,10,FALSE)="","","Monster_Season4_Infinite_"&amp;P420&amp;"_2")</f>
        <v>Monster_Season4_Infinite_19_2</v>
      </c>
      <c r="M420" s="57">
        <f t="shared" si="92"/>
        <v>1</v>
      </c>
      <c r="O420" s="102">
        <f>IF(VLOOKUP($P420,无限模式!$A$100:$X$119,10,FALSE)="","",VLOOKUP($P420,无限模式!$A$100:$X$119,14,FALSE))</f>
        <v>5</v>
      </c>
      <c r="P420" s="110">
        <f t="shared" si="93"/>
        <v>19</v>
      </c>
      <c r="Q420" s="110">
        <v>2</v>
      </c>
    </row>
    <row r="421" spans="2:18" x14ac:dyDescent="0.2">
      <c r="D421" s="57" t="str">
        <f t="shared" si="87"/>
        <v/>
      </c>
      <c r="F421" s="57" t="str">
        <f t="shared" si="88"/>
        <v/>
      </c>
      <c r="G421" s="102" t="str">
        <f t="shared" si="89"/>
        <v/>
      </c>
      <c r="H421" s="57">
        <f t="shared" si="90"/>
        <v>0</v>
      </c>
      <c r="I421" s="102">
        <f>IF(VLOOKUP($P421,无限模式!$A$100:$X$119,15,FALSE)="","",VLOOKUP(P421,无限模式!$A$100:$X$119,16,FALSE))</f>
        <v>14</v>
      </c>
      <c r="J421" s="102">
        <f>IF(VLOOKUP($P421,无限模式!$A$100:$X$119,15,FALSE)="","",VLOOKUP($P421,无限模式!$A$100:$X$119,17,FALSE))</f>
        <v>2</v>
      </c>
      <c r="K421" s="102">
        <f t="shared" si="91"/>
        <v>1</v>
      </c>
      <c r="L421" s="102" t="str">
        <f>IF(VLOOKUP($P421,无限模式!$A$100:$X$119,15,FALSE)="","","Monster_Season4_Infinite_"&amp;P421&amp;"_3")</f>
        <v>Monster_Season4_Infinite_19_3</v>
      </c>
      <c r="M421" s="57">
        <f t="shared" si="92"/>
        <v>1</v>
      </c>
      <c r="O421" s="102">
        <f>IF(VLOOKUP($P421,无限模式!$A$100:$X$119,15,FALSE)="","",VLOOKUP($P421,无限模式!$A$100:$X$119,19,FALSE))</f>
        <v>5</v>
      </c>
      <c r="P421" s="110">
        <f t="shared" si="93"/>
        <v>19</v>
      </c>
      <c r="Q421" s="110">
        <v>3</v>
      </c>
    </row>
    <row r="422" spans="2:18" x14ac:dyDescent="0.2">
      <c r="D422" s="57" t="str">
        <f t="shared" si="87"/>
        <v/>
      </c>
      <c r="F422" s="57" t="str">
        <f t="shared" si="88"/>
        <v/>
      </c>
      <c r="G422" s="102" t="str">
        <f t="shared" si="89"/>
        <v/>
      </c>
      <c r="H422" s="57" t="str">
        <f t="shared" si="90"/>
        <v/>
      </c>
      <c r="I422" s="102" t="str">
        <f>IF(VLOOKUP($P422,无限模式!$A$100:$X$119,20,FALSE)="","",VLOOKUP($P422,无限模式!$A$100:$X$119,21,FALSE))</f>
        <v/>
      </c>
      <c r="J422" s="102" t="str">
        <f>IF(VLOOKUP($P422,无限模式!$A$100:$X$119,20,FALSE)="","",VLOOKUP($P422,无限模式!$A$100:$X$119,22,FALSE))</f>
        <v/>
      </c>
      <c r="K422" s="102" t="str">
        <f t="shared" si="91"/>
        <v/>
      </c>
      <c r="L422" s="102" t="str">
        <f>IF(VLOOKUP($P422,无限模式!$A$100:$X$119,20,FALSE)="","","Monster_Season4_Infinite_"&amp;P422&amp;"_4")</f>
        <v/>
      </c>
      <c r="M422" s="57" t="str">
        <f t="shared" si="92"/>
        <v/>
      </c>
      <c r="O422" s="102" t="str">
        <f>IF(VLOOKUP($P422,无限模式!$A$100:$X$119,20,FALSE)="","",VLOOKUP($P422,无限模式!$A$100:$X$119,24,FALSE))</f>
        <v/>
      </c>
      <c r="P422" s="110">
        <f t="shared" si="93"/>
        <v>19</v>
      </c>
      <c r="Q422" s="110">
        <v>4</v>
      </c>
    </row>
    <row r="423" spans="2:18" x14ac:dyDescent="0.2">
      <c r="B423" s="57" t="s">
        <v>3140</v>
      </c>
      <c r="C423" s="57">
        <v>20</v>
      </c>
      <c r="D423" s="57" t="str">
        <f t="shared" si="87"/>
        <v>赛季4无限模式第20波</v>
      </c>
      <c r="F423" s="57">
        <f t="shared" si="88"/>
        <v>0</v>
      </c>
      <c r="G423" s="102">
        <f t="shared" si="89"/>
        <v>180</v>
      </c>
      <c r="H423" s="57">
        <f t="shared" si="90"/>
        <v>0</v>
      </c>
      <c r="I423" s="102">
        <f>IF(VLOOKUP($P423,无限模式!$A$100:$X$119,5,FALSE)="","",VLOOKUP($P423,无限模式!$A$100:$X$119,6,FALSE))</f>
        <v>1</v>
      </c>
      <c r="J423" s="102">
        <f>IF(VLOOKUP($P423,无限模式!$A$100:$X$119,5,FALSE)="","",VLOOKUP($P423,无限模式!$A$100:$X$119,7,FALSE))</f>
        <v>0</v>
      </c>
      <c r="K423" s="102">
        <f t="shared" si="91"/>
        <v>1</v>
      </c>
      <c r="L423" s="102" t="str">
        <f>IF(VLOOKUP($P423,无限模式!$A$100:$X$119,5,FALSE)="","","Monster_Season4_Infinite_"&amp;P423&amp;"_1")</f>
        <v>Monster_Season4_Infinite_20_1</v>
      </c>
      <c r="M423" s="57">
        <f t="shared" si="92"/>
        <v>1</v>
      </c>
      <c r="O423" s="102">
        <f>IF(VLOOKUP($P423,无限模式!$A$100:$X$119,5,FALSE)="","",VLOOKUP($P423,无限模式!$A$100:$X$119,9,FALSE))</f>
        <v>62</v>
      </c>
      <c r="P423" s="110">
        <f t="shared" si="93"/>
        <v>20</v>
      </c>
      <c r="Q423" s="110">
        <v>1</v>
      </c>
    </row>
    <row r="424" spans="2:18" x14ac:dyDescent="0.2">
      <c r="D424" s="57" t="str">
        <f t="shared" si="87"/>
        <v/>
      </c>
      <c r="F424" s="57" t="str">
        <f t="shared" si="88"/>
        <v/>
      </c>
      <c r="G424" s="102" t="str">
        <f t="shared" si="89"/>
        <v/>
      </c>
      <c r="H424" s="57">
        <f t="shared" si="90"/>
        <v>0</v>
      </c>
      <c r="I424" s="102">
        <f>IF(VLOOKUP($P424,无限模式!$A$100:$X$119,10,FALSE)="","",VLOOKUP($P424,无限模式!$A$100:$X$119,11,FALSE))</f>
        <v>39</v>
      </c>
      <c r="J424" s="102">
        <f>IF(VLOOKUP($P424,无限模式!$A$100:$X$119,10,FALSE)="","",VLOOKUP($P424,无限模式!$A$100:$X$119,12,FALSE))</f>
        <v>0.75</v>
      </c>
      <c r="K424" s="102">
        <f t="shared" si="91"/>
        <v>1</v>
      </c>
      <c r="L424" s="102" t="str">
        <f>IF(VLOOKUP($P424,无限模式!$A$100:$X$119,10,FALSE)="","","Monster_Season4_Infinite_"&amp;P424&amp;"_2")</f>
        <v>Monster_Season4_Infinite_20_2</v>
      </c>
      <c r="M424" s="57">
        <f t="shared" si="92"/>
        <v>1</v>
      </c>
      <c r="O424" s="102">
        <f>IF(VLOOKUP($P424,无限模式!$A$100:$X$119,10,FALSE)="","",VLOOKUP($P424,无限模式!$A$100:$X$119,14,FALSE))</f>
        <v>2</v>
      </c>
      <c r="P424" s="110">
        <f t="shared" si="93"/>
        <v>20</v>
      </c>
      <c r="Q424" s="110">
        <v>2</v>
      </c>
    </row>
    <row r="425" spans="2:18" x14ac:dyDescent="0.2">
      <c r="D425" s="57" t="str">
        <f t="shared" si="87"/>
        <v/>
      </c>
      <c r="F425" s="57" t="str">
        <f t="shared" si="88"/>
        <v/>
      </c>
      <c r="G425" s="102" t="str">
        <f t="shared" si="89"/>
        <v/>
      </c>
      <c r="H425" s="57">
        <f t="shared" si="90"/>
        <v>0</v>
      </c>
      <c r="I425" s="102">
        <f>IF(VLOOKUP($P425,无限模式!$A$100:$X$119,15,FALSE)="","",VLOOKUP(P425,无限模式!$A$100:$X$119,16,FALSE))</f>
        <v>29</v>
      </c>
      <c r="J425" s="102">
        <f>IF(VLOOKUP($P425,无限模式!$A$100:$X$119,15,FALSE)="","",VLOOKUP($P425,无限模式!$A$100:$X$119,17,FALSE))</f>
        <v>1</v>
      </c>
      <c r="K425" s="102">
        <f t="shared" si="91"/>
        <v>1</v>
      </c>
      <c r="L425" s="102" t="str">
        <f>IF(VLOOKUP($P425,无限模式!$A$100:$X$119,15,FALSE)="","","Monster_Season4_Infinite_"&amp;P425&amp;"_3")</f>
        <v>Monster_Season4_Infinite_20_3</v>
      </c>
      <c r="M425" s="57">
        <f t="shared" si="92"/>
        <v>1</v>
      </c>
      <c r="O425" s="102">
        <f>IF(VLOOKUP($P425,无限模式!$A$100:$X$119,15,FALSE)="","",VLOOKUP($P425,无限模式!$A$100:$X$119,19,FALSE))</f>
        <v>3</v>
      </c>
      <c r="P425" s="110">
        <f t="shared" si="93"/>
        <v>20</v>
      </c>
      <c r="Q425" s="110">
        <v>3</v>
      </c>
    </row>
    <row r="426" spans="2:18" x14ac:dyDescent="0.2">
      <c r="D426" s="57" t="str">
        <f t="shared" ref="D426" si="94">IF(C426="","","无限模式第"&amp;C426&amp;"波")</f>
        <v/>
      </c>
      <c r="F426" s="57" t="str">
        <f t="shared" si="88"/>
        <v/>
      </c>
      <c r="G426" s="102" t="str">
        <f t="shared" si="89"/>
        <v/>
      </c>
      <c r="H426" s="57">
        <f t="shared" si="90"/>
        <v>0</v>
      </c>
      <c r="I426" s="102">
        <f>IF(VLOOKUP($P426,无限模式!$A$100:$X$119,20,FALSE)="","",VLOOKUP($P426,无限模式!$A$100:$X$119,21,FALSE))</f>
        <v>29</v>
      </c>
      <c r="J426" s="102">
        <f>IF(VLOOKUP($P426,无限模式!$A$100:$X$119,20,FALSE)="","",VLOOKUP($P426,无限模式!$A$100:$X$119,22,FALSE))</f>
        <v>1</v>
      </c>
      <c r="K426" s="102">
        <f t="shared" si="91"/>
        <v>1</v>
      </c>
      <c r="L426" s="102" t="str">
        <f>IF(VLOOKUP($P426,无限模式!$A$100:$X$119,20,FALSE)="","","Monster_Season4_Infinite_"&amp;P426&amp;"_4")</f>
        <v>Monster_Season4_Infinite_20_4</v>
      </c>
      <c r="M426" s="57">
        <f t="shared" si="92"/>
        <v>1</v>
      </c>
      <c r="O426" s="102">
        <f>IF(VLOOKUP($P426,无限模式!$A$100:$X$119,20,FALSE)="","",VLOOKUP($P426,无限模式!$A$100:$X$119,24,FALSE))</f>
        <v>3</v>
      </c>
      <c r="P426" s="110">
        <f t="shared" si="93"/>
        <v>20</v>
      </c>
      <c r="Q426" s="110">
        <v>4</v>
      </c>
    </row>
    <row r="427" spans="2:18" s="166" customFormat="1" x14ac:dyDescent="0.2">
      <c r="F427" s="166" t="str">
        <f t="shared" si="88"/>
        <v/>
      </c>
    </row>
    <row r="428" spans="2:18" x14ac:dyDescent="0.2">
      <c r="B428" s="57" t="str">
        <f>IF(C428="","","MonsterWaveCallRule_Challenge"&amp;P428)</f>
        <v>MonsterWaveCallRule_Challenge1</v>
      </c>
      <c r="C428" s="57">
        <v>1</v>
      </c>
      <c r="D428" s="57" t="str">
        <f>IF(C428="","","挑战关卡"&amp;P428&amp;"第"&amp;C428&amp;"波")</f>
        <v>挑战关卡1第1波</v>
      </c>
      <c r="F428" s="57">
        <f t="shared" si="25"/>
        <v>0</v>
      </c>
      <c r="G428" s="102">
        <f>IF(C428="","",180)</f>
        <v>180</v>
      </c>
      <c r="I428" s="102">
        <f>VLOOKUP(P428&amp;"_"&amp;Q428,挑战模式!$A$3:$Z$55,3+5*MonsterWaveCallRuleCfg!R428,FALSE)</f>
        <v>10</v>
      </c>
      <c r="J428" s="102">
        <f>VLOOKUP(P428&amp;"_"&amp;Q428,挑战模式!$A$3:$Z$55,4+5*MonsterWaveCallRuleCfg!R428,FALSE)</f>
        <v>1</v>
      </c>
      <c r="K428" s="102">
        <f t="shared" si="28"/>
        <v>1</v>
      </c>
      <c r="L428" s="102" t="str">
        <f>IF(VLOOKUP(P428&amp;"_"&amp;Q428,挑战模式!$A$3:$Z$55,2+5*R428,FALSE)="","","Monster_Challenge"&amp;P428&amp;"_"&amp;Q428&amp;"_"&amp;R428)</f>
        <v>Monster_Challenge1_1_1</v>
      </c>
      <c r="M428" s="57">
        <f t="shared" si="29"/>
        <v>1</v>
      </c>
      <c r="O428" s="102">
        <f>VLOOKUP(P428&amp;"_"&amp;Q428,挑战模式!$A$3:$Z$55,6+5*MonsterWaveCallRuleCfg!R428,FALSE)</f>
        <v>30</v>
      </c>
      <c r="P428" s="110">
        <v>1</v>
      </c>
      <c r="Q428" s="110">
        <f>C428</f>
        <v>1</v>
      </c>
      <c r="R428" s="110">
        <v>1</v>
      </c>
    </row>
    <row r="429" spans="2:18" x14ac:dyDescent="0.2">
      <c r="B429" s="57" t="str">
        <f t="shared" ref="B429:B492" si="95">IF(C429="","","MonsterWaveCallRule_Challenge"&amp;P429)</f>
        <v/>
      </c>
      <c r="D429" s="57" t="str">
        <f t="shared" ref="D429:D492" si="96">IF(C429="","","挑战关卡"&amp;P429&amp;"第"&amp;C429&amp;"波")</f>
        <v/>
      </c>
      <c r="F429" s="57" t="str">
        <f t="shared" si="25"/>
        <v/>
      </c>
      <c r="G429" s="102" t="str">
        <f t="shared" ref="G429:G492" si="97">IF(C429="","",180)</f>
        <v/>
      </c>
      <c r="I429" s="102" t="str">
        <f>VLOOKUP(P429&amp;"_"&amp;Q429,挑战模式!$A$3:$Z$55,3+5*MonsterWaveCallRuleCfg!R429,FALSE)</f>
        <v/>
      </c>
      <c r="J429" s="102" t="str">
        <f>VLOOKUP(P429&amp;"_"&amp;Q429,挑战模式!$A$3:$Z$55,4+5*MonsterWaveCallRuleCfg!R429,FALSE)</f>
        <v/>
      </c>
      <c r="K429" s="102" t="str">
        <f t="shared" si="28"/>
        <v/>
      </c>
      <c r="L429" s="102" t="str">
        <f>IF(VLOOKUP(P429&amp;"_"&amp;Q429,挑战模式!$A$3:$Z$55,2+5*R429,FALSE)="","","Monster_Challenge"&amp;P429&amp;"_"&amp;Q429&amp;"_"&amp;R429)</f>
        <v/>
      </c>
      <c r="M429" s="57" t="str">
        <f t="shared" si="29"/>
        <v/>
      </c>
      <c r="O429" s="102" t="str">
        <f>VLOOKUP(P429&amp;"_"&amp;Q429,挑战模式!$A$3:$Z$55,6+5*MonsterWaveCallRuleCfg!R429,FALSE)</f>
        <v/>
      </c>
      <c r="P429" s="110">
        <v>1</v>
      </c>
      <c r="Q429" s="110">
        <f>IF(C429="",Q428,C429)</f>
        <v>1</v>
      </c>
      <c r="R429" s="110">
        <v>2</v>
      </c>
    </row>
    <row r="430" spans="2:18" x14ac:dyDescent="0.2">
      <c r="B430" s="57" t="str">
        <f t="shared" si="95"/>
        <v/>
      </c>
      <c r="D430" s="57" t="str">
        <f t="shared" si="96"/>
        <v/>
      </c>
      <c r="F430" s="57" t="str">
        <f t="shared" si="25"/>
        <v/>
      </c>
      <c r="G430" s="102" t="str">
        <f t="shared" si="97"/>
        <v/>
      </c>
      <c r="I430" s="102" t="str">
        <f>VLOOKUP(P430&amp;"_"&amp;Q430,挑战模式!$A$3:$Z$55,3+5*MonsterWaveCallRuleCfg!R430,FALSE)</f>
        <v/>
      </c>
      <c r="J430" s="102" t="str">
        <f>VLOOKUP(P430&amp;"_"&amp;Q430,挑战模式!$A$3:$Z$55,4+5*MonsterWaveCallRuleCfg!R430,FALSE)</f>
        <v/>
      </c>
      <c r="K430" s="102" t="str">
        <f t="shared" si="28"/>
        <v/>
      </c>
      <c r="L430" s="102" t="str">
        <f>IF(VLOOKUP(P430&amp;"_"&amp;Q430,挑战模式!$A$3:$Z$55,2+5*R430,FALSE)="","","Monster_Challenge"&amp;P430&amp;"_"&amp;Q430&amp;"_"&amp;R430)</f>
        <v/>
      </c>
      <c r="M430" s="57" t="str">
        <f t="shared" si="29"/>
        <v/>
      </c>
      <c r="O430" s="102" t="str">
        <f>VLOOKUP(P430&amp;"_"&amp;Q430,挑战模式!$A$3:$Z$55,6+5*MonsterWaveCallRuleCfg!R430,FALSE)</f>
        <v/>
      </c>
      <c r="P430" s="110">
        <v>1</v>
      </c>
      <c r="Q430" s="110">
        <f t="shared" ref="Q430:Q493" si="98">IF(C430="",Q429,C430)</f>
        <v>1</v>
      </c>
      <c r="R430" s="110">
        <v>3</v>
      </c>
    </row>
    <row r="431" spans="2:18" x14ac:dyDescent="0.2">
      <c r="B431" s="57" t="str">
        <f t="shared" si="95"/>
        <v/>
      </c>
      <c r="D431" s="57" t="str">
        <f t="shared" si="96"/>
        <v/>
      </c>
      <c r="F431" s="57" t="str">
        <f t="shared" si="25"/>
        <v/>
      </c>
      <c r="G431" s="102" t="str">
        <f t="shared" si="97"/>
        <v/>
      </c>
      <c r="I431" s="102" t="str">
        <f>VLOOKUP(P431&amp;"_"&amp;Q431,挑战模式!$A$3:$Z$55,3+5*MonsterWaveCallRuleCfg!R431,FALSE)</f>
        <v/>
      </c>
      <c r="J431" s="102" t="str">
        <f>VLOOKUP(P431&amp;"_"&amp;Q431,挑战模式!$A$3:$Z$55,4+5*MonsterWaveCallRuleCfg!R431,FALSE)</f>
        <v/>
      </c>
      <c r="K431" s="102" t="str">
        <f t="shared" si="28"/>
        <v/>
      </c>
      <c r="L431" s="102" t="str">
        <f>IF(VLOOKUP(P431&amp;"_"&amp;Q431,挑战模式!$A$3:$Z$55,2+5*R431,FALSE)="","","Monster_Challenge"&amp;P431&amp;"_"&amp;Q431&amp;"_"&amp;R431)</f>
        <v/>
      </c>
      <c r="M431" s="57" t="str">
        <f t="shared" si="29"/>
        <v/>
      </c>
      <c r="O431" s="102" t="str">
        <f>VLOOKUP(P431&amp;"_"&amp;Q431,挑战模式!$A$3:$Z$55,6+5*MonsterWaveCallRuleCfg!R431,FALSE)</f>
        <v/>
      </c>
      <c r="P431" s="110">
        <v>1</v>
      </c>
      <c r="Q431" s="110">
        <f t="shared" si="98"/>
        <v>1</v>
      </c>
      <c r="R431" s="110">
        <v>4</v>
      </c>
    </row>
    <row r="432" spans="2:18" x14ac:dyDescent="0.2">
      <c r="B432" s="57" t="str">
        <f t="shared" si="95"/>
        <v>MonsterWaveCallRule_Challenge1</v>
      </c>
      <c r="C432" s="57">
        <v>2</v>
      </c>
      <c r="D432" s="57" t="str">
        <f t="shared" si="96"/>
        <v>挑战关卡1第2波</v>
      </c>
      <c r="F432" s="57">
        <f t="shared" si="25"/>
        <v>0</v>
      </c>
      <c r="G432" s="102">
        <f t="shared" si="97"/>
        <v>180</v>
      </c>
      <c r="I432" s="102">
        <f>VLOOKUP(P432&amp;"_"&amp;Q432,挑战模式!$A$3:$Z$55,3+5*MonsterWaveCallRuleCfg!R432,FALSE)</f>
        <v>27</v>
      </c>
      <c r="J432" s="102">
        <f>VLOOKUP(P432&amp;"_"&amp;Q432,挑战模式!$A$3:$Z$55,4+5*MonsterWaveCallRuleCfg!R432,FALSE)</f>
        <v>0.75</v>
      </c>
      <c r="K432" s="102">
        <f t="shared" si="28"/>
        <v>1</v>
      </c>
      <c r="L432" s="102" t="str">
        <f>IF(VLOOKUP(P432&amp;"_"&amp;Q432,挑战模式!$A$3:$Z$55,2+5*R432,FALSE)="","","Monster_Challenge"&amp;P432&amp;"_"&amp;Q432&amp;"_"&amp;R432)</f>
        <v>Monster_Challenge1_2_1</v>
      </c>
      <c r="M432" s="57">
        <f t="shared" si="29"/>
        <v>1</v>
      </c>
      <c r="O432" s="102">
        <f>VLOOKUP(P432&amp;"_"&amp;Q432,挑战模式!$A$3:$Z$55,6+5*MonsterWaveCallRuleCfg!R432,FALSE)</f>
        <v>6</v>
      </c>
      <c r="P432" s="110">
        <v>1</v>
      </c>
      <c r="Q432" s="110">
        <f t="shared" si="98"/>
        <v>2</v>
      </c>
      <c r="R432" s="110">
        <v>1</v>
      </c>
    </row>
    <row r="433" spans="2:18" x14ac:dyDescent="0.2">
      <c r="B433" s="57" t="str">
        <f t="shared" si="95"/>
        <v/>
      </c>
      <c r="D433" s="57" t="str">
        <f t="shared" si="96"/>
        <v/>
      </c>
      <c r="F433" s="57" t="str">
        <f t="shared" si="25"/>
        <v/>
      </c>
      <c r="G433" s="102" t="str">
        <f t="shared" si="97"/>
        <v/>
      </c>
      <c r="I433" s="102">
        <f>VLOOKUP(P433&amp;"_"&amp;Q433,挑战模式!$A$3:$Z$55,3+5*MonsterWaveCallRuleCfg!R433,FALSE)</f>
        <v>10</v>
      </c>
      <c r="J433" s="102">
        <f>VLOOKUP(P433&amp;"_"&amp;Q433,挑战模式!$A$3:$Z$55,4+5*MonsterWaveCallRuleCfg!R433,FALSE)</f>
        <v>2</v>
      </c>
      <c r="K433" s="102">
        <f t="shared" si="28"/>
        <v>1</v>
      </c>
      <c r="L433" s="102" t="str">
        <f>IF(VLOOKUP(P433&amp;"_"&amp;Q433,挑战模式!$A$3:$Z$55,2+5*R433,FALSE)="","","Monster_Challenge"&amp;P433&amp;"_"&amp;Q433&amp;"_"&amp;R433)</f>
        <v>Monster_Challenge1_2_2</v>
      </c>
      <c r="M433" s="57">
        <f t="shared" si="29"/>
        <v>1</v>
      </c>
      <c r="O433" s="102">
        <f>VLOOKUP(P433&amp;"_"&amp;Q433,挑战模式!$A$3:$Z$55,6+5*MonsterWaveCallRuleCfg!R433,FALSE)</f>
        <v>13</v>
      </c>
      <c r="P433" s="110">
        <v>1</v>
      </c>
      <c r="Q433" s="110">
        <f t="shared" si="98"/>
        <v>2</v>
      </c>
      <c r="R433" s="110">
        <v>2</v>
      </c>
    </row>
    <row r="434" spans="2:18" x14ac:dyDescent="0.2">
      <c r="B434" s="57" t="str">
        <f t="shared" si="95"/>
        <v/>
      </c>
      <c r="D434" s="57" t="str">
        <f t="shared" si="96"/>
        <v/>
      </c>
      <c r="F434" s="57" t="str">
        <f t="shared" si="25"/>
        <v/>
      </c>
      <c r="G434" s="102" t="str">
        <f t="shared" si="97"/>
        <v/>
      </c>
      <c r="I434" s="102" t="str">
        <f>VLOOKUP(P434&amp;"_"&amp;Q434,挑战模式!$A$3:$Z$55,3+5*MonsterWaveCallRuleCfg!R434,FALSE)</f>
        <v/>
      </c>
      <c r="J434" s="102" t="str">
        <f>VLOOKUP(P434&amp;"_"&amp;Q434,挑战模式!$A$3:$Z$55,4+5*MonsterWaveCallRuleCfg!R434,FALSE)</f>
        <v/>
      </c>
      <c r="K434" s="102" t="str">
        <f t="shared" si="28"/>
        <v/>
      </c>
      <c r="L434" s="102" t="str">
        <f>IF(VLOOKUP(P434&amp;"_"&amp;Q434,挑战模式!$A$3:$Z$55,2+5*R434,FALSE)="","","Monster_Challenge"&amp;P434&amp;"_"&amp;Q434&amp;"_"&amp;R434)</f>
        <v/>
      </c>
      <c r="M434" s="57" t="str">
        <f t="shared" si="29"/>
        <v/>
      </c>
      <c r="O434" s="102" t="str">
        <f>VLOOKUP(P434&amp;"_"&amp;Q434,挑战模式!$A$3:$Z$55,6+5*MonsterWaveCallRuleCfg!R434,FALSE)</f>
        <v/>
      </c>
      <c r="P434" s="110">
        <v>1</v>
      </c>
      <c r="Q434" s="110">
        <f t="shared" si="98"/>
        <v>2</v>
      </c>
      <c r="R434" s="110">
        <v>3</v>
      </c>
    </row>
    <row r="435" spans="2:18" x14ac:dyDescent="0.2">
      <c r="B435" s="57" t="str">
        <f t="shared" si="95"/>
        <v/>
      </c>
      <c r="D435" s="57" t="str">
        <f t="shared" si="96"/>
        <v/>
      </c>
      <c r="F435" s="57" t="str">
        <f t="shared" si="25"/>
        <v/>
      </c>
      <c r="G435" s="102" t="str">
        <f t="shared" si="97"/>
        <v/>
      </c>
      <c r="I435" s="102" t="str">
        <f>VLOOKUP(P435&amp;"_"&amp;Q435,挑战模式!$A$3:$Z$55,3+5*MonsterWaveCallRuleCfg!R435,FALSE)</f>
        <v/>
      </c>
      <c r="J435" s="102" t="str">
        <f>VLOOKUP(P435&amp;"_"&amp;Q435,挑战模式!$A$3:$Z$55,4+5*MonsterWaveCallRuleCfg!R435,FALSE)</f>
        <v/>
      </c>
      <c r="K435" s="102" t="str">
        <f t="shared" si="28"/>
        <v/>
      </c>
      <c r="L435" s="102" t="str">
        <f>IF(VLOOKUP(P435&amp;"_"&amp;Q435,挑战模式!$A$3:$Z$55,2+5*R435,FALSE)="","","Monster_Challenge"&amp;P435&amp;"_"&amp;Q435&amp;"_"&amp;R435)</f>
        <v/>
      </c>
      <c r="M435" s="57" t="str">
        <f t="shared" si="29"/>
        <v/>
      </c>
      <c r="O435" s="102" t="str">
        <f>VLOOKUP(P435&amp;"_"&amp;Q435,挑战模式!$A$3:$Z$55,6+5*MonsterWaveCallRuleCfg!R435,FALSE)</f>
        <v/>
      </c>
      <c r="P435" s="110">
        <v>1</v>
      </c>
      <c r="Q435" s="110">
        <f t="shared" si="98"/>
        <v>2</v>
      </c>
      <c r="R435" s="110">
        <v>4</v>
      </c>
    </row>
    <row r="436" spans="2:18" x14ac:dyDescent="0.2">
      <c r="B436" s="57" t="str">
        <f t="shared" si="95"/>
        <v>MonsterWaveCallRule_Challenge1</v>
      </c>
      <c r="C436" s="57">
        <v>3</v>
      </c>
      <c r="D436" s="57" t="str">
        <f t="shared" si="96"/>
        <v>挑战关卡1第3波</v>
      </c>
      <c r="F436" s="57">
        <f t="shared" si="25"/>
        <v>0</v>
      </c>
      <c r="G436" s="102">
        <f t="shared" si="97"/>
        <v>180</v>
      </c>
      <c r="I436" s="102" t="str">
        <f>VLOOKUP(P436&amp;"_"&amp;Q436,挑战模式!$A$3:$Z$55,3+5*MonsterWaveCallRuleCfg!R436,FALSE)</f>
        <v/>
      </c>
      <c r="J436" s="102" t="str">
        <f>VLOOKUP(P436&amp;"_"&amp;Q436,挑战模式!$A$3:$Z$55,4+5*MonsterWaveCallRuleCfg!R436,FALSE)</f>
        <v/>
      </c>
      <c r="K436" s="102" t="str">
        <f t="shared" si="28"/>
        <v/>
      </c>
      <c r="L436" s="102" t="str">
        <f>IF(VLOOKUP(P436&amp;"_"&amp;Q436,挑战模式!$A$3:$Z$55,2+5*R436,FALSE)="","","Monster_Challenge"&amp;P436&amp;"_"&amp;Q436&amp;"_"&amp;R436)</f>
        <v/>
      </c>
      <c r="M436" s="57" t="str">
        <f t="shared" si="29"/>
        <v/>
      </c>
      <c r="O436" s="102" t="str">
        <f>VLOOKUP(P436&amp;"_"&amp;Q436,挑战模式!$A$3:$Z$55,6+5*MonsterWaveCallRuleCfg!R436,FALSE)</f>
        <v/>
      </c>
      <c r="P436" s="110">
        <v>1</v>
      </c>
      <c r="Q436" s="110">
        <f t="shared" si="98"/>
        <v>3</v>
      </c>
      <c r="R436" s="110">
        <v>1</v>
      </c>
    </row>
    <row r="437" spans="2:18" x14ac:dyDescent="0.2">
      <c r="B437" s="57" t="str">
        <f t="shared" si="95"/>
        <v/>
      </c>
      <c r="D437" s="57" t="str">
        <f t="shared" si="96"/>
        <v/>
      </c>
      <c r="F437" s="57" t="str">
        <f t="shared" si="25"/>
        <v/>
      </c>
      <c r="G437" s="102" t="str">
        <f t="shared" si="97"/>
        <v/>
      </c>
      <c r="I437" s="102" t="str">
        <f>VLOOKUP(P437&amp;"_"&amp;Q437,挑战模式!$A$3:$Z$55,3+5*MonsterWaveCallRuleCfg!R437,FALSE)</f>
        <v/>
      </c>
      <c r="J437" s="102" t="str">
        <f>VLOOKUP(P437&amp;"_"&amp;Q437,挑战模式!$A$3:$Z$55,4+5*MonsterWaveCallRuleCfg!R437,FALSE)</f>
        <v/>
      </c>
      <c r="K437" s="102" t="str">
        <f t="shared" si="28"/>
        <v/>
      </c>
      <c r="L437" s="102" t="str">
        <f>IF(VLOOKUP(P437&amp;"_"&amp;Q437,挑战模式!$A$3:$Z$55,2+5*R437,FALSE)="","","Monster_Challenge"&amp;P437&amp;"_"&amp;Q437&amp;"_"&amp;R437)</f>
        <v/>
      </c>
      <c r="M437" s="57" t="str">
        <f t="shared" si="29"/>
        <v/>
      </c>
      <c r="O437" s="102" t="str">
        <f>VLOOKUP(P437&amp;"_"&amp;Q437,挑战模式!$A$3:$Z$55,6+5*MonsterWaveCallRuleCfg!R437,FALSE)</f>
        <v/>
      </c>
      <c r="P437" s="110">
        <v>1</v>
      </c>
      <c r="Q437" s="110">
        <f t="shared" si="98"/>
        <v>3</v>
      </c>
      <c r="R437" s="110">
        <v>2</v>
      </c>
    </row>
    <row r="438" spans="2:18" x14ac:dyDescent="0.2">
      <c r="B438" s="57" t="str">
        <f t="shared" si="95"/>
        <v/>
      </c>
      <c r="D438" s="57" t="str">
        <f t="shared" si="96"/>
        <v/>
      </c>
      <c r="F438" s="57" t="str">
        <f t="shared" si="25"/>
        <v/>
      </c>
      <c r="G438" s="102" t="str">
        <f t="shared" si="97"/>
        <v/>
      </c>
      <c r="I438" s="102" t="str">
        <f>VLOOKUP(P438&amp;"_"&amp;Q438,挑战模式!$A$3:$Z$55,3+5*MonsterWaveCallRuleCfg!R438,FALSE)</f>
        <v/>
      </c>
      <c r="J438" s="102" t="str">
        <f>VLOOKUP(P438&amp;"_"&amp;Q438,挑战模式!$A$3:$Z$55,4+5*MonsterWaveCallRuleCfg!R438,FALSE)</f>
        <v/>
      </c>
      <c r="K438" s="102" t="str">
        <f t="shared" si="28"/>
        <v/>
      </c>
      <c r="L438" s="102" t="str">
        <f>IF(VLOOKUP(P438&amp;"_"&amp;Q438,挑战模式!$A$3:$Z$55,2+5*R438,FALSE)="","","Monster_Challenge"&amp;P438&amp;"_"&amp;Q438&amp;"_"&amp;R438)</f>
        <v/>
      </c>
      <c r="M438" s="57" t="str">
        <f t="shared" si="29"/>
        <v/>
      </c>
      <c r="O438" s="102" t="str">
        <f>VLOOKUP(P438&amp;"_"&amp;Q438,挑战模式!$A$3:$Z$55,6+5*MonsterWaveCallRuleCfg!R438,FALSE)</f>
        <v/>
      </c>
      <c r="P438" s="110">
        <v>1</v>
      </c>
      <c r="Q438" s="110">
        <f t="shared" si="98"/>
        <v>3</v>
      </c>
      <c r="R438" s="110">
        <v>3</v>
      </c>
    </row>
    <row r="439" spans="2:18" x14ac:dyDescent="0.2">
      <c r="B439" s="57" t="str">
        <f t="shared" si="95"/>
        <v/>
      </c>
      <c r="D439" s="57" t="str">
        <f t="shared" si="96"/>
        <v/>
      </c>
      <c r="F439" s="57" t="str">
        <f t="shared" si="25"/>
        <v/>
      </c>
      <c r="G439" s="102" t="str">
        <f t="shared" si="97"/>
        <v/>
      </c>
      <c r="I439" s="102" t="str">
        <f>VLOOKUP(P439&amp;"_"&amp;Q439,挑战模式!$A$3:$Z$55,3+5*MonsterWaveCallRuleCfg!R439,FALSE)</f>
        <v/>
      </c>
      <c r="J439" s="102" t="str">
        <f>VLOOKUP(P439&amp;"_"&amp;Q439,挑战模式!$A$3:$Z$55,4+5*MonsterWaveCallRuleCfg!R439,FALSE)</f>
        <v/>
      </c>
      <c r="K439" s="102" t="str">
        <f t="shared" si="28"/>
        <v/>
      </c>
      <c r="L439" s="102" t="str">
        <f>IF(VLOOKUP(P439&amp;"_"&amp;Q439,挑战模式!$A$3:$Z$55,2+5*R439,FALSE)="","","Monster_Challenge"&amp;P439&amp;"_"&amp;Q439&amp;"_"&amp;R439)</f>
        <v/>
      </c>
      <c r="M439" s="57" t="str">
        <f t="shared" si="29"/>
        <v/>
      </c>
      <c r="O439" s="102" t="str">
        <f>VLOOKUP(P439&amp;"_"&amp;Q439,挑战模式!$A$3:$Z$55,6+5*MonsterWaveCallRuleCfg!R439,FALSE)</f>
        <v/>
      </c>
      <c r="P439" s="110">
        <v>1</v>
      </c>
      <c r="Q439" s="110">
        <f t="shared" si="98"/>
        <v>3</v>
      </c>
      <c r="R439" s="110">
        <v>4</v>
      </c>
    </row>
    <row r="440" spans="2:18" x14ac:dyDescent="0.2">
      <c r="B440" s="57" t="str">
        <f t="shared" si="95"/>
        <v>MonsterWaveCallRule_Challenge1</v>
      </c>
      <c r="C440" s="57">
        <v>4</v>
      </c>
      <c r="D440" s="57" t="str">
        <f t="shared" si="96"/>
        <v>挑战关卡1第4波</v>
      </c>
      <c r="F440" s="57">
        <f t="shared" si="25"/>
        <v>0</v>
      </c>
      <c r="G440" s="102">
        <f t="shared" si="97"/>
        <v>180</v>
      </c>
      <c r="I440" s="102" t="str">
        <f>VLOOKUP(P440&amp;"_"&amp;Q440,挑战模式!$A$3:$Z$55,3+5*MonsterWaveCallRuleCfg!R440,FALSE)</f>
        <v/>
      </c>
      <c r="J440" s="102" t="str">
        <f>VLOOKUP(P440&amp;"_"&amp;Q440,挑战模式!$A$3:$Z$55,4+5*MonsterWaveCallRuleCfg!R440,FALSE)</f>
        <v/>
      </c>
      <c r="K440" s="102" t="str">
        <f t="shared" si="28"/>
        <v/>
      </c>
      <c r="L440" s="102" t="str">
        <f>IF(VLOOKUP(P440&amp;"_"&amp;Q440,挑战模式!$A$3:$Z$55,2+5*R440,FALSE)="","","Monster_Challenge"&amp;P440&amp;"_"&amp;Q440&amp;"_"&amp;R440)</f>
        <v/>
      </c>
      <c r="M440" s="57" t="str">
        <f t="shared" si="29"/>
        <v/>
      </c>
      <c r="O440" s="102" t="str">
        <f>VLOOKUP(P440&amp;"_"&amp;Q440,挑战模式!$A$3:$Z$55,6+5*MonsterWaveCallRuleCfg!R440,FALSE)</f>
        <v/>
      </c>
      <c r="P440" s="110">
        <v>1</v>
      </c>
      <c r="Q440" s="110">
        <f t="shared" si="98"/>
        <v>4</v>
      </c>
      <c r="R440" s="110">
        <v>1</v>
      </c>
    </row>
    <row r="441" spans="2:18" x14ac:dyDescent="0.2">
      <c r="B441" s="57" t="str">
        <f t="shared" si="95"/>
        <v/>
      </c>
      <c r="D441" s="57" t="str">
        <f t="shared" si="96"/>
        <v/>
      </c>
      <c r="F441" s="57" t="str">
        <f t="shared" si="25"/>
        <v/>
      </c>
      <c r="G441" s="102" t="str">
        <f t="shared" si="97"/>
        <v/>
      </c>
      <c r="I441" s="102" t="str">
        <f>VLOOKUP(P441&amp;"_"&amp;Q441,挑战模式!$A$3:$Z$55,3+5*MonsterWaveCallRuleCfg!R441,FALSE)</f>
        <v/>
      </c>
      <c r="J441" s="102" t="str">
        <f>VLOOKUP(P441&amp;"_"&amp;Q441,挑战模式!$A$3:$Z$55,4+5*MonsterWaveCallRuleCfg!R441,FALSE)</f>
        <v/>
      </c>
      <c r="K441" s="102" t="str">
        <f t="shared" si="28"/>
        <v/>
      </c>
      <c r="L441" s="102" t="str">
        <f>IF(VLOOKUP(P441&amp;"_"&amp;Q441,挑战模式!$A$3:$Z$55,2+5*R441,FALSE)="","","Monster_Challenge"&amp;P441&amp;"_"&amp;Q441&amp;"_"&amp;R441)</f>
        <v/>
      </c>
      <c r="M441" s="57" t="str">
        <f t="shared" si="29"/>
        <v/>
      </c>
      <c r="O441" s="102" t="str">
        <f>VLOOKUP(P441&amp;"_"&amp;Q441,挑战模式!$A$3:$Z$55,6+5*MonsterWaveCallRuleCfg!R441,FALSE)</f>
        <v/>
      </c>
      <c r="P441" s="110">
        <v>1</v>
      </c>
      <c r="Q441" s="110">
        <f t="shared" si="98"/>
        <v>4</v>
      </c>
      <c r="R441" s="110">
        <v>2</v>
      </c>
    </row>
    <row r="442" spans="2:18" x14ac:dyDescent="0.2">
      <c r="B442" s="57" t="str">
        <f t="shared" si="95"/>
        <v/>
      </c>
      <c r="D442" s="57" t="str">
        <f t="shared" si="96"/>
        <v/>
      </c>
      <c r="F442" s="57" t="str">
        <f t="shared" si="25"/>
        <v/>
      </c>
      <c r="G442" s="102" t="str">
        <f t="shared" si="97"/>
        <v/>
      </c>
      <c r="I442" s="102" t="str">
        <f>VLOOKUP(P442&amp;"_"&amp;Q442,挑战模式!$A$3:$Z$55,3+5*MonsterWaveCallRuleCfg!R442,FALSE)</f>
        <v/>
      </c>
      <c r="J442" s="102" t="str">
        <f>VLOOKUP(P442&amp;"_"&amp;Q442,挑战模式!$A$3:$Z$55,4+5*MonsterWaveCallRuleCfg!R442,FALSE)</f>
        <v/>
      </c>
      <c r="K442" s="102" t="str">
        <f t="shared" si="28"/>
        <v/>
      </c>
      <c r="L442" s="102" t="str">
        <f>IF(VLOOKUP(P442&amp;"_"&amp;Q442,挑战模式!$A$3:$Z$55,2+5*R442,FALSE)="","","Monster_Challenge"&amp;P442&amp;"_"&amp;Q442&amp;"_"&amp;R442)</f>
        <v/>
      </c>
      <c r="M442" s="57" t="str">
        <f t="shared" si="29"/>
        <v/>
      </c>
      <c r="O442" s="102" t="str">
        <f>VLOOKUP(P442&amp;"_"&amp;Q442,挑战模式!$A$3:$Z$55,6+5*MonsterWaveCallRuleCfg!R442,FALSE)</f>
        <v/>
      </c>
      <c r="P442" s="110">
        <v>1</v>
      </c>
      <c r="Q442" s="110">
        <f t="shared" si="98"/>
        <v>4</v>
      </c>
      <c r="R442" s="110">
        <v>3</v>
      </c>
    </row>
    <row r="443" spans="2:18" x14ac:dyDescent="0.2">
      <c r="B443" s="57" t="str">
        <f t="shared" si="95"/>
        <v/>
      </c>
      <c r="D443" s="57" t="str">
        <f t="shared" si="96"/>
        <v/>
      </c>
      <c r="F443" s="57" t="str">
        <f t="shared" si="25"/>
        <v/>
      </c>
      <c r="G443" s="102" t="str">
        <f t="shared" si="97"/>
        <v/>
      </c>
      <c r="I443" s="102" t="str">
        <f>VLOOKUP(P443&amp;"_"&amp;Q443,挑战模式!$A$3:$Z$55,3+5*MonsterWaveCallRuleCfg!R443,FALSE)</f>
        <v/>
      </c>
      <c r="J443" s="102" t="str">
        <f>VLOOKUP(P443&amp;"_"&amp;Q443,挑战模式!$A$3:$Z$55,4+5*MonsterWaveCallRuleCfg!R443,FALSE)</f>
        <v/>
      </c>
      <c r="K443" s="102" t="str">
        <f t="shared" si="28"/>
        <v/>
      </c>
      <c r="L443" s="102" t="str">
        <f>IF(VLOOKUP(P443&amp;"_"&amp;Q443,挑战模式!$A$3:$Z$55,2+5*R443,FALSE)="","","Monster_Challenge"&amp;P443&amp;"_"&amp;Q443&amp;"_"&amp;R443)</f>
        <v/>
      </c>
      <c r="M443" s="57" t="str">
        <f t="shared" si="29"/>
        <v/>
      </c>
      <c r="O443" s="102" t="str">
        <f>VLOOKUP(P443&amp;"_"&amp;Q443,挑战模式!$A$3:$Z$55,6+5*MonsterWaveCallRuleCfg!R443,FALSE)</f>
        <v/>
      </c>
      <c r="P443" s="110">
        <v>1</v>
      </c>
      <c r="Q443" s="110">
        <f t="shared" si="98"/>
        <v>4</v>
      </c>
      <c r="R443" s="110">
        <v>4</v>
      </c>
    </row>
    <row r="444" spans="2:18" x14ac:dyDescent="0.2">
      <c r="B444" s="57" t="str">
        <f t="shared" si="95"/>
        <v>MonsterWaveCallRule_Challenge1</v>
      </c>
      <c r="C444" s="57">
        <v>5</v>
      </c>
      <c r="D444" s="57" t="str">
        <f t="shared" si="96"/>
        <v>挑战关卡1第5波</v>
      </c>
      <c r="F444" s="57">
        <f t="shared" si="25"/>
        <v>0</v>
      </c>
      <c r="G444" s="102">
        <f t="shared" si="97"/>
        <v>180</v>
      </c>
      <c r="I444" s="102" t="str">
        <f>VLOOKUP(P444&amp;"_"&amp;Q444,挑战模式!$A$3:$Z$55,3+5*MonsterWaveCallRuleCfg!R444,FALSE)</f>
        <v/>
      </c>
      <c r="J444" s="102" t="str">
        <f>VLOOKUP(P444&amp;"_"&amp;Q444,挑战模式!$A$3:$Z$55,4+5*MonsterWaveCallRuleCfg!R444,FALSE)</f>
        <v/>
      </c>
      <c r="K444" s="102" t="str">
        <f t="shared" si="28"/>
        <v/>
      </c>
      <c r="L444" s="102" t="str">
        <f>IF(VLOOKUP(P444&amp;"_"&amp;Q444,挑战模式!$A$3:$Z$55,2+5*R444,FALSE)="","","Monster_Challenge"&amp;P444&amp;"_"&amp;Q444&amp;"_"&amp;R444)</f>
        <v/>
      </c>
      <c r="M444" s="57" t="str">
        <f t="shared" si="29"/>
        <v/>
      </c>
      <c r="O444" s="102" t="str">
        <f>VLOOKUP(P444&amp;"_"&amp;Q444,挑战模式!$A$3:$Z$55,6+5*MonsterWaveCallRuleCfg!R444,FALSE)</f>
        <v/>
      </c>
      <c r="P444" s="110">
        <v>1</v>
      </c>
      <c r="Q444" s="110">
        <f t="shared" si="98"/>
        <v>5</v>
      </c>
      <c r="R444" s="110">
        <v>1</v>
      </c>
    </row>
    <row r="445" spans="2:18" x14ac:dyDescent="0.2">
      <c r="B445" s="57" t="str">
        <f t="shared" si="95"/>
        <v/>
      </c>
      <c r="D445" s="57" t="str">
        <f t="shared" si="96"/>
        <v/>
      </c>
      <c r="F445" s="57" t="str">
        <f t="shared" si="25"/>
        <v/>
      </c>
      <c r="G445" s="102" t="str">
        <f t="shared" si="97"/>
        <v/>
      </c>
      <c r="I445" s="102" t="str">
        <f>VLOOKUP(P445&amp;"_"&amp;Q445,挑战模式!$A$3:$Z$55,3+5*MonsterWaveCallRuleCfg!R445,FALSE)</f>
        <v/>
      </c>
      <c r="J445" s="102" t="str">
        <f>VLOOKUP(P445&amp;"_"&amp;Q445,挑战模式!$A$3:$Z$55,4+5*MonsterWaveCallRuleCfg!R445,FALSE)</f>
        <v/>
      </c>
      <c r="K445" s="102" t="str">
        <f t="shared" si="28"/>
        <v/>
      </c>
      <c r="L445" s="102" t="str">
        <f>IF(VLOOKUP(P445&amp;"_"&amp;Q445,挑战模式!$A$3:$Z$55,2+5*R445,FALSE)="","","Monster_Challenge"&amp;P445&amp;"_"&amp;Q445&amp;"_"&amp;R445)</f>
        <v/>
      </c>
      <c r="M445" s="57" t="str">
        <f t="shared" si="29"/>
        <v/>
      </c>
      <c r="O445" s="102" t="str">
        <f>VLOOKUP(P445&amp;"_"&amp;Q445,挑战模式!$A$3:$Z$55,6+5*MonsterWaveCallRuleCfg!R445,FALSE)</f>
        <v/>
      </c>
      <c r="P445" s="110">
        <v>1</v>
      </c>
      <c r="Q445" s="110">
        <f t="shared" si="98"/>
        <v>5</v>
      </c>
      <c r="R445" s="110">
        <v>2</v>
      </c>
    </row>
    <row r="446" spans="2:18" x14ac:dyDescent="0.2">
      <c r="B446" s="57" t="str">
        <f t="shared" si="95"/>
        <v/>
      </c>
      <c r="D446" s="57" t="str">
        <f t="shared" si="96"/>
        <v/>
      </c>
      <c r="F446" s="57" t="str">
        <f t="shared" si="25"/>
        <v/>
      </c>
      <c r="G446" s="102" t="str">
        <f t="shared" si="97"/>
        <v/>
      </c>
      <c r="I446" s="102" t="str">
        <f>VLOOKUP(P446&amp;"_"&amp;Q446,挑战模式!$A$3:$Z$55,3+5*MonsterWaveCallRuleCfg!R446,FALSE)</f>
        <v/>
      </c>
      <c r="J446" s="102" t="str">
        <f>VLOOKUP(P446&amp;"_"&amp;Q446,挑战模式!$A$3:$Z$55,4+5*MonsterWaveCallRuleCfg!R446,FALSE)</f>
        <v/>
      </c>
      <c r="K446" s="102" t="str">
        <f t="shared" si="28"/>
        <v/>
      </c>
      <c r="L446" s="102" t="str">
        <f>IF(VLOOKUP(P446&amp;"_"&amp;Q446,挑战模式!$A$3:$Z$55,2+5*R446,FALSE)="","","Monster_Challenge"&amp;P446&amp;"_"&amp;Q446&amp;"_"&amp;R446)</f>
        <v/>
      </c>
      <c r="M446" s="57" t="str">
        <f t="shared" si="29"/>
        <v/>
      </c>
      <c r="O446" s="102" t="str">
        <f>VLOOKUP(P446&amp;"_"&amp;Q446,挑战模式!$A$3:$Z$55,6+5*MonsterWaveCallRuleCfg!R446,FALSE)</f>
        <v/>
      </c>
      <c r="P446" s="110">
        <v>1</v>
      </c>
      <c r="Q446" s="110">
        <f t="shared" si="98"/>
        <v>5</v>
      </c>
      <c r="R446" s="110">
        <v>3</v>
      </c>
    </row>
    <row r="447" spans="2:18" x14ac:dyDescent="0.2">
      <c r="B447" s="57" t="str">
        <f t="shared" si="95"/>
        <v/>
      </c>
      <c r="D447" s="57" t="str">
        <f t="shared" si="96"/>
        <v/>
      </c>
      <c r="F447" s="57" t="str">
        <f t="shared" si="25"/>
        <v/>
      </c>
      <c r="G447" s="102" t="str">
        <f t="shared" si="97"/>
        <v/>
      </c>
      <c r="I447" s="102" t="str">
        <f>VLOOKUP(P447&amp;"_"&amp;Q447,挑战模式!$A$3:$Z$55,3+5*MonsterWaveCallRuleCfg!R447,FALSE)</f>
        <v/>
      </c>
      <c r="J447" s="102" t="str">
        <f>VLOOKUP(P447&amp;"_"&amp;Q447,挑战模式!$A$3:$Z$55,4+5*MonsterWaveCallRuleCfg!R447,FALSE)</f>
        <v/>
      </c>
      <c r="K447" s="102" t="str">
        <f t="shared" si="28"/>
        <v/>
      </c>
      <c r="L447" s="102" t="str">
        <f>IF(VLOOKUP(P447&amp;"_"&amp;Q447,挑战模式!$A$3:$Z$55,2+5*R447,FALSE)="","","Monster_Challenge"&amp;P447&amp;"_"&amp;Q447&amp;"_"&amp;R447)</f>
        <v/>
      </c>
      <c r="M447" s="57" t="str">
        <f t="shared" si="29"/>
        <v/>
      </c>
      <c r="N447" s="118"/>
      <c r="O447" s="102" t="str">
        <f>VLOOKUP(P447&amp;"_"&amp;Q447,挑战模式!$A$3:$Z$55,6+5*MonsterWaveCallRuleCfg!R447,FALSE)</f>
        <v/>
      </c>
      <c r="P447" s="110">
        <v>1</v>
      </c>
      <c r="Q447" s="110">
        <f t="shared" si="98"/>
        <v>5</v>
      </c>
      <c r="R447" s="110">
        <v>4</v>
      </c>
    </row>
    <row r="448" spans="2:18" x14ac:dyDescent="0.2">
      <c r="B448" s="57" t="str">
        <f t="shared" si="95"/>
        <v>MonsterWaveCallRule_Challenge2</v>
      </c>
      <c r="C448" s="57">
        <v>1</v>
      </c>
      <c r="D448" s="57" t="str">
        <f t="shared" si="96"/>
        <v>挑战关卡2第1波</v>
      </c>
      <c r="F448" s="57">
        <f t="shared" si="25"/>
        <v>0</v>
      </c>
      <c r="G448" s="102">
        <f t="shared" si="97"/>
        <v>180</v>
      </c>
      <c r="I448" s="102">
        <f>VLOOKUP(P448&amp;"_"&amp;Q448,挑战模式!$A$3:$Z$55,3+5*MonsterWaveCallRuleCfg!R448,FALSE)</f>
        <v>5</v>
      </c>
      <c r="J448" s="102">
        <f>VLOOKUP(P448&amp;"_"&amp;Q448,挑战模式!$A$3:$Z$55,4+5*MonsterWaveCallRuleCfg!R448,FALSE)</f>
        <v>2</v>
      </c>
      <c r="K448" s="102">
        <f t="shared" si="28"/>
        <v>1</v>
      </c>
      <c r="L448" s="102" t="str">
        <f>IF(VLOOKUP(P448&amp;"_"&amp;Q448,挑战模式!$A$3:$Z$55,2+5*R448,FALSE)="","","Monster_Challenge"&amp;P448&amp;"_"&amp;Q448&amp;"_"&amp;R448)</f>
        <v>Monster_Challenge2_1_1</v>
      </c>
      <c r="M448" s="57">
        <f t="shared" si="29"/>
        <v>1</v>
      </c>
      <c r="N448" s="118"/>
      <c r="O448" s="102">
        <f>VLOOKUP(P448&amp;"_"&amp;Q448,挑战模式!$A$3:$Z$55,6+5*MonsterWaveCallRuleCfg!R448,FALSE)</f>
        <v>60</v>
      </c>
      <c r="P448" s="110">
        <v>2</v>
      </c>
      <c r="Q448" s="110">
        <f t="shared" si="98"/>
        <v>1</v>
      </c>
      <c r="R448" s="110">
        <v>1</v>
      </c>
    </row>
    <row r="449" spans="2:18" x14ac:dyDescent="0.2">
      <c r="B449" s="57" t="str">
        <f t="shared" si="95"/>
        <v/>
      </c>
      <c r="D449" s="57" t="str">
        <f t="shared" si="96"/>
        <v/>
      </c>
      <c r="F449" s="57" t="str">
        <f t="shared" si="25"/>
        <v/>
      </c>
      <c r="G449" s="102" t="str">
        <f t="shared" si="97"/>
        <v/>
      </c>
      <c r="I449" s="102" t="str">
        <f>VLOOKUP(P449&amp;"_"&amp;Q449,挑战模式!$A$3:$Z$55,3+5*MonsterWaveCallRuleCfg!R449,FALSE)</f>
        <v/>
      </c>
      <c r="J449" s="102" t="str">
        <f>VLOOKUP(P449&amp;"_"&amp;Q449,挑战模式!$A$3:$Z$55,4+5*MonsterWaveCallRuleCfg!R449,FALSE)</f>
        <v/>
      </c>
      <c r="K449" s="102" t="str">
        <f t="shared" si="28"/>
        <v/>
      </c>
      <c r="L449" s="102" t="str">
        <f>IF(VLOOKUP(P449&amp;"_"&amp;Q449,挑战模式!$A$3:$Z$55,2+5*R449,FALSE)="","","Monster_Challenge"&amp;P449&amp;"_"&amp;Q449&amp;"_"&amp;R449)</f>
        <v/>
      </c>
      <c r="M449" s="57" t="str">
        <f t="shared" si="29"/>
        <v/>
      </c>
      <c r="N449" s="118"/>
      <c r="O449" s="102" t="str">
        <f>VLOOKUP(P449&amp;"_"&amp;Q449,挑战模式!$A$3:$Z$55,6+5*MonsterWaveCallRuleCfg!R449,FALSE)</f>
        <v/>
      </c>
      <c r="P449" s="110">
        <v>2</v>
      </c>
      <c r="Q449" s="110">
        <f t="shared" si="98"/>
        <v>1</v>
      </c>
      <c r="R449" s="110">
        <v>2</v>
      </c>
    </row>
    <row r="450" spans="2:18" x14ac:dyDescent="0.2">
      <c r="B450" s="57" t="str">
        <f t="shared" si="95"/>
        <v/>
      </c>
      <c r="D450" s="57" t="str">
        <f t="shared" si="96"/>
        <v/>
      </c>
      <c r="F450" s="57" t="str">
        <f t="shared" si="25"/>
        <v/>
      </c>
      <c r="G450" s="102" t="str">
        <f t="shared" si="97"/>
        <v/>
      </c>
      <c r="I450" s="102" t="str">
        <f>VLOOKUP(P450&amp;"_"&amp;Q450,挑战模式!$A$3:$Z$55,3+5*MonsterWaveCallRuleCfg!R450,FALSE)</f>
        <v/>
      </c>
      <c r="J450" s="102" t="str">
        <f>VLOOKUP(P450&amp;"_"&amp;Q450,挑战模式!$A$3:$Z$55,4+5*MonsterWaveCallRuleCfg!R450,FALSE)</f>
        <v/>
      </c>
      <c r="K450" s="102" t="str">
        <f t="shared" si="28"/>
        <v/>
      </c>
      <c r="L450" s="102" t="str">
        <f>IF(VLOOKUP(P450&amp;"_"&amp;Q450,挑战模式!$A$3:$Z$55,2+5*R450,FALSE)="","","Monster_Challenge"&amp;P450&amp;"_"&amp;Q450&amp;"_"&amp;R450)</f>
        <v/>
      </c>
      <c r="M450" s="57" t="str">
        <f t="shared" si="29"/>
        <v/>
      </c>
      <c r="N450" s="118"/>
      <c r="O450" s="102" t="str">
        <f>VLOOKUP(P450&amp;"_"&amp;Q450,挑战模式!$A$3:$Z$55,6+5*MonsterWaveCallRuleCfg!R450,FALSE)</f>
        <v/>
      </c>
      <c r="P450" s="110">
        <v>2</v>
      </c>
      <c r="Q450" s="110">
        <f t="shared" si="98"/>
        <v>1</v>
      </c>
      <c r="R450" s="110">
        <v>3</v>
      </c>
    </row>
    <row r="451" spans="2:18" x14ac:dyDescent="0.2">
      <c r="B451" s="57" t="str">
        <f t="shared" si="95"/>
        <v/>
      </c>
      <c r="D451" s="57" t="str">
        <f t="shared" si="96"/>
        <v/>
      </c>
      <c r="F451" s="57" t="str">
        <f t="shared" si="25"/>
        <v/>
      </c>
      <c r="G451" s="102" t="str">
        <f t="shared" si="97"/>
        <v/>
      </c>
      <c r="I451" s="102" t="str">
        <f>VLOOKUP(P451&amp;"_"&amp;Q451,挑战模式!$A$3:$Z$55,3+5*MonsterWaveCallRuleCfg!R451,FALSE)</f>
        <v/>
      </c>
      <c r="J451" s="102" t="str">
        <f>VLOOKUP(P451&amp;"_"&amp;Q451,挑战模式!$A$3:$Z$55,4+5*MonsterWaveCallRuleCfg!R451,FALSE)</f>
        <v/>
      </c>
      <c r="K451" s="102" t="str">
        <f t="shared" si="28"/>
        <v/>
      </c>
      <c r="L451" s="102" t="str">
        <f>IF(VLOOKUP(P451&amp;"_"&amp;Q451,挑战模式!$A$3:$Z$55,2+5*R451,FALSE)="","","Monster_Challenge"&amp;P451&amp;"_"&amp;Q451&amp;"_"&amp;R451)</f>
        <v/>
      </c>
      <c r="M451" s="57" t="str">
        <f t="shared" si="29"/>
        <v/>
      </c>
      <c r="N451" s="118"/>
      <c r="O451" s="102" t="str">
        <f>VLOOKUP(P451&amp;"_"&amp;Q451,挑战模式!$A$3:$Z$55,6+5*MonsterWaveCallRuleCfg!R451,FALSE)</f>
        <v/>
      </c>
      <c r="P451" s="110">
        <v>2</v>
      </c>
      <c r="Q451" s="110">
        <f t="shared" si="98"/>
        <v>1</v>
      </c>
      <c r="R451" s="110">
        <v>4</v>
      </c>
    </row>
    <row r="452" spans="2:18" x14ac:dyDescent="0.2">
      <c r="B452" s="57" t="str">
        <f t="shared" si="95"/>
        <v>MonsterWaveCallRule_Challenge2</v>
      </c>
      <c r="C452" s="57">
        <v>2</v>
      </c>
      <c r="D452" s="57" t="str">
        <f t="shared" si="96"/>
        <v>挑战关卡2第2波</v>
      </c>
      <c r="F452" s="57">
        <f t="shared" si="25"/>
        <v>0</v>
      </c>
      <c r="G452" s="102">
        <f t="shared" si="97"/>
        <v>180</v>
      </c>
      <c r="I452" s="102">
        <f>VLOOKUP(P452&amp;"_"&amp;Q452,挑战模式!$A$3:$Z$55,3+5*MonsterWaveCallRuleCfg!R452,FALSE)</f>
        <v>6</v>
      </c>
      <c r="J452" s="102">
        <f>VLOOKUP(P452&amp;"_"&amp;Q452,挑战模式!$A$3:$Z$55,4+5*MonsterWaveCallRuleCfg!R452,FALSE)</f>
        <v>2</v>
      </c>
      <c r="K452" s="102">
        <f t="shared" si="28"/>
        <v>1</v>
      </c>
      <c r="L452" s="102" t="str">
        <f>IF(VLOOKUP(P452&amp;"_"&amp;Q452,挑战模式!$A$3:$Z$55,2+5*R452,FALSE)="","","Monster_Challenge"&amp;P452&amp;"_"&amp;Q452&amp;"_"&amp;R452)</f>
        <v>Monster_Challenge2_2_1</v>
      </c>
      <c r="M452" s="57">
        <f t="shared" si="29"/>
        <v>1</v>
      </c>
      <c r="N452" s="118"/>
      <c r="O452" s="102">
        <f>VLOOKUP(P452&amp;"_"&amp;Q452,挑战模式!$A$3:$Z$55,6+5*MonsterWaveCallRuleCfg!R452,FALSE)</f>
        <v>17</v>
      </c>
      <c r="P452" s="110">
        <v>2</v>
      </c>
      <c r="Q452" s="110">
        <f t="shared" si="98"/>
        <v>2</v>
      </c>
      <c r="R452" s="110">
        <v>1</v>
      </c>
    </row>
    <row r="453" spans="2:18" x14ac:dyDescent="0.2">
      <c r="B453" s="57" t="str">
        <f t="shared" si="95"/>
        <v/>
      </c>
      <c r="D453" s="57" t="str">
        <f t="shared" si="96"/>
        <v/>
      </c>
      <c r="F453" s="57" t="str">
        <f t="shared" si="25"/>
        <v/>
      </c>
      <c r="G453" s="102" t="str">
        <f t="shared" si="97"/>
        <v/>
      </c>
      <c r="I453" s="102">
        <f>VLOOKUP(P453&amp;"_"&amp;Q453,挑战模式!$A$3:$Z$55,3+5*MonsterWaveCallRuleCfg!R453,FALSE)</f>
        <v>6</v>
      </c>
      <c r="J453" s="102">
        <f>VLOOKUP(P453&amp;"_"&amp;Q453,挑战模式!$A$3:$Z$55,4+5*MonsterWaveCallRuleCfg!R453,FALSE)</f>
        <v>2</v>
      </c>
      <c r="K453" s="102">
        <f t="shared" si="28"/>
        <v>1</v>
      </c>
      <c r="L453" s="102" t="str">
        <f>IF(VLOOKUP(P453&amp;"_"&amp;Q453,挑战模式!$A$3:$Z$55,2+5*R453,FALSE)="","","Monster_Challenge"&amp;P453&amp;"_"&amp;Q453&amp;"_"&amp;R453)</f>
        <v>Monster_Challenge2_2_2</v>
      </c>
      <c r="M453" s="57">
        <f t="shared" si="29"/>
        <v>1</v>
      </c>
      <c r="N453" s="118"/>
      <c r="O453" s="102">
        <f>VLOOKUP(P453&amp;"_"&amp;Q453,挑战模式!$A$3:$Z$55,6+5*MonsterWaveCallRuleCfg!R453,FALSE)</f>
        <v>33</v>
      </c>
      <c r="P453" s="110">
        <v>2</v>
      </c>
      <c r="Q453" s="110">
        <f t="shared" si="98"/>
        <v>2</v>
      </c>
      <c r="R453" s="110">
        <v>2</v>
      </c>
    </row>
    <row r="454" spans="2:18" x14ac:dyDescent="0.2">
      <c r="B454" s="57" t="str">
        <f t="shared" si="95"/>
        <v/>
      </c>
      <c r="D454" s="57" t="str">
        <f t="shared" si="96"/>
        <v/>
      </c>
      <c r="F454" s="57" t="str">
        <f t="shared" si="25"/>
        <v/>
      </c>
      <c r="G454" s="102" t="str">
        <f t="shared" si="97"/>
        <v/>
      </c>
      <c r="I454" s="102" t="str">
        <f>VLOOKUP(P454&amp;"_"&amp;Q454,挑战模式!$A$3:$Z$55,3+5*MonsterWaveCallRuleCfg!R454,FALSE)</f>
        <v/>
      </c>
      <c r="J454" s="102" t="str">
        <f>VLOOKUP(P454&amp;"_"&amp;Q454,挑战模式!$A$3:$Z$55,4+5*MonsterWaveCallRuleCfg!R454,FALSE)</f>
        <v/>
      </c>
      <c r="K454" s="102" t="str">
        <f t="shared" si="28"/>
        <v/>
      </c>
      <c r="L454" s="102" t="str">
        <f>IF(VLOOKUP(P454&amp;"_"&amp;Q454,挑战模式!$A$3:$Z$55,2+5*R454,FALSE)="","","Monster_Challenge"&amp;P454&amp;"_"&amp;Q454&amp;"_"&amp;R454)</f>
        <v/>
      </c>
      <c r="M454" s="57" t="str">
        <f t="shared" si="29"/>
        <v/>
      </c>
      <c r="N454" s="118"/>
      <c r="O454" s="102" t="str">
        <f>VLOOKUP(P454&amp;"_"&amp;Q454,挑战模式!$A$3:$Z$55,6+5*MonsterWaveCallRuleCfg!R454,FALSE)</f>
        <v/>
      </c>
      <c r="P454" s="110">
        <v>2</v>
      </c>
      <c r="Q454" s="110">
        <f t="shared" si="98"/>
        <v>2</v>
      </c>
      <c r="R454" s="110">
        <v>3</v>
      </c>
    </row>
    <row r="455" spans="2:18" x14ac:dyDescent="0.2">
      <c r="B455" s="57" t="str">
        <f t="shared" si="95"/>
        <v/>
      </c>
      <c r="D455" s="57" t="str">
        <f t="shared" si="96"/>
        <v/>
      </c>
      <c r="F455" s="57" t="str">
        <f t="shared" si="25"/>
        <v/>
      </c>
      <c r="G455" s="102" t="str">
        <f t="shared" si="97"/>
        <v/>
      </c>
      <c r="I455" s="102" t="str">
        <f>VLOOKUP(P455&amp;"_"&amp;Q455,挑战模式!$A$3:$Z$55,3+5*MonsterWaveCallRuleCfg!R455,FALSE)</f>
        <v/>
      </c>
      <c r="J455" s="102" t="str">
        <f>VLOOKUP(P455&amp;"_"&amp;Q455,挑战模式!$A$3:$Z$55,4+5*MonsterWaveCallRuleCfg!R455,FALSE)</f>
        <v/>
      </c>
      <c r="K455" s="102" t="str">
        <f t="shared" si="28"/>
        <v/>
      </c>
      <c r="L455" s="102" t="str">
        <f>IF(VLOOKUP(P455&amp;"_"&amp;Q455,挑战模式!$A$3:$Z$55,2+5*R455,FALSE)="","","Monster_Challenge"&amp;P455&amp;"_"&amp;Q455&amp;"_"&amp;R455)</f>
        <v/>
      </c>
      <c r="M455" s="57" t="str">
        <f t="shared" si="29"/>
        <v/>
      </c>
      <c r="N455" s="118"/>
      <c r="O455" s="102" t="str">
        <f>VLOOKUP(P455&amp;"_"&amp;Q455,挑战模式!$A$3:$Z$55,6+5*MonsterWaveCallRuleCfg!R455,FALSE)</f>
        <v/>
      </c>
      <c r="P455" s="110">
        <v>2</v>
      </c>
      <c r="Q455" s="110">
        <f t="shared" si="98"/>
        <v>2</v>
      </c>
      <c r="R455" s="110">
        <v>4</v>
      </c>
    </row>
    <row r="456" spans="2:18" x14ac:dyDescent="0.2">
      <c r="B456" s="57" t="str">
        <f t="shared" si="95"/>
        <v>MonsterWaveCallRule_Challenge2</v>
      </c>
      <c r="C456" s="57">
        <v>3</v>
      </c>
      <c r="D456" s="57" t="str">
        <f t="shared" si="96"/>
        <v>挑战关卡2第3波</v>
      </c>
      <c r="F456" s="57">
        <f t="shared" si="25"/>
        <v>0</v>
      </c>
      <c r="G456" s="102">
        <f t="shared" si="97"/>
        <v>180</v>
      </c>
      <c r="I456" s="102">
        <f>VLOOKUP(P456&amp;"_"&amp;Q456,挑战模式!$A$3:$Z$55,3+5*MonsterWaveCallRuleCfg!R456,FALSE)</f>
        <v>15</v>
      </c>
      <c r="J456" s="102">
        <f>VLOOKUP(P456&amp;"_"&amp;Q456,挑战模式!$A$3:$Z$55,4+5*MonsterWaveCallRuleCfg!R456,FALSE)</f>
        <v>1</v>
      </c>
      <c r="K456" s="102">
        <f t="shared" si="28"/>
        <v>1</v>
      </c>
      <c r="L456" s="102" t="str">
        <f>IF(VLOOKUP(P456&amp;"_"&amp;Q456,挑战模式!$A$3:$Z$55,2+5*R456,FALSE)="","","Monster_Challenge"&amp;P456&amp;"_"&amp;Q456&amp;"_"&amp;R456)</f>
        <v>Monster_Challenge2_3_1</v>
      </c>
      <c r="M456" s="57">
        <f t="shared" si="29"/>
        <v>1</v>
      </c>
      <c r="N456" s="118"/>
      <c r="O456" s="102">
        <f>VLOOKUP(P456&amp;"_"&amp;Q456,挑战模式!$A$3:$Z$55,6+5*MonsterWaveCallRuleCfg!R456,FALSE)</f>
        <v>6</v>
      </c>
      <c r="P456" s="110">
        <v>2</v>
      </c>
      <c r="Q456" s="110">
        <f t="shared" si="98"/>
        <v>3</v>
      </c>
      <c r="R456" s="110">
        <v>1</v>
      </c>
    </row>
    <row r="457" spans="2:18" x14ac:dyDescent="0.2">
      <c r="B457" s="57" t="str">
        <f t="shared" si="95"/>
        <v/>
      </c>
      <c r="D457" s="57" t="str">
        <f t="shared" si="96"/>
        <v/>
      </c>
      <c r="F457" s="57" t="str">
        <f t="shared" si="25"/>
        <v/>
      </c>
      <c r="G457" s="102" t="str">
        <f t="shared" si="97"/>
        <v/>
      </c>
      <c r="I457" s="102">
        <f>VLOOKUP(P457&amp;"_"&amp;Q457,挑战模式!$A$3:$Z$55,3+5*MonsterWaveCallRuleCfg!R457,FALSE)</f>
        <v>15</v>
      </c>
      <c r="J457" s="102">
        <f>VLOOKUP(P457&amp;"_"&amp;Q457,挑战模式!$A$3:$Z$55,4+5*MonsterWaveCallRuleCfg!R457,FALSE)</f>
        <v>1</v>
      </c>
      <c r="K457" s="102">
        <f t="shared" si="28"/>
        <v>1</v>
      </c>
      <c r="L457" s="102" t="str">
        <f>IF(VLOOKUP(P457&amp;"_"&amp;Q457,挑战模式!$A$3:$Z$55,2+5*R457,FALSE)="","","Monster_Challenge"&amp;P457&amp;"_"&amp;Q457&amp;"_"&amp;R457)</f>
        <v>Monster_Challenge2_3_2</v>
      </c>
      <c r="M457" s="57">
        <f t="shared" si="29"/>
        <v>1</v>
      </c>
      <c r="N457" s="118"/>
      <c r="O457" s="102">
        <f>VLOOKUP(P457&amp;"_"&amp;Q457,挑战模式!$A$3:$Z$55,6+5*MonsterWaveCallRuleCfg!R457,FALSE)</f>
        <v>3</v>
      </c>
      <c r="P457" s="110">
        <v>2</v>
      </c>
      <c r="Q457" s="110">
        <f t="shared" si="98"/>
        <v>3</v>
      </c>
      <c r="R457" s="110">
        <v>2</v>
      </c>
    </row>
    <row r="458" spans="2:18" x14ac:dyDescent="0.2">
      <c r="B458" s="57" t="str">
        <f t="shared" si="95"/>
        <v/>
      </c>
      <c r="D458" s="57" t="str">
        <f t="shared" si="96"/>
        <v/>
      </c>
      <c r="F458" s="57" t="str">
        <f t="shared" si="25"/>
        <v/>
      </c>
      <c r="G458" s="102" t="str">
        <f t="shared" si="97"/>
        <v/>
      </c>
      <c r="I458" s="102">
        <f>VLOOKUP(P458&amp;"_"&amp;Q458,挑战模式!$A$3:$Z$55,3+5*MonsterWaveCallRuleCfg!R458,FALSE)</f>
        <v>15</v>
      </c>
      <c r="J458" s="102">
        <f>VLOOKUP(P458&amp;"_"&amp;Q458,挑战模式!$A$3:$Z$55,4+5*MonsterWaveCallRuleCfg!R458,FALSE)</f>
        <v>1</v>
      </c>
      <c r="K458" s="102">
        <f t="shared" si="28"/>
        <v>1</v>
      </c>
      <c r="L458" s="102" t="str">
        <f>IF(VLOOKUP(P458&amp;"_"&amp;Q458,挑战模式!$A$3:$Z$55,2+5*R458,FALSE)="","","Monster_Challenge"&amp;P458&amp;"_"&amp;Q458&amp;"_"&amp;R458)</f>
        <v>Monster_Challenge2_3_3</v>
      </c>
      <c r="M458" s="57">
        <f t="shared" si="29"/>
        <v>1</v>
      </c>
      <c r="N458" s="118"/>
      <c r="O458" s="102">
        <f>VLOOKUP(P458&amp;"_"&amp;Q458,挑战模式!$A$3:$Z$55,6+5*MonsterWaveCallRuleCfg!R458,FALSE)</f>
        <v>11</v>
      </c>
      <c r="P458" s="110">
        <v>2</v>
      </c>
      <c r="Q458" s="110">
        <f t="shared" si="98"/>
        <v>3</v>
      </c>
      <c r="R458" s="110">
        <v>3</v>
      </c>
    </row>
    <row r="459" spans="2:18" x14ac:dyDescent="0.2">
      <c r="B459" s="57" t="str">
        <f t="shared" si="95"/>
        <v/>
      </c>
      <c r="D459" s="57" t="str">
        <f t="shared" si="96"/>
        <v/>
      </c>
      <c r="F459" s="57" t="str">
        <f t="shared" si="25"/>
        <v/>
      </c>
      <c r="G459" s="102" t="str">
        <f t="shared" si="97"/>
        <v/>
      </c>
      <c r="I459" s="102" t="str">
        <f>VLOOKUP(P459&amp;"_"&amp;Q459,挑战模式!$A$3:$Z$55,3+5*MonsterWaveCallRuleCfg!R459,FALSE)</f>
        <v/>
      </c>
      <c r="J459" s="102" t="str">
        <f>VLOOKUP(P459&amp;"_"&amp;Q459,挑战模式!$A$3:$Z$55,4+5*MonsterWaveCallRuleCfg!R459,FALSE)</f>
        <v/>
      </c>
      <c r="K459" s="102" t="str">
        <f t="shared" si="28"/>
        <v/>
      </c>
      <c r="L459" s="102" t="str">
        <f>IF(VLOOKUP(P459&amp;"_"&amp;Q459,挑战模式!$A$3:$Z$55,2+5*R459,FALSE)="","","Monster_Challenge"&amp;P459&amp;"_"&amp;Q459&amp;"_"&amp;R459)</f>
        <v/>
      </c>
      <c r="M459" s="57" t="str">
        <f t="shared" si="29"/>
        <v/>
      </c>
      <c r="N459" s="118"/>
      <c r="O459" s="102" t="str">
        <f>VLOOKUP(P459&amp;"_"&amp;Q459,挑战模式!$A$3:$Z$55,6+5*MonsterWaveCallRuleCfg!R459,FALSE)</f>
        <v/>
      </c>
      <c r="P459" s="110">
        <v>2</v>
      </c>
      <c r="Q459" s="110">
        <f t="shared" si="98"/>
        <v>3</v>
      </c>
      <c r="R459" s="110">
        <v>4</v>
      </c>
    </row>
    <row r="460" spans="2:18" x14ac:dyDescent="0.2">
      <c r="B460" s="57" t="str">
        <f t="shared" si="95"/>
        <v>MonsterWaveCallRule_Challenge2</v>
      </c>
      <c r="C460" s="57">
        <v>4</v>
      </c>
      <c r="D460" s="57" t="str">
        <f t="shared" si="96"/>
        <v>挑战关卡2第4波</v>
      </c>
      <c r="F460" s="57">
        <f t="shared" si="25"/>
        <v>0</v>
      </c>
      <c r="G460" s="102">
        <f t="shared" si="97"/>
        <v>180</v>
      </c>
      <c r="I460" s="102" t="str">
        <f>VLOOKUP(P460&amp;"_"&amp;Q460,挑战模式!$A$3:$Z$55,3+5*MonsterWaveCallRuleCfg!R460,FALSE)</f>
        <v/>
      </c>
      <c r="J460" s="102" t="str">
        <f>VLOOKUP(P460&amp;"_"&amp;Q460,挑战模式!$A$3:$Z$55,4+5*MonsterWaveCallRuleCfg!R460,FALSE)</f>
        <v/>
      </c>
      <c r="K460" s="102" t="str">
        <f t="shared" si="28"/>
        <v/>
      </c>
      <c r="L460" s="102" t="str">
        <f>IF(VLOOKUP(P460&amp;"_"&amp;Q460,挑战模式!$A$3:$Z$55,2+5*R460,FALSE)="","","Monster_Challenge"&amp;P460&amp;"_"&amp;Q460&amp;"_"&amp;R460)</f>
        <v/>
      </c>
      <c r="M460" s="57" t="str">
        <f t="shared" si="29"/>
        <v/>
      </c>
      <c r="N460" s="118"/>
      <c r="O460" s="102" t="str">
        <f>VLOOKUP(P460&amp;"_"&amp;Q460,挑战模式!$A$3:$Z$55,6+5*MonsterWaveCallRuleCfg!R460,FALSE)</f>
        <v/>
      </c>
      <c r="P460" s="110">
        <v>2</v>
      </c>
      <c r="Q460" s="110">
        <f t="shared" si="98"/>
        <v>4</v>
      </c>
      <c r="R460" s="110">
        <v>1</v>
      </c>
    </row>
    <row r="461" spans="2:18" x14ac:dyDescent="0.2">
      <c r="B461" s="57" t="str">
        <f t="shared" si="95"/>
        <v/>
      </c>
      <c r="D461" s="57" t="str">
        <f t="shared" si="96"/>
        <v/>
      </c>
      <c r="F461" s="57" t="str">
        <f t="shared" si="25"/>
        <v/>
      </c>
      <c r="G461" s="102" t="str">
        <f t="shared" si="97"/>
        <v/>
      </c>
      <c r="I461" s="102" t="str">
        <f>VLOOKUP(P461&amp;"_"&amp;Q461,挑战模式!$A$3:$Z$55,3+5*MonsterWaveCallRuleCfg!R461,FALSE)</f>
        <v/>
      </c>
      <c r="J461" s="102" t="str">
        <f>VLOOKUP(P461&amp;"_"&amp;Q461,挑战模式!$A$3:$Z$55,4+5*MonsterWaveCallRuleCfg!R461,FALSE)</f>
        <v/>
      </c>
      <c r="K461" s="102" t="str">
        <f t="shared" si="28"/>
        <v/>
      </c>
      <c r="L461" s="102" t="str">
        <f>IF(VLOOKUP(P461&amp;"_"&amp;Q461,挑战模式!$A$3:$Z$55,2+5*R461,FALSE)="","","Monster_Challenge"&amp;P461&amp;"_"&amp;Q461&amp;"_"&amp;R461)</f>
        <v/>
      </c>
      <c r="M461" s="57" t="str">
        <f t="shared" si="29"/>
        <v/>
      </c>
      <c r="N461" s="118"/>
      <c r="O461" s="102" t="str">
        <f>VLOOKUP(P461&amp;"_"&amp;Q461,挑战模式!$A$3:$Z$55,6+5*MonsterWaveCallRuleCfg!R461,FALSE)</f>
        <v/>
      </c>
      <c r="P461" s="110">
        <v>2</v>
      </c>
      <c r="Q461" s="110">
        <f t="shared" si="98"/>
        <v>4</v>
      </c>
      <c r="R461" s="110">
        <v>2</v>
      </c>
    </row>
    <row r="462" spans="2:18" x14ac:dyDescent="0.2">
      <c r="B462" s="57" t="str">
        <f t="shared" si="95"/>
        <v/>
      </c>
      <c r="D462" s="57" t="str">
        <f t="shared" si="96"/>
        <v/>
      </c>
      <c r="F462" s="57" t="str">
        <f t="shared" si="25"/>
        <v/>
      </c>
      <c r="G462" s="102" t="str">
        <f t="shared" si="97"/>
        <v/>
      </c>
      <c r="I462" s="102" t="str">
        <f>VLOOKUP(P462&amp;"_"&amp;Q462,挑战模式!$A$3:$Z$55,3+5*MonsterWaveCallRuleCfg!R462,FALSE)</f>
        <v/>
      </c>
      <c r="J462" s="102" t="str">
        <f>VLOOKUP(P462&amp;"_"&amp;Q462,挑战模式!$A$3:$Z$55,4+5*MonsterWaveCallRuleCfg!R462,FALSE)</f>
        <v/>
      </c>
      <c r="K462" s="102" t="str">
        <f t="shared" si="28"/>
        <v/>
      </c>
      <c r="L462" s="102" t="str">
        <f>IF(VLOOKUP(P462&amp;"_"&amp;Q462,挑战模式!$A$3:$Z$55,2+5*R462,FALSE)="","","Monster_Challenge"&amp;P462&amp;"_"&amp;Q462&amp;"_"&amp;R462)</f>
        <v/>
      </c>
      <c r="M462" s="57" t="str">
        <f t="shared" si="29"/>
        <v/>
      </c>
      <c r="N462" s="118"/>
      <c r="O462" s="102" t="str">
        <f>VLOOKUP(P462&amp;"_"&amp;Q462,挑战模式!$A$3:$Z$55,6+5*MonsterWaveCallRuleCfg!R462,FALSE)</f>
        <v/>
      </c>
      <c r="P462" s="110">
        <v>2</v>
      </c>
      <c r="Q462" s="110">
        <f t="shared" si="98"/>
        <v>4</v>
      </c>
      <c r="R462" s="110">
        <v>3</v>
      </c>
    </row>
    <row r="463" spans="2:18" x14ac:dyDescent="0.2">
      <c r="B463" s="57" t="str">
        <f t="shared" si="95"/>
        <v/>
      </c>
      <c r="D463" s="57" t="str">
        <f t="shared" si="96"/>
        <v/>
      </c>
      <c r="F463" s="57" t="str">
        <f t="shared" si="25"/>
        <v/>
      </c>
      <c r="G463" s="102" t="str">
        <f t="shared" si="97"/>
        <v/>
      </c>
      <c r="I463" s="102" t="str">
        <f>VLOOKUP(P463&amp;"_"&amp;Q463,挑战模式!$A$3:$Z$55,3+5*MonsterWaveCallRuleCfg!R463,FALSE)</f>
        <v/>
      </c>
      <c r="J463" s="102" t="str">
        <f>VLOOKUP(P463&amp;"_"&amp;Q463,挑战模式!$A$3:$Z$55,4+5*MonsterWaveCallRuleCfg!R463,FALSE)</f>
        <v/>
      </c>
      <c r="K463" s="102" t="str">
        <f t="shared" si="28"/>
        <v/>
      </c>
      <c r="L463" s="102" t="str">
        <f>IF(VLOOKUP(P463&amp;"_"&amp;Q463,挑战模式!$A$3:$Z$55,2+5*R463,FALSE)="","","Monster_Challenge"&amp;P463&amp;"_"&amp;Q463&amp;"_"&amp;R463)</f>
        <v/>
      </c>
      <c r="M463" s="57" t="str">
        <f t="shared" si="29"/>
        <v/>
      </c>
      <c r="N463" s="118"/>
      <c r="O463" s="102" t="str">
        <f>VLOOKUP(P463&amp;"_"&amp;Q463,挑战模式!$A$3:$Z$55,6+5*MonsterWaveCallRuleCfg!R463,FALSE)</f>
        <v/>
      </c>
      <c r="P463" s="110">
        <v>2</v>
      </c>
      <c r="Q463" s="110">
        <f t="shared" si="98"/>
        <v>4</v>
      </c>
      <c r="R463" s="110">
        <v>4</v>
      </c>
    </row>
    <row r="464" spans="2:18" x14ac:dyDescent="0.2">
      <c r="B464" s="57" t="str">
        <f t="shared" si="95"/>
        <v>MonsterWaveCallRule_Challenge2</v>
      </c>
      <c r="C464" s="57">
        <v>5</v>
      </c>
      <c r="D464" s="57" t="str">
        <f t="shared" si="96"/>
        <v>挑战关卡2第5波</v>
      </c>
      <c r="F464" s="57">
        <f t="shared" si="25"/>
        <v>0</v>
      </c>
      <c r="G464" s="102">
        <f t="shared" si="97"/>
        <v>180</v>
      </c>
      <c r="I464" s="102" t="str">
        <f>VLOOKUP(P464&amp;"_"&amp;Q464,挑战模式!$A$3:$Z$55,3+5*MonsterWaveCallRuleCfg!R464,FALSE)</f>
        <v/>
      </c>
      <c r="J464" s="102" t="str">
        <f>VLOOKUP(P464&amp;"_"&amp;Q464,挑战模式!$A$3:$Z$55,4+5*MonsterWaveCallRuleCfg!R464,FALSE)</f>
        <v/>
      </c>
      <c r="K464" s="102" t="str">
        <f t="shared" si="28"/>
        <v/>
      </c>
      <c r="L464" s="102" t="str">
        <f>IF(VLOOKUP(P464&amp;"_"&amp;Q464,挑战模式!$A$3:$Z$55,2+5*R464,FALSE)="","","Monster_Challenge"&amp;P464&amp;"_"&amp;Q464&amp;"_"&amp;R464)</f>
        <v/>
      </c>
      <c r="M464" s="57" t="str">
        <f t="shared" si="29"/>
        <v/>
      </c>
      <c r="N464" s="118"/>
      <c r="O464" s="102" t="str">
        <f>VLOOKUP(P464&amp;"_"&amp;Q464,挑战模式!$A$3:$Z$55,6+5*MonsterWaveCallRuleCfg!R464,FALSE)</f>
        <v/>
      </c>
      <c r="P464" s="110">
        <v>2</v>
      </c>
      <c r="Q464" s="110">
        <f t="shared" si="98"/>
        <v>5</v>
      </c>
      <c r="R464" s="110">
        <v>1</v>
      </c>
    </row>
    <row r="465" spans="2:18" x14ac:dyDescent="0.2">
      <c r="B465" s="57" t="str">
        <f t="shared" si="95"/>
        <v/>
      </c>
      <c r="D465" s="57" t="str">
        <f t="shared" si="96"/>
        <v/>
      </c>
      <c r="F465" s="57" t="str">
        <f t="shared" si="25"/>
        <v/>
      </c>
      <c r="G465" s="102" t="str">
        <f t="shared" si="97"/>
        <v/>
      </c>
      <c r="I465" s="102" t="str">
        <f>VLOOKUP(P465&amp;"_"&amp;Q465,挑战模式!$A$3:$Z$55,3+5*MonsterWaveCallRuleCfg!R465,FALSE)</f>
        <v/>
      </c>
      <c r="J465" s="102" t="str">
        <f>VLOOKUP(P465&amp;"_"&amp;Q465,挑战模式!$A$3:$Z$55,4+5*MonsterWaveCallRuleCfg!R465,FALSE)</f>
        <v/>
      </c>
      <c r="K465" s="102" t="str">
        <f t="shared" si="28"/>
        <v/>
      </c>
      <c r="L465" s="102" t="str">
        <f>IF(VLOOKUP(P465&amp;"_"&amp;Q465,挑战模式!$A$3:$Z$55,2+5*R465,FALSE)="","","Monster_Challenge"&amp;P465&amp;"_"&amp;Q465&amp;"_"&amp;R465)</f>
        <v/>
      </c>
      <c r="M465" s="57" t="str">
        <f t="shared" si="29"/>
        <v/>
      </c>
      <c r="N465" s="118"/>
      <c r="O465" s="102" t="str">
        <f>VLOOKUP(P465&amp;"_"&amp;Q465,挑战模式!$A$3:$Z$55,6+5*MonsterWaveCallRuleCfg!R465,FALSE)</f>
        <v/>
      </c>
      <c r="P465" s="110">
        <v>2</v>
      </c>
      <c r="Q465" s="110">
        <f t="shared" si="98"/>
        <v>5</v>
      </c>
      <c r="R465" s="110">
        <v>2</v>
      </c>
    </row>
    <row r="466" spans="2:18" x14ac:dyDescent="0.2">
      <c r="B466" s="57" t="str">
        <f t="shared" si="95"/>
        <v/>
      </c>
      <c r="D466" s="57" t="str">
        <f t="shared" si="96"/>
        <v/>
      </c>
      <c r="F466" s="57" t="str">
        <f t="shared" si="25"/>
        <v/>
      </c>
      <c r="G466" s="102" t="str">
        <f t="shared" si="97"/>
        <v/>
      </c>
      <c r="I466" s="102" t="str">
        <f>VLOOKUP(P466&amp;"_"&amp;Q466,挑战模式!$A$3:$Z$55,3+5*MonsterWaveCallRuleCfg!R466,FALSE)</f>
        <v/>
      </c>
      <c r="J466" s="102" t="str">
        <f>VLOOKUP(P466&amp;"_"&amp;Q466,挑战模式!$A$3:$Z$55,4+5*MonsterWaveCallRuleCfg!R466,FALSE)</f>
        <v/>
      </c>
      <c r="K466" s="102" t="str">
        <f t="shared" si="28"/>
        <v/>
      </c>
      <c r="L466" s="102" t="str">
        <f>IF(VLOOKUP(P466&amp;"_"&amp;Q466,挑战模式!$A$3:$Z$55,2+5*R466,FALSE)="","","Monster_Challenge"&amp;P466&amp;"_"&amp;Q466&amp;"_"&amp;R466)</f>
        <v/>
      </c>
      <c r="M466" s="57" t="str">
        <f t="shared" si="29"/>
        <v/>
      </c>
      <c r="N466" s="118"/>
      <c r="O466" s="102" t="str">
        <f>VLOOKUP(P466&amp;"_"&amp;Q466,挑战模式!$A$3:$Z$55,6+5*MonsterWaveCallRuleCfg!R466,FALSE)</f>
        <v/>
      </c>
      <c r="P466" s="110">
        <v>2</v>
      </c>
      <c r="Q466" s="110">
        <f t="shared" si="98"/>
        <v>5</v>
      </c>
      <c r="R466" s="110">
        <v>3</v>
      </c>
    </row>
    <row r="467" spans="2:18" x14ac:dyDescent="0.2">
      <c r="B467" s="57" t="str">
        <f t="shared" si="95"/>
        <v/>
      </c>
      <c r="D467" s="57" t="str">
        <f t="shared" si="96"/>
        <v/>
      </c>
      <c r="F467" s="57" t="str">
        <f t="shared" si="25"/>
        <v/>
      </c>
      <c r="G467" s="102" t="str">
        <f t="shared" si="97"/>
        <v/>
      </c>
      <c r="I467" s="102" t="str">
        <f>VLOOKUP(P467&amp;"_"&amp;Q467,挑战模式!$A$3:$Z$55,3+5*MonsterWaveCallRuleCfg!R467,FALSE)</f>
        <v/>
      </c>
      <c r="J467" s="102" t="str">
        <f>VLOOKUP(P467&amp;"_"&amp;Q467,挑战模式!$A$3:$Z$55,4+5*MonsterWaveCallRuleCfg!R467,FALSE)</f>
        <v/>
      </c>
      <c r="K467" s="102" t="str">
        <f t="shared" si="28"/>
        <v/>
      </c>
      <c r="L467" s="102" t="str">
        <f>IF(VLOOKUP(P467&amp;"_"&amp;Q467,挑战模式!$A$3:$Z$55,2+5*R467,FALSE)="","","Monster_Challenge"&amp;P467&amp;"_"&amp;Q467&amp;"_"&amp;R467)</f>
        <v/>
      </c>
      <c r="M467" s="57" t="str">
        <f t="shared" si="29"/>
        <v/>
      </c>
      <c r="N467" s="118"/>
      <c r="O467" s="102" t="str">
        <f>VLOOKUP(P467&amp;"_"&amp;Q467,挑战模式!$A$3:$Z$55,6+5*MonsterWaveCallRuleCfg!R467,FALSE)</f>
        <v/>
      </c>
      <c r="P467" s="110">
        <v>2</v>
      </c>
      <c r="Q467" s="110">
        <f t="shared" si="98"/>
        <v>5</v>
      </c>
      <c r="R467" s="110">
        <v>4</v>
      </c>
    </row>
    <row r="468" spans="2:18" x14ac:dyDescent="0.2">
      <c r="B468" s="57" t="str">
        <f t="shared" si="95"/>
        <v>MonsterWaveCallRule_Challenge3</v>
      </c>
      <c r="C468" s="57">
        <v>1</v>
      </c>
      <c r="D468" s="57" t="str">
        <f t="shared" si="96"/>
        <v>挑战关卡3第1波</v>
      </c>
      <c r="F468" s="57">
        <f t="shared" si="25"/>
        <v>0</v>
      </c>
      <c r="G468" s="102">
        <f t="shared" si="97"/>
        <v>180</v>
      </c>
      <c r="I468" s="102">
        <f>VLOOKUP(P468&amp;"_"&amp;Q468,挑战模式!$A$3:$Z$55,3+5*MonsterWaveCallRuleCfg!R468,FALSE)</f>
        <v>5</v>
      </c>
      <c r="J468" s="102">
        <f>VLOOKUP(P468&amp;"_"&amp;Q468,挑战模式!$A$3:$Z$55,4+5*MonsterWaveCallRuleCfg!R468,FALSE)</f>
        <v>2</v>
      </c>
      <c r="K468" s="102">
        <f t="shared" si="28"/>
        <v>1</v>
      </c>
      <c r="L468" s="102" t="str">
        <f>IF(VLOOKUP(P468&amp;"_"&amp;Q468,挑战模式!$A$3:$Z$55,2+5*R468,FALSE)="","","Monster_Challenge"&amp;P468&amp;"_"&amp;Q468&amp;"_"&amp;R468)</f>
        <v>Monster_Challenge3_1_1</v>
      </c>
      <c r="M468" s="57">
        <f t="shared" si="29"/>
        <v>1</v>
      </c>
      <c r="N468" s="118"/>
      <c r="O468" s="102">
        <f>VLOOKUP(P468&amp;"_"&amp;Q468,挑战模式!$A$3:$Z$55,6+5*MonsterWaveCallRuleCfg!R468,FALSE)</f>
        <v>60</v>
      </c>
      <c r="P468" s="110">
        <v>3</v>
      </c>
      <c r="Q468" s="110">
        <f t="shared" si="98"/>
        <v>1</v>
      </c>
      <c r="R468" s="110">
        <v>1</v>
      </c>
    </row>
    <row r="469" spans="2:18" x14ac:dyDescent="0.2">
      <c r="B469" s="57" t="str">
        <f t="shared" si="95"/>
        <v/>
      </c>
      <c r="D469" s="57" t="str">
        <f t="shared" si="96"/>
        <v/>
      </c>
      <c r="F469" s="57" t="str">
        <f t="shared" si="25"/>
        <v/>
      </c>
      <c r="G469" s="102" t="str">
        <f t="shared" si="97"/>
        <v/>
      </c>
      <c r="I469" s="102" t="str">
        <f>VLOOKUP(P469&amp;"_"&amp;Q469,挑战模式!$A$3:$Z$55,3+5*MonsterWaveCallRuleCfg!R469,FALSE)</f>
        <v/>
      </c>
      <c r="J469" s="102" t="str">
        <f>VLOOKUP(P469&amp;"_"&amp;Q469,挑战模式!$A$3:$Z$55,4+5*MonsterWaveCallRuleCfg!R469,FALSE)</f>
        <v/>
      </c>
      <c r="K469" s="102" t="str">
        <f t="shared" si="28"/>
        <v/>
      </c>
      <c r="L469" s="102" t="str">
        <f>IF(VLOOKUP(P469&amp;"_"&amp;Q469,挑战模式!$A$3:$Z$55,2+5*R469,FALSE)="","","Monster_Challenge"&amp;P469&amp;"_"&amp;Q469&amp;"_"&amp;R469)</f>
        <v/>
      </c>
      <c r="M469" s="57" t="str">
        <f t="shared" si="29"/>
        <v/>
      </c>
      <c r="N469" s="118"/>
      <c r="O469" s="102" t="str">
        <f>VLOOKUP(P469&amp;"_"&amp;Q469,挑战模式!$A$3:$Z$55,6+5*MonsterWaveCallRuleCfg!R469,FALSE)</f>
        <v/>
      </c>
      <c r="P469" s="110">
        <v>3</v>
      </c>
      <c r="Q469" s="110">
        <f t="shared" si="98"/>
        <v>1</v>
      </c>
      <c r="R469" s="110">
        <v>2</v>
      </c>
    </row>
    <row r="470" spans="2:18" x14ac:dyDescent="0.2">
      <c r="B470" s="57" t="str">
        <f t="shared" si="95"/>
        <v/>
      </c>
      <c r="D470" s="57" t="str">
        <f t="shared" si="96"/>
        <v/>
      </c>
      <c r="F470" s="57" t="str">
        <f t="shared" si="25"/>
        <v/>
      </c>
      <c r="G470" s="102" t="str">
        <f t="shared" si="97"/>
        <v/>
      </c>
      <c r="I470" s="102" t="str">
        <f>VLOOKUP(P470&amp;"_"&amp;Q470,挑战模式!$A$3:$Z$55,3+5*MonsterWaveCallRuleCfg!R470,FALSE)</f>
        <v/>
      </c>
      <c r="J470" s="102" t="str">
        <f>VLOOKUP(P470&amp;"_"&amp;Q470,挑战模式!$A$3:$Z$55,4+5*MonsterWaveCallRuleCfg!R470,FALSE)</f>
        <v/>
      </c>
      <c r="K470" s="102" t="str">
        <f t="shared" si="28"/>
        <v/>
      </c>
      <c r="L470" s="102" t="str">
        <f>IF(VLOOKUP(P470&amp;"_"&amp;Q470,挑战模式!$A$3:$Z$55,2+5*R470,FALSE)="","","Monster_Challenge"&amp;P470&amp;"_"&amp;Q470&amp;"_"&amp;R470)</f>
        <v/>
      </c>
      <c r="M470" s="57" t="str">
        <f t="shared" si="29"/>
        <v/>
      </c>
      <c r="N470" s="118"/>
      <c r="O470" s="102" t="str">
        <f>VLOOKUP(P470&amp;"_"&amp;Q470,挑战模式!$A$3:$Z$55,6+5*MonsterWaveCallRuleCfg!R470,FALSE)</f>
        <v/>
      </c>
      <c r="P470" s="110">
        <v>3</v>
      </c>
      <c r="Q470" s="110">
        <f t="shared" si="98"/>
        <v>1</v>
      </c>
      <c r="R470" s="110">
        <v>3</v>
      </c>
    </row>
    <row r="471" spans="2:18" x14ac:dyDescent="0.2">
      <c r="B471" s="57" t="str">
        <f t="shared" si="95"/>
        <v/>
      </c>
      <c r="D471" s="57" t="str">
        <f t="shared" si="96"/>
        <v/>
      </c>
      <c r="F471" s="57" t="str">
        <f t="shared" si="25"/>
        <v/>
      </c>
      <c r="G471" s="102" t="str">
        <f t="shared" si="97"/>
        <v/>
      </c>
      <c r="I471" s="102" t="str">
        <f>VLOOKUP(P471&amp;"_"&amp;Q471,挑战模式!$A$3:$Z$55,3+5*MonsterWaveCallRuleCfg!R471,FALSE)</f>
        <v/>
      </c>
      <c r="J471" s="102" t="str">
        <f>VLOOKUP(P471&amp;"_"&amp;Q471,挑战模式!$A$3:$Z$55,4+5*MonsterWaveCallRuleCfg!R471,FALSE)</f>
        <v/>
      </c>
      <c r="K471" s="102" t="str">
        <f t="shared" si="28"/>
        <v/>
      </c>
      <c r="L471" s="102" t="str">
        <f>IF(VLOOKUP(P471&amp;"_"&amp;Q471,挑战模式!$A$3:$Z$55,2+5*R471,FALSE)="","","Monster_Challenge"&amp;P471&amp;"_"&amp;Q471&amp;"_"&amp;R471)</f>
        <v/>
      </c>
      <c r="M471" s="57" t="str">
        <f t="shared" si="29"/>
        <v/>
      </c>
      <c r="N471" s="118"/>
      <c r="O471" s="102" t="str">
        <f>VLOOKUP(P471&amp;"_"&amp;Q471,挑战模式!$A$3:$Z$55,6+5*MonsterWaveCallRuleCfg!R471,FALSE)</f>
        <v/>
      </c>
      <c r="P471" s="110">
        <v>3</v>
      </c>
      <c r="Q471" s="110">
        <f t="shared" si="98"/>
        <v>1</v>
      </c>
      <c r="R471" s="110">
        <v>4</v>
      </c>
    </row>
    <row r="472" spans="2:18" x14ac:dyDescent="0.2">
      <c r="B472" s="57" t="str">
        <f t="shared" si="95"/>
        <v>MonsterWaveCallRule_Challenge3</v>
      </c>
      <c r="C472" s="57">
        <v>2</v>
      </c>
      <c r="D472" s="57" t="str">
        <f t="shared" si="96"/>
        <v>挑战关卡3第2波</v>
      </c>
      <c r="F472" s="57">
        <f t="shared" si="25"/>
        <v>0</v>
      </c>
      <c r="G472" s="102">
        <f t="shared" si="97"/>
        <v>180</v>
      </c>
      <c r="I472" s="102">
        <f>VLOOKUP(P472&amp;"_"&amp;Q472,挑战模式!$A$3:$Z$55,3+5*MonsterWaveCallRuleCfg!R472,FALSE)</f>
        <v>6</v>
      </c>
      <c r="J472" s="102">
        <f>VLOOKUP(P472&amp;"_"&amp;Q472,挑战模式!$A$3:$Z$55,4+5*MonsterWaveCallRuleCfg!R472,FALSE)</f>
        <v>2</v>
      </c>
      <c r="K472" s="102">
        <f t="shared" si="28"/>
        <v>1</v>
      </c>
      <c r="L472" s="102" t="str">
        <f>IF(VLOOKUP(P472&amp;"_"&amp;Q472,挑战模式!$A$3:$Z$55,2+5*R472,FALSE)="","","Monster_Challenge"&amp;P472&amp;"_"&amp;Q472&amp;"_"&amp;R472)</f>
        <v>Monster_Challenge3_2_1</v>
      </c>
      <c r="M472" s="57">
        <f t="shared" si="29"/>
        <v>1</v>
      </c>
      <c r="N472" s="118"/>
      <c r="O472" s="102">
        <f>VLOOKUP(P472&amp;"_"&amp;Q472,挑战模式!$A$3:$Z$55,6+5*MonsterWaveCallRuleCfg!R472,FALSE)</f>
        <v>25</v>
      </c>
      <c r="P472" s="110">
        <v>3</v>
      </c>
      <c r="Q472" s="110">
        <f t="shared" si="98"/>
        <v>2</v>
      </c>
      <c r="R472" s="110">
        <v>1</v>
      </c>
    </row>
    <row r="473" spans="2:18" x14ac:dyDescent="0.2">
      <c r="B473" s="57" t="str">
        <f t="shared" si="95"/>
        <v/>
      </c>
      <c r="D473" s="57" t="str">
        <f t="shared" si="96"/>
        <v/>
      </c>
      <c r="F473" s="57" t="str">
        <f t="shared" si="25"/>
        <v/>
      </c>
      <c r="G473" s="102" t="str">
        <f t="shared" si="97"/>
        <v/>
      </c>
      <c r="I473" s="102">
        <f>VLOOKUP(P473&amp;"_"&amp;Q473,挑战模式!$A$3:$Z$55,3+5*MonsterWaveCallRuleCfg!R473,FALSE)</f>
        <v>6</v>
      </c>
      <c r="J473" s="102">
        <f>VLOOKUP(P473&amp;"_"&amp;Q473,挑战模式!$A$3:$Z$55,4+5*MonsterWaveCallRuleCfg!R473,FALSE)</f>
        <v>2</v>
      </c>
      <c r="K473" s="102">
        <f t="shared" si="28"/>
        <v>1</v>
      </c>
      <c r="L473" s="102" t="str">
        <f>IF(VLOOKUP(P473&amp;"_"&amp;Q473,挑战模式!$A$3:$Z$55,2+5*R473,FALSE)="","","Monster_Challenge"&amp;P473&amp;"_"&amp;Q473&amp;"_"&amp;R473)</f>
        <v>Monster_Challenge3_2_2</v>
      </c>
      <c r="M473" s="57">
        <f t="shared" si="29"/>
        <v>1</v>
      </c>
      <c r="N473" s="118"/>
      <c r="O473" s="102">
        <f>VLOOKUP(P473&amp;"_"&amp;Q473,挑战模式!$A$3:$Z$55,6+5*MonsterWaveCallRuleCfg!R473,FALSE)</f>
        <v>25</v>
      </c>
      <c r="P473" s="110">
        <v>3</v>
      </c>
      <c r="Q473" s="110">
        <f t="shared" si="98"/>
        <v>2</v>
      </c>
      <c r="R473" s="110">
        <v>2</v>
      </c>
    </row>
    <row r="474" spans="2:18" x14ac:dyDescent="0.2">
      <c r="B474" s="57" t="str">
        <f t="shared" si="95"/>
        <v/>
      </c>
      <c r="D474" s="57" t="str">
        <f t="shared" si="96"/>
        <v/>
      </c>
      <c r="F474" s="57" t="str">
        <f t="shared" si="25"/>
        <v/>
      </c>
      <c r="G474" s="102" t="str">
        <f t="shared" si="97"/>
        <v/>
      </c>
      <c r="I474" s="102" t="str">
        <f>VLOOKUP(P474&amp;"_"&amp;Q474,挑战模式!$A$3:$Z$55,3+5*MonsterWaveCallRuleCfg!R474,FALSE)</f>
        <v/>
      </c>
      <c r="J474" s="102" t="str">
        <f>VLOOKUP(P474&amp;"_"&amp;Q474,挑战模式!$A$3:$Z$55,4+5*MonsterWaveCallRuleCfg!R474,FALSE)</f>
        <v/>
      </c>
      <c r="K474" s="102" t="str">
        <f t="shared" si="28"/>
        <v/>
      </c>
      <c r="L474" s="102" t="str">
        <f>IF(VLOOKUP(P474&amp;"_"&amp;Q474,挑战模式!$A$3:$Z$55,2+5*R474,FALSE)="","","Monster_Challenge"&amp;P474&amp;"_"&amp;Q474&amp;"_"&amp;R474)</f>
        <v/>
      </c>
      <c r="M474" s="57" t="str">
        <f t="shared" si="29"/>
        <v/>
      </c>
      <c r="N474" s="118"/>
      <c r="O474" s="102" t="str">
        <f>VLOOKUP(P474&amp;"_"&amp;Q474,挑战模式!$A$3:$Z$55,6+5*MonsterWaveCallRuleCfg!R474,FALSE)</f>
        <v/>
      </c>
      <c r="P474" s="110">
        <v>3</v>
      </c>
      <c r="Q474" s="110">
        <f t="shared" si="98"/>
        <v>2</v>
      </c>
      <c r="R474" s="110">
        <v>3</v>
      </c>
    </row>
    <row r="475" spans="2:18" x14ac:dyDescent="0.2">
      <c r="B475" s="57" t="str">
        <f t="shared" si="95"/>
        <v/>
      </c>
      <c r="D475" s="57" t="str">
        <f t="shared" si="96"/>
        <v/>
      </c>
      <c r="F475" s="57" t="str">
        <f t="shared" si="25"/>
        <v/>
      </c>
      <c r="G475" s="102" t="str">
        <f t="shared" si="97"/>
        <v/>
      </c>
      <c r="I475" s="102" t="str">
        <f>VLOOKUP(P475&amp;"_"&amp;Q475,挑战模式!$A$3:$Z$55,3+5*MonsterWaveCallRuleCfg!R475,FALSE)</f>
        <v/>
      </c>
      <c r="J475" s="102" t="str">
        <f>VLOOKUP(P475&amp;"_"&amp;Q475,挑战模式!$A$3:$Z$55,4+5*MonsterWaveCallRuleCfg!R475,FALSE)</f>
        <v/>
      </c>
      <c r="K475" s="102" t="str">
        <f t="shared" si="28"/>
        <v/>
      </c>
      <c r="L475" s="102" t="str">
        <f>IF(VLOOKUP(P475&amp;"_"&amp;Q475,挑战模式!$A$3:$Z$55,2+5*R475,FALSE)="","","Monster_Challenge"&amp;P475&amp;"_"&amp;Q475&amp;"_"&amp;R475)</f>
        <v/>
      </c>
      <c r="M475" s="57" t="str">
        <f t="shared" si="29"/>
        <v/>
      </c>
      <c r="N475" s="118"/>
      <c r="O475" s="102" t="str">
        <f>VLOOKUP(P475&amp;"_"&amp;Q475,挑战模式!$A$3:$Z$55,6+5*MonsterWaveCallRuleCfg!R475,FALSE)</f>
        <v/>
      </c>
      <c r="P475" s="110">
        <v>3</v>
      </c>
      <c r="Q475" s="110">
        <f t="shared" si="98"/>
        <v>2</v>
      </c>
      <c r="R475" s="110">
        <v>4</v>
      </c>
    </row>
    <row r="476" spans="2:18" x14ac:dyDescent="0.2">
      <c r="B476" s="57" t="str">
        <f t="shared" si="95"/>
        <v>MonsterWaveCallRule_Challenge3</v>
      </c>
      <c r="C476" s="57">
        <v>3</v>
      </c>
      <c r="D476" s="57" t="str">
        <f t="shared" si="96"/>
        <v>挑战关卡3第3波</v>
      </c>
      <c r="F476" s="57">
        <f t="shared" ref="F476:F539" si="99">IF(C476="","",0)</f>
        <v>0</v>
      </c>
      <c r="G476" s="102">
        <f t="shared" si="97"/>
        <v>180</v>
      </c>
      <c r="I476" s="102">
        <f>VLOOKUP(P476&amp;"_"&amp;Q476,挑战模式!$A$3:$Z$55,3+5*MonsterWaveCallRuleCfg!R476,FALSE)</f>
        <v>8</v>
      </c>
      <c r="J476" s="102">
        <f>VLOOKUP(P476&amp;"_"&amp;Q476,挑战模式!$A$3:$Z$55,4+5*MonsterWaveCallRuleCfg!R476,FALSE)</f>
        <v>2</v>
      </c>
      <c r="K476" s="102">
        <f t="shared" ref="K476:K539" si="100">IF(I476="","",1)</f>
        <v>1</v>
      </c>
      <c r="L476" s="102" t="str">
        <f>IF(VLOOKUP(P476&amp;"_"&amp;Q476,挑战模式!$A$3:$Z$55,2+5*R476,FALSE)="","","Monster_Challenge"&amp;P476&amp;"_"&amp;Q476&amp;"_"&amp;R476)</f>
        <v>Monster_Challenge3_3_1</v>
      </c>
      <c r="M476" s="57">
        <f t="shared" ref="M476:M539" si="101">IF(I476="","",1)</f>
        <v>1</v>
      </c>
      <c r="N476" s="118"/>
      <c r="O476" s="102">
        <f>VLOOKUP(P476&amp;"_"&amp;Q476,挑战模式!$A$3:$Z$55,6+5*MonsterWaveCallRuleCfg!R476,FALSE)</f>
        <v>15</v>
      </c>
      <c r="P476" s="110">
        <v>3</v>
      </c>
      <c r="Q476" s="110">
        <f t="shared" si="98"/>
        <v>3</v>
      </c>
      <c r="R476" s="110">
        <v>1</v>
      </c>
    </row>
    <row r="477" spans="2:18" x14ac:dyDescent="0.2">
      <c r="B477" s="57" t="str">
        <f t="shared" si="95"/>
        <v/>
      </c>
      <c r="D477" s="57" t="str">
        <f t="shared" si="96"/>
        <v/>
      </c>
      <c r="F477" s="57" t="str">
        <f t="shared" si="99"/>
        <v/>
      </c>
      <c r="G477" s="102" t="str">
        <f t="shared" si="97"/>
        <v/>
      </c>
      <c r="I477" s="102">
        <f>VLOOKUP(P477&amp;"_"&amp;Q477,挑战模式!$A$3:$Z$55,3+5*MonsterWaveCallRuleCfg!R477,FALSE)</f>
        <v>15</v>
      </c>
      <c r="J477" s="102">
        <f>VLOOKUP(P477&amp;"_"&amp;Q477,挑战模式!$A$3:$Z$55,4+5*MonsterWaveCallRuleCfg!R477,FALSE)</f>
        <v>1</v>
      </c>
      <c r="K477" s="102">
        <f t="shared" si="100"/>
        <v>1</v>
      </c>
      <c r="L477" s="102" t="str">
        <f>IF(VLOOKUP(P477&amp;"_"&amp;Q477,挑战模式!$A$3:$Z$55,2+5*R477,FALSE)="","","Monster_Challenge"&amp;P477&amp;"_"&amp;Q477&amp;"_"&amp;R477)</f>
        <v>Monster_Challenge3_3_2</v>
      </c>
      <c r="M477" s="57">
        <f t="shared" si="101"/>
        <v>1</v>
      </c>
      <c r="N477" s="118"/>
      <c r="O477" s="102">
        <f>VLOOKUP(P477&amp;"_"&amp;Q477,挑战模式!$A$3:$Z$55,6+5*MonsterWaveCallRuleCfg!R477,FALSE)</f>
        <v>4</v>
      </c>
      <c r="P477" s="110">
        <v>3</v>
      </c>
      <c r="Q477" s="110">
        <f t="shared" si="98"/>
        <v>3</v>
      </c>
      <c r="R477" s="110">
        <v>2</v>
      </c>
    </row>
    <row r="478" spans="2:18" x14ac:dyDescent="0.2">
      <c r="B478" s="57" t="str">
        <f t="shared" si="95"/>
        <v/>
      </c>
      <c r="D478" s="57" t="str">
        <f t="shared" si="96"/>
        <v/>
      </c>
      <c r="F478" s="57" t="str">
        <f t="shared" si="99"/>
        <v/>
      </c>
      <c r="G478" s="102" t="str">
        <f t="shared" si="97"/>
        <v/>
      </c>
      <c r="I478" s="102">
        <f>VLOOKUP(P478&amp;"_"&amp;Q478,挑战模式!$A$3:$Z$55,3+5*MonsterWaveCallRuleCfg!R478,FALSE)</f>
        <v>8</v>
      </c>
      <c r="J478" s="102">
        <f>VLOOKUP(P478&amp;"_"&amp;Q478,挑战模式!$A$3:$Z$55,4+5*MonsterWaveCallRuleCfg!R478,FALSE)</f>
        <v>2</v>
      </c>
      <c r="K478" s="102">
        <f t="shared" si="100"/>
        <v>1</v>
      </c>
      <c r="L478" s="102" t="str">
        <f>IF(VLOOKUP(P478&amp;"_"&amp;Q478,挑战模式!$A$3:$Z$55,2+5*R478,FALSE)="","","Monster_Challenge"&amp;P478&amp;"_"&amp;Q478&amp;"_"&amp;R478)</f>
        <v>Monster_Challenge3_3_3</v>
      </c>
      <c r="M478" s="57">
        <f t="shared" si="101"/>
        <v>1</v>
      </c>
      <c r="N478" s="118"/>
      <c r="O478" s="102">
        <f>VLOOKUP(P478&amp;"_"&amp;Q478,挑战模式!$A$3:$Z$55,6+5*MonsterWaveCallRuleCfg!R478,FALSE)</f>
        <v>15</v>
      </c>
      <c r="P478" s="110">
        <v>3</v>
      </c>
      <c r="Q478" s="110">
        <f t="shared" si="98"/>
        <v>3</v>
      </c>
      <c r="R478" s="110">
        <v>3</v>
      </c>
    </row>
    <row r="479" spans="2:18" x14ac:dyDescent="0.2">
      <c r="B479" s="57" t="str">
        <f t="shared" si="95"/>
        <v/>
      </c>
      <c r="D479" s="57" t="str">
        <f t="shared" si="96"/>
        <v/>
      </c>
      <c r="F479" s="57" t="str">
        <f t="shared" si="99"/>
        <v/>
      </c>
      <c r="G479" s="102" t="str">
        <f t="shared" si="97"/>
        <v/>
      </c>
      <c r="I479" s="102" t="str">
        <f>VLOOKUP(P479&amp;"_"&amp;Q479,挑战模式!$A$3:$Z$55,3+5*MonsterWaveCallRuleCfg!R479,FALSE)</f>
        <v/>
      </c>
      <c r="J479" s="102" t="str">
        <f>VLOOKUP(P479&amp;"_"&amp;Q479,挑战模式!$A$3:$Z$55,4+5*MonsterWaveCallRuleCfg!R479,FALSE)</f>
        <v/>
      </c>
      <c r="K479" s="102" t="str">
        <f t="shared" si="100"/>
        <v/>
      </c>
      <c r="L479" s="102" t="str">
        <f>IF(VLOOKUP(P479&amp;"_"&amp;Q479,挑战模式!$A$3:$Z$55,2+5*R479,FALSE)="","","Monster_Challenge"&amp;P479&amp;"_"&amp;Q479&amp;"_"&amp;R479)</f>
        <v/>
      </c>
      <c r="M479" s="57" t="str">
        <f t="shared" si="101"/>
        <v/>
      </c>
      <c r="N479" s="118"/>
      <c r="O479" s="102" t="str">
        <f>VLOOKUP(P479&amp;"_"&amp;Q479,挑战模式!$A$3:$Z$55,6+5*MonsterWaveCallRuleCfg!R479,FALSE)</f>
        <v/>
      </c>
      <c r="P479" s="110">
        <v>3</v>
      </c>
      <c r="Q479" s="110">
        <f t="shared" si="98"/>
        <v>3</v>
      </c>
      <c r="R479" s="110">
        <v>4</v>
      </c>
    </row>
    <row r="480" spans="2:18" x14ac:dyDescent="0.2">
      <c r="B480" s="57" t="str">
        <f t="shared" si="95"/>
        <v>MonsterWaveCallRule_Challenge3</v>
      </c>
      <c r="C480" s="57">
        <v>4</v>
      </c>
      <c r="D480" s="57" t="str">
        <f t="shared" si="96"/>
        <v>挑战关卡3第4波</v>
      </c>
      <c r="F480" s="57">
        <f t="shared" si="99"/>
        <v>0</v>
      </c>
      <c r="G480" s="102">
        <f t="shared" si="97"/>
        <v>180</v>
      </c>
      <c r="I480" s="102" t="str">
        <f>VLOOKUP(P480&amp;"_"&amp;Q480,挑战模式!$A$3:$Z$55,3+5*MonsterWaveCallRuleCfg!R480,FALSE)</f>
        <v/>
      </c>
      <c r="J480" s="102" t="str">
        <f>VLOOKUP(P480&amp;"_"&amp;Q480,挑战模式!$A$3:$Z$55,4+5*MonsterWaveCallRuleCfg!R480,FALSE)</f>
        <v/>
      </c>
      <c r="K480" s="102" t="str">
        <f t="shared" si="100"/>
        <v/>
      </c>
      <c r="L480" s="102" t="str">
        <f>IF(VLOOKUP(P480&amp;"_"&amp;Q480,挑战模式!$A$3:$Z$55,2+5*R480,FALSE)="","","Monster_Challenge"&amp;P480&amp;"_"&amp;Q480&amp;"_"&amp;R480)</f>
        <v/>
      </c>
      <c r="M480" s="57" t="str">
        <f t="shared" si="101"/>
        <v/>
      </c>
      <c r="N480" s="118"/>
      <c r="O480" s="102" t="str">
        <f>VLOOKUP(P480&amp;"_"&amp;Q480,挑战模式!$A$3:$Z$55,6+5*MonsterWaveCallRuleCfg!R480,FALSE)</f>
        <v/>
      </c>
      <c r="P480" s="110">
        <v>3</v>
      </c>
      <c r="Q480" s="110">
        <f t="shared" si="98"/>
        <v>4</v>
      </c>
      <c r="R480" s="110">
        <v>1</v>
      </c>
    </row>
    <row r="481" spans="2:18" x14ac:dyDescent="0.2">
      <c r="B481" s="57" t="str">
        <f t="shared" si="95"/>
        <v/>
      </c>
      <c r="D481" s="57" t="str">
        <f t="shared" si="96"/>
        <v/>
      </c>
      <c r="F481" s="57" t="str">
        <f t="shared" si="99"/>
        <v/>
      </c>
      <c r="G481" s="102" t="str">
        <f t="shared" si="97"/>
        <v/>
      </c>
      <c r="I481" s="102" t="str">
        <f>VLOOKUP(P481&amp;"_"&amp;Q481,挑战模式!$A$3:$Z$55,3+5*MonsterWaveCallRuleCfg!R481,FALSE)</f>
        <v/>
      </c>
      <c r="J481" s="102" t="str">
        <f>VLOOKUP(P481&amp;"_"&amp;Q481,挑战模式!$A$3:$Z$55,4+5*MonsterWaveCallRuleCfg!R481,FALSE)</f>
        <v/>
      </c>
      <c r="K481" s="102" t="str">
        <f t="shared" si="100"/>
        <v/>
      </c>
      <c r="L481" s="102" t="str">
        <f>IF(VLOOKUP(P481&amp;"_"&amp;Q481,挑战模式!$A$3:$Z$55,2+5*R481,FALSE)="","","Monster_Challenge"&amp;P481&amp;"_"&amp;Q481&amp;"_"&amp;R481)</f>
        <v/>
      </c>
      <c r="M481" s="57" t="str">
        <f t="shared" si="101"/>
        <v/>
      </c>
      <c r="N481" s="118"/>
      <c r="O481" s="102" t="str">
        <f>VLOOKUP(P481&amp;"_"&amp;Q481,挑战模式!$A$3:$Z$55,6+5*MonsterWaveCallRuleCfg!R481,FALSE)</f>
        <v/>
      </c>
      <c r="P481" s="110">
        <v>3</v>
      </c>
      <c r="Q481" s="110">
        <f t="shared" si="98"/>
        <v>4</v>
      </c>
      <c r="R481" s="110">
        <v>2</v>
      </c>
    </row>
    <row r="482" spans="2:18" x14ac:dyDescent="0.2">
      <c r="B482" s="57" t="str">
        <f t="shared" si="95"/>
        <v/>
      </c>
      <c r="D482" s="57" t="str">
        <f t="shared" si="96"/>
        <v/>
      </c>
      <c r="F482" s="57" t="str">
        <f t="shared" si="99"/>
        <v/>
      </c>
      <c r="G482" s="102" t="str">
        <f t="shared" si="97"/>
        <v/>
      </c>
      <c r="I482" s="102" t="str">
        <f>VLOOKUP(P482&amp;"_"&amp;Q482,挑战模式!$A$3:$Z$55,3+5*MonsterWaveCallRuleCfg!R482,FALSE)</f>
        <v/>
      </c>
      <c r="J482" s="102" t="str">
        <f>VLOOKUP(P482&amp;"_"&amp;Q482,挑战模式!$A$3:$Z$55,4+5*MonsterWaveCallRuleCfg!R482,FALSE)</f>
        <v/>
      </c>
      <c r="K482" s="102" t="str">
        <f t="shared" si="100"/>
        <v/>
      </c>
      <c r="L482" s="102" t="str">
        <f>IF(VLOOKUP(P482&amp;"_"&amp;Q482,挑战模式!$A$3:$Z$55,2+5*R482,FALSE)="","","Monster_Challenge"&amp;P482&amp;"_"&amp;Q482&amp;"_"&amp;R482)</f>
        <v/>
      </c>
      <c r="M482" s="57" t="str">
        <f t="shared" si="101"/>
        <v/>
      </c>
      <c r="N482" s="118"/>
      <c r="O482" s="102" t="str">
        <f>VLOOKUP(P482&amp;"_"&amp;Q482,挑战模式!$A$3:$Z$55,6+5*MonsterWaveCallRuleCfg!R482,FALSE)</f>
        <v/>
      </c>
      <c r="P482" s="110">
        <v>3</v>
      </c>
      <c r="Q482" s="110">
        <f t="shared" si="98"/>
        <v>4</v>
      </c>
      <c r="R482" s="110">
        <v>3</v>
      </c>
    </row>
    <row r="483" spans="2:18" x14ac:dyDescent="0.2">
      <c r="B483" s="57" t="str">
        <f t="shared" si="95"/>
        <v/>
      </c>
      <c r="D483" s="57" t="str">
        <f t="shared" si="96"/>
        <v/>
      </c>
      <c r="F483" s="57" t="str">
        <f t="shared" si="99"/>
        <v/>
      </c>
      <c r="G483" s="102" t="str">
        <f t="shared" si="97"/>
        <v/>
      </c>
      <c r="I483" s="102" t="str">
        <f>VLOOKUP(P483&amp;"_"&amp;Q483,挑战模式!$A$3:$Z$55,3+5*MonsterWaveCallRuleCfg!R483,FALSE)</f>
        <v/>
      </c>
      <c r="J483" s="102" t="str">
        <f>VLOOKUP(P483&amp;"_"&amp;Q483,挑战模式!$A$3:$Z$55,4+5*MonsterWaveCallRuleCfg!R483,FALSE)</f>
        <v/>
      </c>
      <c r="K483" s="102" t="str">
        <f t="shared" si="100"/>
        <v/>
      </c>
      <c r="L483" s="102" t="str">
        <f>IF(VLOOKUP(P483&amp;"_"&amp;Q483,挑战模式!$A$3:$Z$55,2+5*R483,FALSE)="","","Monster_Challenge"&amp;P483&amp;"_"&amp;Q483&amp;"_"&amp;R483)</f>
        <v/>
      </c>
      <c r="M483" s="57" t="str">
        <f t="shared" si="101"/>
        <v/>
      </c>
      <c r="N483" s="118"/>
      <c r="O483" s="102" t="str">
        <f>VLOOKUP(P483&amp;"_"&amp;Q483,挑战模式!$A$3:$Z$55,6+5*MonsterWaveCallRuleCfg!R483,FALSE)</f>
        <v/>
      </c>
      <c r="P483" s="110">
        <v>3</v>
      </c>
      <c r="Q483" s="110">
        <f t="shared" si="98"/>
        <v>4</v>
      </c>
      <c r="R483" s="110">
        <v>4</v>
      </c>
    </row>
    <row r="484" spans="2:18" x14ac:dyDescent="0.2">
      <c r="B484" s="57" t="str">
        <f t="shared" si="95"/>
        <v>MonsterWaveCallRule_Challenge3</v>
      </c>
      <c r="C484" s="57">
        <v>5</v>
      </c>
      <c r="D484" s="57" t="str">
        <f t="shared" si="96"/>
        <v>挑战关卡3第5波</v>
      </c>
      <c r="F484" s="57">
        <f t="shared" si="99"/>
        <v>0</v>
      </c>
      <c r="G484" s="102">
        <f t="shared" si="97"/>
        <v>180</v>
      </c>
      <c r="I484" s="102" t="str">
        <f>VLOOKUP(P484&amp;"_"&amp;Q484,挑战模式!$A$3:$Z$55,3+5*MonsterWaveCallRuleCfg!R484,FALSE)</f>
        <v/>
      </c>
      <c r="J484" s="102" t="str">
        <f>VLOOKUP(P484&amp;"_"&amp;Q484,挑战模式!$A$3:$Z$55,4+5*MonsterWaveCallRuleCfg!R484,FALSE)</f>
        <v/>
      </c>
      <c r="K484" s="102" t="str">
        <f t="shared" si="100"/>
        <v/>
      </c>
      <c r="L484" s="102" t="str">
        <f>IF(VLOOKUP(P484&amp;"_"&amp;Q484,挑战模式!$A$3:$Z$55,2+5*R484,FALSE)="","","Monster_Challenge"&amp;P484&amp;"_"&amp;Q484&amp;"_"&amp;R484)</f>
        <v/>
      </c>
      <c r="M484" s="57" t="str">
        <f t="shared" si="101"/>
        <v/>
      </c>
      <c r="N484" s="118"/>
      <c r="O484" s="102" t="str">
        <f>VLOOKUP(P484&amp;"_"&amp;Q484,挑战模式!$A$3:$Z$55,6+5*MonsterWaveCallRuleCfg!R484,FALSE)</f>
        <v/>
      </c>
      <c r="P484" s="110">
        <v>3</v>
      </c>
      <c r="Q484" s="110">
        <f t="shared" si="98"/>
        <v>5</v>
      </c>
      <c r="R484" s="110">
        <v>1</v>
      </c>
    </row>
    <row r="485" spans="2:18" x14ac:dyDescent="0.2">
      <c r="B485" s="57" t="str">
        <f t="shared" si="95"/>
        <v/>
      </c>
      <c r="D485" s="57" t="str">
        <f t="shared" si="96"/>
        <v/>
      </c>
      <c r="F485" s="57" t="str">
        <f t="shared" si="99"/>
        <v/>
      </c>
      <c r="G485" s="102" t="str">
        <f t="shared" si="97"/>
        <v/>
      </c>
      <c r="I485" s="102" t="str">
        <f>VLOOKUP(P485&amp;"_"&amp;Q485,挑战模式!$A$3:$Z$55,3+5*MonsterWaveCallRuleCfg!R485,FALSE)</f>
        <v/>
      </c>
      <c r="J485" s="102" t="str">
        <f>VLOOKUP(P485&amp;"_"&amp;Q485,挑战模式!$A$3:$Z$55,4+5*MonsterWaveCallRuleCfg!R485,FALSE)</f>
        <v/>
      </c>
      <c r="K485" s="102" t="str">
        <f t="shared" si="100"/>
        <v/>
      </c>
      <c r="L485" s="102" t="str">
        <f>IF(VLOOKUP(P485&amp;"_"&amp;Q485,挑战模式!$A$3:$Z$55,2+5*R485,FALSE)="","","Monster_Challenge"&amp;P485&amp;"_"&amp;Q485&amp;"_"&amp;R485)</f>
        <v/>
      </c>
      <c r="M485" s="57" t="str">
        <f t="shared" si="101"/>
        <v/>
      </c>
      <c r="N485" s="118"/>
      <c r="O485" s="102" t="str">
        <f>VLOOKUP(P485&amp;"_"&amp;Q485,挑战模式!$A$3:$Z$55,6+5*MonsterWaveCallRuleCfg!R485,FALSE)</f>
        <v/>
      </c>
      <c r="P485" s="110">
        <v>3</v>
      </c>
      <c r="Q485" s="110">
        <f t="shared" si="98"/>
        <v>5</v>
      </c>
      <c r="R485" s="110">
        <v>2</v>
      </c>
    </row>
    <row r="486" spans="2:18" x14ac:dyDescent="0.2">
      <c r="B486" s="57" t="str">
        <f t="shared" si="95"/>
        <v/>
      </c>
      <c r="D486" s="57" t="str">
        <f t="shared" si="96"/>
        <v/>
      </c>
      <c r="F486" s="57" t="str">
        <f t="shared" si="99"/>
        <v/>
      </c>
      <c r="G486" s="102" t="str">
        <f t="shared" si="97"/>
        <v/>
      </c>
      <c r="I486" s="102" t="str">
        <f>VLOOKUP(P486&amp;"_"&amp;Q486,挑战模式!$A$3:$Z$55,3+5*MonsterWaveCallRuleCfg!R486,FALSE)</f>
        <v/>
      </c>
      <c r="J486" s="102" t="str">
        <f>VLOOKUP(P486&amp;"_"&amp;Q486,挑战模式!$A$3:$Z$55,4+5*MonsterWaveCallRuleCfg!R486,FALSE)</f>
        <v/>
      </c>
      <c r="K486" s="102" t="str">
        <f t="shared" si="100"/>
        <v/>
      </c>
      <c r="L486" s="102" t="str">
        <f>IF(VLOOKUP(P486&amp;"_"&amp;Q486,挑战模式!$A$3:$Z$55,2+5*R486,FALSE)="","","Monster_Challenge"&amp;P486&amp;"_"&amp;Q486&amp;"_"&amp;R486)</f>
        <v/>
      </c>
      <c r="M486" s="57" t="str">
        <f t="shared" si="101"/>
        <v/>
      </c>
      <c r="N486" s="118"/>
      <c r="O486" s="102" t="str">
        <f>VLOOKUP(P486&amp;"_"&amp;Q486,挑战模式!$A$3:$Z$55,6+5*MonsterWaveCallRuleCfg!R486,FALSE)</f>
        <v/>
      </c>
      <c r="P486" s="110">
        <v>3</v>
      </c>
      <c r="Q486" s="110">
        <f t="shared" si="98"/>
        <v>5</v>
      </c>
      <c r="R486" s="110">
        <v>3</v>
      </c>
    </row>
    <row r="487" spans="2:18" x14ac:dyDescent="0.2">
      <c r="B487" s="57" t="str">
        <f t="shared" si="95"/>
        <v/>
      </c>
      <c r="D487" s="57" t="str">
        <f t="shared" si="96"/>
        <v/>
      </c>
      <c r="F487" s="57" t="str">
        <f t="shared" si="99"/>
        <v/>
      </c>
      <c r="G487" s="102" t="str">
        <f t="shared" si="97"/>
        <v/>
      </c>
      <c r="I487" s="102" t="str">
        <f>VLOOKUP(P487&amp;"_"&amp;Q487,挑战模式!$A$3:$Z$55,3+5*MonsterWaveCallRuleCfg!R487,FALSE)</f>
        <v/>
      </c>
      <c r="J487" s="102" t="str">
        <f>VLOOKUP(P487&amp;"_"&amp;Q487,挑战模式!$A$3:$Z$55,4+5*MonsterWaveCallRuleCfg!R487,FALSE)</f>
        <v/>
      </c>
      <c r="K487" s="102" t="str">
        <f t="shared" si="100"/>
        <v/>
      </c>
      <c r="L487" s="102" t="str">
        <f>IF(VLOOKUP(P487&amp;"_"&amp;Q487,挑战模式!$A$3:$Z$55,2+5*R487,FALSE)="","","Monster_Challenge"&amp;P487&amp;"_"&amp;Q487&amp;"_"&amp;R487)</f>
        <v/>
      </c>
      <c r="M487" s="57" t="str">
        <f t="shared" si="101"/>
        <v/>
      </c>
      <c r="N487" s="118"/>
      <c r="O487" s="102" t="str">
        <f>VLOOKUP(P487&amp;"_"&amp;Q487,挑战模式!$A$3:$Z$55,6+5*MonsterWaveCallRuleCfg!R487,FALSE)</f>
        <v/>
      </c>
      <c r="P487" s="110">
        <v>3</v>
      </c>
      <c r="Q487" s="110">
        <f t="shared" si="98"/>
        <v>5</v>
      </c>
      <c r="R487" s="110">
        <v>4</v>
      </c>
    </row>
    <row r="488" spans="2:18" x14ac:dyDescent="0.2">
      <c r="B488" s="57" t="str">
        <f t="shared" si="95"/>
        <v>MonsterWaveCallRule_Challenge4</v>
      </c>
      <c r="C488" s="57">
        <v>1</v>
      </c>
      <c r="D488" s="57" t="str">
        <f t="shared" si="96"/>
        <v>挑战关卡4第1波</v>
      </c>
      <c r="F488" s="57">
        <f t="shared" si="99"/>
        <v>0</v>
      </c>
      <c r="G488" s="102">
        <f t="shared" si="97"/>
        <v>180</v>
      </c>
      <c r="I488" s="102">
        <f>VLOOKUP(P488&amp;"_"&amp;Q488,挑战模式!$A$3:$Z$55,3+5*MonsterWaveCallRuleCfg!R488,FALSE)</f>
        <v>5</v>
      </c>
      <c r="J488" s="102">
        <f>VLOOKUP(P488&amp;"_"&amp;Q488,挑战模式!$A$3:$Z$55,4+5*MonsterWaveCallRuleCfg!R488,FALSE)</f>
        <v>2</v>
      </c>
      <c r="K488" s="102">
        <f t="shared" si="100"/>
        <v>1</v>
      </c>
      <c r="L488" s="102" t="str">
        <f>IF(VLOOKUP(P488&amp;"_"&amp;Q488,挑战模式!$A$3:$Z$55,2+5*R488,FALSE)="","","Monster_Challenge"&amp;P488&amp;"_"&amp;Q488&amp;"_"&amp;R488)</f>
        <v>Monster_Challenge4_1_1</v>
      </c>
      <c r="M488" s="57">
        <f t="shared" si="101"/>
        <v>1</v>
      </c>
      <c r="N488" s="118"/>
      <c r="O488" s="102">
        <f>VLOOKUP(P488&amp;"_"&amp;Q488,挑战模式!$A$3:$Z$55,6+5*MonsterWaveCallRuleCfg!R488,FALSE)</f>
        <v>40</v>
      </c>
      <c r="P488" s="110">
        <v>4</v>
      </c>
      <c r="Q488" s="110">
        <f t="shared" si="98"/>
        <v>1</v>
      </c>
      <c r="R488" s="110">
        <v>1</v>
      </c>
    </row>
    <row r="489" spans="2:18" x14ac:dyDescent="0.2">
      <c r="B489" s="57" t="str">
        <f t="shared" si="95"/>
        <v/>
      </c>
      <c r="D489" s="57" t="str">
        <f t="shared" si="96"/>
        <v/>
      </c>
      <c r="F489" s="57" t="str">
        <f t="shared" si="99"/>
        <v/>
      </c>
      <c r="G489" s="102" t="str">
        <f t="shared" si="97"/>
        <v/>
      </c>
      <c r="I489" s="102">
        <f>VLOOKUP(P489&amp;"_"&amp;Q489,挑战模式!$A$3:$Z$55,3+5*MonsterWaveCallRuleCfg!R489,FALSE)</f>
        <v>10</v>
      </c>
      <c r="J489" s="102">
        <f>VLOOKUP(P489&amp;"_"&amp;Q489,挑战模式!$A$3:$Z$55,4+5*MonsterWaveCallRuleCfg!R489,FALSE)</f>
        <v>1</v>
      </c>
      <c r="K489" s="102">
        <f t="shared" si="100"/>
        <v>1</v>
      </c>
      <c r="L489" s="102" t="str">
        <f>IF(VLOOKUP(P489&amp;"_"&amp;Q489,挑战模式!$A$3:$Z$55,2+5*R489,FALSE)="","","Monster_Challenge"&amp;P489&amp;"_"&amp;Q489&amp;"_"&amp;R489)</f>
        <v>Monster_Challenge4_1_2</v>
      </c>
      <c r="M489" s="57">
        <f t="shared" si="101"/>
        <v>1</v>
      </c>
      <c r="N489" s="118"/>
      <c r="O489" s="102">
        <f>VLOOKUP(P489&amp;"_"&amp;Q489,挑战模式!$A$3:$Z$55,6+5*MonsterWaveCallRuleCfg!R489,FALSE)</f>
        <v>10</v>
      </c>
      <c r="P489" s="110">
        <v>4</v>
      </c>
      <c r="Q489" s="110">
        <f t="shared" si="98"/>
        <v>1</v>
      </c>
      <c r="R489" s="110">
        <v>2</v>
      </c>
    </row>
    <row r="490" spans="2:18" x14ac:dyDescent="0.2">
      <c r="B490" s="57" t="str">
        <f t="shared" si="95"/>
        <v/>
      </c>
      <c r="D490" s="57" t="str">
        <f t="shared" si="96"/>
        <v/>
      </c>
      <c r="F490" s="57" t="str">
        <f t="shared" si="99"/>
        <v/>
      </c>
      <c r="G490" s="102" t="str">
        <f t="shared" si="97"/>
        <v/>
      </c>
      <c r="I490" s="102" t="str">
        <f>VLOOKUP(P490&amp;"_"&amp;Q490,挑战模式!$A$3:$Z$55,3+5*MonsterWaveCallRuleCfg!R490,FALSE)</f>
        <v/>
      </c>
      <c r="J490" s="102" t="str">
        <f>VLOOKUP(P490&amp;"_"&amp;Q490,挑战模式!$A$3:$Z$55,4+5*MonsterWaveCallRuleCfg!R490,FALSE)</f>
        <v/>
      </c>
      <c r="K490" s="102" t="str">
        <f t="shared" si="100"/>
        <v/>
      </c>
      <c r="L490" s="102" t="str">
        <f>IF(VLOOKUP(P490&amp;"_"&amp;Q490,挑战模式!$A$3:$Z$55,2+5*R490,FALSE)="","","Monster_Challenge"&amp;P490&amp;"_"&amp;Q490&amp;"_"&amp;R490)</f>
        <v/>
      </c>
      <c r="M490" s="57" t="str">
        <f t="shared" si="101"/>
        <v/>
      </c>
      <c r="N490" s="118"/>
      <c r="O490" s="102" t="str">
        <f>VLOOKUP(P490&amp;"_"&amp;Q490,挑战模式!$A$3:$Z$55,6+5*MonsterWaveCallRuleCfg!R490,FALSE)</f>
        <v/>
      </c>
      <c r="P490" s="110">
        <v>4</v>
      </c>
      <c r="Q490" s="110">
        <f t="shared" si="98"/>
        <v>1</v>
      </c>
      <c r="R490" s="110">
        <v>3</v>
      </c>
    </row>
    <row r="491" spans="2:18" x14ac:dyDescent="0.2">
      <c r="B491" s="57" t="str">
        <f t="shared" si="95"/>
        <v/>
      </c>
      <c r="D491" s="57" t="str">
        <f t="shared" si="96"/>
        <v/>
      </c>
      <c r="F491" s="57" t="str">
        <f t="shared" si="99"/>
        <v/>
      </c>
      <c r="G491" s="102" t="str">
        <f t="shared" si="97"/>
        <v/>
      </c>
      <c r="I491" s="102" t="str">
        <f>VLOOKUP(P491&amp;"_"&amp;Q491,挑战模式!$A$3:$Z$55,3+5*MonsterWaveCallRuleCfg!R491,FALSE)</f>
        <v/>
      </c>
      <c r="J491" s="102" t="str">
        <f>VLOOKUP(P491&amp;"_"&amp;Q491,挑战模式!$A$3:$Z$55,4+5*MonsterWaveCallRuleCfg!R491,FALSE)</f>
        <v/>
      </c>
      <c r="K491" s="102" t="str">
        <f t="shared" si="100"/>
        <v/>
      </c>
      <c r="L491" s="102" t="str">
        <f>IF(VLOOKUP(P491&amp;"_"&amp;Q491,挑战模式!$A$3:$Z$55,2+5*R491,FALSE)="","","Monster_Challenge"&amp;P491&amp;"_"&amp;Q491&amp;"_"&amp;R491)</f>
        <v/>
      </c>
      <c r="M491" s="57" t="str">
        <f t="shared" si="101"/>
        <v/>
      </c>
      <c r="N491" s="118"/>
      <c r="O491" s="102" t="str">
        <f>VLOOKUP(P491&amp;"_"&amp;Q491,挑战模式!$A$3:$Z$55,6+5*MonsterWaveCallRuleCfg!R491,FALSE)</f>
        <v/>
      </c>
      <c r="P491" s="110">
        <v>4</v>
      </c>
      <c r="Q491" s="110">
        <f t="shared" si="98"/>
        <v>1</v>
      </c>
      <c r="R491" s="110">
        <v>4</v>
      </c>
    </row>
    <row r="492" spans="2:18" x14ac:dyDescent="0.2">
      <c r="B492" s="57" t="str">
        <f t="shared" si="95"/>
        <v>MonsterWaveCallRule_Challenge4</v>
      </c>
      <c r="C492" s="57">
        <v>2</v>
      </c>
      <c r="D492" s="57" t="str">
        <f t="shared" si="96"/>
        <v>挑战关卡4第2波</v>
      </c>
      <c r="F492" s="57">
        <f t="shared" si="99"/>
        <v>0</v>
      </c>
      <c r="G492" s="102">
        <f t="shared" si="97"/>
        <v>180</v>
      </c>
      <c r="I492" s="102">
        <f>VLOOKUP(P492&amp;"_"&amp;Q492,挑战模式!$A$3:$Z$55,3+5*MonsterWaveCallRuleCfg!R492,FALSE)</f>
        <v>6</v>
      </c>
      <c r="J492" s="102">
        <f>VLOOKUP(P492&amp;"_"&amp;Q492,挑战模式!$A$3:$Z$55,4+5*MonsterWaveCallRuleCfg!R492,FALSE)</f>
        <v>2</v>
      </c>
      <c r="K492" s="102">
        <f t="shared" si="100"/>
        <v>1</v>
      </c>
      <c r="L492" s="102" t="str">
        <f>IF(VLOOKUP(P492&amp;"_"&amp;Q492,挑战模式!$A$3:$Z$55,2+5*R492,FALSE)="","","Monster_Challenge"&amp;P492&amp;"_"&amp;Q492&amp;"_"&amp;R492)</f>
        <v>Monster_Challenge4_2_1</v>
      </c>
      <c r="M492" s="57">
        <f t="shared" si="101"/>
        <v>1</v>
      </c>
      <c r="N492" s="118"/>
      <c r="O492" s="102">
        <f>VLOOKUP(P492&amp;"_"&amp;Q492,挑战模式!$A$3:$Z$55,6+5*MonsterWaveCallRuleCfg!R492,FALSE)</f>
        <v>16</v>
      </c>
      <c r="P492" s="110">
        <v>4</v>
      </c>
      <c r="Q492" s="110">
        <f t="shared" si="98"/>
        <v>2</v>
      </c>
      <c r="R492" s="110">
        <v>1</v>
      </c>
    </row>
    <row r="493" spans="2:18" x14ac:dyDescent="0.2">
      <c r="B493" s="57" t="str">
        <f t="shared" ref="B493:B556" si="102">IF(C493="","","MonsterWaveCallRule_Challenge"&amp;P493)</f>
        <v/>
      </c>
      <c r="D493" s="57" t="str">
        <f t="shared" ref="D493:D556" si="103">IF(C493="","","挑战关卡"&amp;P493&amp;"第"&amp;C493&amp;"波")</f>
        <v/>
      </c>
      <c r="F493" s="57" t="str">
        <f t="shared" si="99"/>
        <v/>
      </c>
      <c r="G493" s="102" t="str">
        <f t="shared" ref="G493:G507" si="104">IF(C493="","",180)</f>
        <v/>
      </c>
      <c r="I493" s="102">
        <f>VLOOKUP(P493&amp;"_"&amp;Q493,挑战模式!$A$3:$Z$55,3+5*MonsterWaveCallRuleCfg!R493,FALSE)</f>
        <v>6</v>
      </c>
      <c r="J493" s="102">
        <f>VLOOKUP(P493&amp;"_"&amp;Q493,挑战模式!$A$3:$Z$55,4+5*MonsterWaveCallRuleCfg!R493,FALSE)</f>
        <v>2</v>
      </c>
      <c r="K493" s="102">
        <f t="shared" si="100"/>
        <v>1</v>
      </c>
      <c r="L493" s="102" t="str">
        <f>IF(VLOOKUP(P493&amp;"_"&amp;Q493,挑战模式!$A$3:$Z$55,2+5*R493,FALSE)="","","Monster_Challenge"&amp;P493&amp;"_"&amp;Q493&amp;"_"&amp;R493)</f>
        <v>Monster_Challenge4_2_2</v>
      </c>
      <c r="M493" s="57">
        <f t="shared" si="101"/>
        <v>1</v>
      </c>
      <c r="N493" s="118"/>
      <c r="O493" s="102">
        <f>VLOOKUP(P493&amp;"_"&amp;Q493,挑战模式!$A$3:$Z$55,6+5*MonsterWaveCallRuleCfg!R493,FALSE)</f>
        <v>16</v>
      </c>
      <c r="P493" s="110">
        <v>4</v>
      </c>
      <c r="Q493" s="110">
        <f t="shared" si="98"/>
        <v>2</v>
      </c>
      <c r="R493" s="110">
        <v>2</v>
      </c>
    </row>
    <row r="494" spans="2:18" x14ac:dyDescent="0.2">
      <c r="B494" s="57" t="str">
        <f t="shared" si="102"/>
        <v/>
      </c>
      <c r="D494" s="57" t="str">
        <f t="shared" si="103"/>
        <v/>
      </c>
      <c r="F494" s="57" t="str">
        <f t="shared" si="99"/>
        <v/>
      </c>
      <c r="G494" s="102" t="str">
        <f t="shared" si="104"/>
        <v/>
      </c>
      <c r="I494" s="102">
        <f>VLOOKUP(P494&amp;"_"&amp;Q494,挑战模式!$A$3:$Z$55,3+5*MonsterWaveCallRuleCfg!R494,FALSE)</f>
        <v>13</v>
      </c>
      <c r="J494" s="102">
        <f>VLOOKUP(P494&amp;"_"&amp;Q494,挑战模式!$A$3:$Z$55,4+5*MonsterWaveCallRuleCfg!R494,FALSE)</f>
        <v>1</v>
      </c>
      <c r="K494" s="102">
        <f t="shared" si="100"/>
        <v>1</v>
      </c>
      <c r="L494" s="102" t="str">
        <f>IF(VLOOKUP(P494&amp;"_"&amp;Q494,挑战模式!$A$3:$Z$55,2+5*R494,FALSE)="","","Monster_Challenge"&amp;P494&amp;"_"&amp;Q494&amp;"_"&amp;R494)</f>
        <v>Monster_Challenge4_2_3</v>
      </c>
      <c r="M494" s="57">
        <f t="shared" si="101"/>
        <v>1</v>
      </c>
      <c r="N494" s="118"/>
      <c r="O494" s="102">
        <f>VLOOKUP(P494&amp;"_"&amp;Q494,挑战模式!$A$3:$Z$55,6+5*MonsterWaveCallRuleCfg!R494,FALSE)</f>
        <v>8</v>
      </c>
      <c r="P494" s="110">
        <v>4</v>
      </c>
      <c r="Q494" s="110">
        <f t="shared" ref="Q494:Q525" si="105">IF(C494="",Q493,C494)</f>
        <v>2</v>
      </c>
      <c r="R494" s="110">
        <v>3</v>
      </c>
    </row>
    <row r="495" spans="2:18" x14ac:dyDescent="0.2">
      <c r="B495" s="57" t="str">
        <f t="shared" si="102"/>
        <v/>
      </c>
      <c r="D495" s="57" t="str">
        <f t="shared" si="103"/>
        <v/>
      </c>
      <c r="F495" s="57" t="str">
        <f t="shared" si="99"/>
        <v/>
      </c>
      <c r="G495" s="102" t="str">
        <f t="shared" si="104"/>
        <v/>
      </c>
      <c r="I495" s="102" t="str">
        <f>VLOOKUP(P495&amp;"_"&amp;Q495,挑战模式!$A$3:$Z$55,3+5*MonsterWaveCallRuleCfg!R495,FALSE)</f>
        <v/>
      </c>
      <c r="J495" s="102" t="str">
        <f>VLOOKUP(P495&amp;"_"&amp;Q495,挑战模式!$A$3:$Z$55,4+5*MonsterWaveCallRuleCfg!R495,FALSE)</f>
        <v/>
      </c>
      <c r="K495" s="102" t="str">
        <f t="shared" si="100"/>
        <v/>
      </c>
      <c r="L495" s="102" t="str">
        <f>IF(VLOOKUP(P495&amp;"_"&amp;Q495,挑战模式!$A$3:$Z$55,2+5*R495,FALSE)="","","Monster_Challenge"&amp;P495&amp;"_"&amp;Q495&amp;"_"&amp;R495)</f>
        <v/>
      </c>
      <c r="M495" s="57" t="str">
        <f t="shared" si="101"/>
        <v/>
      </c>
      <c r="N495" s="118"/>
      <c r="O495" s="102" t="str">
        <f>VLOOKUP(P495&amp;"_"&amp;Q495,挑战模式!$A$3:$Z$55,6+5*MonsterWaveCallRuleCfg!R495,FALSE)</f>
        <v/>
      </c>
      <c r="P495" s="110">
        <v>4</v>
      </c>
      <c r="Q495" s="110">
        <f t="shared" si="105"/>
        <v>2</v>
      </c>
      <c r="R495" s="110">
        <v>4</v>
      </c>
    </row>
    <row r="496" spans="2:18" x14ac:dyDescent="0.2">
      <c r="B496" s="57" t="str">
        <f t="shared" si="102"/>
        <v>MonsterWaveCallRule_Challenge4</v>
      </c>
      <c r="C496" s="57">
        <v>3</v>
      </c>
      <c r="D496" s="57" t="str">
        <f t="shared" si="103"/>
        <v>挑战关卡4第3波</v>
      </c>
      <c r="F496" s="57">
        <f t="shared" si="99"/>
        <v>0</v>
      </c>
      <c r="G496" s="102">
        <f t="shared" si="104"/>
        <v>180</v>
      </c>
      <c r="I496" s="102">
        <f>VLOOKUP(P496&amp;"_"&amp;Q496,挑战模式!$A$3:$Z$55,3+5*MonsterWaveCallRuleCfg!R496,FALSE)</f>
        <v>8</v>
      </c>
      <c r="J496" s="102">
        <f>VLOOKUP(P496&amp;"_"&amp;Q496,挑战模式!$A$3:$Z$55,4+5*MonsterWaveCallRuleCfg!R496,FALSE)</f>
        <v>2</v>
      </c>
      <c r="K496" s="102">
        <f t="shared" si="100"/>
        <v>1</v>
      </c>
      <c r="L496" s="102" t="str">
        <f>IF(VLOOKUP(P496&amp;"_"&amp;Q496,挑战模式!$A$3:$Z$55,2+5*R496,FALSE)="","","Monster_Challenge"&amp;P496&amp;"_"&amp;Q496&amp;"_"&amp;R496)</f>
        <v>Monster_Challenge4_3_1</v>
      </c>
      <c r="M496" s="57">
        <f t="shared" si="101"/>
        <v>1</v>
      </c>
      <c r="N496" s="118"/>
      <c r="O496" s="102">
        <f>VLOOKUP(P496&amp;"_"&amp;Q496,挑战模式!$A$3:$Z$55,6+5*MonsterWaveCallRuleCfg!R496,FALSE)</f>
        <v>11</v>
      </c>
      <c r="P496" s="110">
        <v>4</v>
      </c>
      <c r="Q496" s="110">
        <f t="shared" si="105"/>
        <v>3</v>
      </c>
      <c r="R496" s="110">
        <v>1</v>
      </c>
    </row>
    <row r="497" spans="2:18" x14ac:dyDescent="0.2">
      <c r="B497" s="57" t="str">
        <f t="shared" si="102"/>
        <v/>
      </c>
      <c r="D497" s="57" t="str">
        <f t="shared" si="103"/>
        <v/>
      </c>
      <c r="F497" s="57" t="str">
        <f t="shared" si="99"/>
        <v/>
      </c>
      <c r="G497" s="102" t="str">
        <f t="shared" si="104"/>
        <v/>
      </c>
      <c r="I497" s="102">
        <f>VLOOKUP(P497&amp;"_"&amp;Q497,挑战模式!$A$3:$Z$55,3+5*MonsterWaveCallRuleCfg!R497,FALSE)</f>
        <v>15</v>
      </c>
      <c r="J497" s="102">
        <f>VLOOKUP(P497&amp;"_"&amp;Q497,挑战模式!$A$3:$Z$55,4+5*MonsterWaveCallRuleCfg!R497,FALSE)</f>
        <v>1</v>
      </c>
      <c r="K497" s="102">
        <f t="shared" si="100"/>
        <v>1</v>
      </c>
      <c r="L497" s="102" t="str">
        <f>IF(VLOOKUP(P497&amp;"_"&amp;Q497,挑战模式!$A$3:$Z$55,2+5*R497,FALSE)="","","Monster_Challenge"&amp;P497&amp;"_"&amp;Q497&amp;"_"&amp;R497)</f>
        <v>Monster_Challenge4_3_2</v>
      </c>
      <c r="M497" s="57">
        <f t="shared" si="101"/>
        <v>1</v>
      </c>
      <c r="N497" s="118"/>
      <c r="O497" s="102">
        <f>VLOOKUP(P497&amp;"_"&amp;Q497,挑战模式!$A$3:$Z$55,6+5*MonsterWaveCallRuleCfg!R497,FALSE)</f>
        <v>3</v>
      </c>
      <c r="P497" s="110">
        <v>4</v>
      </c>
      <c r="Q497" s="110">
        <f t="shared" si="105"/>
        <v>3</v>
      </c>
      <c r="R497" s="110">
        <v>2</v>
      </c>
    </row>
    <row r="498" spans="2:18" x14ac:dyDescent="0.2">
      <c r="B498" s="57" t="str">
        <f t="shared" si="102"/>
        <v/>
      </c>
      <c r="D498" s="57" t="str">
        <f t="shared" si="103"/>
        <v/>
      </c>
      <c r="F498" s="57" t="str">
        <f t="shared" si="99"/>
        <v/>
      </c>
      <c r="G498" s="102" t="str">
        <f t="shared" si="104"/>
        <v/>
      </c>
      <c r="I498" s="102">
        <f>VLOOKUP(P498&amp;"_"&amp;Q498,挑战模式!$A$3:$Z$55,3+5*MonsterWaveCallRuleCfg!R498,FALSE)</f>
        <v>8</v>
      </c>
      <c r="J498" s="102">
        <f>VLOOKUP(P498&amp;"_"&amp;Q498,挑战模式!$A$3:$Z$55,4+5*MonsterWaveCallRuleCfg!R498,FALSE)</f>
        <v>2</v>
      </c>
      <c r="K498" s="102">
        <f t="shared" si="100"/>
        <v>1</v>
      </c>
      <c r="L498" s="102" t="str">
        <f>IF(VLOOKUP(P498&amp;"_"&amp;Q498,挑战模式!$A$3:$Z$55,2+5*R498,FALSE)="","","Monster_Challenge"&amp;P498&amp;"_"&amp;Q498&amp;"_"&amp;R498)</f>
        <v>Monster_Challenge4_3_3</v>
      </c>
      <c r="M498" s="57">
        <f t="shared" si="101"/>
        <v>1</v>
      </c>
      <c r="N498" s="118"/>
      <c r="O498" s="102">
        <f>VLOOKUP(P498&amp;"_"&amp;Q498,挑战模式!$A$3:$Z$55,6+5*MonsterWaveCallRuleCfg!R498,FALSE)</f>
        <v>11</v>
      </c>
      <c r="P498" s="110">
        <v>4</v>
      </c>
      <c r="Q498" s="110">
        <f t="shared" si="105"/>
        <v>3</v>
      </c>
      <c r="R498" s="110">
        <v>3</v>
      </c>
    </row>
    <row r="499" spans="2:18" x14ac:dyDescent="0.2">
      <c r="B499" s="57" t="str">
        <f t="shared" si="102"/>
        <v/>
      </c>
      <c r="D499" s="57" t="str">
        <f t="shared" si="103"/>
        <v/>
      </c>
      <c r="F499" s="57" t="str">
        <f t="shared" si="99"/>
        <v/>
      </c>
      <c r="G499" s="102" t="str">
        <f t="shared" si="104"/>
        <v/>
      </c>
      <c r="I499" s="102">
        <f>VLOOKUP(P499&amp;"_"&amp;Q499,挑战模式!$A$3:$Z$55,3+5*MonsterWaveCallRuleCfg!R499,FALSE)</f>
        <v>15</v>
      </c>
      <c r="J499" s="102">
        <f>VLOOKUP(P499&amp;"_"&amp;Q499,挑战模式!$A$3:$Z$55,4+5*MonsterWaveCallRuleCfg!R499,FALSE)</f>
        <v>1</v>
      </c>
      <c r="K499" s="102">
        <f t="shared" si="100"/>
        <v>1</v>
      </c>
      <c r="L499" s="102" t="str">
        <f>IF(VLOOKUP(P499&amp;"_"&amp;Q499,挑战模式!$A$3:$Z$55,2+5*R499,FALSE)="","","Monster_Challenge"&amp;P499&amp;"_"&amp;Q499&amp;"_"&amp;R499)</f>
        <v>Monster_Challenge4_3_4</v>
      </c>
      <c r="M499" s="57">
        <f t="shared" si="101"/>
        <v>1</v>
      </c>
      <c r="N499" s="118"/>
      <c r="O499" s="102">
        <f>VLOOKUP(P499&amp;"_"&amp;Q499,挑战模式!$A$3:$Z$55,6+5*MonsterWaveCallRuleCfg!R499,FALSE)</f>
        <v>6</v>
      </c>
      <c r="P499" s="110">
        <v>4</v>
      </c>
      <c r="Q499" s="110">
        <f t="shared" si="105"/>
        <v>3</v>
      </c>
      <c r="R499" s="110">
        <v>4</v>
      </c>
    </row>
    <row r="500" spans="2:18" x14ac:dyDescent="0.2">
      <c r="B500" s="57" t="str">
        <f t="shared" si="102"/>
        <v>MonsterWaveCallRule_Challenge4</v>
      </c>
      <c r="C500" s="57">
        <v>4</v>
      </c>
      <c r="D500" s="57" t="str">
        <f t="shared" si="103"/>
        <v>挑战关卡4第4波</v>
      </c>
      <c r="F500" s="57">
        <f t="shared" si="99"/>
        <v>0</v>
      </c>
      <c r="G500" s="102">
        <f t="shared" si="104"/>
        <v>180</v>
      </c>
      <c r="I500" s="102" t="str">
        <f>VLOOKUP(P500&amp;"_"&amp;Q500,挑战模式!$A$3:$Z$55,3+5*MonsterWaveCallRuleCfg!R500,FALSE)</f>
        <v/>
      </c>
      <c r="J500" s="102" t="str">
        <f>VLOOKUP(P500&amp;"_"&amp;Q500,挑战模式!$A$3:$Z$55,4+5*MonsterWaveCallRuleCfg!R500,FALSE)</f>
        <v/>
      </c>
      <c r="K500" s="102" t="str">
        <f t="shared" si="100"/>
        <v/>
      </c>
      <c r="L500" s="102" t="str">
        <f>IF(VLOOKUP(P500&amp;"_"&amp;Q500,挑战模式!$A$3:$Z$55,2+5*R500,FALSE)="","","Monster_Challenge"&amp;P500&amp;"_"&amp;Q500&amp;"_"&amp;R500)</f>
        <v/>
      </c>
      <c r="M500" s="57" t="str">
        <f t="shared" si="101"/>
        <v/>
      </c>
      <c r="N500" s="118"/>
      <c r="O500" s="102" t="str">
        <f>VLOOKUP(P500&amp;"_"&amp;Q500,挑战模式!$A$3:$Z$55,6+5*MonsterWaveCallRuleCfg!R500,FALSE)</f>
        <v/>
      </c>
      <c r="P500" s="110">
        <v>4</v>
      </c>
      <c r="Q500" s="110">
        <f t="shared" si="105"/>
        <v>4</v>
      </c>
      <c r="R500" s="110">
        <v>1</v>
      </c>
    </row>
    <row r="501" spans="2:18" x14ac:dyDescent="0.2">
      <c r="B501" s="57" t="str">
        <f t="shared" si="102"/>
        <v/>
      </c>
      <c r="D501" s="57" t="str">
        <f t="shared" si="103"/>
        <v/>
      </c>
      <c r="F501" s="57" t="str">
        <f t="shared" si="99"/>
        <v/>
      </c>
      <c r="G501" s="102" t="str">
        <f t="shared" si="104"/>
        <v/>
      </c>
      <c r="I501" s="102" t="str">
        <f>VLOOKUP(P501&amp;"_"&amp;Q501,挑战模式!$A$3:$Z$55,3+5*MonsterWaveCallRuleCfg!R501,FALSE)</f>
        <v/>
      </c>
      <c r="J501" s="102" t="str">
        <f>VLOOKUP(P501&amp;"_"&amp;Q501,挑战模式!$A$3:$Z$55,4+5*MonsterWaveCallRuleCfg!R501,FALSE)</f>
        <v/>
      </c>
      <c r="K501" s="102" t="str">
        <f t="shared" si="100"/>
        <v/>
      </c>
      <c r="L501" s="102" t="str">
        <f>IF(VLOOKUP(P501&amp;"_"&amp;Q501,挑战模式!$A$3:$Z$55,2+5*R501,FALSE)="","","Monster_Challenge"&amp;P501&amp;"_"&amp;Q501&amp;"_"&amp;R501)</f>
        <v/>
      </c>
      <c r="M501" s="57" t="str">
        <f t="shared" si="101"/>
        <v/>
      </c>
      <c r="N501" s="118"/>
      <c r="O501" s="102" t="str">
        <f>VLOOKUP(P501&amp;"_"&amp;Q501,挑战模式!$A$3:$Z$55,6+5*MonsterWaveCallRuleCfg!R501,FALSE)</f>
        <v/>
      </c>
      <c r="P501" s="110">
        <v>4</v>
      </c>
      <c r="Q501" s="110">
        <f t="shared" si="105"/>
        <v>4</v>
      </c>
      <c r="R501" s="110">
        <v>2</v>
      </c>
    </row>
    <row r="502" spans="2:18" x14ac:dyDescent="0.2">
      <c r="B502" s="57" t="str">
        <f t="shared" si="102"/>
        <v/>
      </c>
      <c r="D502" s="57" t="str">
        <f t="shared" si="103"/>
        <v/>
      </c>
      <c r="F502" s="57" t="str">
        <f t="shared" si="99"/>
        <v/>
      </c>
      <c r="G502" s="102" t="str">
        <f t="shared" si="104"/>
        <v/>
      </c>
      <c r="I502" s="102" t="str">
        <f>VLOOKUP(P502&amp;"_"&amp;Q502,挑战模式!$A$3:$Z$55,3+5*MonsterWaveCallRuleCfg!R502,FALSE)</f>
        <v/>
      </c>
      <c r="J502" s="102" t="str">
        <f>VLOOKUP(P502&amp;"_"&amp;Q502,挑战模式!$A$3:$Z$55,4+5*MonsterWaveCallRuleCfg!R502,FALSE)</f>
        <v/>
      </c>
      <c r="K502" s="102" t="str">
        <f t="shared" si="100"/>
        <v/>
      </c>
      <c r="L502" s="102" t="str">
        <f>IF(VLOOKUP(P502&amp;"_"&amp;Q502,挑战模式!$A$3:$Z$55,2+5*R502,FALSE)="","","Monster_Challenge"&amp;P502&amp;"_"&amp;Q502&amp;"_"&amp;R502)</f>
        <v/>
      </c>
      <c r="M502" s="57" t="str">
        <f t="shared" si="101"/>
        <v/>
      </c>
      <c r="N502" s="118"/>
      <c r="O502" s="102" t="str">
        <f>VLOOKUP(P502&amp;"_"&amp;Q502,挑战模式!$A$3:$Z$55,6+5*MonsterWaveCallRuleCfg!R502,FALSE)</f>
        <v/>
      </c>
      <c r="P502" s="110">
        <v>4</v>
      </c>
      <c r="Q502" s="110">
        <f t="shared" si="105"/>
        <v>4</v>
      </c>
      <c r="R502" s="110">
        <v>3</v>
      </c>
    </row>
    <row r="503" spans="2:18" x14ac:dyDescent="0.2">
      <c r="B503" s="57" t="str">
        <f t="shared" si="102"/>
        <v/>
      </c>
      <c r="D503" s="57" t="str">
        <f t="shared" si="103"/>
        <v/>
      </c>
      <c r="F503" s="57" t="str">
        <f t="shared" si="99"/>
        <v/>
      </c>
      <c r="G503" s="102" t="str">
        <f t="shared" si="104"/>
        <v/>
      </c>
      <c r="I503" s="102" t="str">
        <f>VLOOKUP(P503&amp;"_"&amp;Q503,挑战模式!$A$3:$Z$55,3+5*MonsterWaveCallRuleCfg!R503,FALSE)</f>
        <v/>
      </c>
      <c r="J503" s="102" t="str">
        <f>VLOOKUP(P503&amp;"_"&amp;Q503,挑战模式!$A$3:$Z$55,4+5*MonsterWaveCallRuleCfg!R503,FALSE)</f>
        <v/>
      </c>
      <c r="K503" s="102" t="str">
        <f t="shared" si="100"/>
        <v/>
      </c>
      <c r="L503" s="102" t="str">
        <f>IF(VLOOKUP(P503&amp;"_"&amp;Q503,挑战模式!$A$3:$Z$55,2+5*R503,FALSE)="","","Monster_Challenge"&amp;P503&amp;"_"&amp;Q503&amp;"_"&amp;R503)</f>
        <v/>
      </c>
      <c r="M503" s="57" t="str">
        <f t="shared" si="101"/>
        <v/>
      </c>
      <c r="N503" s="118"/>
      <c r="O503" s="102" t="str">
        <f>VLOOKUP(P503&amp;"_"&amp;Q503,挑战模式!$A$3:$Z$55,6+5*MonsterWaveCallRuleCfg!R503,FALSE)</f>
        <v/>
      </c>
      <c r="P503" s="110">
        <v>4</v>
      </c>
      <c r="Q503" s="110">
        <f t="shared" si="105"/>
        <v>4</v>
      </c>
      <c r="R503" s="110">
        <v>4</v>
      </c>
    </row>
    <row r="504" spans="2:18" x14ac:dyDescent="0.2">
      <c r="B504" s="57" t="str">
        <f t="shared" si="102"/>
        <v>MonsterWaveCallRule_Challenge4</v>
      </c>
      <c r="C504" s="57">
        <v>5</v>
      </c>
      <c r="D504" s="57" t="str">
        <f t="shared" si="103"/>
        <v>挑战关卡4第5波</v>
      </c>
      <c r="F504" s="57">
        <f t="shared" si="99"/>
        <v>0</v>
      </c>
      <c r="G504" s="102">
        <f t="shared" si="104"/>
        <v>180</v>
      </c>
      <c r="I504" s="102" t="str">
        <f>VLOOKUP(P504&amp;"_"&amp;Q504,挑战模式!$A$3:$Z$55,3+5*MonsterWaveCallRuleCfg!R504,FALSE)</f>
        <v/>
      </c>
      <c r="J504" s="102" t="str">
        <f>VLOOKUP(P504&amp;"_"&amp;Q504,挑战模式!$A$3:$Z$55,4+5*MonsterWaveCallRuleCfg!R504,FALSE)</f>
        <v/>
      </c>
      <c r="K504" s="102" t="str">
        <f t="shared" si="100"/>
        <v/>
      </c>
      <c r="L504" s="102" t="str">
        <f>IF(VLOOKUP(P504&amp;"_"&amp;Q504,挑战模式!$A$3:$Z$55,2+5*R504,FALSE)="","","Monster_Challenge"&amp;P504&amp;"_"&amp;Q504&amp;"_"&amp;R504)</f>
        <v/>
      </c>
      <c r="M504" s="57" t="str">
        <f t="shared" si="101"/>
        <v/>
      </c>
      <c r="N504" s="118"/>
      <c r="O504" s="102" t="str">
        <f>VLOOKUP(P504&amp;"_"&amp;Q504,挑战模式!$A$3:$Z$55,6+5*MonsterWaveCallRuleCfg!R504,FALSE)</f>
        <v/>
      </c>
      <c r="P504" s="110">
        <v>4</v>
      </c>
      <c r="Q504" s="110">
        <f t="shared" si="105"/>
        <v>5</v>
      </c>
      <c r="R504" s="110">
        <v>1</v>
      </c>
    </row>
    <row r="505" spans="2:18" x14ac:dyDescent="0.2">
      <c r="B505" s="57" t="str">
        <f t="shared" si="102"/>
        <v/>
      </c>
      <c r="D505" s="57" t="str">
        <f t="shared" si="103"/>
        <v/>
      </c>
      <c r="F505" s="57" t="str">
        <f t="shared" si="99"/>
        <v/>
      </c>
      <c r="G505" s="102" t="str">
        <f t="shared" si="104"/>
        <v/>
      </c>
      <c r="I505" s="102" t="str">
        <f>VLOOKUP(P505&amp;"_"&amp;Q505,挑战模式!$A$3:$Z$55,3+5*MonsterWaveCallRuleCfg!R505,FALSE)</f>
        <v/>
      </c>
      <c r="J505" s="102" t="str">
        <f>VLOOKUP(P505&amp;"_"&amp;Q505,挑战模式!$A$3:$Z$55,4+5*MonsterWaveCallRuleCfg!R505,FALSE)</f>
        <v/>
      </c>
      <c r="K505" s="102" t="str">
        <f t="shared" si="100"/>
        <v/>
      </c>
      <c r="L505" s="102" t="str">
        <f>IF(VLOOKUP(P505&amp;"_"&amp;Q505,挑战模式!$A$3:$Z$55,2+5*R505,FALSE)="","","Monster_Challenge"&amp;P505&amp;"_"&amp;Q505&amp;"_"&amp;R505)</f>
        <v/>
      </c>
      <c r="M505" s="57" t="str">
        <f t="shared" si="101"/>
        <v/>
      </c>
      <c r="N505" s="118"/>
      <c r="O505" s="102" t="str">
        <f>VLOOKUP(P505&amp;"_"&amp;Q505,挑战模式!$A$3:$Z$55,6+5*MonsterWaveCallRuleCfg!R505,FALSE)</f>
        <v/>
      </c>
      <c r="P505" s="110">
        <v>4</v>
      </c>
      <c r="Q505" s="110">
        <f t="shared" si="105"/>
        <v>5</v>
      </c>
      <c r="R505" s="110">
        <v>2</v>
      </c>
    </row>
    <row r="506" spans="2:18" x14ac:dyDescent="0.2">
      <c r="B506" s="57" t="str">
        <f t="shared" si="102"/>
        <v/>
      </c>
      <c r="D506" s="57" t="str">
        <f t="shared" si="103"/>
        <v/>
      </c>
      <c r="F506" s="57" t="str">
        <f t="shared" si="99"/>
        <v/>
      </c>
      <c r="G506" s="102" t="str">
        <f t="shared" si="104"/>
        <v/>
      </c>
      <c r="I506" s="102" t="str">
        <f>VLOOKUP(P506&amp;"_"&amp;Q506,挑战模式!$A$3:$Z$55,3+5*MonsterWaveCallRuleCfg!R506,FALSE)</f>
        <v/>
      </c>
      <c r="J506" s="102" t="str">
        <f>VLOOKUP(P506&amp;"_"&amp;Q506,挑战模式!$A$3:$Z$55,4+5*MonsterWaveCallRuleCfg!R506,FALSE)</f>
        <v/>
      </c>
      <c r="K506" s="102" t="str">
        <f t="shared" si="100"/>
        <v/>
      </c>
      <c r="L506" s="102" t="str">
        <f>IF(VLOOKUP(P506&amp;"_"&amp;Q506,挑战模式!$A$3:$Z$55,2+5*R506,FALSE)="","","Monster_Challenge"&amp;P506&amp;"_"&amp;Q506&amp;"_"&amp;R506)</f>
        <v/>
      </c>
      <c r="M506" s="57" t="str">
        <f t="shared" si="101"/>
        <v/>
      </c>
      <c r="N506" s="118"/>
      <c r="O506" s="102" t="str">
        <f>VLOOKUP(P506&amp;"_"&amp;Q506,挑战模式!$A$3:$Z$55,6+5*MonsterWaveCallRuleCfg!R506,FALSE)</f>
        <v/>
      </c>
      <c r="P506" s="110">
        <v>4</v>
      </c>
      <c r="Q506" s="110">
        <f t="shared" si="105"/>
        <v>5</v>
      </c>
      <c r="R506" s="110">
        <v>3</v>
      </c>
    </row>
    <row r="507" spans="2:18" x14ac:dyDescent="0.2">
      <c r="B507" s="57" t="str">
        <f t="shared" si="102"/>
        <v/>
      </c>
      <c r="D507" s="57" t="str">
        <f t="shared" si="103"/>
        <v/>
      </c>
      <c r="F507" s="57" t="str">
        <f t="shared" si="99"/>
        <v/>
      </c>
      <c r="G507" s="102" t="str">
        <f t="shared" si="104"/>
        <v/>
      </c>
      <c r="I507" s="102" t="str">
        <f>VLOOKUP(P507&amp;"_"&amp;Q507,挑战模式!$A$3:$Z$55,3+5*MonsterWaveCallRuleCfg!R507,FALSE)</f>
        <v/>
      </c>
      <c r="J507" s="102" t="str">
        <f>VLOOKUP(P507&amp;"_"&amp;Q507,挑战模式!$A$3:$Z$55,4+5*MonsterWaveCallRuleCfg!R507,FALSE)</f>
        <v/>
      </c>
      <c r="K507" s="102" t="str">
        <f t="shared" si="100"/>
        <v/>
      </c>
      <c r="L507" s="102" t="str">
        <f>IF(VLOOKUP(P507&amp;"_"&amp;Q507,挑战模式!$A$3:$Z$55,2+5*R507,FALSE)="","","Monster_Challenge"&amp;P507&amp;"_"&amp;Q507&amp;"_"&amp;R507)</f>
        <v/>
      </c>
      <c r="M507" s="57" t="str">
        <f t="shared" si="101"/>
        <v/>
      </c>
      <c r="N507" s="118"/>
      <c r="O507" s="102" t="str">
        <f>VLOOKUP(P507&amp;"_"&amp;Q507,挑战模式!$A$3:$Z$55,6+5*MonsterWaveCallRuleCfg!R507,FALSE)</f>
        <v/>
      </c>
      <c r="P507" s="110">
        <v>4</v>
      </c>
      <c r="Q507" s="110">
        <f t="shared" si="105"/>
        <v>5</v>
      </c>
      <c r="R507" s="110">
        <v>4</v>
      </c>
    </row>
    <row r="508" spans="2:18" x14ac:dyDescent="0.2">
      <c r="B508" s="57" t="str">
        <f t="shared" si="102"/>
        <v>MonsterWaveCallRule_Challenge5</v>
      </c>
      <c r="C508" s="57">
        <v>1</v>
      </c>
      <c r="D508" s="57" t="str">
        <f t="shared" si="103"/>
        <v>挑战关卡5第1波</v>
      </c>
      <c r="F508" s="57">
        <f t="shared" si="99"/>
        <v>0</v>
      </c>
      <c r="G508" s="102">
        <f>IF(C508="","",180)</f>
        <v>180</v>
      </c>
      <c r="I508" s="102">
        <f>VLOOKUP(P508&amp;"_"&amp;Q508,挑战模式!$A$3:$Z$55,3+5*MonsterWaveCallRuleCfg!R508,FALSE)</f>
        <v>7</v>
      </c>
      <c r="J508" s="102">
        <f>VLOOKUP(P508&amp;"_"&amp;Q508,挑战模式!$A$3:$Z$55,4+5*MonsterWaveCallRuleCfg!R508,FALSE)</f>
        <v>1.5</v>
      </c>
      <c r="K508" s="102">
        <f t="shared" si="100"/>
        <v>1</v>
      </c>
      <c r="L508" s="102" t="str">
        <f>IF(VLOOKUP(P508&amp;"_"&amp;Q508,挑战模式!$A$3:$Z$55,2+5*R508,FALSE)="","","Monster_Challenge"&amp;P508&amp;"_"&amp;Q508&amp;"_"&amp;R508)</f>
        <v>Monster_Challenge5_1_1</v>
      </c>
      <c r="M508" s="57">
        <f t="shared" si="101"/>
        <v>1</v>
      </c>
      <c r="N508" s="118"/>
      <c r="O508" s="102">
        <f>VLOOKUP(P508&amp;"_"&amp;Q508,挑战模式!$A$3:$Z$55,6+5*MonsterWaveCallRuleCfg!R508,FALSE)</f>
        <v>43</v>
      </c>
      <c r="P508" s="110">
        <v>5</v>
      </c>
      <c r="Q508" s="110">
        <f t="shared" si="105"/>
        <v>1</v>
      </c>
      <c r="R508" s="110">
        <v>1</v>
      </c>
    </row>
    <row r="509" spans="2:18" x14ac:dyDescent="0.2">
      <c r="B509" s="57" t="str">
        <f t="shared" si="102"/>
        <v/>
      </c>
      <c r="D509" s="57" t="str">
        <f t="shared" si="103"/>
        <v/>
      </c>
      <c r="F509" s="57" t="str">
        <f t="shared" si="99"/>
        <v/>
      </c>
      <c r="G509" s="102" t="str">
        <f t="shared" ref="G509:G527" si="106">IF(C509="","",180)</f>
        <v/>
      </c>
      <c r="I509" s="102" t="str">
        <f>VLOOKUP(P509&amp;"_"&amp;Q509,挑战模式!$A$3:$Z$55,3+5*MonsterWaveCallRuleCfg!R509,FALSE)</f>
        <v/>
      </c>
      <c r="J509" s="102" t="str">
        <f>VLOOKUP(P509&amp;"_"&amp;Q509,挑战模式!$A$3:$Z$55,4+5*MonsterWaveCallRuleCfg!R509,FALSE)</f>
        <v/>
      </c>
      <c r="K509" s="102" t="str">
        <f t="shared" si="100"/>
        <v/>
      </c>
      <c r="L509" s="102" t="str">
        <f>IF(VLOOKUP(P509&amp;"_"&amp;Q509,挑战模式!$A$3:$Z$55,2+5*R509,FALSE)="","","Monster_Challenge"&amp;P509&amp;"_"&amp;Q509&amp;"_"&amp;R509)</f>
        <v/>
      </c>
      <c r="M509" s="57" t="str">
        <f t="shared" si="101"/>
        <v/>
      </c>
      <c r="N509" s="118"/>
      <c r="O509" s="102" t="str">
        <f>VLOOKUP(P509&amp;"_"&amp;Q509,挑战模式!$A$3:$Z$55,6+5*MonsterWaveCallRuleCfg!R509,FALSE)</f>
        <v/>
      </c>
      <c r="P509" s="110">
        <v>5</v>
      </c>
      <c r="Q509" s="110">
        <f t="shared" si="105"/>
        <v>1</v>
      </c>
      <c r="R509" s="110">
        <v>2</v>
      </c>
    </row>
    <row r="510" spans="2:18" x14ac:dyDescent="0.2">
      <c r="B510" s="57" t="str">
        <f t="shared" si="102"/>
        <v/>
      </c>
      <c r="D510" s="57" t="str">
        <f t="shared" si="103"/>
        <v/>
      </c>
      <c r="F510" s="57" t="str">
        <f t="shared" si="99"/>
        <v/>
      </c>
      <c r="G510" s="102" t="str">
        <f t="shared" si="106"/>
        <v/>
      </c>
      <c r="I510" s="102" t="str">
        <f>VLOOKUP(P510&amp;"_"&amp;Q510,挑战模式!$A$3:$Z$55,3+5*MonsterWaveCallRuleCfg!R510,FALSE)</f>
        <v/>
      </c>
      <c r="J510" s="102" t="str">
        <f>VLOOKUP(P510&amp;"_"&amp;Q510,挑战模式!$A$3:$Z$55,4+5*MonsterWaveCallRuleCfg!R510,FALSE)</f>
        <v/>
      </c>
      <c r="K510" s="102" t="str">
        <f t="shared" si="100"/>
        <v/>
      </c>
      <c r="L510" s="102" t="str">
        <f>IF(VLOOKUP(P510&amp;"_"&amp;Q510,挑战模式!$A$3:$Z$55,2+5*R510,FALSE)="","","Monster_Challenge"&amp;P510&amp;"_"&amp;Q510&amp;"_"&amp;R510)</f>
        <v/>
      </c>
      <c r="M510" s="57" t="str">
        <f t="shared" si="101"/>
        <v/>
      </c>
      <c r="N510" s="118"/>
      <c r="O510" s="102" t="str">
        <f>VLOOKUP(P510&amp;"_"&amp;Q510,挑战模式!$A$3:$Z$55,6+5*MonsterWaveCallRuleCfg!R510,FALSE)</f>
        <v/>
      </c>
      <c r="P510" s="110">
        <v>5</v>
      </c>
      <c r="Q510" s="110">
        <f t="shared" si="105"/>
        <v>1</v>
      </c>
      <c r="R510" s="110">
        <v>3</v>
      </c>
    </row>
    <row r="511" spans="2:18" x14ac:dyDescent="0.2">
      <c r="B511" s="57" t="str">
        <f t="shared" si="102"/>
        <v/>
      </c>
      <c r="D511" s="57" t="str">
        <f t="shared" si="103"/>
        <v/>
      </c>
      <c r="F511" s="57" t="str">
        <f t="shared" si="99"/>
        <v/>
      </c>
      <c r="G511" s="102" t="str">
        <f t="shared" si="106"/>
        <v/>
      </c>
      <c r="I511" s="102" t="str">
        <f>VLOOKUP(P511&amp;"_"&amp;Q511,挑战模式!$A$3:$Z$55,3+5*MonsterWaveCallRuleCfg!R511,FALSE)</f>
        <v/>
      </c>
      <c r="J511" s="102" t="str">
        <f>VLOOKUP(P511&amp;"_"&amp;Q511,挑战模式!$A$3:$Z$55,4+5*MonsterWaveCallRuleCfg!R511,FALSE)</f>
        <v/>
      </c>
      <c r="K511" s="102" t="str">
        <f t="shared" si="100"/>
        <v/>
      </c>
      <c r="L511" s="102" t="str">
        <f>IF(VLOOKUP(P511&amp;"_"&amp;Q511,挑战模式!$A$3:$Z$55,2+5*R511,FALSE)="","","Monster_Challenge"&amp;P511&amp;"_"&amp;Q511&amp;"_"&amp;R511)</f>
        <v/>
      </c>
      <c r="M511" s="57" t="str">
        <f t="shared" si="101"/>
        <v/>
      </c>
      <c r="N511" s="118"/>
      <c r="O511" s="102" t="str">
        <f>VLOOKUP(P511&amp;"_"&amp;Q511,挑战模式!$A$3:$Z$55,6+5*MonsterWaveCallRuleCfg!R511,FALSE)</f>
        <v/>
      </c>
      <c r="P511" s="110">
        <v>5</v>
      </c>
      <c r="Q511" s="110">
        <f t="shared" si="105"/>
        <v>1</v>
      </c>
      <c r="R511" s="110">
        <v>4</v>
      </c>
    </row>
    <row r="512" spans="2:18" x14ac:dyDescent="0.2">
      <c r="B512" s="57" t="str">
        <f t="shared" si="102"/>
        <v>MonsterWaveCallRule_Challenge5</v>
      </c>
      <c r="C512" s="57">
        <v>2</v>
      </c>
      <c r="D512" s="57" t="str">
        <f t="shared" si="103"/>
        <v>挑战关卡5第2波</v>
      </c>
      <c r="F512" s="57">
        <f t="shared" si="99"/>
        <v>0</v>
      </c>
      <c r="G512" s="102">
        <f t="shared" si="106"/>
        <v>180</v>
      </c>
      <c r="I512" s="102">
        <f>VLOOKUP(P512&amp;"_"&amp;Q512,挑战模式!$A$3:$Z$55,3+5*MonsterWaveCallRuleCfg!R512,FALSE)</f>
        <v>8</v>
      </c>
      <c r="J512" s="102">
        <f>VLOOKUP(P512&amp;"_"&amp;Q512,挑战模式!$A$3:$Z$55,4+5*MonsterWaveCallRuleCfg!R512,FALSE)</f>
        <v>1.5</v>
      </c>
      <c r="K512" s="102">
        <f t="shared" si="100"/>
        <v>1</v>
      </c>
      <c r="L512" s="102" t="str">
        <f>IF(VLOOKUP(P512&amp;"_"&amp;Q512,挑战模式!$A$3:$Z$55,2+5*R512,FALSE)="","","Monster_Challenge"&amp;P512&amp;"_"&amp;Q512&amp;"_"&amp;R512)</f>
        <v>Monster_Challenge5_2_1</v>
      </c>
      <c r="M512" s="57">
        <f t="shared" si="101"/>
        <v>1</v>
      </c>
      <c r="N512" s="118"/>
      <c r="O512" s="102">
        <f>VLOOKUP(P512&amp;"_"&amp;Q512,挑战模式!$A$3:$Z$55,6+5*MonsterWaveCallRuleCfg!R512,FALSE)</f>
        <v>14</v>
      </c>
      <c r="P512" s="110">
        <v>5</v>
      </c>
      <c r="Q512" s="110">
        <f t="shared" si="105"/>
        <v>2</v>
      </c>
      <c r="R512" s="110">
        <v>1</v>
      </c>
    </row>
    <row r="513" spans="2:18" x14ac:dyDescent="0.2">
      <c r="B513" s="57" t="str">
        <f t="shared" si="102"/>
        <v/>
      </c>
      <c r="D513" s="57" t="str">
        <f t="shared" si="103"/>
        <v/>
      </c>
      <c r="F513" s="57" t="str">
        <f t="shared" si="99"/>
        <v/>
      </c>
      <c r="G513" s="102" t="str">
        <f t="shared" si="106"/>
        <v/>
      </c>
      <c r="I513" s="102">
        <f>VLOOKUP(P513&amp;"_"&amp;Q513,挑战模式!$A$3:$Z$55,3+5*MonsterWaveCallRuleCfg!R513,FALSE)</f>
        <v>13</v>
      </c>
      <c r="J513" s="102">
        <f>VLOOKUP(P513&amp;"_"&amp;Q513,挑战模式!$A$3:$Z$55,4+5*MonsterWaveCallRuleCfg!R513,FALSE)</f>
        <v>1</v>
      </c>
      <c r="K513" s="102">
        <f t="shared" si="100"/>
        <v>1</v>
      </c>
      <c r="L513" s="102" t="str">
        <f>IF(VLOOKUP(P513&amp;"_"&amp;Q513,挑战模式!$A$3:$Z$55,2+5*R513,FALSE)="","","Monster_Challenge"&amp;P513&amp;"_"&amp;Q513&amp;"_"&amp;R513)</f>
        <v>Monster_Challenge5_2_2</v>
      </c>
      <c r="M513" s="57">
        <f t="shared" si="101"/>
        <v>1</v>
      </c>
      <c r="N513" s="118"/>
      <c r="O513" s="102">
        <f>VLOOKUP(P513&amp;"_"&amp;Q513,挑战模式!$A$3:$Z$55,6+5*MonsterWaveCallRuleCfg!R513,FALSE)</f>
        <v>14</v>
      </c>
      <c r="P513" s="110">
        <v>5</v>
      </c>
      <c r="Q513" s="110">
        <f t="shared" si="105"/>
        <v>2</v>
      </c>
      <c r="R513" s="110">
        <v>2</v>
      </c>
    </row>
    <row r="514" spans="2:18" x14ac:dyDescent="0.2">
      <c r="B514" s="57" t="str">
        <f t="shared" si="102"/>
        <v/>
      </c>
      <c r="D514" s="57" t="str">
        <f t="shared" si="103"/>
        <v/>
      </c>
      <c r="F514" s="57" t="str">
        <f t="shared" si="99"/>
        <v/>
      </c>
      <c r="G514" s="102" t="str">
        <f t="shared" si="106"/>
        <v/>
      </c>
      <c r="I514" s="102" t="str">
        <f>VLOOKUP(P514&amp;"_"&amp;Q514,挑战模式!$A$3:$Z$55,3+5*MonsterWaveCallRuleCfg!R514,FALSE)</f>
        <v/>
      </c>
      <c r="J514" s="102" t="str">
        <f>VLOOKUP(P514&amp;"_"&amp;Q514,挑战模式!$A$3:$Z$55,4+5*MonsterWaveCallRuleCfg!R514,FALSE)</f>
        <v/>
      </c>
      <c r="K514" s="102" t="str">
        <f t="shared" si="100"/>
        <v/>
      </c>
      <c r="L514" s="102" t="str">
        <f>IF(VLOOKUP(P514&amp;"_"&amp;Q514,挑战模式!$A$3:$Z$55,2+5*R514,FALSE)="","","Monster_Challenge"&amp;P514&amp;"_"&amp;Q514&amp;"_"&amp;R514)</f>
        <v/>
      </c>
      <c r="M514" s="57" t="str">
        <f t="shared" si="101"/>
        <v/>
      </c>
      <c r="N514" s="118"/>
      <c r="O514" s="102" t="str">
        <f>VLOOKUP(P514&amp;"_"&amp;Q514,挑战模式!$A$3:$Z$55,6+5*MonsterWaveCallRuleCfg!R514,FALSE)</f>
        <v/>
      </c>
      <c r="P514" s="110">
        <v>5</v>
      </c>
      <c r="Q514" s="110">
        <f t="shared" si="105"/>
        <v>2</v>
      </c>
      <c r="R514" s="110">
        <v>3</v>
      </c>
    </row>
    <row r="515" spans="2:18" x14ac:dyDescent="0.2">
      <c r="B515" s="57" t="str">
        <f t="shared" si="102"/>
        <v/>
      </c>
      <c r="D515" s="57" t="str">
        <f t="shared" si="103"/>
        <v/>
      </c>
      <c r="F515" s="57" t="str">
        <f t="shared" si="99"/>
        <v/>
      </c>
      <c r="G515" s="102" t="str">
        <f t="shared" si="106"/>
        <v/>
      </c>
      <c r="I515" s="102" t="str">
        <f>VLOOKUP(P515&amp;"_"&amp;Q515,挑战模式!$A$3:$Z$55,3+5*MonsterWaveCallRuleCfg!R515,FALSE)</f>
        <v/>
      </c>
      <c r="J515" s="102" t="str">
        <f>VLOOKUP(P515&amp;"_"&amp;Q515,挑战模式!$A$3:$Z$55,4+5*MonsterWaveCallRuleCfg!R515,FALSE)</f>
        <v/>
      </c>
      <c r="K515" s="102" t="str">
        <f t="shared" si="100"/>
        <v/>
      </c>
      <c r="L515" s="102" t="str">
        <f>IF(VLOOKUP(P515&amp;"_"&amp;Q515,挑战模式!$A$3:$Z$55,2+5*R515,FALSE)="","","Monster_Challenge"&amp;P515&amp;"_"&amp;Q515&amp;"_"&amp;R515)</f>
        <v/>
      </c>
      <c r="M515" s="57" t="str">
        <f t="shared" si="101"/>
        <v/>
      </c>
      <c r="N515" s="118"/>
      <c r="O515" s="102" t="str">
        <f>VLOOKUP(P515&amp;"_"&amp;Q515,挑战模式!$A$3:$Z$55,6+5*MonsterWaveCallRuleCfg!R515,FALSE)</f>
        <v/>
      </c>
      <c r="P515" s="110">
        <v>5</v>
      </c>
      <c r="Q515" s="110">
        <f t="shared" si="105"/>
        <v>2</v>
      </c>
      <c r="R515" s="110">
        <v>4</v>
      </c>
    </row>
    <row r="516" spans="2:18" x14ac:dyDescent="0.2">
      <c r="B516" s="57" t="str">
        <f t="shared" si="102"/>
        <v>MonsterWaveCallRule_Challenge5</v>
      </c>
      <c r="C516" s="57">
        <v>3</v>
      </c>
      <c r="D516" s="57" t="str">
        <f t="shared" si="103"/>
        <v>挑战关卡5第3波</v>
      </c>
      <c r="F516" s="57">
        <f t="shared" si="99"/>
        <v>0</v>
      </c>
      <c r="G516" s="102">
        <f t="shared" si="106"/>
        <v>180</v>
      </c>
      <c r="I516" s="102">
        <f>VLOOKUP(P516&amp;"_"&amp;Q516,挑战模式!$A$3:$Z$55,3+5*MonsterWaveCallRuleCfg!R516,FALSE)</f>
        <v>10</v>
      </c>
      <c r="J516" s="102">
        <f>VLOOKUP(P516&amp;"_"&amp;Q516,挑战模式!$A$3:$Z$55,4+5*MonsterWaveCallRuleCfg!R516,FALSE)</f>
        <v>1.5</v>
      </c>
      <c r="K516" s="102">
        <f t="shared" si="100"/>
        <v>1</v>
      </c>
      <c r="L516" s="102" t="str">
        <f>IF(VLOOKUP(P516&amp;"_"&amp;Q516,挑战模式!$A$3:$Z$55,2+5*R516,FALSE)="","","Monster_Challenge"&amp;P516&amp;"_"&amp;Q516&amp;"_"&amp;R516)</f>
        <v>Monster_Challenge5_3_1</v>
      </c>
      <c r="M516" s="57">
        <f t="shared" si="101"/>
        <v>1</v>
      </c>
      <c r="N516" s="118"/>
      <c r="O516" s="102">
        <f>VLOOKUP(P516&amp;"_"&amp;Q516,挑战模式!$A$3:$Z$55,6+5*MonsterWaveCallRuleCfg!R516,FALSE)</f>
        <v>7</v>
      </c>
      <c r="P516" s="110">
        <v>5</v>
      </c>
      <c r="Q516" s="110">
        <f t="shared" si="105"/>
        <v>3</v>
      </c>
      <c r="R516" s="110">
        <v>1</v>
      </c>
    </row>
    <row r="517" spans="2:18" x14ac:dyDescent="0.2">
      <c r="B517" s="57" t="str">
        <f t="shared" si="102"/>
        <v/>
      </c>
      <c r="D517" s="57" t="str">
        <f t="shared" si="103"/>
        <v/>
      </c>
      <c r="F517" s="57" t="str">
        <f t="shared" si="99"/>
        <v/>
      </c>
      <c r="G517" s="102" t="str">
        <f t="shared" si="106"/>
        <v/>
      </c>
      <c r="I517" s="102">
        <f>VLOOKUP(P517&amp;"_"&amp;Q517,挑战模式!$A$3:$Z$55,3+5*MonsterWaveCallRuleCfg!R517,FALSE)</f>
        <v>8</v>
      </c>
      <c r="J517" s="102">
        <f>VLOOKUP(P517&amp;"_"&amp;Q517,挑战模式!$A$3:$Z$55,4+5*MonsterWaveCallRuleCfg!R517,FALSE)</f>
        <v>2</v>
      </c>
      <c r="K517" s="102">
        <f t="shared" si="100"/>
        <v>1</v>
      </c>
      <c r="L517" s="102" t="str">
        <f>IF(VLOOKUP(P517&amp;"_"&amp;Q517,挑战模式!$A$3:$Z$55,2+5*R517,FALSE)="","","Monster_Challenge"&amp;P517&amp;"_"&amp;Q517&amp;"_"&amp;R517)</f>
        <v>Monster_Challenge5_3_2</v>
      </c>
      <c r="M517" s="57">
        <f t="shared" si="101"/>
        <v>1</v>
      </c>
      <c r="N517" s="118"/>
      <c r="O517" s="102">
        <f>VLOOKUP(P517&amp;"_"&amp;Q517,挑战模式!$A$3:$Z$55,6+5*MonsterWaveCallRuleCfg!R517,FALSE)</f>
        <v>15</v>
      </c>
      <c r="P517" s="110">
        <v>5</v>
      </c>
      <c r="Q517" s="110">
        <f t="shared" si="105"/>
        <v>3</v>
      </c>
      <c r="R517" s="110">
        <v>2</v>
      </c>
    </row>
    <row r="518" spans="2:18" x14ac:dyDescent="0.2">
      <c r="B518" s="57" t="str">
        <f t="shared" si="102"/>
        <v/>
      </c>
      <c r="D518" s="57" t="str">
        <f t="shared" si="103"/>
        <v/>
      </c>
      <c r="F518" s="57" t="str">
        <f t="shared" si="99"/>
        <v/>
      </c>
      <c r="G518" s="102" t="str">
        <f t="shared" si="106"/>
        <v/>
      </c>
      <c r="I518" s="102">
        <f>VLOOKUP(P518&amp;"_"&amp;Q518,挑战模式!$A$3:$Z$55,3+5*MonsterWaveCallRuleCfg!R518,FALSE)</f>
        <v>15</v>
      </c>
      <c r="J518" s="102">
        <f>VLOOKUP(P518&amp;"_"&amp;Q518,挑战模式!$A$3:$Z$55,4+5*MonsterWaveCallRuleCfg!R518,FALSE)</f>
        <v>1</v>
      </c>
      <c r="K518" s="102">
        <f t="shared" si="100"/>
        <v>1</v>
      </c>
      <c r="L518" s="102" t="str">
        <f>IF(VLOOKUP(P518&amp;"_"&amp;Q518,挑战模式!$A$3:$Z$55,2+5*R518,FALSE)="","","Monster_Challenge"&amp;P518&amp;"_"&amp;Q518&amp;"_"&amp;R518)</f>
        <v>Monster_Challenge5_3_3</v>
      </c>
      <c r="M518" s="57">
        <f t="shared" si="101"/>
        <v>1</v>
      </c>
      <c r="N518" s="118"/>
      <c r="O518" s="102">
        <f>VLOOKUP(P518&amp;"_"&amp;Q518,挑战模式!$A$3:$Z$55,6+5*MonsterWaveCallRuleCfg!R518,FALSE)</f>
        <v>7</v>
      </c>
      <c r="P518" s="110">
        <v>5</v>
      </c>
      <c r="Q518" s="110">
        <f t="shared" si="105"/>
        <v>3</v>
      </c>
      <c r="R518" s="110">
        <v>3</v>
      </c>
    </row>
    <row r="519" spans="2:18" x14ac:dyDescent="0.2">
      <c r="B519" s="57" t="str">
        <f t="shared" si="102"/>
        <v/>
      </c>
      <c r="D519" s="57" t="str">
        <f t="shared" si="103"/>
        <v/>
      </c>
      <c r="F519" s="57" t="str">
        <f t="shared" si="99"/>
        <v/>
      </c>
      <c r="G519" s="102" t="str">
        <f t="shared" si="106"/>
        <v/>
      </c>
      <c r="I519" s="102" t="str">
        <f>VLOOKUP(P519&amp;"_"&amp;Q519,挑战模式!$A$3:$Z$55,3+5*MonsterWaveCallRuleCfg!R519,FALSE)</f>
        <v/>
      </c>
      <c r="J519" s="102" t="str">
        <f>VLOOKUP(P519&amp;"_"&amp;Q519,挑战模式!$A$3:$Z$55,4+5*MonsterWaveCallRuleCfg!R519,FALSE)</f>
        <v/>
      </c>
      <c r="K519" s="102" t="str">
        <f t="shared" si="100"/>
        <v/>
      </c>
      <c r="L519" s="102" t="str">
        <f>IF(VLOOKUP(P519&amp;"_"&amp;Q519,挑战模式!$A$3:$Z$55,2+5*R519,FALSE)="","","Monster_Challenge"&amp;P519&amp;"_"&amp;Q519&amp;"_"&amp;R519)</f>
        <v/>
      </c>
      <c r="M519" s="57" t="str">
        <f t="shared" si="101"/>
        <v/>
      </c>
      <c r="N519" s="118"/>
      <c r="O519" s="102" t="str">
        <f>VLOOKUP(P519&amp;"_"&amp;Q519,挑战模式!$A$3:$Z$55,6+5*MonsterWaveCallRuleCfg!R519,FALSE)</f>
        <v/>
      </c>
      <c r="P519" s="110">
        <v>5</v>
      </c>
      <c r="Q519" s="110">
        <f t="shared" si="105"/>
        <v>3</v>
      </c>
      <c r="R519" s="110">
        <v>4</v>
      </c>
    </row>
    <row r="520" spans="2:18" x14ac:dyDescent="0.2">
      <c r="B520" s="57" t="str">
        <f t="shared" si="102"/>
        <v>MonsterWaveCallRule_Challenge5</v>
      </c>
      <c r="C520" s="57">
        <v>4</v>
      </c>
      <c r="D520" s="57" t="str">
        <f t="shared" si="103"/>
        <v>挑战关卡5第4波</v>
      </c>
      <c r="F520" s="57">
        <f t="shared" si="99"/>
        <v>0</v>
      </c>
      <c r="G520" s="102">
        <f t="shared" si="106"/>
        <v>180</v>
      </c>
      <c r="I520" s="102">
        <f>VLOOKUP(P520&amp;"_"&amp;Q520,挑战模式!$A$3:$Z$55,3+5*MonsterWaveCallRuleCfg!R520,FALSE)</f>
        <v>12</v>
      </c>
      <c r="J520" s="102">
        <f>VLOOKUP(P520&amp;"_"&amp;Q520,挑战模式!$A$3:$Z$55,4+5*MonsterWaveCallRuleCfg!R520,FALSE)</f>
        <v>1.5</v>
      </c>
      <c r="K520" s="102">
        <f t="shared" si="100"/>
        <v>1</v>
      </c>
      <c r="L520" s="102" t="str">
        <f>IF(VLOOKUP(P520&amp;"_"&amp;Q520,挑战模式!$A$3:$Z$55,2+5*R520,FALSE)="","","Monster_Challenge"&amp;P520&amp;"_"&amp;Q520&amp;"_"&amp;R520)</f>
        <v>Monster_Challenge5_4_1</v>
      </c>
      <c r="M520" s="57">
        <f t="shared" si="101"/>
        <v>1</v>
      </c>
      <c r="N520" s="118"/>
      <c r="O520" s="102">
        <f>VLOOKUP(P520&amp;"_"&amp;Q520,挑战模式!$A$3:$Z$55,6+5*MonsterWaveCallRuleCfg!R520,FALSE)</f>
        <v>8</v>
      </c>
      <c r="P520" s="110">
        <v>5</v>
      </c>
      <c r="Q520" s="110">
        <f t="shared" si="105"/>
        <v>4</v>
      </c>
      <c r="R520" s="110">
        <v>1</v>
      </c>
    </row>
    <row r="521" spans="2:18" x14ac:dyDescent="0.2">
      <c r="B521" s="57" t="str">
        <f t="shared" si="102"/>
        <v/>
      </c>
      <c r="D521" s="57" t="str">
        <f t="shared" si="103"/>
        <v/>
      </c>
      <c r="F521" s="57" t="str">
        <f t="shared" si="99"/>
        <v/>
      </c>
      <c r="G521" s="102" t="str">
        <f t="shared" si="106"/>
        <v/>
      </c>
      <c r="I521" s="102">
        <f>VLOOKUP(P521&amp;"_"&amp;Q521,挑战模式!$A$3:$Z$55,3+5*MonsterWaveCallRuleCfg!R521,FALSE)</f>
        <v>18</v>
      </c>
      <c r="J521" s="102">
        <f>VLOOKUP(P521&amp;"_"&amp;Q521,挑战模式!$A$3:$Z$55,4+5*MonsterWaveCallRuleCfg!R521,FALSE)</f>
        <v>1</v>
      </c>
      <c r="K521" s="102">
        <f t="shared" si="100"/>
        <v>1</v>
      </c>
      <c r="L521" s="102" t="str">
        <f>IF(VLOOKUP(P521&amp;"_"&amp;Q521,挑战模式!$A$3:$Z$55,2+5*R521,FALSE)="","","Monster_Challenge"&amp;P521&amp;"_"&amp;Q521&amp;"_"&amp;R521)</f>
        <v>Monster_Challenge5_4_2</v>
      </c>
      <c r="M521" s="57">
        <f t="shared" si="101"/>
        <v>1</v>
      </c>
      <c r="N521" s="118"/>
      <c r="O521" s="102">
        <f>VLOOKUP(P521&amp;"_"&amp;Q521,挑战模式!$A$3:$Z$55,6+5*MonsterWaveCallRuleCfg!R521,FALSE)</f>
        <v>4</v>
      </c>
      <c r="P521" s="110">
        <v>5</v>
      </c>
      <c r="Q521" s="110">
        <f t="shared" si="105"/>
        <v>4</v>
      </c>
      <c r="R521" s="110">
        <v>2</v>
      </c>
    </row>
    <row r="522" spans="2:18" x14ac:dyDescent="0.2">
      <c r="B522" s="57" t="str">
        <f t="shared" si="102"/>
        <v/>
      </c>
      <c r="D522" s="57" t="str">
        <f t="shared" si="103"/>
        <v/>
      </c>
      <c r="F522" s="57" t="str">
        <f t="shared" si="99"/>
        <v/>
      </c>
      <c r="G522" s="102" t="str">
        <f t="shared" si="106"/>
        <v/>
      </c>
      <c r="I522" s="102">
        <f>VLOOKUP(P522&amp;"_"&amp;Q522,挑战模式!$A$3:$Z$55,3+5*MonsterWaveCallRuleCfg!R522,FALSE)</f>
        <v>9</v>
      </c>
      <c r="J522" s="102">
        <f>VLOOKUP(P522&amp;"_"&amp;Q522,挑战模式!$A$3:$Z$55,4+5*MonsterWaveCallRuleCfg!R522,FALSE)</f>
        <v>2</v>
      </c>
      <c r="K522" s="102">
        <f t="shared" si="100"/>
        <v>1</v>
      </c>
      <c r="L522" s="102" t="str">
        <f>IF(VLOOKUP(P522&amp;"_"&amp;Q522,挑战模式!$A$3:$Z$55,2+5*R522,FALSE)="","","Monster_Challenge"&amp;P522&amp;"_"&amp;Q522&amp;"_"&amp;R522)</f>
        <v>Monster_Challenge5_4_3</v>
      </c>
      <c r="M522" s="57">
        <f t="shared" si="101"/>
        <v>1</v>
      </c>
      <c r="N522" s="118"/>
      <c r="O522" s="102">
        <f>VLOOKUP(P522&amp;"_"&amp;Q522,挑战模式!$A$3:$Z$55,6+5*MonsterWaveCallRuleCfg!R522,FALSE)</f>
        <v>15</v>
      </c>
      <c r="P522" s="110">
        <v>5</v>
      </c>
      <c r="Q522" s="110">
        <f t="shared" si="105"/>
        <v>4</v>
      </c>
      <c r="R522" s="110">
        <v>3</v>
      </c>
    </row>
    <row r="523" spans="2:18" x14ac:dyDescent="0.2">
      <c r="B523" s="57" t="str">
        <f t="shared" si="102"/>
        <v/>
      </c>
      <c r="D523" s="57" t="str">
        <f t="shared" si="103"/>
        <v/>
      </c>
      <c r="F523" s="57" t="str">
        <f t="shared" si="99"/>
        <v/>
      </c>
      <c r="G523" s="102" t="str">
        <f t="shared" si="106"/>
        <v/>
      </c>
      <c r="I523" s="102" t="str">
        <f>VLOOKUP(P523&amp;"_"&amp;Q523,挑战模式!$A$3:$Z$55,3+5*MonsterWaveCallRuleCfg!R523,FALSE)</f>
        <v/>
      </c>
      <c r="J523" s="102" t="str">
        <f>VLOOKUP(P523&amp;"_"&amp;Q523,挑战模式!$A$3:$Z$55,4+5*MonsterWaveCallRuleCfg!R523,FALSE)</f>
        <v/>
      </c>
      <c r="K523" s="102" t="str">
        <f t="shared" si="100"/>
        <v/>
      </c>
      <c r="L523" s="102" t="str">
        <f>IF(VLOOKUP(P523&amp;"_"&amp;Q523,挑战模式!$A$3:$Z$55,2+5*R523,FALSE)="","","Monster_Challenge"&amp;P523&amp;"_"&amp;Q523&amp;"_"&amp;R523)</f>
        <v/>
      </c>
      <c r="M523" s="57" t="str">
        <f t="shared" si="101"/>
        <v/>
      </c>
      <c r="N523" s="118"/>
      <c r="O523" s="102" t="str">
        <f>VLOOKUP(P523&amp;"_"&amp;Q523,挑战模式!$A$3:$Z$55,6+5*MonsterWaveCallRuleCfg!R523,FALSE)</f>
        <v/>
      </c>
      <c r="P523" s="110">
        <v>5</v>
      </c>
      <c r="Q523" s="110">
        <f t="shared" si="105"/>
        <v>4</v>
      </c>
      <c r="R523" s="110">
        <v>4</v>
      </c>
    </row>
    <row r="524" spans="2:18" x14ac:dyDescent="0.2">
      <c r="B524" s="57" t="str">
        <f t="shared" si="102"/>
        <v>MonsterWaveCallRule_Challenge5</v>
      </c>
      <c r="C524" s="57">
        <v>5</v>
      </c>
      <c r="D524" s="57" t="str">
        <f t="shared" si="103"/>
        <v>挑战关卡5第5波</v>
      </c>
      <c r="F524" s="57">
        <f t="shared" si="99"/>
        <v>0</v>
      </c>
      <c r="G524" s="102">
        <f t="shared" si="106"/>
        <v>180</v>
      </c>
      <c r="I524" s="102">
        <f>VLOOKUP(P524&amp;"_"&amp;Q524,挑战模式!$A$3:$Z$55,3+5*MonsterWaveCallRuleCfg!R524,FALSE)</f>
        <v>40</v>
      </c>
      <c r="J524" s="102">
        <f>VLOOKUP(P524&amp;"_"&amp;Q524,挑战模式!$A$3:$Z$55,4+5*MonsterWaveCallRuleCfg!R524,FALSE)</f>
        <v>0.5</v>
      </c>
      <c r="K524" s="102">
        <f t="shared" si="100"/>
        <v>1</v>
      </c>
      <c r="L524" s="102" t="str">
        <f>IF(VLOOKUP(P524&amp;"_"&amp;Q524,挑战模式!$A$3:$Z$55,2+5*R524,FALSE)="","","Monster_Challenge"&amp;P524&amp;"_"&amp;Q524&amp;"_"&amp;R524)</f>
        <v>Monster_Challenge5_5_1</v>
      </c>
      <c r="M524" s="57">
        <f t="shared" si="101"/>
        <v>1</v>
      </c>
      <c r="N524" s="118"/>
      <c r="O524" s="102">
        <f>VLOOKUP(P524&amp;"_"&amp;Q524,挑战模式!$A$3:$Z$55,6+5*MonsterWaveCallRuleCfg!R524,FALSE)</f>
        <v>3</v>
      </c>
      <c r="P524" s="110">
        <v>5</v>
      </c>
      <c r="Q524" s="110">
        <f t="shared" si="105"/>
        <v>5</v>
      </c>
      <c r="R524" s="110">
        <v>1</v>
      </c>
    </row>
    <row r="525" spans="2:18" x14ac:dyDescent="0.2">
      <c r="B525" s="57" t="str">
        <f t="shared" si="102"/>
        <v/>
      </c>
      <c r="D525" s="57" t="str">
        <f t="shared" si="103"/>
        <v/>
      </c>
      <c r="F525" s="57" t="str">
        <f t="shared" si="99"/>
        <v/>
      </c>
      <c r="G525" s="102" t="str">
        <f t="shared" si="106"/>
        <v/>
      </c>
      <c r="I525" s="102">
        <f>VLOOKUP(P525&amp;"_"&amp;Q525,挑战模式!$A$3:$Z$55,3+5*MonsterWaveCallRuleCfg!R525,FALSE)</f>
        <v>10</v>
      </c>
      <c r="J525" s="102">
        <f>VLOOKUP(P525&amp;"_"&amp;Q525,挑战模式!$A$3:$Z$55,4+5*MonsterWaveCallRuleCfg!R525,FALSE)</f>
        <v>2</v>
      </c>
      <c r="K525" s="102">
        <f t="shared" si="100"/>
        <v>1</v>
      </c>
      <c r="L525" s="102" t="str">
        <f>IF(VLOOKUP(P525&amp;"_"&amp;Q525,挑战模式!$A$3:$Z$55,2+5*R525,FALSE)="","","Monster_Challenge"&amp;P525&amp;"_"&amp;Q525&amp;"_"&amp;R525)</f>
        <v>Monster_Challenge5_5_2</v>
      </c>
      <c r="M525" s="57">
        <f t="shared" si="101"/>
        <v>1</v>
      </c>
      <c r="N525" s="118"/>
      <c r="O525" s="102">
        <f>VLOOKUP(P525&amp;"_"&amp;Q525,挑战模式!$A$3:$Z$55,6+5*MonsterWaveCallRuleCfg!R525,FALSE)</f>
        <v>6</v>
      </c>
      <c r="P525" s="110">
        <v>5</v>
      </c>
      <c r="Q525" s="110">
        <f t="shared" si="105"/>
        <v>5</v>
      </c>
      <c r="R525" s="110">
        <v>2</v>
      </c>
    </row>
    <row r="526" spans="2:18" x14ac:dyDescent="0.2">
      <c r="B526" s="57" t="str">
        <f t="shared" si="102"/>
        <v/>
      </c>
      <c r="D526" s="57" t="str">
        <f t="shared" si="103"/>
        <v/>
      </c>
      <c r="F526" s="57" t="str">
        <f t="shared" si="99"/>
        <v/>
      </c>
      <c r="G526" s="102" t="str">
        <f t="shared" si="106"/>
        <v/>
      </c>
      <c r="I526" s="102">
        <f>VLOOKUP(P526&amp;"_"&amp;Q526,挑战模式!$A$3:$Z$55,3+5*MonsterWaveCallRuleCfg!R526,FALSE)</f>
        <v>20</v>
      </c>
      <c r="J526" s="102">
        <f>VLOOKUP(P526&amp;"_"&amp;Q526,挑战模式!$A$3:$Z$55,4+5*MonsterWaveCallRuleCfg!R526,FALSE)</f>
        <v>1</v>
      </c>
      <c r="K526" s="102">
        <f t="shared" si="100"/>
        <v>1</v>
      </c>
      <c r="L526" s="102" t="str">
        <f>IF(VLOOKUP(P526&amp;"_"&amp;Q526,挑战模式!$A$3:$Z$55,2+5*R526,FALSE)="","","Monster_Challenge"&amp;P526&amp;"_"&amp;Q526&amp;"_"&amp;R526)</f>
        <v>Monster_Challenge5_5_3</v>
      </c>
      <c r="M526" s="57">
        <f t="shared" si="101"/>
        <v>1</v>
      </c>
      <c r="N526" s="118"/>
      <c r="O526" s="102">
        <f>VLOOKUP(P526&amp;"_"&amp;Q526,挑战模式!$A$3:$Z$55,6+5*MonsterWaveCallRuleCfg!R526,FALSE)</f>
        <v>3</v>
      </c>
      <c r="P526" s="110">
        <v>5</v>
      </c>
      <c r="Q526" s="110">
        <f t="shared" ref="Q526:Q557" si="107">IF(C526="",Q525,C526)</f>
        <v>5</v>
      </c>
      <c r="R526" s="110">
        <v>3</v>
      </c>
    </row>
    <row r="527" spans="2:18" x14ac:dyDescent="0.2">
      <c r="B527" s="57" t="str">
        <f t="shared" si="102"/>
        <v/>
      </c>
      <c r="D527" s="57" t="str">
        <f t="shared" si="103"/>
        <v/>
      </c>
      <c r="F527" s="57" t="str">
        <f t="shared" si="99"/>
        <v/>
      </c>
      <c r="G527" s="102" t="str">
        <f t="shared" si="106"/>
        <v/>
      </c>
      <c r="I527" s="102">
        <f>VLOOKUP(P527&amp;"_"&amp;Q527,挑战模式!$A$3:$Z$55,3+5*MonsterWaveCallRuleCfg!R527,FALSE)</f>
        <v>50</v>
      </c>
      <c r="J527" s="102">
        <f>VLOOKUP(P527&amp;"_"&amp;Q527,挑战模式!$A$3:$Z$55,4+5*MonsterWaveCallRuleCfg!R527,FALSE)</f>
        <v>0.4</v>
      </c>
      <c r="K527" s="102">
        <f t="shared" si="100"/>
        <v>1</v>
      </c>
      <c r="L527" s="102" t="str">
        <f>IF(VLOOKUP(P527&amp;"_"&amp;Q527,挑战模式!$A$3:$Z$55,2+5*R527,FALSE)="","","Monster_Challenge"&amp;P527&amp;"_"&amp;Q527&amp;"_"&amp;R527)</f>
        <v>Monster_Challenge5_5_4</v>
      </c>
      <c r="M527" s="57">
        <f t="shared" si="101"/>
        <v>1</v>
      </c>
      <c r="N527" s="118"/>
      <c r="O527" s="102">
        <f>VLOOKUP(P527&amp;"_"&amp;Q527,挑战模式!$A$3:$Z$55,6+5*MonsterWaveCallRuleCfg!R527,FALSE)</f>
        <v>1</v>
      </c>
      <c r="P527" s="110">
        <v>5</v>
      </c>
      <c r="Q527" s="110">
        <f t="shared" si="107"/>
        <v>5</v>
      </c>
      <c r="R527" s="110">
        <v>4</v>
      </c>
    </row>
    <row r="528" spans="2:18" x14ac:dyDescent="0.2">
      <c r="B528" s="57" t="str">
        <f t="shared" si="102"/>
        <v>MonsterWaveCallRule_Challenge6</v>
      </c>
      <c r="C528" s="57">
        <v>1</v>
      </c>
      <c r="D528" s="57" t="str">
        <f t="shared" si="103"/>
        <v>挑战关卡6第1波</v>
      </c>
      <c r="F528" s="57">
        <f t="shared" si="99"/>
        <v>0</v>
      </c>
      <c r="G528" s="102">
        <f>IF(C528="","",180)</f>
        <v>180</v>
      </c>
      <c r="I528" s="102">
        <f>VLOOKUP(P528&amp;"_"&amp;Q528,挑战模式!$A$3:$Z$55,3+5*MonsterWaveCallRuleCfg!R528,FALSE)</f>
        <v>7</v>
      </c>
      <c r="J528" s="102">
        <f>VLOOKUP(P528&amp;"_"&amp;Q528,挑战模式!$A$3:$Z$55,4+5*MonsterWaveCallRuleCfg!R528,FALSE)</f>
        <v>1.5</v>
      </c>
      <c r="K528" s="102">
        <f t="shared" si="100"/>
        <v>1</v>
      </c>
      <c r="L528" s="102" t="str">
        <f>IF(VLOOKUP(P528&amp;"_"&amp;Q528,挑战模式!$A$3:$Z$55,2+5*R528,FALSE)="","","Monster_Challenge"&amp;P528&amp;"_"&amp;Q528&amp;"_"&amp;R528)</f>
        <v>Monster_Challenge6_1_1</v>
      </c>
      <c r="M528" s="57">
        <f t="shared" si="101"/>
        <v>1</v>
      </c>
      <c r="N528" s="118"/>
      <c r="O528" s="102">
        <f>VLOOKUP(P528&amp;"_"&amp;Q528,挑战模式!$A$3:$Z$55,6+5*MonsterWaveCallRuleCfg!R528,FALSE)</f>
        <v>18</v>
      </c>
      <c r="P528" s="110">
        <f>P428+5</f>
        <v>6</v>
      </c>
      <c r="Q528" s="110">
        <f t="shared" si="107"/>
        <v>1</v>
      </c>
      <c r="R528" s="110">
        <v>1</v>
      </c>
    </row>
    <row r="529" spans="2:18" x14ac:dyDescent="0.2">
      <c r="B529" s="57" t="str">
        <f t="shared" si="102"/>
        <v/>
      </c>
      <c r="D529" s="57" t="str">
        <f t="shared" si="103"/>
        <v/>
      </c>
      <c r="F529" s="57" t="str">
        <f t="shared" si="99"/>
        <v/>
      </c>
      <c r="G529" s="102" t="str">
        <f t="shared" ref="G529:G592" si="108">IF(C529="","",180)</f>
        <v/>
      </c>
      <c r="I529" s="102">
        <f>VLOOKUP(P529&amp;"_"&amp;Q529,挑战模式!$A$3:$Z$55,3+5*MonsterWaveCallRuleCfg!R529,FALSE)</f>
        <v>5</v>
      </c>
      <c r="J529" s="102">
        <f>VLOOKUP(P529&amp;"_"&amp;Q529,挑战模式!$A$3:$Z$55,4+5*MonsterWaveCallRuleCfg!R529,FALSE)</f>
        <v>2</v>
      </c>
      <c r="K529" s="102">
        <f t="shared" si="100"/>
        <v>1</v>
      </c>
      <c r="L529" s="102" t="str">
        <f>IF(VLOOKUP(P529&amp;"_"&amp;Q529,挑战模式!$A$3:$Z$55,2+5*R529,FALSE)="","","Monster_Challenge"&amp;P529&amp;"_"&amp;Q529&amp;"_"&amp;R529)</f>
        <v>Monster_Challenge6_1_2</v>
      </c>
      <c r="M529" s="57">
        <f t="shared" si="101"/>
        <v>1</v>
      </c>
      <c r="N529" s="118"/>
      <c r="O529" s="102">
        <f>VLOOKUP(P529&amp;"_"&amp;Q529,挑战模式!$A$3:$Z$55,6+5*MonsterWaveCallRuleCfg!R529,FALSE)</f>
        <v>35</v>
      </c>
      <c r="P529" s="110">
        <f t="shared" ref="P529:P592" si="109">P429+5</f>
        <v>6</v>
      </c>
      <c r="Q529" s="110">
        <f t="shared" si="107"/>
        <v>1</v>
      </c>
      <c r="R529" s="110">
        <v>2</v>
      </c>
    </row>
    <row r="530" spans="2:18" x14ac:dyDescent="0.2">
      <c r="B530" s="57" t="str">
        <f t="shared" si="102"/>
        <v/>
      </c>
      <c r="D530" s="57" t="str">
        <f t="shared" si="103"/>
        <v/>
      </c>
      <c r="F530" s="57" t="str">
        <f t="shared" si="99"/>
        <v/>
      </c>
      <c r="G530" s="102" t="str">
        <f t="shared" si="108"/>
        <v/>
      </c>
      <c r="I530" s="102" t="str">
        <f>VLOOKUP(P530&amp;"_"&amp;Q530,挑战模式!$A$3:$Z$55,3+5*MonsterWaveCallRuleCfg!R530,FALSE)</f>
        <v/>
      </c>
      <c r="J530" s="102" t="str">
        <f>VLOOKUP(P530&amp;"_"&amp;Q530,挑战模式!$A$3:$Z$55,4+5*MonsterWaveCallRuleCfg!R530,FALSE)</f>
        <v/>
      </c>
      <c r="K530" s="102" t="str">
        <f t="shared" si="100"/>
        <v/>
      </c>
      <c r="L530" s="102" t="str">
        <f>IF(VLOOKUP(P530&amp;"_"&amp;Q530,挑战模式!$A$3:$Z$55,2+5*R530,FALSE)="","","Monster_Challenge"&amp;P530&amp;"_"&amp;Q530&amp;"_"&amp;R530)</f>
        <v/>
      </c>
      <c r="M530" s="57" t="str">
        <f t="shared" si="101"/>
        <v/>
      </c>
      <c r="N530" s="118"/>
      <c r="O530" s="102" t="str">
        <f>VLOOKUP(P530&amp;"_"&amp;Q530,挑战模式!$A$3:$Z$55,6+5*MonsterWaveCallRuleCfg!R530,FALSE)</f>
        <v/>
      </c>
      <c r="P530" s="110">
        <f t="shared" si="109"/>
        <v>6</v>
      </c>
      <c r="Q530" s="110">
        <f t="shared" si="107"/>
        <v>1</v>
      </c>
      <c r="R530" s="110">
        <v>3</v>
      </c>
    </row>
    <row r="531" spans="2:18" x14ac:dyDescent="0.2">
      <c r="B531" s="57" t="str">
        <f t="shared" si="102"/>
        <v/>
      </c>
      <c r="D531" s="57" t="str">
        <f t="shared" si="103"/>
        <v/>
      </c>
      <c r="F531" s="57" t="str">
        <f t="shared" si="99"/>
        <v/>
      </c>
      <c r="G531" s="102" t="str">
        <f t="shared" si="108"/>
        <v/>
      </c>
      <c r="I531" s="102" t="str">
        <f>VLOOKUP(P531&amp;"_"&amp;Q531,挑战模式!$A$3:$Z$55,3+5*MonsterWaveCallRuleCfg!R531,FALSE)</f>
        <v/>
      </c>
      <c r="J531" s="102" t="str">
        <f>VLOOKUP(P531&amp;"_"&amp;Q531,挑战模式!$A$3:$Z$55,4+5*MonsterWaveCallRuleCfg!R531,FALSE)</f>
        <v/>
      </c>
      <c r="K531" s="102" t="str">
        <f t="shared" si="100"/>
        <v/>
      </c>
      <c r="L531" s="102" t="str">
        <f>IF(VLOOKUP(P531&amp;"_"&amp;Q531,挑战模式!$A$3:$Z$55,2+5*R531,FALSE)="","","Monster_Challenge"&amp;P531&amp;"_"&amp;Q531&amp;"_"&amp;R531)</f>
        <v/>
      </c>
      <c r="M531" s="57" t="str">
        <f t="shared" si="101"/>
        <v/>
      </c>
      <c r="N531" s="118"/>
      <c r="O531" s="102" t="str">
        <f>VLOOKUP(P531&amp;"_"&amp;Q531,挑战模式!$A$3:$Z$55,6+5*MonsterWaveCallRuleCfg!R531,FALSE)</f>
        <v/>
      </c>
      <c r="P531" s="110">
        <f t="shared" si="109"/>
        <v>6</v>
      </c>
      <c r="Q531" s="110">
        <f t="shared" si="107"/>
        <v>1</v>
      </c>
      <c r="R531" s="110">
        <v>4</v>
      </c>
    </row>
    <row r="532" spans="2:18" x14ac:dyDescent="0.2">
      <c r="B532" s="57" t="str">
        <f t="shared" si="102"/>
        <v>MonsterWaveCallRule_Challenge6</v>
      </c>
      <c r="C532" s="57">
        <v>2</v>
      </c>
      <c r="D532" s="57" t="str">
        <f t="shared" si="103"/>
        <v>挑战关卡6第2波</v>
      </c>
      <c r="F532" s="57">
        <f t="shared" si="99"/>
        <v>0</v>
      </c>
      <c r="G532" s="102">
        <f t="shared" si="108"/>
        <v>180</v>
      </c>
      <c r="I532" s="102">
        <f>VLOOKUP(P532&amp;"_"&amp;Q532,挑战模式!$A$3:$Z$55,3+5*MonsterWaveCallRuleCfg!R532,FALSE)</f>
        <v>8</v>
      </c>
      <c r="J532" s="102">
        <f>VLOOKUP(P532&amp;"_"&amp;Q532,挑战模式!$A$3:$Z$55,4+5*MonsterWaveCallRuleCfg!R532,FALSE)</f>
        <v>1.5</v>
      </c>
      <c r="K532" s="102">
        <f t="shared" si="100"/>
        <v>1</v>
      </c>
      <c r="L532" s="102" t="str">
        <f>IF(VLOOKUP(P532&amp;"_"&amp;Q532,挑战模式!$A$3:$Z$55,2+5*R532,FALSE)="","","Monster_Challenge"&amp;P532&amp;"_"&amp;Q532&amp;"_"&amp;R532)</f>
        <v>Monster_Challenge6_2_1</v>
      </c>
      <c r="M532" s="57">
        <f t="shared" si="101"/>
        <v>1</v>
      </c>
      <c r="N532" s="118"/>
      <c r="O532" s="102">
        <f>VLOOKUP(P532&amp;"_"&amp;Q532,挑战模式!$A$3:$Z$55,6+5*MonsterWaveCallRuleCfg!R532,FALSE)</f>
        <v>9</v>
      </c>
      <c r="P532" s="110">
        <f t="shared" si="109"/>
        <v>6</v>
      </c>
      <c r="Q532" s="110">
        <f t="shared" si="107"/>
        <v>2</v>
      </c>
      <c r="R532" s="110">
        <v>1</v>
      </c>
    </row>
    <row r="533" spans="2:18" x14ac:dyDescent="0.2">
      <c r="B533" s="57" t="str">
        <f t="shared" si="102"/>
        <v/>
      </c>
      <c r="D533" s="57" t="str">
        <f t="shared" si="103"/>
        <v/>
      </c>
      <c r="F533" s="57" t="str">
        <f t="shared" si="99"/>
        <v/>
      </c>
      <c r="G533" s="102" t="str">
        <f t="shared" si="108"/>
        <v/>
      </c>
      <c r="I533" s="102">
        <f>VLOOKUP(P533&amp;"_"&amp;Q533,挑战模式!$A$3:$Z$55,3+5*MonsterWaveCallRuleCfg!R533,FALSE)</f>
        <v>13</v>
      </c>
      <c r="J533" s="102">
        <f>VLOOKUP(P533&amp;"_"&amp;Q533,挑战模式!$A$3:$Z$55,4+5*MonsterWaveCallRuleCfg!R533,FALSE)</f>
        <v>1</v>
      </c>
      <c r="K533" s="102">
        <f t="shared" si="100"/>
        <v>1</v>
      </c>
      <c r="L533" s="102" t="str">
        <f>IF(VLOOKUP(P533&amp;"_"&amp;Q533,挑战模式!$A$3:$Z$55,2+5*R533,FALSE)="","","Monster_Challenge"&amp;P533&amp;"_"&amp;Q533&amp;"_"&amp;R533)</f>
        <v>Monster_Challenge6_2_2</v>
      </c>
      <c r="M533" s="57">
        <f t="shared" si="101"/>
        <v>1</v>
      </c>
      <c r="N533" s="118"/>
      <c r="O533" s="102">
        <f>VLOOKUP(P533&amp;"_"&amp;Q533,挑战模式!$A$3:$Z$55,6+5*MonsterWaveCallRuleCfg!R533,FALSE)</f>
        <v>9</v>
      </c>
      <c r="P533" s="110">
        <f t="shared" si="109"/>
        <v>6</v>
      </c>
      <c r="Q533" s="110">
        <f t="shared" si="107"/>
        <v>2</v>
      </c>
      <c r="R533" s="110">
        <v>2</v>
      </c>
    </row>
    <row r="534" spans="2:18" x14ac:dyDescent="0.2">
      <c r="B534" s="57" t="str">
        <f t="shared" si="102"/>
        <v/>
      </c>
      <c r="D534" s="57" t="str">
        <f t="shared" si="103"/>
        <v/>
      </c>
      <c r="F534" s="57" t="str">
        <f t="shared" si="99"/>
        <v/>
      </c>
      <c r="G534" s="102" t="str">
        <f t="shared" si="108"/>
        <v/>
      </c>
      <c r="I534" s="102">
        <f>VLOOKUP(P534&amp;"_"&amp;Q534,挑战模式!$A$3:$Z$55,3+5*MonsterWaveCallRuleCfg!R534,FALSE)</f>
        <v>6</v>
      </c>
      <c r="J534" s="102">
        <f>VLOOKUP(P534&amp;"_"&amp;Q534,挑战模式!$A$3:$Z$55,4+5*MonsterWaveCallRuleCfg!R534,FALSE)</f>
        <v>2</v>
      </c>
      <c r="K534" s="102">
        <f t="shared" si="100"/>
        <v>1</v>
      </c>
      <c r="L534" s="102" t="str">
        <f>IF(VLOOKUP(P534&amp;"_"&amp;Q534,挑战模式!$A$3:$Z$55,2+5*R534,FALSE)="","","Monster_Challenge"&amp;P534&amp;"_"&amp;Q534&amp;"_"&amp;R534)</f>
        <v>Monster_Challenge6_2_3</v>
      </c>
      <c r="M534" s="57">
        <f t="shared" si="101"/>
        <v>1</v>
      </c>
      <c r="N534" s="118"/>
      <c r="O534" s="102">
        <f>VLOOKUP(P534&amp;"_"&amp;Q534,挑战模式!$A$3:$Z$55,6+5*MonsterWaveCallRuleCfg!R534,FALSE)</f>
        <v>18</v>
      </c>
      <c r="P534" s="110">
        <f t="shared" si="109"/>
        <v>6</v>
      </c>
      <c r="Q534" s="110">
        <f t="shared" si="107"/>
        <v>2</v>
      </c>
      <c r="R534" s="110">
        <v>3</v>
      </c>
    </row>
    <row r="535" spans="2:18" x14ac:dyDescent="0.2">
      <c r="B535" s="57" t="str">
        <f t="shared" si="102"/>
        <v/>
      </c>
      <c r="D535" s="57" t="str">
        <f t="shared" si="103"/>
        <v/>
      </c>
      <c r="F535" s="57" t="str">
        <f t="shared" si="99"/>
        <v/>
      </c>
      <c r="G535" s="102" t="str">
        <f t="shared" si="108"/>
        <v/>
      </c>
      <c r="I535" s="102" t="str">
        <f>VLOOKUP(P535&amp;"_"&amp;Q535,挑战模式!$A$3:$Z$55,3+5*MonsterWaveCallRuleCfg!R535,FALSE)</f>
        <v/>
      </c>
      <c r="J535" s="102" t="str">
        <f>VLOOKUP(P535&amp;"_"&amp;Q535,挑战模式!$A$3:$Z$55,4+5*MonsterWaveCallRuleCfg!R535,FALSE)</f>
        <v/>
      </c>
      <c r="K535" s="102" t="str">
        <f t="shared" si="100"/>
        <v/>
      </c>
      <c r="L535" s="102" t="str">
        <f>IF(VLOOKUP(P535&amp;"_"&amp;Q535,挑战模式!$A$3:$Z$55,2+5*R535,FALSE)="","","Monster_Challenge"&amp;P535&amp;"_"&amp;Q535&amp;"_"&amp;R535)</f>
        <v/>
      </c>
      <c r="M535" s="57" t="str">
        <f t="shared" si="101"/>
        <v/>
      </c>
      <c r="N535" s="118"/>
      <c r="O535" s="102" t="str">
        <f>VLOOKUP(P535&amp;"_"&amp;Q535,挑战模式!$A$3:$Z$55,6+5*MonsterWaveCallRuleCfg!R535,FALSE)</f>
        <v/>
      </c>
      <c r="P535" s="110">
        <f t="shared" si="109"/>
        <v>6</v>
      </c>
      <c r="Q535" s="110">
        <f t="shared" si="107"/>
        <v>2</v>
      </c>
      <c r="R535" s="110">
        <v>4</v>
      </c>
    </row>
    <row r="536" spans="2:18" x14ac:dyDescent="0.2">
      <c r="B536" s="57" t="str">
        <f t="shared" si="102"/>
        <v>MonsterWaveCallRule_Challenge6</v>
      </c>
      <c r="C536" s="57">
        <v>3</v>
      </c>
      <c r="D536" s="57" t="str">
        <f t="shared" si="103"/>
        <v>挑战关卡6第3波</v>
      </c>
      <c r="F536" s="57">
        <f t="shared" si="99"/>
        <v>0</v>
      </c>
      <c r="G536" s="102">
        <f t="shared" si="108"/>
        <v>180</v>
      </c>
      <c r="I536" s="102">
        <f>VLOOKUP(P536&amp;"_"&amp;Q536,挑战模式!$A$3:$Z$55,3+5*MonsterWaveCallRuleCfg!R536,FALSE)</f>
        <v>10</v>
      </c>
      <c r="J536" s="102">
        <f>VLOOKUP(P536&amp;"_"&amp;Q536,挑战模式!$A$3:$Z$55,4+5*MonsterWaveCallRuleCfg!R536,FALSE)</f>
        <v>1.5</v>
      </c>
      <c r="K536" s="102">
        <f t="shared" si="100"/>
        <v>1</v>
      </c>
      <c r="L536" s="102" t="str">
        <f>IF(VLOOKUP(P536&amp;"_"&amp;Q536,挑战模式!$A$3:$Z$55,2+5*R536,FALSE)="","","Monster_Challenge"&amp;P536&amp;"_"&amp;Q536&amp;"_"&amp;R536)</f>
        <v>Monster_Challenge6_3_1</v>
      </c>
      <c r="M536" s="57">
        <f t="shared" si="101"/>
        <v>1</v>
      </c>
      <c r="N536" s="118"/>
      <c r="O536" s="102">
        <f>VLOOKUP(P536&amp;"_"&amp;Q536,挑战模式!$A$3:$Z$55,6+5*MonsterWaveCallRuleCfg!R536,FALSE)</f>
        <v>5</v>
      </c>
      <c r="P536" s="110">
        <f t="shared" si="109"/>
        <v>6</v>
      </c>
      <c r="Q536" s="110">
        <f t="shared" si="107"/>
        <v>3</v>
      </c>
      <c r="R536" s="110">
        <v>1</v>
      </c>
    </row>
    <row r="537" spans="2:18" x14ac:dyDescent="0.2">
      <c r="B537" s="57" t="str">
        <f t="shared" si="102"/>
        <v/>
      </c>
      <c r="D537" s="57" t="str">
        <f t="shared" si="103"/>
        <v/>
      </c>
      <c r="F537" s="57" t="str">
        <f t="shared" si="99"/>
        <v/>
      </c>
      <c r="G537" s="102" t="str">
        <f t="shared" si="108"/>
        <v/>
      </c>
      <c r="I537" s="102">
        <f>VLOOKUP(P537&amp;"_"&amp;Q537,挑战模式!$A$3:$Z$55,3+5*MonsterWaveCallRuleCfg!R537,FALSE)</f>
        <v>8</v>
      </c>
      <c r="J537" s="102">
        <f>VLOOKUP(P537&amp;"_"&amp;Q537,挑战模式!$A$3:$Z$55,4+5*MonsterWaveCallRuleCfg!R537,FALSE)</f>
        <v>2</v>
      </c>
      <c r="K537" s="102">
        <f t="shared" si="100"/>
        <v>1</v>
      </c>
      <c r="L537" s="102" t="str">
        <f>IF(VLOOKUP(P537&amp;"_"&amp;Q537,挑战模式!$A$3:$Z$55,2+5*R537,FALSE)="","","Monster_Challenge"&amp;P537&amp;"_"&amp;Q537&amp;"_"&amp;R537)</f>
        <v>Monster_Challenge6_3_2</v>
      </c>
      <c r="M537" s="57">
        <f t="shared" si="101"/>
        <v>1</v>
      </c>
      <c r="N537" s="118"/>
      <c r="O537" s="102">
        <f>VLOOKUP(P537&amp;"_"&amp;Q537,挑战模式!$A$3:$Z$55,6+5*MonsterWaveCallRuleCfg!R537,FALSE)</f>
        <v>10</v>
      </c>
      <c r="P537" s="110">
        <f t="shared" si="109"/>
        <v>6</v>
      </c>
      <c r="Q537" s="110">
        <f t="shared" si="107"/>
        <v>3</v>
      </c>
      <c r="R537" s="110">
        <v>2</v>
      </c>
    </row>
    <row r="538" spans="2:18" x14ac:dyDescent="0.2">
      <c r="B538" s="57" t="str">
        <f t="shared" si="102"/>
        <v/>
      </c>
      <c r="D538" s="57" t="str">
        <f t="shared" si="103"/>
        <v/>
      </c>
      <c r="F538" s="57" t="str">
        <f t="shared" si="99"/>
        <v/>
      </c>
      <c r="G538" s="102" t="str">
        <f t="shared" si="108"/>
        <v/>
      </c>
      <c r="I538" s="102">
        <f>VLOOKUP(P538&amp;"_"&amp;Q538,挑战模式!$A$3:$Z$55,3+5*MonsterWaveCallRuleCfg!R538,FALSE)</f>
        <v>15</v>
      </c>
      <c r="J538" s="102">
        <f>VLOOKUP(P538&amp;"_"&amp;Q538,挑战模式!$A$3:$Z$55,4+5*MonsterWaveCallRuleCfg!R538,FALSE)</f>
        <v>1</v>
      </c>
      <c r="K538" s="102">
        <f t="shared" si="100"/>
        <v>1</v>
      </c>
      <c r="L538" s="102" t="str">
        <f>IF(VLOOKUP(P538&amp;"_"&amp;Q538,挑战模式!$A$3:$Z$55,2+5*R538,FALSE)="","","Monster_Challenge"&amp;P538&amp;"_"&amp;Q538&amp;"_"&amp;R538)</f>
        <v>Monster_Challenge6_3_3</v>
      </c>
      <c r="M538" s="57">
        <f t="shared" si="101"/>
        <v>1</v>
      </c>
      <c r="N538" s="118"/>
      <c r="O538" s="102">
        <f>VLOOKUP(P538&amp;"_"&amp;Q538,挑战模式!$A$3:$Z$55,6+5*MonsterWaveCallRuleCfg!R538,FALSE)</f>
        <v>5</v>
      </c>
      <c r="P538" s="110">
        <f t="shared" si="109"/>
        <v>6</v>
      </c>
      <c r="Q538" s="110">
        <f t="shared" si="107"/>
        <v>3</v>
      </c>
      <c r="R538" s="110">
        <v>3</v>
      </c>
    </row>
    <row r="539" spans="2:18" x14ac:dyDescent="0.2">
      <c r="B539" s="57" t="str">
        <f t="shared" si="102"/>
        <v/>
      </c>
      <c r="D539" s="57" t="str">
        <f t="shared" si="103"/>
        <v/>
      </c>
      <c r="F539" s="57" t="str">
        <f t="shared" si="99"/>
        <v/>
      </c>
      <c r="G539" s="102" t="str">
        <f t="shared" si="108"/>
        <v/>
      </c>
      <c r="I539" s="102">
        <f>VLOOKUP(P539&amp;"_"&amp;Q539,挑战模式!$A$3:$Z$55,3+5*MonsterWaveCallRuleCfg!R539,FALSE)</f>
        <v>38</v>
      </c>
      <c r="J539" s="102">
        <f>VLOOKUP(P539&amp;"_"&amp;Q539,挑战模式!$A$3:$Z$55,4+5*MonsterWaveCallRuleCfg!R539,FALSE)</f>
        <v>0.4</v>
      </c>
      <c r="K539" s="102">
        <f t="shared" si="100"/>
        <v>1</v>
      </c>
      <c r="L539" s="102" t="str">
        <f>IF(VLOOKUP(P539&amp;"_"&amp;Q539,挑战模式!$A$3:$Z$55,2+5*R539,FALSE)="","","Monster_Challenge"&amp;P539&amp;"_"&amp;Q539&amp;"_"&amp;R539)</f>
        <v>Monster_Challenge6_3_4</v>
      </c>
      <c r="M539" s="57">
        <f t="shared" si="101"/>
        <v>1</v>
      </c>
      <c r="N539" s="118"/>
      <c r="O539" s="102">
        <f>VLOOKUP(P539&amp;"_"&amp;Q539,挑战模式!$A$3:$Z$55,6+5*MonsterWaveCallRuleCfg!R539,FALSE)</f>
        <v>3</v>
      </c>
      <c r="P539" s="110">
        <f t="shared" si="109"/>
        <v>6</v>
      </c>
      <c r="Q539" s="110">
        <f t="shared" si="107"/>
        <v>3</v>
      </c>
      <c r="R539" s="110">
        <v>4</v>
      </c>
    </row>
    <row r="540" spans="2:18" x14ac:dyDescent="0.2">
      <c r="B540" s="57" t="str">
        <f t="shared" si="102"/>
        <v>MonsterWaveCallRule_Challenge6</v>
      </c>
      <c r="C540" s="57">
        <v>4</v>
      </c>
      <c r="D540" s="57" t="str">
        <f t="shared" si="103"/>
        <v>挑战关卡6第4波</v>
      </c>
      <c r="F540" s="57">
        <f t="shared" ref="F540:F603" si="110">IF(C540="","",0)</f>
        <v>0</v>
      </c>
      <c r="G540" s="102">
        <f t="shared" si="108"/>
        <v>180</v>
      </c>
      <c r="I540" s="102">
        <f>VLOOKUP(P540&amp;"_"&amp;Q540,挑战模式!$A$3:$Z$55,3+5*MonsterWaveCallRuleCfg!R540,FALSE)</f>
        <v>12</v>
      </c>
      <c r="J540" s="102">
        <f>VLOOKUP(P540&amp;"_"&amp;Q540,挑战模式!$A$3:$Z$55,4+5*MonsterWaveCallRuleCfg!R540,FALSE)</f>
        <v>1.5</v>
      </c>
      <c r="K540" s="102">
        <f t="shared" ref="K540:K603" si="111">IF(I540="","",1)</f>
        <v>1</v>
      </c>
      <c r="L540" s="102" t="str">
        <f>IF(VLOOKUP(P540&amp;"_"&amp;Q540,挑战模式!$A$3:$Z$55,2+5*R540,FALSE)="","","Monster_Challenge"&amp;P540&amp;"_"&amp;Q540&amp;"_"&amp;R540)</f>
        <v>Monster_Challenge6_4_1</v>
      </c>
      <c r="M540" s="57">
        <f t="shared" ref="M540:M603" si="112">IF(I540="","",1)</f>
        <v>1</v>
      </c>
      <c r="N540" s="118"/>
      <c r="O540" s="102">
        <f>VLOOKUP(P540&amp;"_"&amp;Q540,挑战模式!$A$3:$Z$55,6+5*MonsterWaveCallRuleCfg!R540,FALSE)</f>
        <v>8</v>
      </c>
      <c r="P540" s="110">
        <f t="shared" si="109"/>
        <v>6</v>
      </c>
      <c r="Q540" s="110">
        <f t="shared" si="107"/>
        <v>4</v>
      </c>
      <c r="R540" s="110">
        <v>1</v>
      </c>
    </row>
    <row r="541" spans="2:18" x14ac:dyDescent="0.2">
      <c r="B541" s="57" t="str">
        <f t="shared" si="102"/>
        <v/>
      </c>
      <c r="D541" s="57" t="str">
        <f t="shared" si="103"/>
        <v/>
      </c>
      <c r="F541" s="57" t="str">
        <f t="shared" si="110"/>
        <v/>
      </c>
      <c r="G541" s="102" t="str">
        <f t="shared" si="108"/>
        <v/>
      </c>
      <c r="I541" s="102">
        <f>VLOOKUP(P541&amp;"_"&amp;Q541,挑战模式!$A$3:$Z$55,3+5*MonsterWaveCallRuleCfg!R541,FALSE)</f>
        <v>18</v>
      </c>
      <c r="J541" s="102">
        <f>VLOOKUP(P541&amp;"_"&amp;Q541,挑战模式!$A$3:$Z$55,4+5*MonsterWaveCallRuleCfg!R541,FALSE)</f>
        <v>1</v>
      </c>
      <c r="K541" s="102">
        <f t="shared" si="111"/>
        <v>1</v>
      </c>
      <c r="L541" s="102" t="str">
        <f>IF(VLOOKUP(P541&amp;"_"&amp;Q541,挑战模式!$A$3:$Z$55,2+5*R541,FALSE)="","","Monster_Challenge"&amp;P541&amp;"_"&amp;Q541&amp;"_"&amp;R541)</f>
        <v>Monster_Challenge6_4_2</v>
      </c>
      <c r="M541" s="57">
        <f t="shared" si="112"/>
        <v>1</v>
      </c>
      <c r="N541" s="118"/>
      <c r="O541" s="102">
        <f>VLOOKUP(P541&amp;"_"&amp;Q541,挑战模式!$A$3:$Z$55,6+5*MonsterWaveCallRuleCfg!R541,FALSE)</f>
        <v>4</v>
      </c>
      <c r="P541" s="110">
        <f t="shared" si="109"/>
        <v>6</v>
      </c>
      <c r="Q541" s="110">
        <f t="shared" si="107"/>
        <v>4</v>
      </c>
      <c r="R541" s="110">
        <v>2</v>
      </c>
    </row>
    <row r="542" spans="2:18" x14ac:dyDescent="0.2">
      <c r="B542" s="57" t="str">
        <f t="shared" si="102"/>
        <v/>
      </c>
      <c r="D542" s="57" t="str">
        <f t="shared" si="103"/>
        <v/>
      </c>
      <c r="F542" s="57" t="str">
        <f t="shared" si="110"/>
        <v/>
      </c>
      <c r="G542" s="102" t="str">
        <f t="shared" si="108"/>
        <v/>
      </c>
      <c r="I542" s="102">
        <f>VLOOKUP(P542&amp;"_"&amp;Q542,挑战模式!$A$3:$Z$55,3+5*MonsterWaveCallRuleCfg!R542,FALSE)</f>
        <v>9</v>
      </c>
      <c r="J542" s="102">
        <f>VLOOKUP(P542&amp;"_"&amp;Q542,挑战模式!$A$3:$Z$55,4+5*MonsterWaveCallRuleCfg!R542,FALSE)</f>
        <v>2</v>
      </c>
      <c r="K542" s="102">
        <f t="shared" si="111"/>
        <v>1</v>
      </c>
      <c r="L542" s="102" t="str">
        <f>IF(VLOOKUP(P542&amp;"_"&amp;Q542,挑战模式!$A$3:$Z$55,2+5*R542,FALSE)="","","Monster_Challenge"&amp;P542&amp;"_"&amp;Q542&amp;"_"&amp;R542)</f>
        <v>Monster_Challenge6_4_3</v>
      </c>
      <c r="M542" s="57">
        <f t="shared" si="112"/>
        <v>1</v>
      </c>
      <c r="N542" s="118"/>
      <c r="O542" s="102">
        <f>VLOOKUP(P542&amp;"_"&amp;Q542,挑战模式!$A$3:$Z$55,6+5*MonsterWaveCallRuleCfg!R542,FALSE)</f>
        <v>15</v>
      </c>
      <c r="P542" s="110">
        <f t="shared" si="109"/>
        <v>6</v>
      </c>
      <c r="Q542" s="110">
        <f t="shared" si="107"/>
        <v>4</v>
      </c>
      <c r="R542" s="110">
        <v>3</v>
      </c>
    </row>
    <row r="543" spans="2:18" x14ac:dyDescent="0.2">
      <c r="B543" s="57" t="str">
        <f t="shared" si="102"/>
        <v/>
      </c>
      <c r="D543" s="57" t="str">
        <f t="shared" si="103"/>
        <v/>
      </c>
      <c r="F543" s="57" t="str">
        <f t="shared" si="110"/>
        <v/>
      </c>
      <c r="G543" s="102" t="str">
        <f t="shared" si="108"/>
        <v/>
      </c>
      <c r="I543" s="102" t="str">
        <f>VLOOKUP(P543&amp;"_"&amp;Q543,挑战模式!$A$3:$Z$55,3+5*MonsterWaveCallRuleCfg!R543,FALSE)</f>
        <v/>
      </c>
      <c r="J543" s="102" t="str">
        <f>VLOOKUP(P543&amp;"_"&amp;Q543,挑战模式!$A$3:$Z$55,4+5*MonsterWaveCallRuleCfg!R543,FALSE)</f>
        <v/>
      </c>
      <c r="K543" s="102" t="str">
        <f t="shared" si="111"/>
        <v/>
      </c>
      <c r="L543" s="102" t="str">
        <f>IF(VLOOKUP(P543&amp;"_"&amp;Q543,挑战模式!$A$3:$Z$55,2+5*R543,FALSE)="","","Monster_Challenge"&amp;P543&amp;"_"&amp;Q543&amp;"_"&amp;R543)</f>
        <v/>
      </c>
      <c r="M543" s="57" t="str">
        <f t="shared" si="112"/>
        <v/>
      </c>
      <c r="N543" s="118"/>
      <c r="O543" s="102" t="str">
        <f>VLOOKUP(P543&amp;"_"&amp;Q543,挑战模式!$A$3:$Z$55,6+5*MonsterWaveCallRuleCfg!R543,FALSE)</f>
        <v/>
      </c>
      <c r="P543" s="110">
        <f t="shared" si="109"/>
        <v>6</v>
      </c>
      <c r="Q543" s="110">
        <f t="shared" si="107"/>
        <v>4</v>
      </c>
      <c r="R543" s="110">
        <v>4</v>
      </c>
    </row>
    <row r="544" spans="2:18" x14ac:dyDescent="0.2">
      <c r="B544" s="57" t="str">
        <f t="shared" si="102"/>
        <v>MonsterWaveCallRule_Challenge6</v>
      </c>
      <c r="C544" s="57">
        <v>5</v>
      </c>
      <c r="D544" s="57" t="str">
        <f t="shared" si="103"/>
        <v>挑战关卡6第5波</v>
      </c>
      <c r="F544" s="57">
        <f t="shared" si="110"/>
        <v>0</v>
      </c>
      <c r="G544" s="102">
        <f t="shared" si="108"/>
        <v>180</v>
      </c>
      <c r="I544" s="102">
        <f>VLOOKUP(P544&amp;"_"&amp;Q544,挑战模式!$A$3:$Z$55,3+5*MonsterWaveCallRuleCfg!R544,FALSE)</f>
        <v>40</v>
      </c>
      <c r="J544" s="102">
        <f>VLOOKUP(P544&amp;"_"&amp;Q544,挑战模式!$A$3:$Z$55,4+5*MonsterWaveCallRuleCfg!R544,FALSE)</f>
        <v>0.5</v>
      </c>
      <c r="K544" s="102">
        <f t="shared" si="111"/>
        <v>1</v>
      </c>
      <c r="L544" s="102" t="str">
        <f>IF(VLOOKUP(P544&amp;"_"&amp;Q544,挑战模式!$A$3:$Z$55,2+5*R544,FALSE)="","","Monster_Challenge"&amp;P544&amp;"_"&amp;Q544&amp;"_"&amp;R544)</f>
        <v>Monster_Challenge6_5_1</v>
      </c>
      <c r="M544" s="57">
        <f t="shared" si="112"/>
        <v>1</v>
      </c>
      <c r="N544" s="118"/>
      <c r="O544" s="102">
        <f>VLOOKUP(P544&amp;"_"&amp;Q544,挑战模式!$A$3:$Z$55,6+5*MonsterWaveCallRuleCfg!R544,FALSE)</f>
        <v>3</v>
      </c>
      <c r="P544" s="110">
        <f t="shared" si="109"/>
        <v>6</v>
      </c>
      <c r="Q544" s="110">
        <f t="shared" si="107"/>
        <v>5</v>
      </c>
      <c r="R544" s="110">
        <v>1</v>
      </c>
    </row>
    <row r="545" spans="2:18" x14ac:dyDescent="0.2">
      <c r="B545" s="57" t="str">
        <f t="shared" si="102"/>
        <v/>
      </c>
      <c r="D545" s="57" t="str">
        <f t="shared" si="103"/>
        <v/>
      </c>
      <c r="F545" s="57" t="str">
        <f t="shared" si="110"/>
        <v/>
      </c>
      <c r="G545" s="102" t="str">
        <f t="shared" si="108"/>
        <v/>
      </c>
      <c r="I545" s="102">
        <f>VLOOKUP(P545&amp;"_"&amp;Q545,挑战模式!$A$3:$Z$55,3+5*MonsterWaveCallRuleCfg!R545,FALSE)</f>
        <v>10</v>
      </c>
      <c r="J545" s="102">
        <f>VLOOKUP(P545&amp;"_"&amp;Q545,挑战模式!$A$3:$Z$55,4+5*MonsterWaveCallRuleCfg!R545,FALSE)</f>
        <v>2</v>
      </c>
      <c r="K545" s="102">
        <f t="shared" si="111"/>
        <v>1</v>
      </c>
      <c r="L545" s="102" t="str">
        <f>IF(VLOOKUP(P545&amp;"_"&amp;Q545,挑战模式!$A$3:$Z$55,2+5*R545,FALSE)="","","Monster_Challenge"&amp;P545&amp;"_"&amp;Q545&amp;"_"&amp;R545)</f>
        <v>Monster_Challenge6_5_2</v>
      </c>
      <c r="M545" s="57">
        <f t="shared" si="112"/>
        <v>1</v>
      </c>
      <c r="N545" s="118"/>
      <c r="O545" s="102">
        <f>VLOOKUP(P545&amp;"_"&amp;Q545,挑战模式!$A$3:$Z$55,6+5*MonsterWaveCallRuleCfg!R545,FALSE)</f>
        <v>6</v>
      </c>
      <c r="P545" s="110">
        <f t="shared" si="109"/>
        <v>6</v>
      </c>
      <c r="Q545" s="110">
        <f t="shared" si="107"/>
        <v>5</v>
      </c>
      <c r="R545" s="110">
        <v>2</v>
      </c>
    </row>
    <row r="546" spans="2:18" x14ac:dyDescent="0.2">
      <c r="B546" s="57" t="str">
        <f t="shared" si="102"/>
        <v/>
      </c>
      <c r="D546" s="57" t="str">
        <f t="shared" si="103"/>
        <v/>
      </c>
      <c r="F546" s="57" t="str">
        <f t="shared" si="110"/>
        <v/>
      </c>
      <c r="G546" s="102" t="str">
        <f t="shared" si="108"/>
        <v/>
      </c>
      <c r="I546" s="102">
        <f>VLOOKUP(P546&amp;"_"&amp;Q546,挑战模式!$A$3:$Z$55,3+5*MonsterWaveCallRuleCfg!R546,FALSE)</f>
        <v>20</v>
      </c>
      <c r="J546" s="102">
        <f>VLOOKUP(P546&amp;"_"&amp;Q546,挑战模式!$A$3:$Z$55,4+5*MonsterWaveCallRuleCfg!R546,FALSE)</f>
        <v>1</v>
      </c>
      <c r="K546" s="102">
        <f t="shared" si="111"/>
        <v>1</v>
      </c>
      <c r="L546" s="102" t="str">
        <f>IF(VLOOKUP(P546&amp;"_"&amp;Q546,挑战模式!$A$3:$Z$55,2+5*R546,FALSE)="","","Monster_Challenge"&amp;P546&amp;"_"&amp;Q546&amp;"_"&amp;R546)</f>
        <v>Monster_Challenge6_5_3</v>
      </c>
      <c r="M546" s="57">
        <f t="shared" si="112"/>
        <v>1</v>
      </c>
      <c r="N546" s="118"/>
      <c r="O546" s="102">
        <f>VLOOKUP(P546&amp;"_"&amp;Q546,挑战模式!$A$3:$Z$55,6+5*MonsterWaveCallRuleCfg!R546,FALSE)</f>
        <v>3</v>
      </c>
      <c r="P546" s="110">
        <f t="shared" si="109"/>
        <v>6</v>
      </c>
      <c r="Q546" s="110">
        <f t="shared" si="107"/>
        <v>5</v>
      </c>
      <c r="R546" s="110">
        <v>3</v>
      </c>
    </row>
    <row r="547" spans="2:18" x14ac:dyDescent="0.2">
      <c r="B547" s="57" t="str">
        <f t="shared" si="102"/>
        <v/>
      </c>
      <c r="D547" s="57" t="str">
        <f t="shared" si="103"/>
        <v/>
      </c>
      <c r="F547" s="57" t="str">
        <f t="shared" si="110"/>
        <v/>
      </c>
      <c r="G547" s="102" t="str">
        <f t="shared" si="108"/>
        <v/>
      </c>
      <c r="I547" s="102">
        <f>VLOOKUP(P547&amp;"_"&amp;Q547,挑战模式!$A$3:$Z$55,3+5*MonsterWaveCallRuleCfg!R547,FALSE)</f>
        <v>50</v>
      </c>
      <c r="J547" s="102">
        <f>VLOOKUP(P547&amp;"_"&amp;Q547,挑战模式!$A$3:$Z$55,4+5*MonsterWaveCallRuleCfg!R547,FALSE)</f>
        <v>0.4</v>
      </c>
      <c r="K547" s="102">
        <f t="shared" si="111"/>
        <v>1</v>
      </c>
      <c r="L547" s="102" t="str">
        <f>IF(VLOOKUP(P547&amp;"_"&amp;Q547,挑战模式!$A$3:$Z$55,2+5*R547,FALSE)="","","Monster_Challenge"&amp;P547&amp;"_"&amp;Q547&amp;"_"&amp;R547)</f>
        <v>Monster_Challenge6_5_4</v>
      </c>
      <c r="M547" s="57">
        <f t="shared" si="112"/>
        <v>1</v>
      </c>
      <c r="O547" s="102">
        <f>VLOOKUP(P547&amp;"_"&amp;Q547,挑战模式!$A$3:$Z$55,6+5*MonsterWaveCallRuleCfg!R547,FALSE)</f>
        <v>1</v>
      </c>
      <c r="P547" s="110">
        <f t="shared" si="109"/>
        <v>6</v>
      </c>
      <c r="Q547" s="110">
        <f t="shared" si="107"/>
        <v>5</v>
      </c>
      <c r="R547" s="110">
        <v>4</v>
      </c>
    </row>
    <row r="548" spans="2:18" x14ac:dyDescent="0.2">
      <c r="B548" s="57" t="str">
        <f t="shared" si="102"/>
        <v>MonsterWaveCallRule_Challenge7</v>
      </c>
      <c r="C548" s="57">
        <v>1</v>
      </c>
      <c r="D548" s="57" t="str">
        <f t="shared" si="103"/>
        <v>挑战关卡7第1波</v>
      </c>
      <c r="F548" s="57">
        <f t="shared" si="110"/>
        <v>0</v>
      </c>
      <c r="G548" s="102">
        <f t="shared" si="108"/>
        <v>180</v>
      </c>
      <c r="I548" s="102">
        <f>VLOOKUP(P548&amp;"_"&amp;Q548,挑战模式!$A$3:$Z$55,3+5*MonsterWaveCallRuleCfg!R548,FALSE)</f>
        <v>7</v>
      </c>
      <c r="J548" s="102">
        <f>VLOOKUP(P548&amp;"_"&amp;Q548,挑战模式!$A$3:$Z$55,4+5*MonsterWaveCallRuleCfg!R548,FALSE)</f>
        <v>1.5</v>
      </c>
      <c r="K548" s="102">
        <f t="shared" si="111"/>
        <v>1</v>
      </c>
      <c r="L548" s="102" t="str">
        <f>IF(VLOOKUP(P548&amp;"_"&amp;Q548,挑战模式!$A$3:$Z$55,2+5*R548,FALSE)="","","Monster_Challenge"&amp;P548&amp;"_"&amp;Q548&amp;"_"&amp;R548)</f>
        <v>Monster_Challenge7_1_1</v>
      </c>
      <c r="M548" s="57">
        <f t="shared" si="112"/>
        <v>1</v>
      </c>
      <c r="O548" s="102">
        <f>VLOOKUP(P548&amp;"_"&amp;Q548,挑战模式!$A$3:$Z$55,6+5*MonsterWaveCallRuleCfg!R548,FALSE)</f>
        <v>43</v>
      </c>
      <c r="P548" s="110">
        <f t="shared" si="109"/>
        <v>7</v>
      </c>
      <c r="Q548" s="110">
        <f t="shared" si="107"/>
        <v>1</v>
      </c>
      <c r="R548" s="110">
        <v>1</v>
      </c>
    </row>
    <row r="549" spans="2:18" x14ac:dyDescent="0.2">
      <c r="B549" s="57" t="str">
        <f t="shared" si="102"/>
        <v/>
      </c>
      <c r="D549" s="57" t="str">
        <f t="shared" si="103"/>
        <v/>
      </c>
      <c r="F549" s="57" t="str">
        <f t="shared" si="110"/>
        <v/>
      </c>
      <c r="G549" s="102" t="str">
        <f t="shared" si="108"/>
        <v/>
      </c>
      <c r="I549" s="102" t="str">
        <f>VLOOKUP(P549&amp;"_"&amp;Q549,挑战模式!$A$3:$Z$55,3+5*MonsterWaveCallRuleCfg!R549,FALSE)</f>
        <v/>
      </c>
      <c r="J549" s="102" t="str">
        <f>VLOOKUP(P549&amp;"_"&amp;Q549,挑战模式!$A$3:$Z$55,4+5*MonsterWaveCallRuleCfg!R549,FALSE)</f>
        <v/>
      </c>
      <c r="K549" s="102" t="str">
        <f t="shared" si="111"/>
        <v/>
      </c>
      <c r="L549" s="102" t="str">
        <f>IF(VLOOKUP(P549&amp;"_"&amp;Q549,挑战模式!$A$3:$Z$55,2+5*R549,FALSE)="","","Monster_Challenge"&amp;P549&amp;"_"&amp;Q549&amp;"_"&amp;R549)</f>
        <v/>
      </c>
      <c r="M549" s="57" t="str">
        <f t="shared" si="112"/>
        <v/>
      </c>
      <c r="O549" s="102" t="str">
        <f>VLOOKUP(P549&amp;"_"&amp;Q549,挑战模式!$A$3:$Z$55,6+5*MonsterWaveCallRuleCfg!R549,FALSE)</f>
        <v/>
      </c>
      <c r="P549" s="110">
        <f t="shared" si="109"/>
        <v>7</v>
      </c>
      <c r="Q549" s="110">
        <f t="shared" si="107"/>
        <v>1</v>
      </c>
      <c r="R549" s="110">
        <v>2</v>
      </c>
    </row>
    <row r="550" spans="2:18" x14ac:dyDescent="0.2">
      <c r="B550" s="57" t="str">
        <f t="shared" si="102"/>
        <v/>
      </c>
      <c r="D550" s="57" t="str">
        <f t="shared" si="103"/>
        <v/>
      </c>
      <c r="F550" s="57" t="str">
        <f t="shared" si="110"/>
        <v/>
      </c>
      <c r="G550" s="102" t="str">
        <f t="shared" si="108"/>
        <v/>
      </c>
      <c r="I550" s="102" t="str">
        <f>VLOOKUP(P550&amp;"_"&amp;Q550,挑战模式!$A$3:$Z$55,3+5*MonsterWaveCallRuleCfg!R550,FALSE)</f>
        <v/>
      </c>
      <c r="J550" s="102" t="str">
        <f>VLOOKUP(P550&amp;"_"&amp;Q550,挑战模式!$A$3:$Z$55,4+5*MonsterWaveCallRuleCfg!R550,FALSE)</f>
        <v/>
      </c>
      <c r="K550" s="102" t="str">
        <f t="shared" si="111"/>
        <v/>
      </c>
      <c r="L550" s="102" t="str">
        <f>IF(VLOOKUP(P550&amp;"_"&amp;Q550,挑战模式!$A$3:$Z$55,2+5*R550,FALSE)="","","Monster_Challenge"&amp;P550&amp;"_"&amp;Q550&amp;"_"&amp;R550)</f>
        <v/>
      </c>
      <c r="M550" s="57" t="str">
        <f t="shared" si="112"/>
        <v/>
      </c>
      <c r="O550" s="102" t="str">
        <f>VLOOKUP(P550&amp;"_"&amp;Q550,挑战模式!$A$3:$Z$55,6+5*MonsterWaveCallRuleCfg!R550,FALSE)</f>
        <v/>
      </c>
      <c r="P550" s="110">
        <f t="shared" si="109"/>
        <v>7</v>
      </c>
      <c r="Q550" s="110">
        <f t="shared" si="107"/>
        <v>1</v>
      </c>
      <c r="R550" s="110">
        <v>3</v>
      </c>
    </row>
    <row r="551" spans="2:18" x14ac:dyDescent="0.2">
      <c r="B551" s="57" t="str">
        <f t="shared" si="102"/>
        <v/>
      </c>
      <c r="D551" s="57" t="str">
        <f t="shared" si="103"/>
        <v/>
      </c>
      <c r="F551" s="57" t="str">
        <f t="shared" si="110"/>
        <v/>
      </c>
      <c r="G551" s="102" t="str">
        <f t="shared" si="108"/>
        <v/>
      </c>
      <c r="I551" s="102" t="str">
        <f>VLOOKUP(P551&amp;"_"&amp;Q551,挑战模式!$A$3:$Z$55,3+5*MonsterWaveCallRuleCfg!R551,FALSE)</f>
        <v/>
      </c>
      <c r="J551" s="102" t="str">
        <f>VLOOKUP(P551&amp;"_"&amp;Q551,挑战模式!$A$3:$Z$55,4+5*MonsterWaveCallRuleCfg!R551,FALSE)</f>
        <v/>
      </c>
      <c r="K551" s="102" t="str">
        <f t="shared" si="111"/>
        <v/>
      </c>
      <c r="L551" s="102" t="str">
        <f>IF(VLOOKUP(P551&amp;"_"&amp;Q551,挑战模式!$A$3:$Z$55,2+5*R551,FALSE)="","","Monster_Challenge"&amp;P551&amp;"_"&amp;Q551&amp;"_"&amp;R551)</f>
        <v/>
      </c>
      <c r="M551" s="57" t="str">
        <f t="shared" si="112"/>
        <v/>
      </c>
      <c r="O551" s="102" t="str">
        <f>VLOOKUP(P551&amp;"_"&amp;Q551,挑战模式!$A$3:$Z$55,6+5*MonsterWaveCallRuleCfg!R551,FALSE)</f>
        <v/>
      </c>
      <c r="P551" s="110">
        <f t="shared" si="109"/>
        <v>7</v>
      </c>
      <c r="Q551" s="110">
        <f t="shared" si="107"/>
        <v>1</v>
      </c>
      <c r="R551" s="110">
        <v>4</v>
      </c>
    </row>
    <row r="552" spans="2:18" x14ac:dyDescent="0.2">
      <c r="B552" s="57" t="str">
        <f t="shared" si="102"/>
        <v>MonsterWaveCallRule_Challenge7</v>
      </c>
      <c r="C552" s="57">
        <v>2</v>
      </c>
      <c r="D552" s="57" t="str">
        <f t="shared" si="103"/>
        <v>挑战关卡7第2波</v>
      </c>
      <c r="F552" s="57">
        <f t="shared" si="110"/>
        <v>0</v>
      </c>
      <c r="G552" s="102">
        <f t="shared" si="108"/>
        <v>180</v>
      </c>
      <c r="I552" s="102">
        <f>VLOOKUP(P552&amp;"_"&amp;Q552,挑战模式!$A$3:$Z$55,3+5*MonsterWaveCallRuleCfg!R552,FALSE)</f>
        <v>8</v>
      </c>
      <c r="J552" s="102">
        <f>VLOOKUP(P552&amp;"_"&amp;Q552,挑战模式!$A$3:$Z$55,4+5*MonsterWaveCallRuleCfg!R552,FALSE)</f>
        <v>1.5</v>
      </c>
      <c r="K552" s="102">
        <f t="shared" si="111"/>
        <v>1</v>
      </c>
      <c r="L552" s="102" t="str">
        <f>IF(VLOOKUP(P552&amp;"_"&amp;Q552,挑战模式!$A$3:$Z$55,2+5*R552,FALSE)="","","Monster_Challenge"&amp;P552&amp;"_"&amp;Q552&amp;"_"&amp;R552)</f>
        <v>Monster_Challenge7_2_1</v>
      </c>
      <c r="M552" s="57">
        <f t="shared" si="112"/>
        <v>1</v>
      </c>
      <c r="O552" s="102">
        <f>VLOOKUP(P552&amp;"_"&amp;Q552,挑战模式!$A$3:$Z$55,6+5*MonsterWaveCallRuleCfg!R552,FALSE)</f>
        <v>13</v>
      </c>
      <c r="P552" s="110">
        <f t="shared" si="109"/>
        <v>7</v>
      </c>
      <c r="Q552" s="110">
        <f t="shared" si="107"/>
        <v>2</v>
      </c>
      <c r="R552" s="110">
        <v>1</v>
      </c>
    </row>
    <row r="553" spans="2:18" x14ac:dyDescent="0.2">
      <c r="B553" s="57" t="str">
        <f t="shared" si="102"/>
        <v/>
      </c>
      <c r="D553" s="57" t="str">
        <f t="shared" si="103"/>
        <v/>
      </c>
      <c r="F553" s="57" t="str">
        <f t="shared" si="110"/>
        <v/>
      </c>
      <c r="G553" s="102" t="str">
        <f t="shared" si="108"/>
        <v/>
      </c>
      <c r="I553" s="102">
        <f>VLOOKUP(P553&amp;"_"&amp;Q553,挑战模式!$A$3:$Z$55,3+5*MonsterWaveCallRuleCfg!R553,FALSE)</f>
        <v>63</v>
      </c>
      <c r="J553" s="102">
        <f>VLOOKUP(P553&amp;"_"&amp;Q553,挑战模式!$A$3:$Z$55,4+5*MonsterWaveCallRuleCfg!R553,FALSE)</f>
        <v>0.2</v>
      </c>
      <c r="K553" s="102">
        <f t="shared" si="111"/>
        <v>1</v>
      </c>
      <c r="L553" s="102" t="str">
        <f>IF(VLOOKUP(P553&amp;"_"&amp;Q553,挑战模式!$A$3:$Z$55,2+5*R553,FALSE)="","","Monster_Challenge"&amp;P553&amp;"_"&amp;Q553&amp;"_"&amp;R553)</f>
        <v>Monster_Challenge7_2_2</v>
      </c>
      <c r="M553" s="57">
        <f t="shared" si="112"/>
        <v>1</v>
      </c>
      <c r="O553" s="102">
        <f>VLOOKUP(P553&amp;"_"&amp;Q553,挑战模式!$A$3:$Z$55,6+5*MonsterWaveCallRuleCfg!R553,FALSE)</f>
        <v>3</v>
      </c>
      <c r="P553" s="110">
        <f t="shared" si="109"/>
        <v>7</v>
      </c>
      <c r="Q553" s="110">
        <f t="shared" si="107"/>
        <v>2</v>
      </c>
      <c r="R553" s="110">
        <v>2</v>
      </c>
    </row>
    <row r="554" spans="2:18" x14ac:dyDescent="0.2">
      <c r="B554" s="57" t="str">
        <f t="shared" si="102"/>
        <v/>
      </c>
      <c r="D554" s="57" t="str">
        <f t="shared" si="103"/>
        <v/>
      </c>
      <c r="F554" s="57" t="str">
        <f t="shared" si="110"/>
        <v/>
      </c>
      <c r="G554" s="102" t="str">
        <f t="shared" si="108"/>
        <v/>
      </c>
      <c r="I554" s="102" t="str">
        <f>VLOOKUP(P554&amp;"_"&amp;Q554,挑战模式!$A$3:$Z$55,3+5*MonsterWaveCallRuleCfg!R554,FALSE)</f>
        <v/>
      </c>
      <c r="J554" s="102" t="str">
        <f>VLOOKUP(P554&amp;"_"&amp;Q554,挑战模式!$A$3:$Z$55,4+5*MonsterWaveCallRuleCfg!R554,FALSE)</f>
        <v/>
      </c>
      <c r="K554" s="102" t="str">
        <f t="shared" si="111"/>
        <v/>
      </c>
      <c r="L554" s="102" t="str">
        <f>IF(VLOOKUP(P554&amp;"_"&amp;Q554,挑战模式!$A$3:$Z$55,2+5*R554,FALSE)="","","Monster_Challenge"&amp;P554&amp;"_"&amp;Q554&amp;"_"&amp;R554)</f>
        <v/>
      </c>
      <c r="M554" s="57" t="str">
        <f t="shared" si="112"/>
        <v/>
      </c>
      <c r="O554" s="102" t="str">
        <f>VLOOKUP(P554&amp;"_"&amp;Q554,挑战模式!$A$3:$Z$55,6+5*MonsterWaveCallRuleCfg!R554,FALSE)</f>
        <v/>
      </c>
      <c r="P554" s="110">
        <f t="shared" si="109"/>
        <v>7</v>
      </c>
      <c r="Q554" s="110">
        <f t="shared" si="107"/>
        <v>2</v>
      </c>
      <c r="R554" s="110">
        <v>3</v>
      </c>
    </row>
    <row r="555" spans="2:18" x14ac:dyDescent="0.2">
      <c r="B555" s="57" t="str">
        <f t="shared" si="102"/>
        <v/>
      </c>
      <c r="D555" s="57" t="str">
        <f t="shared" si="103"/>
        <v/>
      </c>
      <c r="F555" s="57" t="str">
        <f t="shared" si="110"/>
        <v/>
      </c>
      <c r="G555" s="102" t="str">
        <f t="shared" si="108"/>
        <v/>
      </c>
      <c r="I555" s="102" t="str">
        <f>VLOOKUP(P555&amp;"_"&amp;Q555,挑战模式!$A$3:$Z$55,3+5*MonsterWaveCallRuleCfg!R555,FALSE)</f>
        <v/>
      </c>
      <c r="J555" s="102" t="str">
        <f>VLOOKUP(P555&amp;"_"&amp;Q555,挑战模式!$A$3:$Z$55,4+5*MonsterWaveCallRuleCfg!R555,FALSE)</f>
        <v/>
      </c>
      <c r="K555" s="102" t="str">
        <f t="shared" si="111"/>
        <v/>
      </c>
      <c r="L555" s="102" t="str">
        <f>IF(VLOOKUP(P555&amp;"_"&amp;Q555,挑战模式!$A$3:$Z$55,2+5*R555,FALSE)="","","Monster_Challenge"&amp;P555&amp;"_"&amp;Q555&amp;"_"&amp;R555)</f>
        <v/>
      </c>
      <c r="M555" s="57" t="str">
        <f t="shared" si="112"/>
        <v/>
      </c>
      <c r="O555" s="102" t="str">
        <f>VLOOKUP(P555&amp;"_"&amp;Q555,挑战模式!$A$3:$Z$55,6+5*MonsterWaveCallRuleCfg!R555,FALSE)</f>
        <v/>
      </c>
      <c r="P555" s="110">
        <f t="shared" si="109"/>
        <v>7</v>
      </c>
      <c r="Q555" s="110">
        <f t="shared" si="107"/>
        <v>2</v>
      </c>
      <c r="R555" s="110">
        <v>4</v>
      </c>
    </row>
    <row r="556" spans="2:18" x14ac:dyDescent="0.2">
      <c r="B556" s="57" t="str">
        <f t="shared" si="102"/>
        <v>MonsterWaveCallRule_Challenge7</v>
      </c>
      <c r="C556" s="57">
        <v>3</v>
      </c>
      <c r="D556" s="57" t="str">
        <f t="shared" si="103"/>
        <v>挑战关卡7第3波</v>
      </c>
      <c r="F556" s="57">
        <f t="shared" si="110"/>
        <v>0</v>
      </c>
      <c r="G556" s="102">
        <f t="shared" si="108"/>
        <v>180</v>
      </c>
      <c r="I556" s="102">
        <f>VLOOKUP(P556&amp;"_"&amp;Q556,挑战模式!$A$3:$Z$55,3+5*MonsterWaveCallRuleCfg!R556,FALSE)</f>
        <v>10</v>
      </c>
      <c r="J556" s="102">
        <f>VLOOKUP(P556&amp;"_"&amp;Q556,挑战模式!$A$3:$Z$55,4+5*MonsterWaveCallRuleCfg!R556,FALSE)</f>
        <v>1.5</v>
      </c>
      <c r="K556" s="102">
        <f t="shared" si="111"/>
        <v>1</v>
      </c>
      <c r="L556" s="102" t="str">
        <f>IF(VLOOKUP(P556&amp;"_"&amp;Q556,挑战模式!$A$3:$Z$55,2+5*R556,FALSE)="","","Monster_Challenge"&amp;P556&amp;"_"&amp;Q556&amp;"_"&amp;R556)</f>
        <v>Monster_Challenge7_3_1</v>
      </c>
      <c r="M556" s="57">
        <f t="shared" si="112"/>
        <v>1</v>
      </c>
      <c r="O556" s="102">
        <f>VLOOKUP(P556&amp;"_"&amp;Q556,挑战模式!$A$3:$Z$55,6+5*MonsterWaveCallRuleCfg!R556,FALSE)</f>
        <v>9</v>
      </c>
      <c r="P556" s="110">
        <f t="shared" si="109"/>
        <v>7</v>
      </c>
      <c r="Q556" s="110">
        <f t="shared" si="107"/>
        <v>3</v>
      </c>
      <c r="R556" s="110">
        <v>1</v>
      </c>
    </row>
    <row r="557" spans="2:18" x14ac:dyDescent="0.2">
      <c r="B557" s="57" t="str">
        <f t="shared" ref="B557:B620" si="113">IF(C557="","","MonsterWaveCallRule_Challenge"&amp;P557)</f>
        <v/>
      </c>
      <c r="D557" s="57" t="str">
        <f t="shared" ref="D557:D620" si="114">IF(C557="","","挑战关卡"&amp;P557&amp;"第"&amp;C557&amp;"波")</f>
        <v/>
      </c>
      <c r="F557" s="57" t="str">
        <f t="shared" si="110"/>
        <v/>
      </c>
      <c r="G557" s="102" t="str">
        <f t="shared" si="108"/>
        <v/>
      </c>
      <c r="I557" s="102">
        <f>VLOOKUP(P557&amp;"_"&amp;Q557,挑战模式!$A$3:$Z$55,3+5*MonsterWaveCallRuleCfg!R557,FALSE)</f>
        <v>38</v>
      </c>
      <c r="J557" s="102">
        <f>VLOOKUP(P557&amp;"_"&amp;Q557,挑战模式!$A$3:$Z$55,4+5*MonsterWaveCallRuleCfg!R557,FALSE)</f>
        <v>0.4</v>
      </c>
      <c r="K557" s="102">
        <f t="shared" si="111"/>
        <v>1</v>
      </c>
      <c r="L557" s="102" t="str">
        <f>IF(VLOOKUP(P557&amp;"_"&amp;Q557,挑战模式!$A$3:$Z$55,2+5*R557,FALSE)="","","Monster_Challenge"&amp;P557&amp;"_"&amp;Q557&amp;"_"&amp;R557)</f>
        <v>Monster_Challenge7_3_2</v>
      </c>
      <c r="M557" s="57">
        <f t="shared" si="112"/>
        <v>1</v>
      </c>
      <c r="O557" s="102">
        <f>VLOOKUP(P557&amp;"_"&amp;Q557,挑战模式!$A$3:$Z$55,6+5*MonsterWaveCallRuleCfg!R557,FALSE)</f>
        <v>4</v>
      </c>
      <c r="P557" s="110">
        <f t="shared" si="109"/>
        <v>7</v>
      </c>
      <c r="Q557" s="110">
        <f t="shared" si="107"/>
        <v>3</v>
      </c>
      <c r="R557" s="110">
        <v>2</v>
      </c>
    </row>
    <row r="558" spans="2:18" x14ac:dyDescent="0.2">
      <c r="B558" s="57" t="str">
        <f t="shared" si="113"/>
        <v/>
      </c>
      <c r="D558" s="57" t="str">
        <f t="shared" si="114"/>
        <v/>
      </c>
      <c r="F558" s="57" t="str">
        <f t="shared" si="110"/>
        <v/>
      </c>
      <c r="G558" s="102" t="str">
        <f t="shared" si="108"/>
        <v/>
      </c>
      <c r="I558" s="102">
        <f>VLOOKUP(P558&amp;"_"&amp;Q558,挑战模式!$A$3:$Z$55,3+5*MonsterWaveCallRuleCfg!R558,FALSE)</f>
        <v>10</v>
      </c>
      <c r="J558" s="102">
        <f>VLOOKUP(P558&amp;"_"&amp;Q558,挑战模式!$A$3:$Z$55,4+5*MonsterWaveCallRuleCfg!R558,FALSE)</f>
        <v>1.5</v>
      </c>
      <c r="K558" s="102">
        <f t="shared" si="111"/>
        <v>1</v>
      </c>
      <c r="L558" s="102" t="str">
        <f>IF(VLOOKUP(P558&amp;"_"&amp;Q558,挑战模式!$A$3:$Z$55,2+5*R558,FALSE)="","","Monster_Challenge"&amp;P558&amp;"_"&amp;Q558&amp;"_"&amp;R558)</f>
        <v>Monster_Challenge7_3_3</v>
      </c>
      <c r="M558" s="57">
        <f t="shared" si="112"/>
        <v>1</v>
      </c>
      <c r="O558" s="102">
        <f>VLOOKUP(P558&amp;"_"&amp;Q558,挑战模式!$A$3:$Z$55,6+5*MonsterWaveCallRuleCfg!R558,FALSE)</f>
        <v>4</v>
      </c>
      <c r="P558" s="110">
        <f t="shared" si="109"/>
        <v>7</v>
      </c>
      <c r="Q558" s="110">
        <f t="shared" ref="Q558:Q621" si="115">IF(C558="",Q557,C558)</f>
        <v>3</v>
      </c>
      <c r="R558" s="110">
        <v>3</v>
      </c>
    </row>
    <row r="559" spans="2:18" x14ac:dyDescent="0.2">
      <c r="B559" s="57" t="str">
        <f t="shared" si="113"/>
        <v/>
      </c>
      <c r="D559" s="57" t="str">
        <f t="shared" si="114"/>
        <v/>
      </c>
      <c r="F559" s="57" t="str">
        <f t="shared" si="110"/>
        <v/>
      </c>
      <c r="G559" s="102" t="str">
        <f t="shared" si="108"/>
        <v/>
      </c>
      <c r="I559" s="102" t="str">
        <f>VLOOKUP(P559&amp;"_"&amp;Q559,挑战模式!$A$3:$Z$55,3+5*MonsterWaveCallRuleCfg!R559,FALSE)</f>
        <v/>
      </c>
      <c r="J559" s="102" t="str">
        <f>VLOOKUP(P559&amp;"_"&amp;Q559,挑战模式!$A$3:$Z$55,4+5*MonsterWaveCallRuleCfg!R559,FALSE)</f>
        <v/>
      </c>
      <c r="K559" s="102" t="str">
        <f t="shared" si="111"/>
        <v/>
      </c>
      <c r="L559" s="102" t="str">
        <f>IF(VLOOKUP(P559&amp;"_"&amp;Q559,挑战模式!$A$3:$Z$55,2+5*R559,FALSE)="","","Monster_Challenge"&amp;P559&amp;"_"&amp;Q559&amp;"_"&amp;R559)</f>
        <v/>
      </c>
      <c r="M559" s="57" t="str">
        <f t="shared" si="112"/>
        <v/>
      </c>
      <c r="O559" s="102" t="str">
        <f>VLOOKUP(P559&amp;"_"&amp;Q559,挑战模式!$A$3:$Z$55,6+5*MonsterWaveCallRuleCfg!R559,FALSE)</f>
        <v/>
      </c>
      <c r="P559" s="110">
        <f t="shared" si="109"/>
        <v>7</v>
      </c>
      <c r="Q559" s="110">
        <f t="shared" si="115"/>
        <v>3</v>
      </c>
      <c r="R559" s="110">
        <v>4</v>
      </c>
    </row>
    <row r="560" spans="2:18" x14ac:dyDescent="0.2">
      <c r="B560" s="57" t="str">
        <f t="shared" si="113"/>
        <v>MonsterWaveCallRule_Challenge7</v>
      </c>
      <c r="C560" s="57">
        <v>4</v>
      </c>
      <c r="D560" s="57" t="str">
        <f t="shared" si="114"/>
        <v>挑战关卡7第4波</v>
      </c>
      <c r="F560" s="57">
        <f t="shared" si="110"/>
        <v>0</v>
      </c>
      <c r="G560" s="102">
        <f t="shared" si="108"/>
        <v>180</v>
      </c>
      <c r="I560" s="102">
        <f>VLOOKUP(P560&amp;"_"&amp;Q560,挑战模式!$A$3:$Z$55,3+5*MonsterWaveCallRuleCfg!R560,FALSE)</f>
        <v>12</v>
      </c>
      <c r="J560" s="102">
        <f>VLOOKUP(P560&amp;"_"&amp;Q560,挑战模式!$A$3:$Z$55,4+5*MonsterWaveCallRuleCfg!R560,FALSE)</f>
        <v>1.5</v>
      </c>
      <c r="K560" s="102">
        <f t="shared" si="111"/>
        <v>1</v>
      </c>
      <c r="L560" s="102" t="str">
        <f>IF(VLOOKUP(P560&amp;"_"&amp;Q560,挑战模式!$A$3:$Z$55,2+5*R560,FALSE)="","","Monster_Challenge"&amp;P560&amp;"_"&amp;Q560&amp;"_"&amp;R560)</f>
        <v>Monster_Challenge7_4_1</v>
      </c>
      <c r="M560" s="57">
        <f t="shared" si="112"/>
        <v>1</v>
      </c>
      <c r="O560" s="102">
        <f>VLOOKUP(P560&amp;"_"&amp;Q560,挑战模式!$A$3:$Z$55,6+5*MonsterWaveCallRuleCfg!R560,FALSE)</f>
        <v>8</v>
      </c>
      <c r="P560" s="110">
        <f t="shared" si="109"/>
        <v>7</v>
      </c>
      <c r="Q560" s="110">
        <f t="shared" si="115"/>
        <v>4</v>
      </c>
      <c r="R560" s="110">
        <v>1</v>
      </c>
    </row>
    <row r="561" spans="2:18" x14ac:dyDescent="0.2">
      <c r="B561" s="57" t="str">
        <f t="shared" si="113"/>
        <v/>
      </c>
      <c r="D561" s="57" t="str">
        <f t="shared" si="114"/>
        <v/>
      </c>
      <c r="F561" s="57" t="str">
        <f t="shared" si="110"/>
        <v/>
      </c>
      <c r="G561" s="102" t="str">
        <f t="shared" si="108"/>
        <v/>
      </c>
      <c r="I561" s="102">
        <f>VLOOKUP(P561&amp;"_"&amp;Q561,挑战模式!$A$3:$Z$55,3+5*MonsterWaveCallRuleCfg!R561,FALSE)</f>
        <v>35</v>
      </c>
      <c r="J561" s="102">
        <f>VLOOKUP(P561&amp;"_"&amp;Q561,挑战模式!$A$3:$Z$55,4+5*MonsterWaveCallRuleCfg!R561,FALSE)</f>
        <v>0.5</v>
      </c>
      <c r="K561" s="102">
        <f t="shared" si="111"/>
        <v>1</v>
      </c>
      <c r="L561" s="102" t="str">
        <f>IF(VLOOKUP(P561&amp;"_"&amp;Q561,挑战模式!$A$3:$Z$55,2+5*R561,FALSE)="","","Monster_Challenge"&amp;P561&amp;"_"&amp;Q561&amp;"_"&amp;R561)</f>
        <v>Monster_Challenge7_4_2</v>
      </c>
      <c r="M561" s="57">
        <f t="shared" si="112"/>
        <v>1</v>
      </c>
      <c r="O561" s="102">
        <f>VLOOKUP(P561&amp;"_"&amp;Q561,挑战模式!$A$3:$Z$55,6+5*MonsterWaveCallRuleCfg!R561,FALSE)</f>
        <v>4</v>
      </c>
      <c r="P561" s="110">
        <f t="shared" si="109"/>
        <v>7</v>
      </c>
      <c r="Q561" s="110">
        <f t="shared" si="115"/>
        <v>4</v>
      </c>
      <c r="R561" s="110">
        <v>2</v>
      </c>
    </row>
    <row r="562" spans="2:18" x14ac:dyDescent="0.2">
      <c r="B562" s="57" t="str">
        <f t="shared" si="113"/>
        <v/>
      </c>
      <c r="D562" s="57" t="str">
        <f t="shared" si="114"/>
        <v/>
      </c>
      <c r="F562" s="57" t="str">
        <f t="shared" si="110"/>
        <v/>
      </c>
      <c r="G562" s="102" t="str">
        <f t="shared" si="108"/>
        <v/>
      </c>
      <c r="I562" s="102">
        <f>VLOOKUP(P562&amp;"_"&amp;Q562,挑战模式!$A$3:$Z$55,3+5*MonsterWaveCallRuleCfg!R562,FALSE)</f>
        <v>35</v>
      </c>
      <c r="J562" s="102">
        <f>VLOOKUP(P562&amp;"_"&amp;Q562,挑战模式!$A$3:$Z$55,4+5*MonsterWaveCallRuleCfg!R562,FALSE)</f>
        <v>0.5</v>
      </c>
      <c r="K562" s="102">
        <f t="shared" si="111"/>
        <v>1</v>
      </c>
      <c r="L562" s="102" t="str">
        <f>IF(VLOOKUP(P562&amp;"_"&amp;Q562,挑战模式!$A$3:$Z$55,2+5*R562,FALSE)="","","Monster_Challenge"&amp;P562&amp;"_"&amp;Q562&amp;"_"&amp;R562)</f>
        <v>Monster_Challenge7_4_3</v>
      </c>
      <c r="M562" s="57">
        <f t="shared" si="112"/>
        <v>1</v>
      </c>
      <c r="O562" s="102">
        <f>VLOOKUP(P562&amp;"_"&amp;Q562,挑战模式!$A$3:$Z$55,6+5*MonsterWaveCallRuleCfg!R562,FALSE)</f>
        <v>2</v>
      </c>
      <c r="P562" s="110">
        <f t="shared" si="109"/>
        <v>7</v>
      </c>
      <c r="Q562" s="110">
        <f t="shared" si="115"/>
        <v>4</v>
      </c>
      <c r="R562" s="110">
        <v>3</v>
      </c>
    </row>
    <row r="563" spans="2:18" x14ac:dyDescent="0.2">
      <c r="B563" s="57" t="str">
        <f t="shared" si="113"/>
        <v/>
      </c>
      <c r="D563" s="57" t="str">
        <f t="shared" si="114"/>
        <v/>
      </c>
      <c r="F563" s="57" t="str">
        <f t="shared" si="110"/>
        <v/>
      </c>
      <c r="G563" s="102" t="str">
        <f t="shared" si="108"/>
        <v/>
      </c>
      <c r="I563" s="102" t="str">
        <f>VLOOKUP(P563&amp;"_"&amp;Q563,挑战模式!$A$3:$Z$55,3+5*MonsterWaveCallRuleCfg!R563,FALSE)</f>
        <v/>
      </c>
      <c r="J563" s="102" t="str">
        <f>VLOOKUP(P563&amp;"_"&amp;Q563,挑战模式!$A$3:$Z$55,4+5*MonsterWaveCallRuleCfg!R563,FALSE)</f>
        <v/>
      </c>
      <c r="K563" s="102" t="str">
        <f t="shared" si="111"/>
        <v/>
      </c>
      <c r="L563" s="102" t="str">
        <f>IF(VLOOKUP(P563&amp;"_"&amp;Q563,挑战模式!$A$3:$Z$55,2+5*R563,FALSE)="","","Monster_Challenge"&amp;P563&amp;"_"&amp;Q563&amp;"_"&amp;R563)</f>
        <v/>
      </c>
      <c r="M563" s="57" t="str">
        <f t="shared" si="112"/>
        <v/>
      </c>
      <c r="O563" s="102" t="str">
        <f>VLOOKUP(P563&amp;"_"&amp;Q563,挑战模式!$A$3:$Z$55,6+5*MonsterWaveCallRuleCfg!R563,FALSE)</f>
        <v/>
      </c>
      <c r="P563" s="110">
        <f t="shared" si="109"/>
        <v>7</v>
      </c>
      <c r="Q563" s="110">
        <f t="shared" si="115"/>
        <v>4</v>
      </c>
      <c r="R563" s="110">
        <v>4</v>
      </c>
    </row>
    <row r="564" spans="2:18" x14ac:dyDescent="0.2">
      <c r="B564" s="57" t="str">
        <f t="shared" si="113"/>
        <v>MonsterWaveCallRule_Challenge7</v>
      </c>
      <c r="C564" s="57">
        <v>5</v>
      </c>
      <c r="D564" s="57" t="str">
        <f t="shared" si="114"/>
        <v>挑战关卡7第5波</v>
      </c>
      <c r="F564" s="57">
        <f t="shared" si="110"/>
        <v>0</v>
      </c>
      <c r="G564" s="102">
        <f t="shared" si="108"/>
        <v>180</v>
      </c>
      <c r="I564" s="102">
        <f>VLOOKUP(P564&amp;"_"&amp;Q564,挑战模式!$A$3:$Z$55,3+5*MonsterWaveCallRuleCfg!R564,FALSE)</f>
        <v>13</v>
      </c>
      <c r="J564" s="102">
        <f>VLOOKUP(P564&amp;"_"&amp;Q564,挑战模式!$A$3:$Z$55,4+5*MonsterWaveCallRuleCfg!R564,FALSE)</f>
        <v>1.5</v>
      </c>
      <c r="K564" s="102">
        <f t="shared" si="111"/>
        <v>1</v>
      </c>
      <c r="L564" s="102" t="str">
        <f>IF(VLOOKUP(P564&amp;"_"&amp;Q564,挑战模式!$A$3:$Z$55,2+5*R564,FALSE)="","","Monster_Challenge"&amp;P564&amp;"_"&amp;Q564&amp;"_"&amp;R564)</f>
        <v>Monster_Challenge7_5_1</v>
      </c>
      <c r="M564" s="57">
        <f t="shared" si="112"/>
        <v>1</v>
      </c>
      <c r="O564" s="102">
        <f>VLOOKUP(P564&amp;"_"&amp;Q564,挑战模式!$A$3:$Z$55,6+5*MonsterWaveCallRuleCfg!R564,FALSE)</f>
        <v>7</v>
      </c>
      <c r="P564" s="110">
        <f t="shared" si="109"/>
        <v>7</v>
      </c>
      <c r="Q564" s="110">
        <f t="shared" si="115"/>
        <v>5</v>
      </c>
      <c r="R564" s="110">
        <v>1</v>
      </c>
    </row>
    <row r="565" spans="2:18" x14ac:dyDescent="0.2">
      <c r="B565" s="57" t="str">
        <f t="shared" si="113"/>
        <v/>
      </c>
      <c r="D565" s="57" t="str">
        <f t="shared" si="114"/>
        <v/>
      </c>
      <c r="F565" s="57" t="str">
        <f t="shared" si="110"/>
        <v/>
      </c>
      <c r="G565" s="102" t="str">
        <f t="shared" si="108"/>
        <v/>
      </c>
      <c r="I565" s="102">
        <f>VLOOKUP(P565&amp;"_"&amp;Q565,挑战模式!$A$3:$Z$55,3+5*MonsterWaveCallRuleCfg!R565,FALSE)</f>
        <v>40</v>
      </c>
      <c r="J565" s="102">
        <f>VLOOKUP(P565&amp;"_"&amp;Q565,挑战模式!$A$3:$Z$55,4+5*MonsterWaveCallRuleCfg!R565,FALSE)</f>
        <v>0.5</v>
      </c>
      <c r="K565" s="102">
        <f t="shared" si="111"/>
        <v>1</v>
      </c>
      <c r="L565" s="102" t="str">
        <f>IF(VLOOKUP(P565&amp;"_"&amp;Q565,挑战模式!$A$3:$Z$55,2+5*R565,FALSE)="","","Monster_Challenge"&amp;P565&amp;"_"&amp;Q565&amp;"_"&amp;R565)</f>
        <v>Monster_Challenge7_5_2</v>
      </c>
      <c r="M565" s="57">
        <f t="shared" si="112"/>
        <v>1</v>
      </c>
      <c r="O565" s="102">
        <f>VLOOKUP(P565&amp;"_"&amp;Q565,挑战模式!$A$3:$Z$55,6+5*MonsterWaveCallRuleCfg!R565,FALSE)</f>
        <v>3</v>
      </c>
      <c r="P565" s="110">
        <f t="shared" si="109"/>
        <v>7</v>
      </c>
      <c r="Q565" s="110">
        <f t="shared" si="115"/>
        <v>5</v>
      </c>
      <c r="R565" s="110">
        <v>2</v>
      </c>
    </row>
    <row r="566" spans="2:18" x14ac:dyDescent="0.2">
      <c r="B566" s="57" t="str">
        <f t="shared" si="113"/>
        <v/>
      </c>
      <c r="D566" s="57" t="str">
        <f t="shared" si="114"/>
        <v/>
      </c>
      <c r="F566" s="57" t="str">
        <f t="shared" si="110"/>
        <v/>
      </c>
      <c r="G566" s="102" t="str">
        <f t="shared" si="108"/>
        <v/>
      </c>
      <c r="I566" s="102">
        <f>VLOOKUP(P566&amp;"_"&amp;Q566,挑战模式!$A$3:$Z$55,3+5*MonsterWaveCallRuleCfg!R566,FALSE)</f>
        <v>10</v>
      </c>
      <c r="J566" s="102">
        <f>VLOOKUP(P566&amp;"_"&amp;Q566,挑战模式!$A$3:$Z$55,4+5*MonsterWaveCallRuleCfg!R566,FALSE)</f>
        <v>2</v>
      </c>
      <c r="K566" s="102">
        <f t="shared" si="111"/>
        <v>1</v>
      </c>
      <c r="L566" s="102" t="str">
        <f>IF(VLOOKUP(P566&amp;"_"&amp;Q566,挑战模式!$A$3:$Z$55,2+5*R566,FALSE)="","","Monster_Challenge"&amp;P566&amp;"_"&amp;Q566&amp;"_"&amp;R566)</f>
        <v>Monster_Challenge7_5_3</v>
      </c>
      <c r="M566" s="57">
        <f t="shared" si="112"/>
        <v>1</v>
      </c>
      <c r="O566" s="102">
        <f>VLOOKUP(P566&amp;"_"&amp;Q566,挑战模式!$A$3:$Z$55,6+5*MonsterWaveCallRuleCfg!R566,FALSE)</f>
        <v>7</v>
      </c>
      <c r="P566" s="110">
        <f t="shared" si="109"/>
        <v>7</v>
      </c>
      <c r="Q566" s="110">
        <f t="shared" si="115"/>
        <v>5</v>
      </c>
      <c r="R566" s="110">
        <v>3</v>
      </c>
    </row>
    <row r="567" spans="2:18" x14ac:dyDescent="0.2">
      <c r="B567" s="57" t="str">
        <f t="shared" si="113"/>
        <v/>
      </c>
      <c r="D567" s="57" t="str">
        <f t="shared" si="114"/>
        <v/>
      </c>
      <c r="F567" s="57" t="str">
        <f t="shared" si="110"/>
        <v/>
      </c>
      <c r="G567" s="102" t="str">
        <f t="shared" si="108"/>
        <v/>
      </c>
      <c r="I567" s="102" t="str">
        <f>VLOOKUP(P567&amp;"_"&amp;Q567,挑战模式!$A$3:$Z$55,3+5*MonsterWaveCallRuleCfg!R567,FALSE)</f>
        <v/>
      </c>
      <c r="J567" s="102" t="str">
        <f>VLOOKUP(P567&amp;"_"&amp;Q567,挑战模式!$A$3:$Z$55,4+5*MonsterWaveCallRuleCfg!R567,FALSE)</f>
        <v/>
      </c>
      <c r="K567" s="102" t="str">
        <f t="shared" si="111"/>
        <v/>
      </c>
      <c r="L567" s="102" t="str">
        <f>IF(VLOOKUP(P567&amp;"_"&amp;Q567,挑战模式!$A$3:$Z$55,2+5*R567,FALSE)="","","Monster_Challenge"&amp;P567&amp;"_"&amp;Q567&amp;"_"&amp;R567)</f>
        <v/>
      </c>
      <c r="M567" s="57" t="str">
        <f t="shared" si="112"/>
        <v/>
      </c>
      <c r="O567" s="102" t="str">
        <f>VLOOKUP(P567&amp;"_"&amp;Q567,挑战模式!$A$3:$Z$55,6+5*MonsterWaveCallRuleCfg!R567,FALSE)</f>
        <v/>
      </c>
      <c r="P567" s="110">
        <f t="shared" si="109"/>
        <v>7</v>
      </c>
      <c r="Q567" s="110">
        <f t="shared" si="115"/>
        <v>5</v>
      </c>
      <c r="R567" s="110">
        <v>4</v>
      </c>
    </row>
    <row r="568" spans="2:18" x14ac:dyDescent="0.2">
      <c r="B568" s="57" t="str">
        <f t="shared" si="113"/>
        <v>MonsterWaveCallRule_Challenge8</v>
      </c>
      <c r="C568" s="57">
        <v>1</v>
      </c>
      <c r="D568" s="57" t="str">
        <f t="shared" si="114"/>
        <v>挑战关卡8第1波</v>
      </c>
      <c r="F568" s="57">
        <f t="shared" si="110"/>
        <v>0</v>
      </c>
      <c r="G568" s="102">
        <f t="shared" si="108"/>
        <v>180</v>
      </c>
      <c r="I568" s="102">
        <f>VLOOKUP(P568&amp;"_"&amp;Q568,挑战模式!$A$3:$Z$55,3+5*MonsterWaveCallRuleCfg!R568,FALSE)</f>
        <v>7</v>
      </c>
      <c r="J568" s="102">
        <f>VLOOKUP(P568&amp;"_"&amp;Q568,挑战模式!$A$3:$Z$55,4+5*MonsterWaveCallRuleCfg!R568,FALSE)</f>
        <v>1.5</v>
      </c>
      <c r="K568" s="102">
        <f t="shared" si="111"/>
        <v>1</v>
      </c>
      <c r="L568" s="102" t="str">
        <f>IF(VLOOKUP(P568&amp;"_"&amp;Q568,挑战模式!$A$3:$Z$55,2+5*R568,FALSE)="","","Monster_Challenge"&amp;P568&amp;"_"&amp;Q568&amp;"_"&amp;R568)</f>
        <v>Monster_Challenge8_1_1</v>
      </c>
      <c r="M568" s="57">
        <f t="shared" si="112"/>
        <v>1</v>
      </c>
      <c r="O568" s="102">
        <f>VLOOKUP(P568&amp;"_"&amp;Q568,挑战模式!$A$3:$Z$55,6+5*MonsterWaveCallRuleCfg!R568,FALSE)</f>
        <v>18</v>
      </c>
      <c r="P568" s="110">
        <f t="shared" si="109"/>
        <v>8</v>
      </c>
      <c r="Q568" s="110">
        <f t="shared" si="115"/>
        <v>1</v>
      </c>
      <c r="R568" s="110">
        <v>1</v>
      </c>
    </row>
    <row r="569" spans="2:18" x14ac:dyDescent="0.2">
      <c r="B569" s="57" t="str">
        <f t="shared" si="113"/>
        <v/>
      </c>
      <c r="D569" s="57" t="str">
        <f t="shared" si="114"/>
        <v/>
      </c>
      <c r="F569" s="57" t="str">
        <f t="shared" si="110"/>
        <v/>
      </c>
      <c r="G569" s="102" t="str">
        <f t="shared" si="108"/>
        <v/>
      </c>
      <c r="I569" s="102">
        <f>VLOOKUP(P569&amp;"_"&amp;Q569,挑战模式!$A$3:$Z$55,3+5*MonsterWaveCallRuleCfg!R569,FALSE)</f>
        <v>20</v>
      </c>
      <c r="J569" s="102">
        <f>VLOOKUP(P569&amp;"_"&amp;Q569,挑战模式!$A$3:$Z$55,4+5*MonsterWaveCallRuleCfg!R569,FALSE)</f>
        <v>0.5</v>
      </c>
      <c r="K569" s="102">
        <f t="shared" si="111"/>
        <v>1</v>
      </c>
      <c r="L569" s="102" t="str">
        <f>IF(VLOOKUP(P569&amp;"_"&amp;Q569,挑战模式!$A$3:$Z$55,2+5*R569,FALSE)="","","Monster_Challenge"&amp;P569&amp;"_"&amp;Q569&amp;"_"&amp;R569)</f>
        <v>Monster_Challenge8_1_2</v>
      </c>
      <c r="M569" s="57">
        <f t="shared" si="112"/>
        <v>1</v>
      </c>
      <c r="O569" s="102">
        <f>VLOOKUP(P569&amp;"_"&amp;Q569,挑战模式!$A$3:$Z$55,6+5*MonsterWaveCallRuleCfg!R569,FALSE)</f>
        <v>9</v>
      </c>
      <c r="P569" s="110">
        <f t="shared" si="109"/>
        <v>8</v>
      </c>
      <c r="Q569" s="110">
        <f t="shared" si="115"/>
        <v>1</v>
      </c>
      <c r="R569" s="110">
        <v>2</v>
      </c>
    </row>
    <row r="570" spans="2:18" x14ac:dyDescent="0.2">
      <c r="B570" s="57" t="str">
        <f t="shared" si="113"/>
        <v/>
      </c>
      <c r="D570" s="57" t="str">
        <f t="shared" si="114"/>
        <v/>
      </c>
      <c r="F570" s="57" t="str">
        <f t="shared" si="110"/>
        <v/>
      </c>
      <c r="G570" s="102" t="str">
        <f t="shared" si="108"/>
        <v/>
      </c>
      <c r="I570" s="102" t="str">
        <f>VLOOKUP(P570&amp;"_"&amp;Q570,挑战模式!$A$3:$Z$55,3+5*MonsterWaveCallRuleCfg!R570,FALSE)</f>
        <v/>
      </c>
      <c r="J570" s="102" t="str">
        <f>VLOOKUP(P570&amp;"_"&amp;Q570,挑战模式!$A$3:$Z$55,4+5*MonsterWaveCallRuleCfg!R570,FALSE)</f>
        <v/>
      </c>
      <c r="K570" s="102" t="str">
        <f t="shared" si="111"/>
        <v/>
      </c>
      <c r="L570" s="102" t="str">
        <f>IF(VLOOKUP(P570&amp;"_"&amp;Q570,挑战模式!$A$3:$Z$55,2+5*R570,FALSE)="","","Monster_Challenge"&amp;P570&amp;"_"&amp;Q570&amp;"_"&amp;R570)</f>
        <v/>
      </c>
      <c r="M570" s="57" t="str">
        <f t="shared" si="112"/>
        <v/>
      </c>
      <c r="O570" s="102" t="str">
        <f>VLOOKUP(P570&amp;"_"&amp;Q570,挑战模式!$A$3:$Z$55,6+5*MonsterWaveCallRuleCfg!R570,FALSE)</f>
        <v/>
      </c>
      <c r="P570" s="110">
        <f t="shared" si="109"/>
        <v>8</v>
      </c>
      <c r="Q570" s="110">
        <f t="shared" si="115"/>
        <v>1</v>
      </c>
      <c r="R570" s="110">
        <v>3</v>
      </c>
    </row>
    <row r="571" spans="2:18" x14ac:dyDescent="0.2">
      <c r="B571" s="57" t="str">
        <f t="shared" si="113"/>
        <v/>
      </c>
      <c r="D571" s="57" t="str">
        <f t="shared" si="114"/>
        <v/>
      </c>
      <c r="F571" s="57" t="str">
        <f t="shared" si="110"/>
        <v/>
      </c>
      <c r="G571" s="102" t="str">
        <f t="shared" si="108"/>
        <v/>
      </c>
      <c r="I571" s="102" t="str">
        <f>VLOOKUP(P571&amp;"_"&amp;Q571,挑战模式!$A$3:$Z$55,3+5*MonsterWaveCallRuleCfg!R571,FALSE)</f>
        <v/>
      </c>
      <c r="J571" s="102" t="str">
        <f>VLOOKUP(P571&amp;"_"&amp;Q571,挑战模式!$A$3:$Z$55,4+5*MonsterWaveCallRuleCfg!R571,FALSE)</f>
        <v/>
      </c>
      <c r="K571" s="102" t="str">
        <f t="shared" si="111"/>
        <v/>
      </c>
      <c r="L571" s="102" t="str">
        <f>IF(VLOOKUP(P571&amp;"_"&amp;Q571,挑战模式!$A$3:$Z$55,2+5*R571,FALSE)="","","Monster_Challenge"&amp;P571&amp;"_"&amp;Q571&amp;"_"&amp;R571)</f>
        <v/>
      </c>
      <c r="M571" s="57" t="str">
        <f t="shared" si="112"/>
        <v/>
      </c>
      <c r="O571" s="102" t="str">
        <f>VLOOKUP(P571&amp;"_"&amp;Q571,挑战模式!$A$3:$Z$55,6+5*MonsterWaveCallRuleCfg!R571,FALSE)</f>
        <v/>
      </c>
      <c r="P571" s="110">
        <f t="shared" si="109"/>
        <v>8</v>
      </c>
      <c r="Q571" s="110">
        <f t="shared" si="115"/>
        <v>1</v>
      </c>
      <c r="R571" s="110">
        <v>4</v>
      </c>
    </row>
    <row r="572" spans="2:18" x14ac:dyDescent="0.2">
      <c r="B572" s="57" t="str">
        <f t="shared" si="113"/>
        <v>MonsterWaveCallRule_Challenge8</v>
      </c>
      <c r="C572" s="57">
        <v>2</v>
      </c>
      <c r="D572" s="57" t="str">
        <f t="shared" si="114"/>
        <v>挑战关卡8第2波</v>
      </c>
      <c r="F572" s="57">
        <f t="shared" si="110"/>
        <v>0</v>
      </c>
      <c r="G572" s="102">
        <f t="shared" si="108"/>
        <v>180</v>
      </c>
      <c r="I572" s="102">
        <f>VLOOKUP(P572&amp;"_"&amp;Q572,挑战模式!$A$3:$Z$55,3+5*MonsterWaveCallRuleCfg!R572,FALSE)</f>
        <v>8</v>
      </c>
      <c r="J572" s="102">
        <f>VLOOKUP(P572&amp;"_"&amp;Q572,挑战模式!$A$3:$Z$55,4+5*MonsterWaveCallRuleCfg!R572,FALSE)</f>
        <v>1.5</v>
      </c>
      <c r="K572" s="102">
        <f t="shared" si="111"/>
        <v>1</v>
      </c>
      <c r="L572" s="102" t="str">
        <f>IF(VLOOKUP(P572&amp;"_"&amp;Q572,挑战模式!$A$3:$Z$55,2+5*R572,FALSE)="","","Monster_Challenge"&amp;P572&amp;"_"&amp;Q572&amp;"_"&amp;R572)</f>
        <v>Monster_Challenge8_2_1</v>
      </c>
      <c r="M572" s="57">
        <f t="shared" si="112"/>
        <v>1</v>
      </c>
      <c r="O572" s="102">
        <f>VLOOKUP(P572&amp;"_"&amp;Q572,挑战模式!$A$3:$Z$55,6+5*MonsterWaveCallRuleCfg!R572,FALSE)</f>
        <v>10</v>
      </c>
      <c r="P572" s="110">
        <f t="shared" si="109"/>
        <v>8</v>
      </c>
      <c r="Q572" s="110">
        <f t="shared" si="115"/>
        <v>2</v>
      </c>
      <c r="R572" s="110">
        <v>1</v>
      </c>
    </row>
    <row r="573" spans="2:18" x14ac:dyDescent="0.2">
      <c r="B573" s="57" t="str">
        <f t="shared" si="113"/>
        <v/>
      </c>
      <c r="D573" s="57" t="str">
        <f t="shared" si="114"/>
        <v/>
      </c>
      <c r="F573" s="57" t="str">
        <f t="shared" si="110"/>
        <v/>
      </c>
      <c r="G573" s="102" t="str">
        <f t="shared" si="108"/>
        <v/>
      </c>
      <c r="I573" s="102">
        <f>VLOOKUP(P573&amp;"_"&amp;Q573,挑战模式!$A$3:$Z$55,3+5*MonsterWaveCallRuleCfg!R573,FALSE)</f>
        <v>63</v>
      </c>
      <c r="J573" s="102">
        <f>VLOOKUP(P573&amp;"_"&amp;Q573,挑战模式!$A$3:$Z$55,4+5*MonsterWaveCallRuleCfg!R573,FALSE)</f>
        <v>0.2</v>
      </c>
      <c r="K573" s="102">
        <f t="shared" si="111"/>
        <v>1</v>
      </c>
      <c r="L573" s="102" t="str">
        <f>IF(VLOOKUP(P573&amp;"_"&amp;Q573,挑战模式!$A$3:$Z$55,2+5*R573,FALSE)="","","Monster_Challenge"&amp;P573&amp;"_"&amp;Q573&amp;"_"&amp;R573)</f>
        <v>Monster_Challenge8_2_2</v>
      </c>
      <c r="M573" s="57">
        <f t="shared" si="112"/>
        <v>1</v>
      </c>
      <c r="O573" s="102">
        <f>VLOOKUP(P573&amp;"_"&amp;Q573,挑战模式!$A$3:$Z$55,6+5*MonsterWaveCallRuleCfg!R573,FALSE)</f>
        <v>2</v>
      </c>
      <c r="P573" s="110">
        <f t="shared" si="109"/>
        <v>8</v>
      </c>
      <c r="Q573" s="110">
        <f t="shared" si="115"/>
        <v>2</v>
      </c>
      <c r="R573" s="110">
        <v>2</v>
      </c>
    </row>
    <row r="574" spans="2:18" x14ac:dyDescent="0.2">
      <c r="B574" s="57" t="str">
        <f t="shared" si="113"/>
        <v/>
      </c>
      <c r="D574" s="57" t="str">
        <f t="shared" si="114"/>
        <v/>
      </c>
      <c r="F574" s="57" t="str">
        <f t="shared" si="110"/>
        <v/>
      </c>
      <c r="G574" s="102" t="str">
        <f t="shared" si="108"/>
        <v/>
      </c>
      <c r="I574" s="102">
        <f>VLOOKUP(P574&amp;"_"&amp;Q574,挑战模式!$A$3:$Z$55,3+5*MonsterWaveCallRuleCfg!R574,FALSE)</f>
        <v>13</v>
      </c>
      <c r="J574" s="102">
        <f>VLOOKUP(P574&amp;"_"&amp;Q574,挑战模式!$A$3:$Z$55,4+5*MonsterWaveCallRuleCfg!R574,FALSE)</f>
        <v>1</v>
      </c>
      <c r="K574" s="102">
        <f t="shared" si="111"/>
        <v>1</v>
      </c>
      <c r="L574" s="102" t="str">
        <f>IF(VLOOKUP(P574&amp;"_"&amp;Q574,挑战模式!$A$3:$Z$55,2+5*R574,FALSE)="","","Monster_Challenge"&amp;P574&amp;"_"&amp;Q574&amp;"_"&amp;R574)</f>
        <v>Monster_Challenge8_2_3</v>
      </c>
      <c r="M574" s="57">
        <f t="shared" si="112"/>
        <v>1</v>
      </c>
      <c r="O574" s="102">
        <f>VLOOKUP(P574&amp;"_"&amp;Q574,挑战模式!$A$3:$Z$55,6+5*MonsterWaveCallRuleCfg!R574,FALSE)</f>
        <v>5</v>
      </c>
      <c r="P574" s="110">
        <f t="shared" si="109"/>
        <v>8</v>
      </c>
      <c r="Q574" s="110">
        <f t="shared" si="115"/>
        <v>2</v>
      </c>
      <c r="R574" s="110">
        <v>3</v>
      </c>
    </row>
    <row r="575" spans="2:18" x14ac:dyDescent="0.2">
      <c r="B575" s="57" t="str">
        <f t="shared" si="113"/>
        <v/>
      </c>
      <c r="D575" s="57" t="str">
        <f t="shared" si="114"/>
        <v/>
      </c>
      <c r="F575" s="57" t="str">
        <f t="shared" si="110"/>
        <v/>
      </c>
      <c r="G575" s="102" t="str">
        <f t="shared" si="108"/>
        <v/>
      </c>
      <c r="I575" s="102" t="str">
        <f>VLOOKUP(P575&amp;"_"&amp;Q575,挑战模式!$A$3:$Z$55,3+5*MonsterWaveCallRuleCfg!R575,FALSE)</f>
        <v/>
      </c>
      <c r="J575" s="102" t="str">
        <f>VLOOKUP(P575&amp;"_"&amp;Q575,挑战模式!$A$3:$Z$55,4+5*MonsterWaveCallRuleCfg!R575,FALSE)</f>
        <v/>
      </c>
      <c r="K575" s="102" t="str">
        <f t="shared" si="111"/>
        <v/>
      </c>
      <c r="L575" s="102" t="str">
        <f>IF(VLOOKUP(P575&amp;"_"&amp;Q575,挑战模式!$A$3:$Z$55,2+5*R575,FALSE)="","","Monster_Challenge"&amp;P575&amp;"_"&amp;Q575&amp;"_"&amp;R575)</f>
        <v/>
      </c>
      <c r="M575" s="57" t="str">
        <f t="shared" si="112"/>
        <v/>
      </c>
      <c r="O575" s="102" t="str">
        <f>VLOOKUP(P575&amp;"_"&amp;Q575,挑战模式!$A$3:$Z$55,6+5*MonsterWaveCallRuleCfg!R575,FALSE)</f>
        <v/>
      </c>
      <c r="P575" s="110">
        <f t="shared" si="109"/>
        <v>8</v>
      </c>
      <c r="Q575" s="110">
        <f t="shared" si="115"/>
        <v>2</v>
      </c>
      <c r="R575" s="110">
        <v>4</v>
      </c>
    </row>
    <row r="576" spans="2:18" x14ac:dyDescent="0.2">
      <c r="B576" s="57" t="str">
        <f t="shared" si="113"/>
        <v>MonsterWaveCallRule_Challenge8</v>
      </c>
      <c r="C576" s="57">
        <v>3</v>
      </c>
      <c r="D576" s="57" t="str">
        <f t="shared" si="114"/>
        <v>挑战关卡8第3波</v>
      </c>
      <c r="F576" s="57">
        <f t="shared" si="110"/>
        <v>0</v>
      </c>
      <c r="G576" s="102">
        <f t="shared" si="108"/>
        <v>180</v>
      </c>
      <c r="I576" s="102">
        <f>VLOOKUP(P576&amp;"_"&amp;Q576,挑战模式!$A$3:$Z$55,3+5*MonsterWaveCallRuleCfg!R576,FALSE)</f>
        <v>10</v>
      </c>
      <c r="J576" s="102">
        <f>VLOOKUP(P576&amp;"_"&amp;Q576,挑战模式!$A$3:$Z$55,4+5*MonsterWaveCallRuleCfg!R576,FALSE)</f>
        <v>1.5</v>
      </c>
      <c r="K576" s="102">
        <f t="shared" si="111"/>
        <v>1</v>
      </c>
      <c r="L576" s="102" t="str">
        <f>IF(VLOOKUP(P576&amp;"_"&amp;Q576,挑战模式!$A$3:$Z$55,2+5*R576,FALSE)="","","Monster_Challenge"&amp;P576&amp;"_"&amp;Q576&amp;"_"&amp;R576)</f>
        <v>Monster_Challenge8_3_1</v>
      </c>
      <c r="M576" s="57">
        <f t="shared" si="112"/>
        <v>1</v>
      </c>
      <c r="O576" s="102">
        <f>VLOOKUP(P576&amp;"_"&amp;Q576,挑战模式!$A$3:$Z$55,6+5*MonsterWaveCallRuleCfg!R576,FALSE)</f>
        <v>9</v>
      </c>
      <c r="P576" s="110">
        <f t="shared" si="109"/>
        <v>8</v>
      </c>
      <c r="Q576" s="110">
        <f t="shared" si="115"/>
        <v>3</v>
      </c>
      <c r="R576" s="110">
        <v>1</v>
      </c>
    </row>
    <row r="577" spans="2:18" x14ac:dyDescent="0.2">
      <c r="B577" s="57" t="str">
        <f t="shared" si="113"/>
        <v/>
      </c>
      <c r="D577" s="57" t="str">
        <f t="shared" si="114"/>
        <v/>
      </c>
      <c r="F577" s="57" t="str">
        <f t="shared" si="110"/>
        <v/>
      </c>
      <c r="G577" s="102" t="str">
        <f t="shared" si="108"/>
        <v/>
      </c>
      <c r="I577" s="102">
        <f>VLOOKUP(P577&amp;"_"&amp;Q577,挑战模式!$A$3:$Z$55,3+5*MonsterWaveCallRuleCfg!R577,FALSE)</f>
        <v>38</v>
      </c>
      <c r="J577" s="102">
        <f>VLOOKUP(P577&amp;"_"&amp;Q577,挑战模式!$A$3:$Z$55,4+5*MonsterWaveCallRuleCfg!R577,FALSE)</f>
        <v>0.4</v>
      </c>
      <c r="K577" s="102">
        <f t="shared" si="111"/>
        <v>1</v>
      </c>
      <c r="L577" s="102" t="str">
        <f>IF(VLOOKUP(P577&amp;"_"&amp;Q577,挑战模式!$A$3:$Z$55,2+5*R577,FALSE)="","","Monster_Challenge"&amp;P577&amp;"_"&amp;Q577&amp;"_"&amp;R577)</f>
        <v>Monster_Challenge8_3_2</v>
      </c>
      <c r="M577" s="57">
        <f t="shared" si="112"/>
        <v>1</v>
      </c>
      <c r="O577" s="102">
        <f>VLOOKUP(P577&amp;"_"&amp;Q577,挑战模式!$A$3:$Z$55,6+5*MonsterWaveCallRuleCfg!R577,FALSE)</f>
        <v>4</v>
      </c>
      <c r="P577" s="110">
        <f t="shared" si="109"/>
        <v>8</v>
      </c>
      <c r="Q577" s="110">
        <f t="shared" si="115"/>
        <v>3</v>
      </c>
      <c r="R577" s="110">
        <v>2</v>
      </c>
    </row>
    <row r="578" spans="2:18" x14ac:dyDescent="0.2">
      <c r="B578" s="57" t="str">
        <f t="shared" si="113"/>
        <v/>
      </c>
      <c r="D578" s="57" t="str">
        <f t="shared" si="114"/>
        <v/>
      </c>
      <c r="F578" s="57" t="str">
        <f t="shared" si="110"/>
        <v/>
      </c>
      <c r="G578" s="102" t="str">
        <f t="shared" si="108"/>
        <v/>
      </c>
      <c r="I578" s="102">
        <f>VLOOKUP(P578&amp;"_"&amp;Q578,挑战模式!$A$3:$Z$55,3+5*MonsterWaveCallRuleCfg!R578,FALSE)</f>
        <v>10</v>
      </c>
      <c r="J578" s="102">
        <f>VLOOKUP(P578&amp;"_"&amp;Q578,挑战模式!$A$3:$Z$55,4+5*MonsterWaveCallRuleCfg!R578,FALSE)</f>
        <v>1.5</v>
      </c>
      <c r="K578" s="102">
        <f t="shared" si="111"/>
        <v>1</v>
      </c>
      <c r="L578" s="102" t="str">
        <f>IF(VLOOKUP(P578&amp;"_"&amp;Q578,挑战模式!$A$3:$Z$55,2+5*R578,FALSE)="","","Monster_Challenge"&amp;P578&amp;"_"&amp;Q578&amp;"_"&amp;R578)</f>
        <v>Monster_Challenge8_3_3</v>
      </c>
      <c r="M578" s="57">
        <f t="shared" si="112"/>
        <v>1</v>
      </c>
      <c r="O578" s="102">
        <f>VLOOKUP(P578&amp;"_"&amp;Q578,挑战模式!$A$3:$Z$55,6+5*MonsterWaveCallRuleCfg!R578,FALSE)</f>
        <v>4</v>
      </c>
      <c r="P578" s="110">
        <f t="shared" si="109"/>
        <v>8</v>
      </c>
      <c r="Q578" s="110">
        <f t="shared" si="115"/>
        <v>3</v>
      </c>
      <c r="R578" s="110">
        <v>3</v>
      </c>
    </row>
    <row r="579" spans="2:18" x14ac:dyDescent="0.2">
      <c r="B579" s="57" t="str">
        <f t="shared" si="113"/>
        <v/>
      </c>
      <c r="D579" s="57" t="str">
        <f t="shared" si="114"/>
        <v/>
      </c>
      <c r="F579" s="57" t="str">
        <f t="shared" si="110"/>
        <v/>
      </c>
      <c r="G579" s="102" t="str">
        <f t="shared" si="108"/>
        <v/>
      </c>
      <c r="I579" s="102" t="str">
        <f>VLOOKUP(P579&amp;"_"&amp;Q579,挑战模式!$A$3:$Z$55,3+5*MonsterWaveCallRuleCfg!R579,FALSE)</f>
        <v/>
      </c>
      <c r="J579" s="102" t="str">
        <f>VLOOKUP(P579&amp;"_"&amp;Q579,挑战模式!$A$3:$Z$55,4+5*MonsterWaveCallRuleCfg!R579,FALSE)</f>
        <v/>
      </c>
      <c r="K579" s="102" t="str">
        <f t="shared" si="111"/>
        <v/>
      </c>
      <c r="L579" s="102" t="str">
        <f>IF(VLOOKUP(P579&amp;"_"&amp;Q579,挑战模式!$A$3:$Z$55,2+5*R579,FALSE)="","","Monster_Challenge"&amp;P579&amp;"_"&amp;Q579&amp;"_"&amp;R579)</f>
        <v/>
      </c>
      <c r="M579" s="57" t="str">
        <f t="shared" si="112"/>
        <v/>
      </c>
      <c r="O579" s="102" t="str">
        <f>VLOOKUP(P579&amp;"_"&amp;Q579,挑战模式!$A$3:$Z$55,6+5*MonsterWaveCallRuleCfg!R579,FALSE)</f>
        <v/>
      </c>
      <c r="P579" s="110">
        <f t="shared" si="109"/>
        <v>8</v>
      </c>
      <c r="Q579" s="110">
        <f t="shared" si="115"/>
        <v>3</v>
      </c>
      <c r="R579" s="110">
        <v>4</v>
      </c>
    </row>
    <row r="580" spans="2:18" x14ac:dyDescent="0.2">
      <c r="B580" s="57" t="str">
        <f t="shared" si="113"/>
        <v>MonsterWaveCallRule_Challenge8</v>
      </c>
      <c r="C580" s="57">
        <v>4</v>
      </c>
      <c r="D580" s="57" t="str">
        <f t="shared" si="114"/>
        <v>挑战关卡8第4波</v>
      </c>
      <c r="F580" s="57">
        <f t="shared" si="110"/>
        <v>0</v>
      </c>
      <c r="G580" s="102">
        <f t="shared" si="108"/>
        <v>180</v>
      </c>
      <c r="I580" s="102">
        <f>VLOOKUP(P580&amp;"_"&amp;Q580,挑战模式!$A$3:$Z$55,3+5*MonsterWaveCallRuleCfg!R580,FALSE)</f>
        <v>12</v>
      </c>
      <c r="J580" s="102">
        <f>VLOOKUP(P580&amp;"_"&amp;Q580,挑战模式!$A$3:$Z$55,4+5*MonsterWaveCallRuleCfg!R580,FALSE)</f>
        <v>1.5</v>
      </c>
      <c r="K580" s="102">
        <f t="shared" si="111"/>
        <v>1</v>
      </c>
      <c r="L580" s="102" t="str">
        <f>IF(VLOOKUP(P580&amp;"_"&amp;Q580,挑战模式!$A$3:$Z$55,2+5*R580,FALSE)="","","Monster_Challenge"&amp;P580&amp;"_"&amp;Q580&amp;"_"&amp;R580)</f>
        <v>Monster_Challenge8_4_1</v>
      </c>
      <c r="M580" s="57">
        <f t="shared" si="112"/>
        <v>1</v>
      </c>
      <c r="O580" s="102">
        <f>VLOOKUP(P580&amp;"_"&amp;Q580,挑战模式!$A$3:$Z$55,6+5*MonsterWaveCallRuleCfg!R580,FALSE)</f>
        <v>8</v>
      </c>
      <c r="P580" s="110">
        <f t="shared" si="109"/>
        <v>8</v>
      </c>
      <c r="Q580" s="110">
        <f t="shared" si="115"/>
        <v>4</v>
      </c>
      <c r="R580" s="110">
        <v>1</v>
      </c>
    </row>
    <row r="581" spans="2:18" x14ac:dyDescent="0.2">
      <c r="B581" s="57" t="str">
        <f t="shared" si="113"/>
        <v/>
      </c>
      <c r="D581" s="57" t="str">
        <f t="shared" si="114"/>
        <v/>
      </c>
      <c r="F581" s="57" t="str">
        <f t="shared" si="110"/>
        <v/>
      </c>
      <c r="G581" s="102" t="str">
        <f t="shared" si="108"/>
        <v/>
      </c>
      <c r="I581" s="102">
        <f>VLOOKUP(P581&amp;"_"&amp;Q581,挑战模式!$A$3:$Z$55,3+5*MonsterWaveCallRuleCfg!R581,FALSE)</f>
        <v>35</v>
      </c>
      <c r="J581" s="102">
        <f>VLOOKUP(P581&amp;"_"&amp;Q581,挑战模式!$A$3:$Z$55,4+5*MonsterWaveCallRuleCfg!R581,FALSE)</f>
        <v>0.5</v>
      </c>
      <c r="K581" s="102">
        <f t="shared" si="111"/>
        <v>1</v>
      </c>
      <c r="L581" s="102" t="str">
        <f>IF(VLOOKUP(P581&amp;"_"&amp;Q581,挑战模式!$A$3:$Z$55,2+5*R581,FALSE)="","","Monster_Challenge"&amp;P581&amp;"_"&amp;Q581&amp;"_"&amp;R581)</f>
        <v>Monster_Challenge8_4_2</v>
      </c>
      <c r="M581" s="57">
        <f t="shared" si="112"/>
        <v>1</v>
      </c>
      <c r="O581" s="102">
        <f>VLOOKUP(P581&amp;"_"&amp;Q581,挑战模式!$A$3:$Z$55,6+5*MonsterWaveCallRuleCfg!R581,FALSE)</f>
        <v>4</v>
      </c>
      <c r="P581" s="110">
        <f t="shared" si="109"/>
        <v>8</v>
      </c>
      <c r="Q581" s="110">
        <f t="shared" si="115"/>
        <v>4</v>
      </c>
      <c r="R581" s="110">
        <v>2</v>
      </c>
    </row>
    <row r="582" spans="2:18" x14ac:dyDescent="0.2">
      <c r="B582" s="57" t="str">
        <f t="shared" si="113"/>
        <v/>
      </c>
      <c r="D582" s="57" t="str">
        <f t="shared" si="114"/>
        <v/>
      </c>
      <c r="F582" s="57" t="str">
        <f t="shared" si="110"/>
        <v/>
      </c>
      <c r="G582" s="102" t="str">
        <f t="shared" si="108"/>
        <v/>
      </c>
      <c r="I582" s="102">
        <f>VLOOKUP(P582&amp;"_"&amp;Q582,挑战模式!$A$3:$Z$55,3+5*MonsterWaveCallRuleCfg!R582,FALSE)</f>
        <v>35</v>
      </c>
      <c r="J582" s="102">
        <f>VLOOKUP(P582&amp;"_"&amp;Q582,挑战模式!$A$3:$Z$55,4+5*MonsterWaveCallRuleCfg!R582,FALSE)</f>
        <v>0.5</v>
      </c>
      <c r="K582" s="102">
        <f t="shared" si="111"/>
        <v>1</v>
      </c>
      <c r="L582" s="102" t="str">
        <f>IF(VLOOKUP(P582&amp;"_"&amp;Q582,挑战模式!$A$3:$Z$55,2+5*R582,FALSE)="","","Monster_Challenge"&amp;P582&amp;"_"&amp;Q582&amp;"_"&amp;R582)</f>
        <v>Monster_Challenge8_4_3</v>
      </c>
      <c r="M582" s="57">
        <f t="shared" si="112"/>
        <v>1</v>
      </c>
      <c r="O582" s="102">
        <f>VLOOKUP(P582&amp;"_"&amp;Q582,挑战模式!$A$3:$Z$55,6+5*MonsterWaveCallRuleCfg!R582,FALSE)</f>
        <v>2</v>
      </c>
      <c r="P582" s="110">
        <f t="shared" si="109"/>
        <v>8</v>
      </c>
      <c r="Q582" s="110">
        <f t="shared" si="115"/>
        <v>4</v>
      </c>
      <c r="R582" s="110">
        <v>3</v>
      </c>
    </row>
    <row r="583" spans="2:18" x14ac:dyDescent="0.2">
      <c r="B583" s="57" t="str">
        <f t="shared" si="113"/>
        <v/>
      </c>
      <c r="D583" s="57" t="str">
        <f t="shared" si="114"/>
        <v/>
      </c>
      <c r="F583" s="57" t="str">
        <f t="shared" si="110"/>
        <v/>
      </c>
      <c r="G583" s="102" t="str">
        <f t="shared" si="108"/>
        <v/>
      </c>
      <c r="I583" s="102" t="str">
        <f>VLOOKUP(P583&amp;"_"&amp;Q583,挑战模式!$A$3:$Z$55,3+5*MonsterWaveCallRuleCfg!R583,FALSE)</f>
        <v/>
      </c>
      <c r="J583" s="102" t="str">
        <f>VLOOKUP(P583&amp;"_"&amp;Q583,挑战模式!$A$3:$Z$55,4+5*MonsterWaveCallRuleCfg!R583,FALSE)</f>
        <v/>
      </c>
      <c r="K583" s="102" t="str">
        <f t="shared" si="111"/>
        <v/>
      </c>
      <c r="L583" s="102" t="str">
        <f>IF(VLOOKUP(P583&amp;"_"&amp;Q583,挑战模式!$A$3:$Z$55,2+5*R583,FALSE)="","","Monster_Challenge"&amp;P583&amp;"_"&amp;Q583&amp;"_"&amp;R583)</f>
        <v/>
      </c>
      <c r="M583" s="57" t="str">
        <f t="shared" si="112"/>
        <v/>
      </c>
      <c r="O583" s="102" t="str">
        <f>VLOOKUP(P583&amp;"_"&amp;Q583,挑战模式!$A$3:$Z$55,6+5*MonsterWaveCallRuleCfg!R583,FALSE)</f>
        <v/>
      </c>
      <c r="P583" s="110">
        <f t="shared" si="109"/>
        <v>8</v>
      </c>
      <c r="Q583" s="110">
        <f t="shared" si="115"/>
        <v>4</v>
      </c>
      <c r="R583" s="110">
        <v>4</v>
      </c>
    </row>
    <row r="584" spans="2:18" x14ac:dyDescent="0.2">
      <c r="B584" s="57" t="str">
        <f t="shared" si="113"/>
        <v>MonsterWaveCallRule_Challenge8</v>
      </c>
      <c r="C584" s="57">
        <v>5</v>
      </c>
      <c r="D584" s="57" t="str">
        <f t="shared" si="114"/>
        <v>挑战关卡8第5波</v>
      </c>
      <c r="F584" s="57">
        <f t="shared" si="110"/>
        <v>0</v>
      </c>
      <c r="G584" s="102">
        <f t="shared" si="108"/>
        <v>180</v>
      </c>
      <c r="I584" s="102">
        <f>VLOOKUP(P584&amp;"_"&amp;Q584,挑战模式!$A$3:$Z$55,3+5*MonsterWaveCallRuleCfg!R584,FALSE)</f>
        <v>13</v>
      </c>
      <c r="J584" s="102">
        <f>VLOOKUP(P584&amp;"_"&amp;Q584,挑战模式!$A$3:$Z$55,4+5*MonsterWaveCallRuleCfg!R584,FALSE)</f>
        <v>1.5</v>
      </c>
      <c r="K584" s="102">
        <f t="shared" si="111"/>
        <v>1</v>
      </c>
      <c r="L584" s="102" t="str">
        <f>IF(VLOOKUP(P584&amp;"_"&amp;Q584,挑战模式!$A$3:$Z$55,2+5*R584,FALSE)="","","Monster_Challenge"&amp;P584&amp;"_"&amp;Q584&amp;"_"&amp;R584)</f>
        <v>Monster_Challenge8_5_1</v>
      </c>
      <c r="M584" s="57">
        <f t="shared" si="112"/>
        <v>1</v>
      </c>
      <c r="O584" s="102">
        <f>VLOOKUP(P584&amp;"_"&amp;Q584,挑战模式!$A$3:$Z$55,6+5*MonsterWaveCallRuleCfg!R584,FALSE)</f>
        <v>6</v>
      </c>
      <c r="P584" s="110">
        <f t="shared" si="109"/>
        <v>8</v>
      </c>
      <c r="Q584" s="110">
        <f t="shared" si="115"/>
        <v>5</v>
      </c>
      <c r="R584" s="110">
        <v>1</v>
      </c>
    </row>
    <row r="585" spans="2:18" x14ac:dyDescent="0.2">
      <c r="B585" s="57" t="str">
        <f t="shared" si="113"/>
        <v/>
      </c>
      <c r="D585" s="57" t="str">
        <f t="shared" si="114"/>
        <v/>
      </c>
      <c r="F585" s="57" t="str">
        <f t="shared" si="110"/>
        <v/>
      </c>
      <c r="G585" s="102" t="str">
        <f t="shared" si="108"/>
        <v/>
      </c>
      <c r="I585" s="102">
        <f>VLOOKUP(P585&amp;"_"&amp;Q585,挑战模式!$A$3:$Z$55,3+5*MonsterWaveCallRuleCfg!R585,FALSE)</f>
        <v>40</v>
      </c>
      <c r="J585" s="102">
        <f>VLOOKUP(P585&amp;"_"&amp;Q585,挑战模式!$A$3:$Z$55,4+5*MonsterWaveCallRuleCfg!R585,FALSE)</f>
        <v>0.5</v>
      </c>
      <c r="K585" s="102">
        <f t="shared" si="111"/>
        <v>1</v>
      </c>
      <c r="L585" s="102" t="str">
        <f>IF(VLOOKUP(P585&amp;"_"&amp;Q585,挑战模式!$A$3:$Z$55,2+5*R585,FALSE)="","","Monster_Challenge"&amp;P585&amp;"_"&amp;Q585&amp;"_"&amp;R585)</f>
        <v>Monster_Challenge8_5_2</v>
      </c>
      <c r="M585" s="57">
        <f t="shared" si="112"/>
        <v>1</v>
      </c>
      <c r="O585" s="102">
        <f>VLOOKUP(P585&amp;"_"&amp;Q585,挑战模式!$A$3:$Z$55,6+5*MonsterWaveCallRuleCfg!R585,FALSE)</f>
        <v>3</v>
      </c>
      <c r="P585" s="110">
        <f t="shared" si="109"/>
        <v>8</v>
      </c>
      <c r="Q585" s="110">
        <f t="shared" si="115"/>
        <v>5</v>
      </c>
      <c r="R585" s="110">
        <v>2</v>
      </c>
    </row>
    <row r="586" spans="2:18" x14ac:dyDescent="0.2">
      <c r="B586" s="57" t="str">
        <f t="shared" si="113"/>
        <v/>
      </c>
      <c r="D586" s="57" t="str">
        <f t="shared" si="114"/>
        <v/>
      </c>
      <c r="F586" s="57" t="str">
        <f t="shared" si="110"/>
        <v/>
      </c>
      <c r="G586" s="102" t="str">
        <f t="shared" si="108"/>
        <v/>
      </c>
      <c r="I586" s="102">
        <f>VLOOKUP(P586&amp;"_"&amp;Q586,挑战模式!$A$3:$Z$55,3+5*MonsterWaveCallRuleCfg!R586,FALSE)</f>
        <v>10</v>
      </c>
      <c r="J586" s="102">
        <f>VLOOKUP(P586&amp;"_"&amp;Q586,挑战模式!$A$3:$Z$55,4+5*MonsterWaveCallRuleCfg!R586,FALSE)</f>
        <v>2</v>
      </c>
      <c r="K586" s="102">
        <f t="shared" si="111"/>
        <v>1</v>
      </c>
      <c r="L586" s="102" t="str">
        <f>IF(VLOOKUP(P586&amp;"_"&amp;Q586,挑战模式!$A$3:$Z$55,2+5*R586,FALSE)="","","Monster_Challenge"&amp;P586&amp;"_"&amp;Q586&amp;"_"&amp;R586)</f>
        <v>Monster_Challenge8_5_3</v>
      </c>
      <c r="M586" s="57">
        <f t="shared" si="112"/>
        <v>1</v>
      </c>
      <c r="O586" s="102">
        <f>VLOOKUP(P586&amp;"_"&amp;Q586,挑战模式!$A$3:$Z$55,6+5*MonsterWaveCallRuleCfg!R586,FALSE)</f>
        <v>6</v>
      </c>
      <c r="P586" s="110">
        <f t="shared" si="109"/>
        <v>8</v>
      </c>
      <c r="Q586" s="110">
        <f t="shared" si="115"/>
        <v>5</v>
      </c>
      <c r="R586" s="110">
        <v>3</v>
      </c>
    </row>
    <row r="587" spans="2:18" x14ac:dyDescent="0.2">
      <c r="B587" s="57" t="str">
        <f t="shared" si="113"/>
        <v/>
      </c>
      <c r="D587" s="57" t="str">
        <f t="shared" si="114"/>
        <v/>
      </c>
      <c r="F587" s="57" t="str">
        <f t="shared" si="110"/>
        <v/>
      </c>
      <c r="G587" s="102" t="str">
        <f t="shared" si="108"/>
        <v/>
      </c>
      <c r="I587" s="102">
        <f>VLOOKUP(P587&amp;"_"&amp;Q587,挑战模式!$A$3:$Z$55,3+5*MonsterWaveCallRuleCfg!R587,FALSE)</f>
        <v>40</v>
      </c>
      <c r="J587" s="102">
        <f>VLOOKUP(P587&amp;"_"&amp;Q587,挑战模式!$A$3:$Z$55,4+5*MonsterWaveCallRuleCfg!R587,FALSE)</f>
        <v>0.5</v>
      </c>
      <c r="K587" s="102">
        <f t="shared" si="111"/>
        <v>1</v>
      </c>
      <c r="L587" s="102" t="str">
        <f>IF(VLOOKUP(P587&amp;"_"&amp;Q587,挑战模式!$A$3:$Z$55,2+5*R587,FALSE)="","","Monster_Challenge"&amp;P587&amp;"_"&amp;Q587&amp;"_"&amp;R587)</f>
        <v>Monster_Challenge8_5_4</v>
      </c>
      <c r="M587" s="57">
        <f t="shared" si="112"/>
        <v>1</v>
      </c>
      <c r="O587" s="102">
        <f>VLOOKUP(P587&amp;"_"&amp;Q587,挑战模式!$A$3:$Z$55,6+5*MonsterWaveCallRuleCfg!R587,FALSE)</f>
        <v>1</v>
      </c>
      <c r="P587" s="110">
        <f t="shared" si="109"/>
        <v>8</v>
      </c>
      <c r="Q587" s="110">
        <f t="shared" si="115"/>
        <v>5</v>
      </c>
      <c r="R587" s="110">
        <v>4</v>
      </c>
    </row>
    <row r="588" spans="2:18" x14ac:dyDescent="0.2">
      <c r="B588" s="57" t="str">
        <f t="shared" si="113"/>
        <v>MonsterWaveCallRule_Challenge9</v>
      </c>
      <c r="C588" s="57">
        <v>1</v>
      </c>
      <c r="D588" s="57" t="str">
        <f t="shared" si="114"/>
        <v>挑战关卡9第1波</v>
      </c>
      <c r="F588" s="57">
        <f t="shared" si="110"/>
        <v>0</v>
      </c>
      <c r="G588" s="102">
        <f t="shared" si="108"/>
        <v>180</v>
      </c>
      <c r="I588" s="102">
        <f>VLOOKUP(P588&amp;"_"&amp;Q588,挑战模式!$A$3:$Z$55,3+5*MonsterWaveCallRuleCfg!R588,FALSE)</f>
        <v>5</v>
      </c>
      <c r="J588" s="102">
        <f>VLOOKUP(P588&amp;"_"&amp;Q588,挑战模式!$A$3:$Z$55,4+5*MonsterWaveCallRuleCfg!R588,FALSE)</f>
        <v>2</v>
      </c>
      <c r="K588" s="102">
        <f t="shared" si="111"/>
        <v>1</v>
      </c>
      <c r="L588" s="102" t="str">
        <f>IF(VLOOKUP(P588&amp;"_"&amp;Q588,挑战模式!$A$3:$Z$55,2+5*R588,FALSE)="","","Monster_Challenge"&amp;P588&amp;"_"&amp;Q588&amp;"_"&amp;R588)</f>
        <v>Monster_Challenge9_1_1</v>
      </c>
      <c r="M588" s="57">
        <f t="shared" si="112"/>
        <v>1</v>
      </c>
      <c r="O588" s="102">
        <f>VLOOKUP(P588&amp;"_"&amp;Q588,挑战模式!$A$3:$Z$55,6+5*MonsterWaveCallRuleCfg!R588,FALSE)</f>
        <v>20</v>
      </c>
      <c r="P588" s="110">
        <f t="shared" si="109"/>
        <v>9</v>
      </c>
      <c r="Q588" s="110">
        <f t="shared" si="115"/>
        <v>1</v>
      </c>
      <c r="R588" s="110">
        <v>1</v>
      </c>
    </row>
    <row r="589" spans="2:18" x14ac:dyDescent="0.2">
      <c r="B589" s="57" t="str">
        <f t="shared" si="113"/>
        <v/>
      </c>
      <c r="D589" s="57" t="str">
        <f t="shared" si="114"/>
        <v/>
      </c>
      <c r="F589" s="57" t="str">
        <f t="shared" si="110"/>
        <v/>
      </c>
      <c r="G589" s="102" t="str">
        <f t="shared" si="108"/>
        <v/>
      </c>
      <c r="I589" s="102">
        <f>VLOOKUP(P589&amp;"_"&amp;Q589,挑战模式!$A$3:$Z$55,3+5*MonsterWaveCallRuleCfg!R589,FALSE)</f>
        <v>10</v>
      </c>
      <c r="J589" s="102">
        <f>VLOOKUP(P589&amp;"_"&amp;Q589,挑战模式!$A$3:$Z$55,4+5*MonsterWaveCallRuleCfg!R589,FALSE)</f>
        <v>1</v>
      </c>
      <c r="K589" s="102">
        <f t="shared" si="111"/>
        <v>1</v>
      </c>
      <c r="L589" s="102" t="str">
        <f>IF(VLOOKUP(P589&amp;"_"&amp;Q589,挑战模式!$A$3:$Z$55,2+5*R589,FALSE)="","","Monster_Challenge"&amp;P589&amp;"_"&amp;Q589&amp;"_"&amp;R589)</f>
        <v>Monster_Challenge9_1_2</v>
      </c>
      <c r="M589" s="57">
        <f t="shared" si="112"/>
        <v>1</v>
      </c>
      <c r="O589" s="102">
        <f>VLOOKUP(P589&amp;"_"&amp;Q589,挑战模式!$A$3:$Z$55,6+5*MonsterWaveCallRuleCfg!R589,FALSE)</f>
        <v>20</v>
      </c>
      <c r="P589" s="110">
        <f t="shared" si="109"/>
        <v>9</v>
      </c>
      <c r="Q589" s="110">
        <f t="shared" si="115"/>
        <v>1</v>
      </c>
      <c r="R589" s="110">
        <v>2</v>
      </c>
    </row>
    <row r="590" spans="2:18" x14ac:dyDescent="0.2">
      <c r="B590" s="57" t="str">
        <f t="shared" si="113"/>
        <v/>
      </c>
      <c r="D590" s="57" t="str">
        <f t="shared" si="114"/>
        <v/>
      </c>
      <c r="F590" s="57" t="str">
        <f t="shared" si="110"/>
        <v/>
      </c>
      <c r="G590" s="102" t="str">
        <f t="shared" si="108"/>
        <v/>
      </c>
      <c r="I590" s="102" t="str">
        <f>VLOOKUP(P590&amp;"_"&amp;Q590,挑战模式!$A$3:$Z$55,3+5*MonsterWaveCallRuleCfg!R590,FALSE)</f>
        <v/>
      </c>
      <c r="J590" s="102" t="str">
        <f>VLOOKUP(P590&amp;"_"&amp;Q590,挑战模式!$A$3:$Z$55,4+5*MonsterWaveCallRuleCfg!R590,FALSE)</f>
        <v/>
      </c>
      <c r="K590" s="102" t="str">
        <f t="shared" si="111"/>
        <v/>
      </c>
      <c r="L590" s="102" t="str">
        <f>IF(VLOOKUP(P590&amp;"_"&amp;Q590,挑战模式!$A$3:$Z$55,2+5*R590,FALSE)="","","Monster_Challenge"&amp;P590&amp;"_"&amp;Q590&amp;"_"&amp;R590)</f>
        <v/>
      </c>
      <c r="M590" s="57" t="str">
        <f t="shared" si="112"/>
        <v/>
      </c>
      <c r="O590" s="102" t="str">
        <f>VLOOKUP(P590&amp;"_"&amp;Q590,挑战模式!$A$3:$Z$55,6+5*MonsterWaveCallRuleCfg!R590,FALSE)</f>
        <v/>
      </c>
      <c r="P590" s="110">
        <f t="shared" si="109"/>
        <v>9</v>
      </c>
      <c r="Q590" s="110">
        <f t="shared" si="115"/>
        <v>1</v>
      </c>
      <c r="R590" s="110">
        <v>3</v>
      </c>
    </row>
    <row r="591" spans="2:18" x14ac:dyDescent="0.2">
      <c r="B591" s="57" t="str">
        <f t="shared" si="113"/>
        <v/>
      </c>
      <c r="D591" s="57" t="str">
        <f t="shared" si="114"/>
        <v/>
      </c>
      <c r="F591" s="57" t="str">
        <f t="shared" si="110"/>
        <v/>
      </c>
      <c r="G591" s="102" t="str">
        <f t="shared" si="108"/>
        <v/>
      </c>
      <c r="I591" s="102" t="str">
        <f>VLOOKUP(P591&amp;"_"&amp;Q591,挑战模式!$A$3:$Z$55,3+5*MonsterWaveCallRuleCfg!R591,FALSE)</f>
        <v/>
      </c>
      <c r="J591" s="102" t="str">
        <f>VLOOKUP(P591&amp;"_"&amp;Q591,挑战模式!$A$3:$Z$55,4+5*MonsterWaveCallRuleCfg!R591,FALSE)</f>
        <v/>
      </c>
      <c r="K591" s="102" t="str">
        <f t="shared" si="111"/>
        <v/>
      </c>
      <c r="L591" s="102" t="str">
        <f>IF(VLOOKUP(P591&amp;"_"&amp;Q591,挑战模式!$A$3:$Z$55,2+5*R591,FALSE)="","","Monster_Challenge"&amp;P591&amp;"_"&amp;Q591&amp;"_"&amp;R591)</f>
        <v/>
      </c>
      <c r="M591" s="57" t="str">
        <f t="shared" si="112"/>
        <v/>
      </c>
      <c r="O591" s="102" t="str">
        <f>VLOOKUP(P591&amp;"_"&amp;Q591,挑战模式!$A$3:$Z$55,6+5*MonsterWaveCallRuleCfg!R591,FALSE)</f>
        <v/>
      </c>
      <c r="P591" s="110">
        <f t="shared" si="109"/>
        <v>9</v>
      </c>
      <c r="Q591" s="110">
        <f t="shared" si="115"/>
        <v>1</v>
      </c>
      <c r="R591" s="110">
        <v>4</v>
      </c>
    </row>
    <row r="592" spans="2:18" x14ac:dyDescent="0.2">
      <c r="B592" s="57" t="str">
        <f t="shared" si="113"/>
        <v>MonsterWaveCallRule_Challenge9</v>
      </c>
      <c r="C592" s="57">
        <v>2</v>
      </c>
      <c r="D592" s="57" t="str">
        <f t="shared" si="114"/>
        <v>挑战关卡9第2波</v>
      </c>
      <c r="F592" s="57">
        <f t="shared" si="110"/>
        <v>0</v>
      </c>
      <c r="G592" s="102">
        <f t="shared" si="108"/>
        <v>180</v>
      </c>
      <c r="I592" s="102">
        <f>VLOOKUP(P592&amp;"_"&amp;Q592,挑战模式!$A$3:$Z$55,3+5*MonsterWaveCallRuleCfg!R592,FALSE)</f>
        <v>25</v>
      </c>
      <c r="J592" s="102">
        <f>VLOOKUP(P592&amp;"_"&amp;Q592,挑战模式!$A$3:$Z$55,4+5*MonsterWaveCallRuleCfg!R592,FALSE)</f>
        <v>0.5</v>
      </c>
      <c r="K592" s="102">
        <f t="shared" si="111"/>
        <v>1</v>
      </c>
      <c r="L592" s="102" t="str">
        <f>IF(VLOOKUP(P592&amp;"_"&amp;Q592,挑战模式!$A$3:$Z$55,2+5*R592,FALSE)="","","Monster_Challenge"&amp;P592&amp;"_"&amp;Q592&amp;"_"&amp;R592)</f>
        <v>Monster_Challenge9_2_1</v>
      </c>
      <c r="M592" s="57">
        <f t="shared" si="112"/>
        <v>1</v>
      </c>
      <c r="O592" s="102">
        <f>VLOOKUP(P592&amp;"_"&amp;Q592,挑战模式!$A$3:$Z$55,6+5*MonsterWaveCallRuleCfg!R592,FALSE)</f>
        <v>8</v>
      </c>
      <c r="P592" s="110">
        <f t="shared" si="109"/>
        <v>9</v>
      </c>
      <c r="Q592" s="110">
        <f t="shared" si="115"/>
        <v>2</v>
      </c>
      <c r="R592" s="110">
        <v>1</v>
      </c>
    </row>
    <row r="593" spans="2:18" x14ac:dyDescent="0.2">
      <c r="B593" s="57" t="str">
        <f t="shared" si="113"/>
        <v/>
      </c>
      <c r="D593" s="57" t="str">
        <f t="shared" si="114"/>
        <v/>
      </c>
      <c r="F593" s="57" t="str">
        <f t="shared" si="110"/>
        <v/>
      </c>
      <c r="G593" s="102" t="str">
        <f t="shared" ref="G593:G607" si="116">IF(C593="","",180)</f>
        <v/>
      </c>
      <c r="I593" s="102">
        <f>VLOOKUP(P593&amp;"_"&amp;Q593,挑战模式!$A$3:$Z$55,3+5*MonsterWaveCallRuleCfg!R593,FALSE)</f>
        <v>13</v>
      </c>
      <c r="J593" s="102">
        <f>VLOOKUP(P593&amp;"_"&amp;Q593,挑战模式!$A$3:$Z$55,4+5*MonsterWaveCallRuleCfg!R593,FALSE)</f>
        <v>1</v>
      </c>
      <c r="K593" s="102">
        <f t="shared" si="111"/>
        <v>1</v>
      </c>
      <c r="L593" s="102" t="str">
        <f>IF(VLOOKUP(P593&amp;"_"&amp;Q593,挑战模式!$A$3:$Z$55,2+5*R593,FALSE)="","","Monster_Challenge"&amp;P593&amp;"_"&amp;Q593&amp;"_"&amp;R593)</f>
        <v>Monster_Challenge9_2_2</v>
      </c>
      <c r="M593" s="57">
        <f t="shared" si="112"/>
        <v>1</v>
      </c>
      <c r="O593" s="102">
        <f>VLOOKUP(P593&amp;"_"&amp;Q593,挑战模式!$A$3:$Z$55,6+5*MonsterWaveCallRuleCfg!R593,FALSE)</f>
        <v>8</v>
      </c>
      <c r="P593" s="110">
        <f t="shared" ref="P593:P627" si="117">P493+5</f>
        <v>9</v>
      </c>
      <c r="Q593" s="110">
        <f t="shared" si="115"/>
        <v>2</v>
      </c>
      <c r="R593" s="110">
        <v>2</v>
      </c>
    </row>
    <row r="594" spans="2:18" x14ac:dyDescent="0.2">
      <c r="B594" s="57" t="str">
        <f t="shared" si="113"/>
        <v/>
      </c>
      <c r="D594" s="57" t="str">
        <f t="shared" si="114"/>
        <v/>
      </c>
      <c r="F594" s="57" t="str">
        <f t="shared" si="110"/>
        <v/>
      </c>
      <c r="G594" s="102" t="str">
        <f t="shared" si="116"/>
        <v/>
      </c>
      <c r="I594" s="102" t="str">
        <f>VLOOKUP(P594&amp;"_"&amp;Q594,挑战模式!$A$3:$Z$55,3+5*MonsterWaveCallRuleCfg!R594,FALSE)</f>
        <v/>
      </c>
      <c r="J594" s="102" t="str">
        <f>VLOOKUP(P594&amp;"_"&amp;Q594,挑战模式!$A$3:$Z$55,4+5*MonsterWaveCallRuleCfg!R594,FALSE)</f>
        <v/>
      </c>
      <c r="K594" s="102" t="str">
        <f t="shared" si="111"/>
        <v/>
      </c>
      <c r="L594" s="102" t="str">
        <f>IF(VLOOKUP(P594&amp;"_"&amp;Q594,挑战模式!$A$3:$Z$55,2+5*R594,FALSE)="","","Monster_Challenge"&amp;P594&amp;"_"&amp;Q594&amp;"_"&amp;R594)</f>
        <v/>
      </c>
      <c r="M594" s="57" t="str">
        <f t="shared" si="112"/>
        <v/>
      </c>
      <c r="O594" s="102" t="str">
        <f>VLOOKUP(P594&amp;"_"&amp;Q594,挑战模式!$A$3:$Z$55,6+5*MonsterWaveCallRuleCfg!R594,FALSE)</f>
        <v/>
      </c>
      <c r="P594" s="110">
        <f t="shared" si="117"/>
        <v>9</v>
      </c>
      <c r="Q594" s="110">
        <f t="shared" si="115"/>
        <v>2</v>
      </c>
      <c r="R594" s="110">
        <v>3</v>
      </c>
    </row>
    <row r="595" spans="2:18" x14ac:dyDescent="0.2">
      <c r="B595" s="57" t="str">
        <f t="shared" si="113"/>
        <v/>
      </c>
      <c r="D595" s="57" t="str">
        <f t="shared" si="114"/>
        <v/>
      </c>
      <c r="F595" s="57" t="str">
        <f t="shared" si="110"/>
        <v/>
      </c>
      <c r="G595" s="102" t="str">
        <f t="shared" si="116"/>
        <v/>
      </c>
      <c r="I595" s="102" t="str">
        <f>VLOOKUP(P595&amp;"_"&amp;Q595,挑战模式!$A$3:$Z$55,3+5*MonsterWaveCallRuleCfg!R595,FALSE)</f>
        <v/>
      </c>
      <c r="J595" s="102" t="str">
        <f>VLOOKUP(P595&amp;"_"&amp;Q595,挑战模式!$A$3:$Z$55,4+5*MonsterWaveCallRuleCfg!R595,FALSE)</f>
        <v/>
      </c>
      <c r="K595" s="102" t="str">
        <f t="shared" si="111"/>
        <v/>
      </c>
      <c r="L595" s="102" t="str">
        <f>IF(VLOOKUP(P595&amp;"_"&amp;Q595,挑战模式!$A$3:$Z$55,2+5*R595,FALSE)="","","Monster_Challenge"&amp;P595&amp;"_"&amp;Q595&amp;"_"&amp;R595)</f>
        <v/>
      </c>
      <c r="M595" s="57" t="str">
        <f t="shared" si="112"/>
        <v/>
      </c>
      <c r="O595" s="102" t="str">
        <f>VLOOKUP(P595&amp;"_"&amp;Q595,挑战模式!$A$3:$Z$55,6+5*MonsterWaveCallRuleCfg!R595,FALSE)</f>
        <v/>
      </c>
      <c r="P595" s="110">
        <f t="shared" si="117"/>
        <v>9</v>
      </c>
      <c r="Q595" s="110">
        <f t="shared" si="115"/>
        <v>2</v>
      </c>
      <c r="R595" s="110">
        <v>4</v>
      </c>
    </row>
    <row r="596" spans="2:18" x14ac:dyDescent="0.2">
      <c r="B596" s="57" t="str">
        <f t="shared" si="113"/>
        <v>MonsterWaveCallRule_Challenge9</v>
      </c>
      <c r="C596" s="57">
        <v>3</v>
      </c>
      <c r="D596" s="57" t="str">
        <f t="shared" si="114"/>
        <v>挑战关卡9第3波</v>
      </c>
      <c r="F596" s="57">
        <f t="shared" si="110"/>
        <v>0</v>
      </c>
      <c r="G596" s="102">
        <f t="shared" si="116"/>
        <v>180</v>
      </c>
      <c r="I596" s="102">
        <f>VLOOKUP(P596&amp;"_"&amp;Q596,挑战模式!$A$3:$Z$55,3+5*MonsterWaveCallRuleCfg!R596,FALSE)</f>
        <v>30</v>
      </c>
      <c r="J596" s="102">
        <f>VLOOKUP(P596&amp;"_"&amp;Q596,挑战模式!$A$3:$Z$55,4+5*MonsterWaveCallRuleCfg!R596,FALSE)</f>
        <v>0.5</v>
      </c>
      <c r="K596" s="102">
        <f t="shared" si="111"/>
        <v>1</v>
      </c>
      <c r="L596" s="102" t="str">
        <f>IF(VLOOKUP(P596&amp;"_"&amp;Q596,挑战模式!$A$3:$Z$55,2+5*R596,FALSE)="","","Monster_Challenge"&amp;P596&amp;"_"&amp;Q596&amp;"_"&amp;R596)</f>
        <v>Monster_Challenge9_3_1</v>
      </c>
      <c r="M596" s="57">
        <f t="shared" si="112"/>
        <v>1</v>
      </c>
      <c r="O596" s="102">
        <f>VLOOKUP(P596&amp;"_"&amp;Q596,挑战模式!$A$3:$Z$55,6+5*MonsterWaveCallRuleCfg!R596,FALSE)</f>
        <v>4</v>
      </c>
      <c r="P596" s="110">
        <f t="shared" si="117"/>
        <v>9</v>
      </c>
      <c r="Q596" s="110">
        <f t="shared" si="115"/>
        <v>3</v>
      </c>
      <c r="R596" s="110">
        <v>1</v>
      </c>
    </row>
    <row r="597" spans="2:18" x14ac:dyDescent="0.2">
      <c r="B597" s="57" t="str">
        <f t="shared" si="113"/>
        <v/>
      </c>
      <c r="D597" s="57" t="str">
        <f t="shared" si="114"/>
        <v/>
      </c>
      <c r="F597" s="57" t="str">
        <f t="shared" si="110"/>
        <v/>
      </c>
      <c r="G597" s="102" t="str">
        <f t="shared" si="116"/>
        <v/>
      </c>
      <c r="I597" s="102">
        <f>VLOOKUP(P597&amp;"_"&amp;Q597,挑战模式!$A$3:$Z$55,3+5*MonsterWaveCallRuleCfg!R597,FALSE)</f>
        <v>10</v>
      </c>
      <c r="J597" s="102">
        <f>VLOOKUP(P597&amp;"_"&amp;Q597,挑战模式!$A$3:$Z$55,4+5*MonsterWaveCallRuleCfg!R597,FALSE)</f>
        <v>1.5</v>
      </c>
      <c r="K597" s="102">
        <f t="shared" si="111"/>
        <v>1</v>
      </c>
      <c r="L597" s="102" t="str">
        <f>IF(VLOOKUP(P597&amp;"_"&amp;Q597,挑战模式!$A$3:$Z$55,2+5*R597,FALSE)="","","Monster_Challenge"&amp;P597&amp;"_"&amp;Q597&amp;"_"&amp;R597)</f>
        <v>Monster_Challenge9_3_2</v>
      </c>
      <c r="M597" s="57">
        <f t="shared" si="112"/>
        <v>1</v>
      </c>
      <c r="O597" s="102">
        <f>VLOOKUP(P597&amp;"_"&amp;Q597,挑战模式!$A$3:$Z$55,6+5*MonsterWaveCallRuleCfg!R597,FALSE)</f>
        <v>8</v>
      </c>
      <c r="P597" s="110">
        <f t="shared" si="117"/>
        <v>9</v>
      </c>
      <c r="Q597" s="110">
        <f t="shared" si="115"/>
        <v>3</v>
      </c>
      <c r="R597" s="110">
        <v>2</v>
      </c>
    </row>
    <row r="598" spans="2:18" x14ac:dyDescent="0.2">
      <c r="B598" s="57" t="str">
        <f t="shared" si="113"/>
        <v/>
      </c>
      <c r="D598" s="57" t="str">
        <f t="shared" si="114"/>
        <v/>
      </c>
      <c r="F598" s="57" t="str">
        <f t="shared" si="110"/>
        <v/>
      </c>
      <c r="G598" s="102" t="str">
        <f t="shared" si="116"/>
        <v/>
      </c>
      <c r="I598" s="102">
        <f>VLOOKUP(P598&amp;"_"&amp;Q598,挑战模式!$A$3:$Z$55,3+5*MonsterWaveCallRuleCfg!R598,FALSE)</f>
        <v>15</v>
      </c>
      <c r="J598" s="102">
        <f>VLOOKUP(P598&amp;"_"&amp;Q598,挑战模式!$A$3:$Z$55,4+5*MonsterWaveCallRuleCfg!R598,FALSE)</f>
        <v>1</v>
      </c>
      <c r="K598" s="102">
        <f t="shared" si="111"/>
        <v>1</v>
      </c>
      <c r="L598" s="102" t="str">
        <f>IF(VLOOKUP(P598&amp;"_"&amp;Q598,挑战模式!$A$3:$Z$55,2+5*R598,FALSE)="","","Monster_Challenge"&amp;P598&amp;"_"&amp;Q598&amp;"_"&amp;R598)</f>
        <v>Monster_Challenge9_3_3</v>
      </c>
      <c r="M598" s="57">
        <f t="shared" si="112"/>
        <v>1</v>
      </c>
      <c r="O598" s="102">
        <f>VLOOKUP(P598&amp;"_"&amp;Q598,挑战模式!$A$3:$Z$55,6+5*MonsterWaveCallRuleCfg!R598,FALSE)</f>
        <v>8</v>
      </c>
      <c r="P598" s="110">
        <f t="shared" si="117"/>
        <v>9</v>
      </c>
      <c r="Q598" s="110">
        <f t="shared" si="115"/>
        <v>3</v>
      </c>
      <c r="R598" s="110">
        <v>3</v>
      </c>
    </row>
    <row r="599" spans="2:18" x14ac:dyDescent="0.2">
      <c r="B599" s="57" t="str">
        <f t="shared" si="113"/>
        <v/>
      </c>
      <c r="D599" s="57" t="str">
        <f t="shared" si="114"/>
        <v/>
      </c>
      <c r="F599" s="57" t="str">
        <f t="shared" si="110"/>
        <v/>
      </c>
      <c r="G599" s="102" t="str">
        <f t="shared" si="116"/>
        <v/>
      </c>
      <c r="I599" s="102" t="str">
        <f>VLOOKUP(P599&amp;"_"&amp;Q599,挑战模式!$A$3:$Z$55,3+5*MonsterWaveCallRuleCfg!R599,FALSE)</f>
        <v/>
      </c>
      <c r="J599" s="102" t="str">
        <f>VLOOKUP(P599&amp;"_"&amp;Q599,挑战模式!$A$3:$Z$55,4+5*MonsterWaveCallRuleCfg!R599,FALSE)</f>
        <v/>
      </c>
      <c r="K599" s="102" t="str">
        <f t="shared" si="111"/>
        <v/>
      </c>
      <c r="L599" s="102" t="str">
        <f>IF(VLOOKUP(P599&amp;"_"&amp;Q599,挑战模式!$A$3:$Z$55,2+5*R599,FALSE)="","","Monster_Challenge"&amp;P599&amp;"_"&amp;Q599&amp;"_"&amp;R599)</f>
        <v/>
      </c>
      <c r="M599" s="57" t="str">
        <f t="shared" si="112"/>
        <v/>
      </c>
      <c r="O599" s="102" t="str">
        <f>VLOOKUP(P599&amp;"_"&amp;Q599,挑战模式!$A$3:$Z$55,6+5*MonsterWaveCallRuleCfg!R599,FALSE)</f>
        <v/>
      </c>
      <c r="P599" s="110">
        <f t="shared" si="117"/>
        <v>9</v>
      </c>
      <c r="Q599" s="110">
        <f t="shared" si="115"/>
        <v>3</v>
      </c>
      <c r="R599" s="110">
        <v>4</v>
      </c>
    </row>
    <row r="600" spans="2:18" x14ac:dyDescent="0.2">
      <c r="B600" s="57" t="str">
        <f t="shared" si="113"/>
        <v>MonsterWaveCallRule_Challenge9</v>
      </c>
      <c r="C600" s="57">
        <v>4</v>
      </c>
      <c r="D600" s="57" t="str">
        <f t="shared" si="114"/>
        <v>挑战关卡9第4波</v>
      </c>
      <c r="F600" s="57">
        <f t="shared" si="110"/>
        <v>0</v>
      </c>
      <c r="G600" s="102">
        <f t="shared" si="116"/>
        <v>180</v>
      </c>
      <c r="I600" s="102">
        <f>VLOOKUP(P600&amp;"_"&amp;Q600,挑战模式!$A$3:$Z$55,3+5*MonsterWaveCallRuleCfg!R600,FALSE)</f>
        <v>9</v>
      </c>
      <c r="J600" s="102">
        <f>VLOOKUP(P600&amp;"_"&amp;Q600,挑战模式!$A$3:$Z$55,4+5*MonsterWaveCallRuleCfg!R600,FALSE)</f>
        <v>2</v>
      </c>
      <c r="K600" s="102">
        <f t="shared" si="111"/>
        <v>1</v>
      </c>
      <c r="L600" s="102" t="str">
        <f>IF(VLOOKUP(P600&amp;"_"&amp;Q600,挑战模式!$A$3:$Z$55,2+5*R600,FALSE)="","","Monster_Challenge"&amp;P600&amp;"_"&amp;Q600&amp;"_"&amp;R600)</f>
        <v>Monster_Challenge9_4_1</v>
      </c>
      <c r="M600" s="57">
        <f t="shared" si="112"/>
        <v>1</v>
      </c>
      <c r="O600" s="102">
        <f>VLOOKUP(P600&amp;"_"&amp;Q600,挑战模式!$A$3:$Z$55,6+5*MonsterWaveCallRuleCfg!R600,FALSE)</f>
        <v>9</v>
      </c>
      <c r="P600" s="110">
        <f t="shared" si="117"/>
        <v>9</v>
      </c>
      <c r="Q600" s="110">
        <f t="shared" si="115"/>
        <v>4</v>
      </c>
      <c r="R600" s="110">
        <v>1</v>
      </c>
    </row>
    <row r="601" spans="2:18" x14ac:dyDescent="0.2">
      <c r="B601" s="57" t="str">
        <f t="shared" si="113"/>
        <v/>
      </c>
      <c r="D601" s="57" t="str">
        <f t="shared" si="114"/>
        <v/>
      </c>
      <c r="F601" s="57" t="str">
        <f t="shared" si="110"/>
        <v/>
      </c>
      <c r="G601" s="102" t="str">
        <f t="shared" si="116"/>
        <v/>
      </c>
      <c r="I601" s="102">
        <f>VLOOKUP(P601&amp;"_"&amp;Q601,挑战模式!$A$3:$Z$55,3+5*MonsterWaveCallRuleCfg!R601,FALSE)</f>
        <v>35</v>
      </c>
      <c r="J601" s="102">
        <f>VLOOKUP(P601&amp;"_"&amp;Q601,挑战模式!$A$3:$Z$55,4+5*MonsterWaveCallRuleCfg!R601,FALSE)</f>
        <v>0.5</v>
      </c>
      <c r="K601" s="102">
        <f t="shared" si="111"/>
        <v>1</v>
      </c>
      <c r="L601" s="102" t="str">
        <f>IF(VLOOKUP(P601&amp;"_"&amp;Q601,挑战模式!$A$3:$Z$55,2+5*R601,FALSE)="","","Monster_Challenge"&amp;P601&amp;"_"&amp;Q601&amp;"_"&amp;R601)</f>
        <v>Monster_Challenge9_4_2</v>
      </c>
      <c r="M601" s="57">
        <f t="shared" si="112"/>
        <v>1</v>
      </c>
      <c r="O601" s="102">
        <f>VLOOKUP(P601&amp;"_"&amp;Q601,挑战模式!$A$3:$Z$55,6+5*MonsterWaveCallRuleCfg!R601,FALSE)</f>
        <v>4</v>
      </c>
      <c r="P601" s="110">
        <f t="shared" si="117"/>
        <v>9</v>
      </c>
      <c r="Q601" s="110">
        <f t="shared" si="115"/>
        <v>4</v>
      </c>
      <c r="R601" s="110">
        <v>2</v>
      </c>
    </row>
    <row r="602" spans="2:18" x14ac:dyDescent="0.2">
      <c r="B602" s="57" t="str">
        <f t="shared" si="113"/>
        <v/>
      </c>
      <c r="D602" s="57" t="str">
        <f t="shared" si="114"/>
        <v/>
      </c>
      <c r="F602" s="57" t="str">
        <f t="shared" si="110"/>
        <v/>
      </c>
      <c r="G602" s="102" t="str">
        <f t="shared" si="116"/>
        <v/>
      </c>
      <c r="I602" s="102">
        <f>VLOOKUP(P602&amp;"_"&amp;Q602,挑战模式!$A$3:$Z$55,3+5*MonsterWaveCallRuleCfg!R602,FALSE)</f>
        <v>35</v>
      </c>
      <c r="J602" s="102">
        <f>VLOOKUP(P602&amp;"_"&amp;Q602,挑战模式!$A$3:$Z$55,4+5*MonsterWaveCallRuleCfg!R602,FALSE)</f>
        <v>0.5</v>
      </c>
      <c r="K602" s="102">
        <f t="shared" si="111"/>
        <v>1</v>
      </c>
      <c r="L602" s="102" t="str">
        <f>IF(VLOOKUP(P602&amp;"_"&amp;Q602,挑战模式!$A$3:$Z$55,2+5*R602,FALSE)="","","Monster_Challenge"&amp;P602&amp;"_"&amp;Q602&amp;"_"&amp;R602)</f>
        <v>Monster_Challenge9_4_3</v>
      </c>
      <c r="M602" s="57">
        <f t="shared" si="112"/>
        <v>1</v>
      </c>
      <c r="O602" s="102">
        <f>VLOOKUP(P602&amp;"_"&amp;Q602,挑战模式!$A$3:$Z$55,6+5*MonsterWaveCallRuleCfg!R602,FALSE)</f>
        <v>2</v>
      </c>
      <c r="P602" s="110">
        <f t="shared" si="117"/>
        <v>9</v>
      </c>
      <c r="Q602" s="110">
        <f t="shared" si="115"/>
        <v>4</v>
      </c>
      <c r="R602" s="110">
        <v>3</v>
      </c>
    </row>
    <row r="603" spans="2:18" x14ac:dyDescent="0.2">
      <c r="B603" s="57" t="str">
        <f t="shared" si="113"/>
        <v/>
      </c>
      <c r="D603" s="57" t="str">
        <f t="shared" si="114"/>
        <v/>
      </c>
      <c r="F603" s="57" t="str">
        <f t="shared" si="110"/>
        <v/>
      </c>
      <c r="G603" s="102" t="str">
        <f t="shared" si="116"/>
        <v/>
      </c>
      <c r="I603" s="102" t="str">
        <f>VLOOKUP(P603&amp;"_"&amp;Q603,挑战模式!$A$3:$Z$55,3+5*MonsterWaveCallRuleCfg!R603,FALSE)</f>
        <v/>
      </c>
      <c r="J603" s="102" t="str">
        <f>VLOOKUP(P603&amp;"_"&amp;Q603,挑战模式!$A$3:$Z$55,4+5*MonsterWaveCallRuleCfg!R603,FALSE)</f>
        <v/>
      </c>
      <c r="K603" s="102" t="str">
        <f t="shared" si="111"/>
        <v/>
      </c>
      <c r="L603" s="102" t="str">
        <f>IF(VLOOKUP(P603&amp;"_"&amp;Q603,挑战模式!$A$3:$Z$55,2+5*R603,FALSE)="","","Monster_Challenge"&amp;P603&amp;"_"&amp;Q603&amp;"_"&amp;R603)</f>
        <v/>
      </c>
      <c r="M603" s="57" t="str">
        <f t="shared" si="112"/>
        <v/>
      </c>
      <c r="O603" s="102" t="str">
        <f>VLOOKUP(P603&amp;"_"&amp;Q603,挑战模式!$A$3:$Z$55,6+5*MonsterWaveCallRuleCfg!R603,FALSE)</f>
        <v/>
      </c>
      <c r="P603" s="110">
        <f t="shared" si="117"/>
        <v>9</v>
      </c>
      <c r="Q603" s="110">
        <f t="shared" si="115"/>
        <v>4</v>
      </c>
      <c r="R603" s="110">
        <v>4</v>
      </c>
    </row>
    <row r="604" spans="2:18" x14ac:dyDescent="0.2">
      <c r="B604" s="57" t="str">
        <f t="shared" si="113"/>
        <v>MonsterWaveCallRule_Challenge9</v>
      </c>
      <c r="C604" s="57">
        <v>5</v>
      </c>
      <c r="D604" s="57" t="str">
        <f t="shared" si="114"/>
        <v>挑战关卡9第5波</v>
      </c>
      <c r="F604" s="57">
        <f t="shared" ref="F604:F627" si="118">IF(C604="","",0)</f>
        <v>0</v>
      </c>
      <c r="G604" s="102">
        <f t="shared" si="116"/>
        <v>180</v>
      </c>
      <c r="I604" s="102">
        <f>VLOOKUP(P604&amp;"_"&amp;Q604,挑战模式!$A$3:$Z$55,3+5*MonsterWaveCallRuleCfg!R604,FALSE)</f>
        <v>10</v>
      </c>
      <c r="J604" s="102">
        <f>VLOOKUP(P604&amp;"_"&amp;Q604,挑战模式!$A$3:$Z$55,4+5*MonsterWaveCallRuleCfg!R604,FALSE)</f>
        <v>2</v>
      </c>
      <c r="K604" s="102">
        <f t="shared" ref="K604:K627" si="119">IF(I604="","",1)</f>
        <v>1</v>
      </c>
      <c r="L604" s="102" t="str">
        <f>IF(VLOOKUP(P604&amp;"_"&amp;Q604,挑战模式!$A$3:$Z$55,2+5*R604,FALSE)="","","Monster_Challenge"&amp;P604&amp;"_"&amp;Q604&amp;"_"&amp;R604)</f>
        <v>Monster_Challenge9_5_1</v>
      </c>
      <c r="M604" s="57">
        <f t="shared" ref="M604:M627" si="120">IF(I604="","",1)</f>
        <v>1</v>
      </c>
      <c r="O604" s="102">
        <f>VLOOKUP(P604&amp;"_"&amp;Q604,挑战模式!$A$3:$Z$55,6+5*MonsterWaveCallRuleCfg!R604,FALSE)</f>
        <v>5</v>
      </c>
      <c r="P604" s="110">
        <f t="shared" si="117"/>
        <v>9</v>
      </c>
      <c r="Q604" s="110">
        <f t="shared" si="115"/>
        <v>5</v>
      </c>
      <c r="R604" s="110">
        <v>1</v>
      </c>
    </row>
    <row r="605" spans="2:18" x14ac:dyDescent="0.2">
      <c r="B605" s="57" t="str">
        <f t="shared" si="113"/>
        <v/>
      </c>
      <c r="D605" s="57" t="str">
        <f t="shared" si="114"/>
        <v/>
      </c>
      <c r="F605" s="57" t="str">
        <f t="shared" si="118"/>
        <v/>
      </c>
      <c r="G605" s="102" t="str">
        <f t="shared" si="116"/>
        <v/>
      </c>
      <c r="I605" s="102">
        <f>VLOOKUP(P605&amp;"_"&amp;Q605,挑战模式!$A$3:$Z$55,3+5*MonsterWaveCallRuleCfg!R605,FALSE)</f>
        <v>40</v>
      </c>
      <c r="J605" s="102">
        <f>VLOOKUP(P605&amp;"_"&amp;Q605,挑战模式!$A$3:$Z$55,4+5*MonsterWaveCallRuleCfg!R605,FALSE)</f>
        <v>0.5</v>
      </c>
      <c r="K605" s="102">
        <f t="shared" si="119"/>
        <v>1</v>
      </c>
      <c r="L605" s="102" t="str">
        <f>IF(VLOOKUP(P605&amp;"_"&amp;Q605,挑战模式!$A$3:$Z$55,2+5*R605,FALSE)="","","Monster_Challenge"&amp;P605&amp;"_"&amp;Q605&amp;"_"&amp;R605)</f>
        <v>Monster_Challenge9_5_2</v>
      </c>
      <c r="M605" s="57">
        <f t="shared" si="120"/>
        <v>1</v>
      </c>
      <c r="O605" s="102">
        <f>VLOOKUP(P605&amp;"_"&amp;Q605,挑战模式!$A$3:$Z$55,6+5*MonsterWaveCallRuleCfg!R605,FALSE)</f>
        <v>2</v>
      </c>
      <c r="P605" s="110">
        <f t="shared" si="117"/>
        <v>9</v>
      </c>
      <c r="Q605" s="110">
        <f t="shared" si="115"/>
        <v>5</v>
      </c>
      <c r="R605" s="110">
        <v>2</v>
      </c>
    </row>
    <row r="606" spans="2:18" x14ac:dyDescent="0.2">
      <c r="B606" s="57" t="str">
        <f t="shared" si="113"/>
        <v/>
      </c>
      <c r="D606" s="57" t="str">
        <f t="shared" si="114"/>
        <v/>
      </c>
      <c r="F606" s="57" t="str">
        <f t="shared" si="118"/>
        <v/>
      </c>
      <c r="G606" s="102" t="str">
        <f t="shared" si="116"/>
        <v/>
      </c>
      <c r="I606" s="102">
        <f>VLOOKUP(P606&amp;"_"&amp;Q606,挑战模式!$A$3:$Z$55,3+5*MonsterWaveCallRuleCfg!R606,FALSE)</f>
        <v>13</v>
      </c>
      <c r="J606" s="102">
        <f>VLOOKUP(P606&amp;"_"&amp;Q606,挑战模式!$A$3:$Z$55,4+5*MonsterWaveCallRuleCfg!R606,FALSE)</f>
        <v>1.5</v>
      </c>
      <c r="K606" s="102">
        <f t="shared" si="119"/>
        <v>1</v>
      </c>
      <c r="L606" s="102" t="str">
        <f>IF(VLOOKUP(P606&amp;"_"&amp;Q606,挑战模式!$A$3:$Z$55,2+5*R606,FALSE)="","","Monster_Challenge"&amp;P606&amp;"_"&amp;Q606&amp;"_"&amp;R606)</f>
        <v>Monster_Challenge9_5_3</v>
      </c>
      <c r="M606" s="57">
        <f t="shared" si="120"/>
        <v>1</v>
      </c>
      <c r="O606" s="102">
        <f>VLOOKUP(P606&amp;"_"&amp;Q606,挑战模式!$A$3:$Z$55,6+5*MonsterWaveCallRuleCfg!R606,FALSE)</f>
        <v>5</v>
      </c>
      <c r="P606" s="110">
        <f t="shared" si="117"/>
        <v>9</v>
      </c>
      <c r="Q606" s="110">
        <f t="shared" si="115"/>
        <v>5</v>
      </c>
      <c r="R606" s="110">
        <v>3</v>
      </c>
    </row>
    <row r="607" spans="2:18" x14ac:dyDescent="0.2">
      <c r="B607" s="57" t="str">
        <f t="shared" si="113"/>
        <v/>
      </c>
      <c r="D607" s="57" t="str">
        <f t="shared" si="114"/>
        <v/>
      </c>
      <c r="F607" s="57" t="str">
        <f t="shared" si="118"/>
        <v/>
      </c>
      <c r="G607" s="102" t="str">
        <f t="shared" si="116"/>
        <v/>
      </c>
      <c r="I607" s="102">
        <f>VLOOKUP(P607&amp;"_"&amp;Q607,挑战模式!$A$3:$Z$55,3+5*MonsterWaveCallRuleCfg!R607,FALSE)</f>
        <v>20</v>
      </c>
      <c r="J607" s="102">
        <f>VLOOKUP(P607&amp;"_"&amp;Q607,挑战模式!$A$3:$Z$55,4+5*MonsterWaveCallRuleCfg!R607,FALSE)</f>
        <v>1</v>
      </c>
      <c r="K607" s="102">
        <f t="shared" si="119"/>
        <v>1</v>
      </c>
      <c r="L607" s="102" t="str">
        <f>IF(VLOOKUP(P607&amp;"_"&amp;Q607,挑战模式!$A$3:$Z$55,2+5*R607,FALSE)="","","Monster_Challenge"&amp;P607&amp;"_"&amp;Q607&amp;"_"&amp;R607)</f>
        <v>Monster_Challenge9_5_4</v>
      </c>
      <c r="M607" s="57">
        <f t="shared" si="120"/>
        <v>1</v>
      </c>
      <c r="O607" s="102">
        <f>VLOOKUP(P607&amp;"_"&amp;Q607,挑战模式!$A$3:$Z$55,6+5*MonsterWaveCallRuleCfg!R607,FALSE)</f>
        <v>5</v>
      </c>
      <c r="P607" s="110">
        <f t="shared" si="117"/>
        <v>9</v>
      </c>
      <c r="Q607" s="110">
        <f t="shared" si="115"/>
        <v>5</v>
      </c>
      <c r="R607" s="110">
        <v>4</v>
      </c>
    </row>
    <row r="608" spans="2:18" x14ac:dyDescent="0.2">
      <c r="B608" s="57" t="str">
        <f t="shared" si="113"/>
        <v>MonsterWaveCallRule_Challenge10</v>
      </c>
      <c r="C608" s="57">
        <v>1</v>
      </c>
      <c r="D608" s="57" t="str">
        <f t="shared" si="114"/>
        <v>挑战关卡10第1波</v>
      </c>
      <c r="F608" s="57">
        <f t="shared" si="118"/>
        <v>0</v>
      </c>
      <c r="G608" s="102">
        <f>IF(C608="","",180)</f>
        <v>180</v>
      </c>
      <c r="I608" s="102">
        <f>VLOOKUP(P608&amp;"_"&amp;Q608,挑战模式!$A$3:$Z$55,3+5*MonsterWaveCallRuleCfg!R608,FALSE)</f>
        <v>20</v>
      </c>
      <c r="J608" s="102">
        <f>VLOOKUP(P608&amp;"_"&amp;Q608,挑战模式!$A$3:$Z$55,4+5*MonsterWaveCallRuleCfg!R608,FALSE)</f>
        <v>0.5</v>
      </c>
      <c r="K608" s="102">
        <f t="shared" si="119"/>
        <v>1</v>
      </c>
      <c r="L608" s="102" t="str">
        <f>IF(VLOOKUP(P608&amp;"_"&amp;Q608,挑战模式!$A$3:$Z$55,2+5*R608,FALSE)="","","Monster_Challenge"&amp;P608&amp;"_"&amp;Q608&amp;"_"&amp;R608)</f>
        <v>Monster_Challenge10_1_1</v>
      </c>
      <c r="M608" s="57">
        <f t="shared" si="120"/>
        <v>1</v>
      </c>
      <c r="O608" s="102">
        <f>VLOOKUP(P608&amp;"_"&amp;Q608,挑战模式!$A$3:$Z$55,6+5*MonsterWaveCallRuleCfg!R608,FALSE)</f>
        <v>8</v>
      </c>
      <c r="P608" s="110">
        <f t="shared" si="117"/>
        <v>10</v>
      </c>
      <c r="Q608" s="110">
        <f t="shared" si="115"/>
        <v>1</v>
      </c>
      <c r="R608" s="110">
        <v>1</v>
      </c>
    </row>
    <row r="609" spans="2:18" x14ac:dyDescent="0.2">
      <c r="B609" s="57" t="str">
        <f t="shared" si="113"/>
        <v/>
      </c>
      <c r="D609" s="57" t="str">
        <f t="shared" si="114"/>
        <v/>
      </c>
      <c r="F609" s="57" t="str">
        <f t="shared" si="118"/>
        <v/>
      </c>
      <c r="G609" s="102" t="str">
        <f t="shared" ref="G609:G627" si="121">IF(C609="","",180)</f>
        <v/>
      </c>
      <c r="I609" s="102">
        <f>VLOOKUP(P609&amp;"_"&amp;Q609,挑战模式!$A$3:$Z$55,3+5*MonsterWaveCallRuleCfg!R609,FALSE)</f>
        <v>20</v>
      </c>
      <c r="J609" s="102">
        <f>VLOOKUP(P609&amp;"_"&amp;Q609,挑战模式!$A$3:$Z$55,4+5*MonsterWaveCallRuleCfg!R609,FALSE)</f>
        <v>0.5</v>
      </c>
      <c r="K609" s="102">
        <f t="shared" si="119"/>
        <v>1</v>
      </c>
      <c r="L609" s="102" t="str">
        <f>IF(VLOOKUP(P609&amp;"_"&amp;Q609,挑战模式!$A$3:$Z$55,2+5*R609,FALSE)="","","Monster_Challenge"&amp;P609&amp;"_"&amp;Q609&amp;"_"&amp;R609)</f>
        <v>Monster_Challenge10_1_2</v>
      </c>
      <c r="M609" s="57">
        <f t="shared" si="120"/>
        <v>1</v>
      </c>
      <c r="O609" s="102">
        <f>VLOOKUP(P609&amp;"_"&amp;Q609,挑战模式!$A$3:$Z$55,6+5*MonsterWaveCallRuleCfg!R609,FALSE)</f>
        <v>8</v>
      </c>
      <c r="P609" s="110">
        <f t="shared" si="117"/>
        <v>10</v>
      </c>
      <c r="Q609" s="110">
        <f t="shared" si="115"/>
        <v>1</v>
      </c>
      <c r="R609" s="110">
        <v>2</v>
      </c>
    </row>
    <row r="610" spans="2:18" x14ac:dyDescent="0.2">
      <c r="B610" s="57" t="str">
        <f t="shared" si="113"/>
        <v/>
      </c>
      <c r="D610" s="57" t="str">
        <f t="shared" si="114"/>
        <v/>
      </c>
      <c r="F610" s="57" t="str">
        <f t="shared" si="118"/>
        <v/>
      </c>
      <c r="G610" s="102" t="str">
        <f t="shared" si="121"/>
        <v/>
      </c>
      <c r="I610" s="102" t="str">
        <f>VLOOKUP(P610&amp;"_"&amp;Q610,挑战模式!$A$3:$Z$55,3+5*MonsterWaveCallRuleCfg!R610,FALSE)</f>
        <v/>
      </c>
      <c r="J610" s="102" t="str">
        <f>VLOOKUP(P610&amp;"_"&amp;Q610,挑战模式!$A$3:$Z$55,4+5*MonsterWaveCallRuleCfg!R610,FALSE)</f>
        <v/>
      </c>
      <c r="K610" s="102" t="str">
        <f t="shared" si="119"/>
        <v/>
      </c>
      <c r="L610" s="102" t="str">
        <f>IF(VLOOKUP(P610&amp;"_"&amp;Q610,挑战模式!$A$3:$Z$55,2+5*R610,FALSE)="","","Monster_Challenge"&amp;P610&amp;"_"&amp;Q610&amp;"_"&amp;R610)</f>
        <v/>
      </c>
      <c r="M610" s="57" t="str">
        <f t="shared" si="120"/>
        <v/>
      </c>
      <c r="O610" s="102" t="str">
        <f>VLOOKUP(P610&amp;"_"&amp;Q610,挑战模式!$A$3:$Z$55,6+5*MonsterWaveCallRuleCfg!R610,FALSE)</f>
        <v/>
      </c>
      <c r="P610" s="110">
        <f t="shared" si="117"/>
        <v>10</v>
      </c>
      <c r="Q610" s="110">
        <f t="shared" si="115"/>
        <v>1</v>
      </c>
      <c r="R610" s="110">
        <v>3</v>
      </c>
    </row>
    <row r="611" spans="2:18" x14ac:dyDescent="0.2">
      <c r="B611" s="57" t="str">
        <f t="shared" si="113"/>
        <v/>
      </c>
      <c r="D611" s="57" t="str">
        <f t="shared" si="114"/>
        <v/>
      </c>
      <c r="F611" s="57" t="str">
        <f t="shared" si="118"/>
        <v/>
      </c>
      <c r="G611" s="102" t="str">
        <f t="shared" si="121"/>
        <v/>
      </c>
      <c r="I611" s="102" t="str">
        <f>VLOOKUP(P611&amp;"_"&amp;Q611,挑战模式!$A$3:$Z$55,3+5*MonsterWaveCallRuleCfg!R611,FALSE)</f>
        <v/>
      </c>
      <c r="J611" s="102" t="str">
        <f>VLOOKUP(P611&amp;"_"&amp;Q611,挑战模式!$A$3:$Z$55,4+5*MonsterWaveCallRuleCfg!R611,FALSE)</f>
        <v/>
      </c>
      <c r="K611" s="102" t="str">
        <f t="shared" si="119"/>
        <v/>
      </c>
      <c r="L611" s="102" t="str">
        <f>IF(VLOOKUP(P611&amp;"_"&amp;Q611,挑战模式!$A$3:$Z$55,2+5*R611,FALSE)="","","Monster_Challenge"&amp;P611&amp;"_"&amp;Q611&amp;"_"&amp;R611)</f>
        <v/>
      </c>
      <c r="M611" s="57" t="str">
        <f t="shared" si="120"/>
        <v/>
      </c>
      <c r="O611" s="102" t="str">
        <f>VLOOKUP(P611&amp;"_"&amp;Q611,挑战模式!$A$3:$Z$55,6+5*MonsterWaveCallRuleCfg!R611,FALSE)</f>
        <v/>
      </c>
      <c r="P611" s="110">
        <f t="shared" si="117"/>
        <v>10</v>
      </c>
      <c r="Q611" s="110">
        <f t="shared" si="115"/>
        <v>1</v>
      </c>
      <c r="R611" s="110">
        <v>4</v>
      </c>
    </row>
    <row r="612" spans="2:18" x14ac:dyDescent="0.2">
      <c r="B612" s="57" t="str">
        <f t="shared" si="113"/>
        <v>MonsterWaveCallRule_Challenge10</v>
      </c>
      <c r="C612" s="57">
        <v>2</v>
      </c>
      <c r="D612" s="57" t="str">
        <f t="shared" si="114"/>
        <v>挑战关卡10第2波</v>
      </c>
      <c r="F612" s="57">
        <f t="shared" si="118"/>
        <v>0</v>
      </c>
      <c r="G612" s="102">
        <f t="shared" si="121"/>
        <v>180</v>
      </c>
      <c r="I612" s="102">
        <f>VLOOKUP(P612&amp;"_"&amp;Q612,挑战模式!$A$3:$Z$55,3+5*MonsterWaveCallRuleCfg!R612,FALSE)</f>
        <v>25</v>
      </c>
      <c r="J612" s="102">
        <f>VLOOKUP(P612&amp;"_"&amp;Q612,挑战模式!$A$3:$Z$55,4+5*MonsterWaveCallRuleCfg!R612,FALSE)</f>
        <v>0.5</v>
      </c>
      <c r="K612" s="102">
        <f t="shared" si="119"/>
        <v>1</v>
      </c>
      <c r="L612" s="102" t="str">
        <f>IF(VLOOKUP(P612&amp;"_"&amp;Q612,挑战模式!$A$3:$Z$55,2+5*R612,FALSE)="","","Monster_Challenge"&amp;P612&amp;"_"&amp;Q612&amp;"_"&amp;R612)</f>
        <v>Monster_Challenge10_2_1</v>
      </c>
      <c r="M612" s="57">
        <f t="shared" si="120"/>
        <v>1</v>
      </c>
      <c r="O612" s="102">
        <f>VLOOKUP(P612&amp;"_"&amp;Q612,挑战模式!$A$3:$Z$55,6+5*MonsterWaveCallRuleCfg!R612,FALSE)</f>
        <v>6</v>
      </c>
      <c r="P612" s="110">
        <f t="shared" si="117"/>
        <v>10</v>
      </c>
      <c r="Q612" s="110">
        <f t="shared" si="115"/>
        <v>2</v>
      </c>
      <c r="R612" s="110">
        <v>1</v>
      </c>
    </row>
    <row r="613" spans="2:18" x14ac:dyDescent="0.2">
      <c r="B613" s="57" t="str">
        <f t="shared" si="113"/>
        <v/>
      </c>
      <c r="D613" s="57" t="str">
        <f t="shared" si="114"/>
        <v/>
      </c>
      <c r="F613" s="57" t="str">
        <f t="shared" si="118"/>
        <v/>
      </c>
      <c r="G613" s="102" t="str">
        <f t="shared" si="121"/>
        <v/>
      </c>
      <c r="I613" s="102">
        <f>VLOOKUP(P613&amp;"_"&amp;Q613,挑战模式!$A$3:$Z$55,3+5*MonsterWaveCallRuleCfg!R613,FALSE)</f>
        <v>13</v>
      </c>
      <c r="J613" s="102">
        <f>VLOOKUP(P613&amp;"_"&amp;Q613,挑战模式!$A$3:$Z$55,4+5*MonsterWaveCallRuleCfg!R613,FALSE)</f>
        <v>1</v>
      </c>
      <c r="K613" s="102">
        <f t="shared" si="119"/>
        <v>1</v>
      </c>
      <c r="L613" s="102" t="str">
        <f>IF(VLOOKUP(P613&amp;"_"&amp;Q613,挑战模式!$A$3:$Z$55,2+5*R613,FALSE)="","","Monster_Challenge"&amp;P613&amp;"_"&amp;Q613&amp;"_"&amp;R613)</f>
        <v>Monster_Challenge10_2_2</v>
      </c>
      <c r="M613" s="57">
        <f t="shared" si="120"/>
        <v>1</v>
      </c>
      <c r="O613" s="102">
        <f>VLOOKUP(P613&amp;"_"&amp;Q613,挑战模式!$A$3:$Z$55,6+5*MonsterWaveCallRuleCfg!R613,FALSE)</f>
        <v>12</v>
      </c>
      <c r="P613" s="110">
        <f t="shared" si="117"/>
        <v>10</v>
      </c>
      <c r="Q613" s="110">
        <f t="shared" si="115"/>
        <v>2</v>
      </c>
      <c r="R613" s="110">
        <v>2</v>
      </c>
    </row>
    <row r="614" spans="2:18" x14ac:dyDescent="0.2">
      <c r="B614" s="57" t="str">
        <f t="shared" si="113"/>
        <v/>
      </c>
      <c r="D614" s="57" t="str">
        <f t="shared" si="114"/>
        <v/>
      </c>
      <c r="F614" s="57" t="str">
        <f t="shared" si="118"/>
        <v/>
      </c>
      <c r="G614" s="102" t="str">
        <f t="shared" si="121"/>
        <v/>
      </c>
      <c r="I614" s="102" t="str">
        <f>VLOOKUP(P614&amp;"_"&amp;Q614,挑战模式!$A$3:$Z$55,3+5*MonsterWaveCallRuleCfg!R614,FALSE)</f>
        <v/>
      </c>
      <c r="J614" s="102" t="str">
        <f>VLOOKUP(P614&amp;"_"&amp;Q614,挑战模式!$A$3:$Z$55,4+5*MonsterWaveCallRuleCfg!R614,FALSE)</f>
        <v/>
      </c>
      <c r="K614" s="102" t="str">
        <f t="shared" si="119"/>
        <v/>
      </c>
      <c r="L614" s="102" t="str">
        <f>IF(VLOOKUP(P614&amp;"_"&amp;Q614,挑战模式!$A$3:$Z$55,2+5*R614,FALSE)="","","Monster_Challenge"&amp;P614&amp;"_"&amp;Q614&amp;"_"&amp;R614)</f>
        <v/>
      </c>
      <c r="M614" s="57" t="str">
        <f t="shared" si="120"/>
        <v/>
      </c>
      <c r="O614" s="102" t="str">
        <f>VLOOKUP(P614&amp;"_"&amp;Q614,挑战模式!$A$3:$Z$55,6+5*MonsterWaveCallRuleCfg!R614,FALSE)</f>
        <v/>
      </c>
      <c r="P614" s="110">
        <f t="shared" si="117"/>
        <v>10</v>
      </c>
      <c r="Q614" s="110">
        <f t="shared" si="115"/>
        <v>2</v>
      </c>
      <c r="R614" s="110">
        <v>3</v>
      </c>
    </row>
    <row r="615" spans="2:18" x14ac:dyDescent="0.2">
      <c r="B615" s="57" t="str">
        <f t="shared" si="113"/>
        <v/>
      </c>
      <c r="D615" s="57" t="str">
        <f t="shared" si="114"/>
        <v/>
      </c>
      <c r="F615" s="57" t="str">
        <f t="shared" si="118"/>
        <v/>
      </c>
      <c r="G615" s="102" t="str">
        <f t="shared" si="121"/>
        <v/>
      </c>
      <c r="I615" s="102" t="str">
        <f>VLOOKUP(P615&amp;"_"&amp;Q615,挑战模式!$A$3:$Z$55,3+5*MonsterWaveCallRuleCfg!R615,FALSE)</f>
        <v/>
      </c>
      <c r="J615" s="102" t="str">
        <f>VLOOKUP(P615&amp;"_"&amp;Q615,挑战模式!$A$3:$Z$55,4+5*MonsterWaveCallRuleCfg!R615,FALSE)</f>
        <v/>
      </c>
      <c r="K615" s="102" t="str">
        <f t="shared" si="119"/>
        <v/>
      </c>
      <c r="L615" s="102" t="str">
        <f>IF(VLOOKUP(P615&amp;"_"&amp;Q615,挑战模式!$A$3:$Z$55,2+5*R615,FALSE)="","","Monster_Challenge"&amp;P615&amp;"_"&amp;Q615&amp;"_"&amp;R615)</f>
        <v/>
      </c>
      <c r="M615" s="57" t="str">
        <f t="shared" si="120"/>
        <v/>
      </c>
      <c r="O615" s="102" t="str">
        <f>VLOOKUP(P615&amp;"_"&amp;Q615,挑战模式!$A$3:$Z$55,6+5*MonsterWaveCallRuleCfg!R615,FALSE)</f>
        <v/>
      </c>
      <c r="P615" s="110">
        <f t="shared" si="117"/>
        <v>10</v>
      </c>
      <c r="Q615" s="110">
        <f t="shared" si="115"/>
        <v>2</v>
      </c>
      <c r="R615" s="110">
        <v>4</v>
      </c>
    </row>
    <row r="616" spans="2:18" x14ac:dyDescent="0.2">
      <c r="B616" s="57" t="str">
        <f t="shared" si="113"/>
        <v>MonsterWaveCallRule_Challenge10</v>
      </c>
      <c r="C616" s="57">
        <v>3</v>
      </c>
      <c r="D616" s="57" t="str">
        <f t="shared" si="114"/>
        <v>挑战关卡10第3波</v>
      </c>
      <c r="F616" s="57">
        <f t="shared" si="118"/>
        <v>0</v>
      </c>
      <c r="G616" s="102">
        <f t="shared" si="121"/>
        <v>180</v>
      </c>
      <c r="I616" s="102">
        <f>VLOOKUP(P616&amp;"_"&amp;Q616,挑战模式!$A$3:$Z$55,3+5*MonsterWaveCallRuleCfg!R616,FALSE)</f>
        <v>30</v>
      </c>
      <c r="J616" s="102">
        <f>VLOOKUP(P616&amp;"_"&amp;Q616,挑战模式!$A$3:$Z$55,4+5*MonsterWaveCallRuleCfg!R616,FALSE)</f>
        <v>0.5</v>
      </c>
      <c r="K616" s="102">
        <f t="shared" si="119"/>
        <v>1</v>
      </c>
      <c r="L616" s="102" t="str">
        <f>IF(VLOOKUP(P616&amp;"_"&amp;Q616,挑战模式!$A$3:$Z$55,2+5*R616,FALSE)="","","Monster_Challenge"&amp;P616&amp;"_"&amp;Q616&amp;"_"&amp;R616)</f>
        <v>Monster_Challenge10_3_1</v>
      </c>
      <c r="M616" s="57">
        <f t="shared" si="120"/>
        <v>1</v>
      </c>
      <c r="O616" s="102">
        <f>VLOOKUP(P616&amp;"_"&amp;Q616,挑战模式!$A$3:$Z$55,6+5*MonsterWaveCallRuleCfg!R616,FALSE)</f>
        <v>3</v>
      </c>
      <c r="P616" s="110">
        <f t="shared" si="117"/>
        <v>10</v>
      </c>
      <c r="Q616" s="110">
        <f t="shared" si="115"/>
        <v>3</v>
      </c>
      <c r="R616" s="110">
        <v>1</v>
      </c>
    </row>
    <row r="617" spans="2:18" x14ac:dyDescent="0.2">
      <c r="B617" s="57" t="str">
        <f t="shared" si="113"/>
        <v/>
      </c>
      <c r="D617" s="57" t="str">
        <f t="shared" si="114"/>
        <v/>
      </c>
      <c r="F617" s="57" t="str">
        <f t="shared" si="118"/>
        <v/>
      </c>
      <c r="G617" s="102" t="str">
        <f t="shared" si="121"/>
        <v/>
      </c>
      <c r="I617" s="102">
        <f>VLOOKUP(P617&amp;"_"&amp;Q617,挑战模式!$A$3:$Z$55,3+5*MonsterWaveCallRuleCfg!R617,FALSE)</f>
        <v>15</v>
      </c>
      <c r="J617" s="102">
        <f>VLOOKUP(P617&amp;"_"&amp;Q617,挑战模式!$A$3:$Z$55,4+5*MonsterWaveCallRuleCfg!R617,FALSE)</f>
        <v>1</v>
      </c>
      <c r="K617" s="102">
        <f t="shared" si="119"/>
        <v>1</v>
      </c>
      <c r="L617" s="102" t="str">
        <f>IF(VLOOKUP(P617&amp;"_"&amp;Q617,挑战模式!$A$3:$Z$55,2+5*R617,FALSE)="","","Monster_Challenge"&amp;P617&amp;"_"&amp;Q617&amp;"_"&amp;R617)</f>
        <v>Monster_Challenge10_3_2</v>
      </c>
      <c r="M617" s="57">
        <f t="shared" si="120"/>
        <v>1</v>
      </c>
      <c r="O617" s="102">
        <f>VLOOKUP(P617&amp;"_"&amp;Q617,挑战模式!$A$3:$Z$55,6+5*MonsterWaveCallRuleCfg!R617,FALSE)</f>
        <v>7</v>
      </c>
      <c r="P617" s="110">
        <f t="shared" si="117"/>
        <v>10</v>
      </c>
      <c r="Q617" s="110">
        <f t="shared" si="115"/>
        <v>3</v>
      </c>
      <c r="R617" s="110">
        <v>2</v>
      </c>
    </row>
    <row r="618" spans="2:18" x14ac:dyDescent="0.2">
      <c r="B618" s="57" t="str">
        <f t="shared" si="113"/>
        <v/>
      </c>
      <c r="D618" s="57" t="str">
        <f t="shared" si="114"/>
        <v/>
      </c>
      <c r="F618" s="57" t="str">
        <f t="shared" si="118"/>
        <v/>
      </c>
      <c r="G618" s="102" t="str">
        <f t="shared" si="121"/>
        <v/>
      </c>
      <c r="I618" s="102">
        <f>VLOOKUP(P618&amp;"_"&amp;Q618,挑战模式!$A$3:$Z$55,3+5*MonsterWaveCallRuleCfg!R618,FALSE)</f>
        <v>15</v>
      </c>
      <c r="J618" s="102">
        <f>VLOOKUP(P618&amp;"_"&amp;Q618,挑战模式!$A$3:$Z$55,4+5*MonsterWaveCallRuleCfg!R618,FALSE)</f>
        <v>1</v>
      </c>
      <c r="K618" s="102">
        <f t="shared" si="119"/>
        <v>1</v>
      </c>
      <c r="L618" s="102" t="str">
        <f>IF(VLOOKUP(P618&amp;"_"&amp;Q618,挑战模式!$A$3:$Z$55,2+5*R618,FALSE)="","","Monster_Challenge"&amp;P618&amp;"_"&amp;Q618&amp;"_"&amp;R618)</f>
        <v>Monster_Challenge10_3_3</v>
      </c>
      <c r="M618" s="57">
        <f t="shared" si="120"/>
        <v>1</v>
      </c>
      <c r="O618" s="102">
        <f>VLOOKUP(P618&amp;"_"&amp;Q618,挑战模式!$A$3:$Z$55,6+5*MonsterWaveCallRuleCfg!R618,FALSE)</f>
        <v>7</v>
      </c>
      <c r="P618" s="110">
        <f t="shared" si="117"/>
        <v>10</v>
      </c>
      <c r="Q618" s="110">
        <f t="shared" si="115"/>
        <v>3</v>
      </c>
      <c r="R618" s="110">
        <v>3</v>
      </c>
    </row>
    <row r="619" spans="2:18" x14ac:dyDescent="0.2">
      <c r="B619" s="57" t="str">
        <f t="shared" si="113"/>
        <v/>
      </c>
      <c r="D619" s="57" t="str">
        <f t="shared" si="114"/>
        <v/>
      </c>
      <c r="F619" s="57" t="str">
        <f t="shared" si="118"/>
        <v/>
      </c>
      <c r="G619" s="102" t="str">
        <f t="shared" si="121"/>
        <v/>
      </c>
      <c r="I619" s="102" t="str">
        <f>VLOOKUP(P619&amp;"_"&amp;Q619,挑战模式!$A$3:$Z$55,3+5*MonsterWaveCallRuleCfg!R619,FALSE)</f>
        <v/>
      </c>
      <c r="J619" s="102" t="str">
        <f>VLOOKUP(P619&amp;"_"&amp;Q619,挑战模式!$A$3:$Z$55,4+5*MonsterWaveCallRuleCfg!R619,FALSE)</f>
        <v/>
      </c>
      <c r="K619" s="102" t="str">
        <f t="shared" si="119"/>
        <v/>
      </c>
      <c r="L619" s="102" t="str">
        <f>IF(VLOOKUP(P619&amp;"_"&amp;Q619,挑战模式!$A$3:$Z$55,2+5*R619,FALSE)="","","Monster_Challenge"&amp;P619&amp;"_"&amp;Q619&amp;"_"&amp;R619)</f>
        <v/>
      </c>
      <c r="M619" s="57" t="str">
        <f t="shared" si="120"/>
        <v/>
      </c>
      <c r="O619" s="102" t="str">
        <f>VLOOKUP(P619&amp;"_"&amp;Q619,挑战模式!$A$3:$Z$55,6+5*MonsterWaveCallRuleCfg!R619,FALSE)</f>
        <v/>
      </c>
      <c r="P619" s="110">
        <f t="shared" si="117"/>
        <v>10</v>
      </c>
      <c r="Q619" s="110">
        <f t="shared" si="115"/>
        <v>3</v>
      </c>
      <c r="R619" s="110">
        <v>4</v>
      </c>
    </row>
    <row r="620" spans="2:18" x14ac:dyDescent="0.2">
      <c r="B620" s="57" t="str">
        <f t="shared" si="113"/>
        <v>MonsterWaveCallRule_Challenge10</v>
      </c>
      <c r="C620" s="57">
        <v>4</v>
      </c>
      <c r="D620" s="57" t="str">
        <f t="shared" si="114"/>
        <v>挑战关卡10第4波</v>
      </c>
      <c r="F620" s="57">
        <f t="shared" si="118"/>
        <v>0</v>
      </c>
      <c r="G620" s="102">
        <f t="shared" si="121"/>
        <v>180</v>
      </c>
      <c r="I620" s="102">
        <f>VLOOKUP(P620&amp;"_"&amp;Q620,挑战模式!$A$3:$Z$55,3+5*MonsterWaveCallRuleCfg!R620,FALSE)</f>
        <v>9</v>
      </c>
      <c r="J620" s="102">
        <f>VLOOKUP(P620&amp;"_"&amp;Q620,挑战模式!$A$3:$Z$55,4+5*MonsterWaveCallRuleCfg!R620,FALSE)</f>
        <v>2</v>
      </c>
      <c r="K620" s="102">
        <f t="shared" si="119"/>
        <v>1</v>
      </c>
      <c r="L620" s="102" t="str">
        <f>IF(VLOOKUP(P620&amp;"_"&amp;Q620,挑战模式!$A$3:$Z$55,2+5*R620,FALSE)="","","Monster_Challenge"&amp;P620&amp;"_"&amp;Q620&amp;"_"&amp;R620)</f>
        <v>Monster_Challenge10_4_1</v>
      </c>
      <c r="M620" s="57">
        <f t="shared" si="120"/>
        <v>1</v>
      </c>
      <c r="O620" s="102">
        <f>VLOOKUP(P620&amp;"_"&amp;Q620,挑战模式!$A$3:$Z$55,6+5*MonsterWaveCallRuleCfg!R620,FALSE)</f>
        <v>7</v>
      </c>
      <c r="P620" s="110">
        <f t="shared" si="117"/>
        <v>10</v>
      </c>
      <c r="Q620" s="110">
        <f t="shared" si="115"/>
        <v>4</v>
      </c>
      <c r="R620" s="110">
        <v>1</v>
      </c>
    </row>
    <row r="621" spans="2:18" x14ac:dyDescent="0.2">
      <c r="B621" s="57" t="str">
        <f t="shared" ref="B621:B632" si="122">IF(C621="","","MonsterWaveCallRule_Challenge"&amp;P621)</f>
        <v/>
      </c>
      <c r="D621" s="57" t="str">
        <f t="shared" ref="D621:D632" si="123">IF(C621="","","挑战关卡"&amp;P621&amp;"第"&amp;C621&amp;"波")</f>
        <v/>
      </c>
      <c r="F621" s="57" t="str">
        <f t="shared" si="118"/>
        <v/>
      </c>
      <c r="G621" s="102" t="str">
        <f t="shared" si="121"/>
        <v/>
      </c>
      <c r="I621" s="102">
        <f>VLOOKUP(P621&amp;"_"&amp;Q621,挑战模式!$A$3:$Z$55,3+5*MonsterWaveCallRuleCfg!R621,FALSE)</f>
        <v>18</v>
      </c>
      <c r="J621" s="102">
        <f>VLOOKUP(P621&amp;"_"&amp;Q621,挑战模式!$A$3:$Z$55,4+5*MonsterWaveCallRuleCfg!R621,FALSE)</f>
        <v>1</v>
      </c>
      <c r="K621" s="102">
        <f t="shared" si="119"/>
        <v>1</v>
      </c>
      <c r="L621" s="102" t="str">
        <f>IF(VLOOKUP(P621&amp;"_"&amp;Q621,挑战模式!$A$3:$Z$55,2+5*R621,FALSE)="","","Monster_Challenge"&amp;P621&amp;"_"&amp;Q621&amp;"_"&amp;R621)</f>
        <v>Monster_Challenge10_4_2</v>
      </c>
      <c r="M621" s="57">
        <f t="shared" si="120"/>
        <v>1</v>
      </c>
      <c r="O621" s="102">
        <f>VLOOKUP(P621&amp;"_"&amp;Q621,挑战模式!$A$3:$Z$55,6+5*MonsterWaveCallRuleCfg!R621,FALSE)</f>
        <v>7</v>
      </c>
      <c r="P621" s="110">
        <f t="shared" si="117"/>
        <v>10</v>
      </c>
      <c r="Q621" s="110">
        <f t="shared" si="115"/>
        <v>4</v>
      </c>
      <c r="R621" s="110">
        <v>2</v>
      </c>
    </row>
    <row r="622" spans="2:18" x14ac:dyDescent="0.2">
      <c r="B622" s="57" t="str">
        <f t="shared" si="122"/>
        <v/>
      </c>
      <c r="D622" s="57" t="str">
        <f t="shared" si="123"/>
        <v/>
      </c>
      <c r="F622" s="57" t="str">
        <f t="shared" si="118"/>
        <v/>
      </c>
      <c r="G622" s="102" t="str">
        <f t="shared" si="121"/>
        <v/>
      </c>
      <c r="I622" s="102">
        <f>VLOOKUP(P622&amp;"_"&amp;Q622,挑战模式!$A$3:$Z$55,3+5*MonsterWaveCallRuleCfg!R622,FALSE)</f>
        <v>35</v>
      </c>
      <c r="J622" s="102">
        <f>VLOOKUP(P622&amp;"_"&amp;Q622,挑战模式!$A$3:$Z$55,4+5*MonsterWaveCallRuleCfg!R622,FALSE)</f>
        <v>0.5</v>
      </c>
      <c r="K622" s="102">
        <f t="shared" si="119"/>
        <v>1</v>
      </c>
      <c r="L622" s="102" t="str">
        <f>IF(VLOOKUP(P622&amp;"_"&amp;Q622,挑战模式!$A$3:$Z$55,2+5*R622,FALSE)="","","Monster_Challenge"&amp;P622&amp;"_"&amp;Q622&amp;"_"&amp;R622)</f>
        <v>Monster_Challenge10_4_3</v>
      </c>
      <c r="M622" s="57">
        <f t="shared" si="120"/>
        <v>1</v>
      </c>
      <c r="O622" s="102">
        <f>VLOOKUP(P622&amp;"_"&amp;Q622,挑战模式!$A$3:$Z$55,6+5*MonsterWaveCallRuleCfg!R622,FALSE)</f>
        <v>3</v>
      </c>
      <c r="P622" s="110">
        <f t="shared" si="117"/>
        <v>10</v>
      </c>
      <c r="Q622" s="110">
        <f t="shared" ref="Q622:Q633" si="124">IF(C622="",Q621,C622)</f>
        <v>4</v>
      </c>
      <c r="R622" s="110">
        <v>3</v>
      </c>
    </row>
    <row r="623" spans="2:18" x14ac:dyDescent="0.2">
      <c r="B623" s="57" t="str">
        <f t="shared" si="122"/>
        <v/>
      </c>
      <c r="D623" s="57" t="str">
        <f t="shared" si="123"/>
        <v/>
      </c>
      <c r="F623" s="57" t="str">
        <f t="shared" si="118"/>
        <v/>
      </c>
      <c r="G623" s="102" t="str">
        <f t="shared" si="121"/>
        <v/>
      </c>
      <c r="I623" s="102" t="str">
        <f>VLOOKUP(P623&amp;"_"&amp;Q623,挑战模式!$A$3:$Z$55,3+5*MonsterWaveCallRuleCfg!R623,FALSE)</f>
        <v/>
      </c>
      <c r="J623" s="102" t="str">
        <f>VLOOKUP(P623&amp;"_"&amp;Q623,挑战模式!$A$3:$Z$55,4+5*MonsterWaveCallRuleCfg!R623,FALSE)</f>
        <v/>
      </c>
      <c r="K623" s="102" t="str">
        <f t="shared" si="119"/>
        <v/>
      </c>
      <c r="L623" s="102" t="str">
        <f>IF(VLOOKUP(P623&amp;"_"&amp;Q623,挑战模式!$A$3:$Z$55,2+5*R623,FALSE)="","","Monster_Challenge"&amp;P623&amp;"_"&amp;Q623&amp;"_"&amp;R623)</f>
        <v/>
      </c>
      <c r="M623" s="57" t="str">
        <f t="shared" si="120"/>
        <v/>
      </c>
      <c r="O623" s="102" t="str">
        <f>VLOOKUP(P623&amp;"_"&amp;Q623,挑战模式!$A$3:$Z$55,6+5*MonsterWaveCallRuleCfg!R623,FALSE)</f>
        <v/>
      </c>
      <c r="P623" s="110">
        <f t="shared" si="117"/>
        <v>10</v>
      </c>
      <c r="Q623" s="110">
        <f t="shared" si="124"/>
        <v>4</v>
      </c>
      <c r="R623" s="110">
        <v>4</v>
      </c>
    </row>
    <row r="624" spans="2:18" x14ac:dyDescent="0.2">
      <c r="B624" s="57" t="str">
        <f t="shared" si="122"/>
        <v>MonsterWaveCallRule_Challenge10</v>
      </c>
      <c r="C624" s="57">
        <v>5</v>
      </c>
      <c r="D624" s="57" t="str">
        <f t="shared" si="123"/>
        <v>挑战关卡10第5波</v>
      </c>
      <c r="F624" s="57">
        <f t="shared" si="118"/>
        <v>0</v>
      </c>
      <c r="G624" s="102">
        <f t="shared" si="121"/>
        <v>180</v>
      </c>
      <c r="I624" s="102">
        <f>VLOOKUP(P624&amp;"_"&amp;Q624,挑战模式!$A$3:$Z$55,3+5*MonsterWaveCallRuleCfg!R624,FALSE)</f>
        <v>10</v>
      </c>
      <c r="J624" s="102">
        <f>VLOOKUP(P624&amp;"_"&amp;Q624,挑战模式!$A$3:$Z$55,4+5*MonsterWaveCallRuleCfg!R624,FALSE)</f>
        <v>2</v>
      </c>
      <c r="K624" s="102">
        <f t="shared" si="119"/>
        <v>1</v>
      </c>
      <c r="L624" s="102" t="str">
        <f>IF(VLOOKUP(P624&amp;"_"&amp;Q624,挑战模式!$A$3:$Z$55,2+5*R624,FALSE)="","","Monster_Challenge"&amp;P624&amp;"_"&amp;Q624&amp;"_"&amp;R624)</f>
        <v>Monster_Challenge10_5_1</v>
      </c>
      <c r="M624" s="57">
        <f t="shared" si="120"/>
        <v>1</v>
      </c>
      <c r="O624" s="102">
        <f>VLOOKUP(P624&amp;"_"&amp;Q624,挑战模式!$A$3:$Z$55,6+5*MonsterWaveCallRuleCfg!R624,FALSE)</f>
        <v>8</v>
      </c>
      <c r="P624" s="110">
        <f t="shared" si="117"/>
        <v>10</v>
      </c>
      <c r="Q624" s="110">
        <f t="shared" si="124"/>
        <v>5</v>
      </c>
      <c r="R624" s="110">
        <v>1</v>
      </c>
    </row>
    <row r="625" spans="2:18" x14ac:dyDescent="0.2">
      <c r="B625" s="57" t="str">
        <f t="shared" si="122"/>
        <v/>
      </c>
      <c r="D625" s="57" t="str">
        <f t="shared" si="123"/>
        <v/>
      </c>
      <c r="F625" s="57" t="str">
        <f t="shared" si="118"/>
        <v/>
      </c>
      <c r="G625" s="102" t="str">
        <f t="shared" si="121"/>
        <v/>
      </c>
      <c r="I625" s="102">
        <f>VLOOKUP(P625&amp;"_"&amp;Q625,挑战模式!$A$3:$Z$55,3+5*MonsterWaveCallRuleCfg!R625,FALSE)</f>
        <v>40</v>
      </c>
      <c r="J625" s="102">
        <f>VLOOKUP(P625&amp;"_"&amp;Q625,挑战模式!$A$3:$Z$55,4+5*MonsterWaveCallRuleCfg!R625,FALSE)</f>
        <v>0.5</v>
      </c>
      <c r="K625" s="102">
        <f t="shared" si="119"/>
        <v>1</v>
      </c>
      <c r="L625" s="102" t="str">
        <f>IF(VLOOKUP(P625&amp;"_"&amp;Q625,挑战模式!$A$3:$Z$55,2+5*R625,FALSE)="","","Monster_Challenge"&amp;P625&amp;"_"&amp;Q625&amp;"_"&amp;R625)</f>
        <v>Monster_Challenge10_5_2</v>
      </c>
      <c r="M625" s="57">
        <f t="shared" si="120"/>
        <v>1</v>
      </c>
      <c r="O625" s="102">
        <f>VLOOKUP(P625&amp;"_"&amp;Q625,挑战模式!$A$3:$Z$55,6+5*MonsterWaveCallRuleCfg!R625,FALSE)</f>
        <v>4</v>
      </c>
      <c r="P625" s="110">
        <f t="shared" si="117"/>
        <v>10</v>
      </c>
      <c r="Q625" s="110">
        <f t="shared" si="124"/>
        <v>5</v>
      </c>
      <c r="R625" s="110">
        <v>2</v>
      </c>
    </row>
    <row r="626" spans="2:18" x14ac:dyDescent="0.2">
      <c r="B626" s="57" t="str">
        <f t="shared" si="122"/>
        <v/>
      </c>
      <c r="D626" s="57" t="str">
        <f t="shared" si="123"/>
        <v/>
      </c>
      <c r="F626" s="57" t="str">
        <f t="shared" si="118"/>
        <v/>
      </c>
      <c r="G626" s="102" t="str">
        <f t="shared" si="121"/>
        <v/>
      </c>
      <c r="I626" s="102">
        <f>VLOOKUP(P626&amp;"_"&amp;Q626,挑战模式!$A$3:$Z$55,3+5*MonsterWaveCallRuleCfg!R626,FALSE)</f>
        <v>40</v>
      </c>
      <c r="J626" s="102">
        <f>VLOOKUP(P626&amp;"_"&amp;Q626,挑战模式!$A$3:$Z$55,4+5*MonsterWaveCallRuleCfg!R626,FALSE)</f>
        <v>0.5</v>
      </c>
      <c r="K626" s="102">
        <f t="shared" si="119"/>
        <v>1</v>
      </c>
      <c r="L626" s="102" t="str">
        <f>IF(VLOOKUP(P626&amp;"_"&amp;Q626,挑战模式!$A$3:$Z$55,2+5*R626,FALSE)="","","Monster_Challenge"&amp;P626&amp;"_"&amp;Q626&amp;"_"&amp;R626)</f>
        <v>Monster_Challenge10_5_3</v>
      </c>
      <c r="M626" s="57">
        <f t="shared" si="120"/>
        <v>1</v>
      </c>
      <c r="O626" s="102">
        <f>VLOOKUP(P626&amp;"_"&amp;Q626,挑战模式!$A$3:$Z$55,6+5*MonsterWaveCallRuleCfg!R626,FALSE)</f>
        <v>2</v>
      </c>
      <c r="P626" s="110">
        <f t="shared" si="117"/>
        <v>10</v>
      </c>
      <c r="Q626" s="110">
        <f t="shared" si="124"/>
        <v>5</v>
      </c>
      <c r="R626" s="110">
        <v>3</v>
      </c>
    </row>
    <row r="627" spans="2:18" x14ac:dyDescent="0.2">
      <c r="B627" s="57" t="str">
        <f t="shared" si="122"/>
        <v/>
      </c>
      <c r="D627" s="57" t="str">
        <f t="shared" si="123"/>
        <v/>
      </c>
      <c r="F627" s="57" t="str">
        <f t="shared" si="118"/>
        <v/>
      </c>
      <c r="G627" s="102" t="str">
        <f t="shared" si="121"/>
        <v/>
      </c>
      <c r="I627" s="102" t="str">
        <f>VLOOKUP(P627&amp;"_"&amp;Q627,挑战模式!$A$3:$Z$55,3+5*MonsterWaveCallRuleCfg!R627,FALSE)</f>
        <v/>
      </c>
      <c r="J627" s="102" t="str">
        <f>VLOOKUP(P627&amp;"_"&amp;Q627,挑战模式!$A$3:$Z$55,4+5*MonsterWaveCallRuleCfg!R627,FALSE)</f>
        <v/>
      </c>
      <c r="K627" s="102" t="str">
        <f t="shared" si="119"/>
        <v/>
      </c>
      <c r="L627" s="102" t="str">
        <f>IF(VLOOKUP(P627&amp;"_"&amp;Q627,挑战模式!$A$3:$Z$55,2+5*R627,FALSE)="","","Monster_Challenge"&amp;P627&amp;"_"&amp;Q627&amp;"_"&amp;R627)</f>
        <v/>
      </c>
      <c r="M627" s="57" t="str">
        <f t="shared" si="120"/>
        <v/>
      </c>
      <c r="O627" s="102" t="str">
        <f>VLOOKUP(P627&amp;"_"&amp;Q627,挑战模式!$A$3:$Z$55,6+5*MonsterWaveCallRuleCfg!R627,FALSE)</f>
        <v/>
      </c>
      <c r="P627" s="110">
        <f t="shared" si="117"/>
        <v>10</v>
      </c>
      <c r="Q627" s="110">
        <f t="shared" si="124"/>
        <v>5</v>
      </c>
      <c r="R627" s="110">
        <v>4</v>
      </c>
    </row>
    <row r="628" spans="2:18" x14ac:dyDescent="0.2">
      <c r="B628" s="57" t="str">
        <f t="shared" si="122"/>
        <v>MonsterWaveCallRule_Challenge10</v>
      </c>
      <c r="C628" s="57">
        <v>6</v>
      </c>
      <c r="D628" s="57" t="str">
        <f t="shared" si="123"/>
        <v>挑战关卡10第6波</v>
      </c>
      <c r="F628" s="57">
        <f t="shared" ref="F628:F639" si="125">IF(C628="","",0)</f>
        <v>0</v>
      </c>
      <c r="G628" s="102">
        <f t="shared" ref="G628:G639" si="126">IF(C628="","",180)</f>
        <v>180</v>
      </c>
      <c r="I628" s="102">
        <f>VLOOKUP(P628&amp;"_"&amp;Q628,挑战模式!$A$3:$Z$55,3+5*MonsterWaveCallRuleCfg!R628,FALSE)</f>
        <v>15</v>
      </c>
      <c r="J628" s="102">
        <f>VLOOKUP(P628&amp;"_"&amp;Q628,挑战模式!$A$3:$Z$55,4+5*MonsterWaveCallRuleCfg!R628,FALSE)</f>
        <v>1</v>
      </c>
      <c r="K628" s="102">
        <f t="shared" ref="K628:K639" si="127">IF(I628="","",1)</f>
        <v>1</v>
      </c>
      <c r="L628" s="102" t="str">
        <f>IF(VLOOKUP(P628&amp;"_"&amp;Q628,挑战模式!$A$3:$Z$55,2+5*R628,FALSE)="","","Monster_Challenge"&amp;P628&amp;"_"&amp;Q628&amp;"_"&amp;R628)</f>
        <v>Monster_Challenge10_6_1</v>
      </c>
      <c r="M628" s="57">
        <f t="shared" ref="M628:M639" si="128">IF(I628="","",1)</f>
        <v>1</v>
      </c>
      <c r="O628" s="102">
        <f>VLOOKUP(P628&amp;"_"&amp;Q628,挑战模式!$A$3:$Z$55,6+5*MonsterWaveCallRuleCfg!R628,FALSE)</f>
        <v>8</v>
      </c>
      <c r="P628" s="110">
        <v>10</v>
      </c>
      <c r="Q628" s="110">
        <f t="shared" si="124"/>
        <v>6</v>
      </c>
      <c r="R628" s="110">
        <v>1</v>
      </c>
    </row>
    <row r="629" spans="2:18" x14ac:dyDescent="0.2">
      <c r="B629" s="57" t="str">
        <f t="shared" si="122"/>
        <v/>
      </c>
      <c r="D629" s="57" t="str">
        <f t="shared" si="123"/>
        <v/>
      </c>
      <c r="F629" s="57" t="str">
        <f t="shared" si="125"/>
        <v/>
      </c>
      <c r="G629" s="102" t="str">
        <f t="shared" si="126"/>
        <v/>
      </c>
      <c r="I629" s="102">
        <f>VLOOKUP(P629&amp;"_"&amp;Q629,挑战模式!$A$3:$Z$55,3+5*MonsterWaveCallRuleCfg!R629,FALSE)</f>
        <v>30</v>
      </c>
      <c r="J629" s="102">
        <f>VLOOKUP(P629&amp;"_"&amp;Q629,挑战模式!$A$3:$Z$55,4+5*MonsterWaveCallRuleCfg!R629,FALSE)</f>
        <v>0.5</v>
      </c>
      <c r="K629" s="102">
        <f t="shared" si="127"/>
        <v>1</v>
      </c>
      <c r="L629" s="102" t="str">
        <f>IF(VLOOKUP(P629&amp;"_"&amp;Q629,挑战模式!$A$3:$Z$55,2+5*R629,FALSE)="","","Monster_Challenge"&amp;P629&amp;"_"&amp;Q629&amp;"_"&amp;R629)</f>
        <v>Monster_Challenge10_6_2</v>
      </c>
      <c r="M629" s="57">
        <f t="shared" si="128"/>
        <v>1</v>
      </c>
      <c r="O629" s="102">
        <f>VLOOKUP(P629&amp;"_"&amp;Q629,挑战模式!$A$3:$Z$55,6+5*MonsterWaveCallRuleCfg!R629,FALSE)</f>
        <v>4</v>
      </c>
      <c r="P629" s="110">
        <v>10</v>
      </c>
      <c r="Q629" s="110">
        <f t="shared" si="124"/>
        <v>6</v>
      </c>
      <c r="R629" s="110">
        <v>2</v>
      </c>
    </row>
    <row r="630" spans="2:18" x14ac:dyDescent="0.2">
      <c r="B630" s="57" t="str">
        <f t="shared" si="122"/>
        <v/>
      </c>
      <c r="D630" s="57" t="str">
        <f t="shared" si="123"/>
        <v/>
      </c>
      <c r="F630" s="57" t="str">
        <f t="shared" si="125"/>
        <v/>
      </c>
      <c r="G630" s="102" t="str">
        <f t="shared" si="126"/>
        <v/>
      </c>
      <c r="I630" s="102">
        <f>VLOOKUP(P630&amp;"_"&amp;Q630,挑战模式!$A$3:$Z$55,3+5*MonsterWaveCallRuleCfg!R630,FALSE)</f>
        <v>10</v>
      </c>
      <c r="J630" s="102">
        <f>VLOOKUP(P630&amp;"_"&amp;Q630,挑战模式!$A$3:$Z$55,4+5*MonsterWaveCallRuleCfg!R630,FALSE)</f>
        <v>1.5</v>
      </c>
      <c r="K630" s="102">
        <f t="shared" si="127"/>
        <v>1</v>
      </c>
      <c r="L630" s="102" t="str">
        <f>IF(VLOOKUP(P630&amp;"_"&amp;Q630,挑战模式!$A$3:$Z$55,2+5*R630,FALSE)="","","Monster_Challenge"&amp;P630&amp;"_"&amp;Q630&amp;"_"&amp;R630)</f>
        <v>Monster_Challenge10_6_3</v>
      </c>
      <c r="M630" s="57">
        <f t="shared" si="128"/>
        <v>1</v>
      </c>
      <c r="O630" s="102">
        <f>VLOOKUP(P630&amp;"_"&amp;Q630,挑战模式!$A$3:$Z$55,6+5*MonsterWaveCallRuleCfg!R630,FALSE)</f>
        <v>8</v>
      </c>
      <c r="P630" s="110">
        <v>10</v>
      </c>
      <c r="Q630" s="110">
        <f t="shared" si="124"/>
        <v>6</v>
      </c>
      <c r="R630" s="110">
        <v>3</v>
      </c>
    </row>
    <row r="631" spans="2:18" x14ac:dyDescent="0.2">
      <c r="B631" s="57" t="str">
        <f t="shared" si="122"/>
        <v/>
      </c>
      <c r="D631" s="57" t="str">
        <f t="shared" si="123"/>
        <v/>
      </c>
      <c r="F631" s="57" t="str">
        <f t="shared" si="125"/>
        <v/>
      </c>
      <c r="G631" s="102" t="str">
        <f t="shared" si="126"/>
        <v/>
      </c>
      <c r="I631" s="102" t="str">
        <f>VLOOKUP(P631&amp;"_"&amp;Q631,挑战模式!$A$3:$Z$55,3+5*MonsterWaveCallRuleCfg!R631,FALSE)</f>
        <v/>
      </c>
      <c r="J631" s="102" t="str">
        <f>VLOOKUP(P631&amp;"_"&amp;Q631,挑战模式!$A$3:$Z$55,4+5*MonsterWaveCallRuleCfg!R631,FALSE)</f>
        <v/>
      </c>
      <c r="K631" s="102" t="str">
        <f t="shared" si="127"/>
        <v/>
      </c>
      <c r="L631" s="102" t="str">
        <f>IF(VLOOKUP(P631&amp;"_"&amp;Q631,挑战模式!$A$3:$Z$55,2+5*R631,FALSE)="","","Monster_Challenge"&amp;P631&amp;"_"&amp;Q631&amp;"_"&amp;R631)</f>
        <v/>
      </c>
      <c r="M631" s="57" t="str">
        <f t="shared" si="128"/>
        <v/>
      </c>
      <c r="O631" s="102" t="str">
        <f>VLOOKUP(P631&amp;"_"&amp;Q631,挑战模式!$A$3:$Z$55,6+5*MonsterWaveCallRuleCfg!R631,FALSE)</f>
        <v/>
      </c>
      <c r="P631" s="110">
        <v>10</v>
      </c>
      <c r="Q631" s="110">
        <f t="shared" si="124"/>
        <v>6</v>
      </c>
      <c r="R631" s="110">
        <v>4</v>
      </c>
    </row>
    <row r="632" spans="2:18" x14ac:dyDescent="0.2">
      <c r="B632" s="57" t="str">
        <f t="shared" si="122"/>
        <v>MonsterWaveCallRule_Challenge10</v>
      </c>
      <c r="C632" s="57">
        <v>7</v>
      </c>
      <c r="D632" s="57" t="str">
        <f t="shared" si="123"/>
        <v>挑战关卡10第7波</v>
      </c>
      <c r="F632" s="57">
        <f t="shared" si="125"/>
        <v>0</v>
      </c>
      <c r="G632" s="102">
        <f t="shared" si="126"/>
        <v>180</v>
      </c>
      <c r="I632" s="102">
        <f>VLOOKUP(P632&amp;"_"&amp;Q632,挑战模式!$A$3:$Z$55,3+5*MonsterWaveCallRuleCfg!R632,FALSE)</f>
        <v>18</v>
      </c>
      <c r="J632" s="102">
        <f>VLOOKUP(P632&amp;"_"&amp;Q632,挑战模式!$A$3:$Z$55,4+5*MonsterWaveCallRuleCfg!R632,FALSE)</f>
        <v>1</v>
      </c>
      <c r="K632" s="102">
        <f t="shared" si="127"/>
        <v>1</v>
      </c>
      <c r="L632" s="102" t="str">
        <f>IF(VLOOKUP(P632&amp;"_"&amp;Q632,挑战模式!$A$3:$Z$55,2+5*R632,FALSE)="","","Monster_Challenge"&amp;P632&amp;"_"&amp;Q632&amp;"_"&amp;R632)</f>
        <v>Monster_Challenge10_7_1</v>
      </c>
      <c r="M632" s="57">
        <f t="shared" si="128"/>
        <v>1</v>
      </c>
      <c r="O632" s="102">
        <f>VLOOKUP(P632&amp;"_"&amp;Q632,挑战模式!$A$3:$Z$55,6+5*MonsterWaveCallRuleCfg!R632,FALSE)</f>
        <v>4</v>
      </c>
      <c r="P632" s="110">
        <v>10</v>
      </c>
      <c r="Q632" s="110">
        <f t="shared" si="124"/>
        <v>7</v>
      </c>
      <c r="R632" s="110">
        <v>1</v>
      </c>
    </row>
    <row r="633" spans="2:18" x14ac:dyDescent="0.2">
      <c r="B633" s="57" t="str">
        <f t="shared" ref="B633:B639" si="129">IF(C633="","","MonsterWaveCallRule_Challenge"&amp;P633)</f>
        <v/>
      </c>
      <c r="D633" s="57" t="str">
        <f t="shared" ref="D633:D639" si="130">IF(C633="","","挑战关卡"&amp;P633&amp;"第"&amp;C633&amp;"波")</f>
        <v/>
      </c>
      <c r="F633" s="57" t="str">
        <f t="shared" si="125"/>
        <v/>
      </c>
      <c r="G633" s="102" t="str">
        <f t="shared" si="126"/>
        <v/>
      </c>
      <c r="I633" s="102">
        <f>VLOOKUP(P633&amp;"_"&amp;Q633,挑战模式!$A$3:$Z$55,3+5*MonsterWaveCallRuleCfg!R633,FALSE)</f>
        <v>35</v>
      </c>
      <c r="J633" s="102">
        <f>VLOOKUP(P633&amp;"_"&amp;Q633,挑战模式!$A$3:$Z$55,4+5*MonsterWaveCallRuleCfg!R633,FALSE)</f>
        <v>0.5</v>
      </c>
      <c r="K633" s="102">
        <f t="shared" si="127"/>
        <v>1</v>
      </c>
      <c r="L633" s="102" t="str">
        <f>IF(VLOOKUP(P633&amp;"_"&amp;Q633,挑战模式!$A$3:$Z$55,2+5*R633,FALSE)="","","Monster_Challenge"&amp;P633&amp;"_"&amp;Q633&amp;"_"&amp;R633)</f>
        <v>Monster_Challenge10_7_2</v>
      </c>
      <c r="M633" s="57">
        <f t="shared" si="128"/>
        <v>1</v>
      </c>
      <c r="O633" s="102">
        <f>VLOOKUP(P633&amp;"_"&amp;Q633,挑战模式!$A$3:$Z$55,6+5*MonsterWaveCallRuleCfg!R633,FALSE)</f>
        <v>2</v>
      </c>
      <c r="P633" s="110">
        <v>10</v>
      </c>
      <c r="Q633" s="110">
        <f t="shared" si="124"/>
        <v>7</v>
      </c>
      <c r="R633" s="110">
        <v>2</v>
      </c>
    </row>
    <row r="634" spans="2:18" x14ac:dyDescent="0.2">
      <c r="B634" s="57" t="str">
        <f t="shared" si="129"/>
        <v/>
      </c>
      <c r="D634" s="57" t="str">
        <f t="shared" si="130"/>
        <v/>
      </c>
      <c r="F634" s="57" t="str">
        <f t="shared" si="125"/>
        <v/>
      </c>
      <c r="G634" s="102" t="str">
        <f t="shared" si="126"/>
        <v/>
      </c>
      <c r="I634" s="102">
        <f>VLOOKUP(P634&amp;"_"&amp;Q634,挑战模式!$A$3:$Z$55,3+5*MonsterWaveCallRuleCfg!R634,FALSE)</f>
        <v>18</v>
      </c>
      <c r="J634" s="102">
        <f>VLOOKUP(P634&amp;"_"&amp;Q634,挑战模式!$A$3:$Z$55,4+5*MonsterWaveCallRuleCfg!R634,FALSE)</f>
        <v>1</v>
      </c>
      <c r="K634" s="102">
        <f t="shared" si="127"/>
        <v>1</v>
      </c>
      <c r="L634" s="102" t="str">
        <f>IF(VLOOKUP(P634&amp;"_"&amp;Q634,挑战模式!$A$3:$Z$55,2+5*R634,FALSE)="","","Monster_Challenge"&amp;P634&amp;"_"&amp;Q634&amp;"_"&amp;R634)</f>
        <v>Monster_Challenge10_7_3</v>
      </c>
      <c r="M634" s="57">
        <f t="shared" si="128"/>
        <v>1</v>
      </c>
      <c r="O634" s="102">
        <f>VLOOKUP(P634&amp;"_"&amp;Q634,挑战模式!$A$3:$Z$55,6+5*MonsterWaveCallRuleCfg!R634,FALSE)</f>
        <v>4</v>
      </c>
      <c r="P634" s="110">
        <v>10</v>
      </c>
      <c r="Q634" s="110">
        <f t="shared" ref="Q634:Q639" si="131">IF(C634="",Q633,C634)</f>
        <v>7</v>
      </c>
      <c r="R634" s="110">
        <v>3</v>
      </c>
    </row>
    <row r="635" spans="2:18" x14ac:dyDescent="0.2">
      <c r="B635" s="57" t="str">
        <f t="shared" si="129"/>
        <v/>
      </c>
      <c r="D635" s="57" t="str">
        <f t="shared" si="130"/>
        <v/>
      </c>
      <c r="F635" s="57" t="str">
        <f t="shared" si="125"/>
        <v/>
      </c>
      <c r="G635" s="102" t="str">
        <f t="shared" si="126"/>
        <v/>
      </c>
      <c r="I635" s="102">
        <f>VLOOKUP(P635&amp;"_"&amp;Q635,挑战模式!$A$3:$Z$55,3+5*MonsterWaveCallRuleCfg!R635,FALSE)</f>
        <v>35</v>
      </c>
      <c r="J635" s="102">
        <f>VLOOKUP(P635&amp;"_"&amp;Q635,挑战模式!$A$3:$Z$55,4+5*MonsterWaveCallRuleCfg!R635,FALSE)</f>
        <v>0.5</v>
      </c>
      <c r="K635" s="102">
        <f t="shared" si="127"/>
        <v>1</v>
      </c>
      <c r="L635" s="102" t="str">
        <f>IF(VLOOKUP(P635&amp;"_"&amp;Q635,挑战模式!$A$3:$Z$55,2+5*R635,FALSE)="","","Monster_Challenge"&amp;P635&amp;"_"&amp;Q635&amp;"_"&amp;R635)</f>
        <v>Monster_Challenge10_7_4</v>
      </c>
      <c r="M635" s="57">
        <f t="shared" si="128"/>
        <v>1</v>
      </c>
      <c r="O635" s="102">
        <f>VLOOKUP(P635&amp;"_"&amp;Q635,挑战模式!$A$3:$Z$55,6+5*MonsterWaveCallRuleCfg!R635,FALSE)</f>
        <v>2</v>
      </c>
      <c r="P635" s="110">
        <v>10</v>
      </c>
      <c r="Q635" s="110">
        <f t="shared" si="131"/>
        <v>7</v>
      </c>
      <c r="R635" s="110">
        <v>4</v>
      </c>
    </row>
    <row r="636" spans="2:18" x14ac:dyDescent="0.2">
      <c r="B636" s="57" t="str">
        <f t="shared" si="129"/>
        <v>MonsterWaveCallRule_Challenge10</v>
      </c>
      <c r="C636" s="57">
        <v>8</v>
      </c>
      <c r="D636" s="57" t="str">
        <f t="shared" si="130"/>
        <v>挑战关卡10第8波</v>
      </c>
      <c r="F636" s="57">
        <f t="shared" si="125"/>
        <v>0</v>
      </c>
      <c r="G636" s="102">
        <f t="shared" si="126"/>
        <v>180</v>
      </c>
      <c r="I636" s="102">
        <f>VLOOKUP(P636&amp;"_"&amp;Q636,挑战模式!$A$3:$Z$55,3+5*MonsterWaveCallRuleCfg!R636,FALSE)</f>
        <v>20</v>
      </c>
      <c r="J636" s="102">
        <f>VLOOKUP(P636&amp;"_"&amp;Q636,挑战模式!$A$3:$Z$55,4+5*MonsterWaveCallRuleCfg!R636,FALSE)</f>
        <v>1</v>
      </c>
      <c r="K636" s="102">
        <f t="shared" si="127"/>
        <v>1</v>
      </c>
      <c r="L636" s="102" t="str">
        <f>IF(VLOOKUP(P636&amp;"_"&amp;Q636,挑战模式!$A$3:$Z$55,2+5*R636,FALSE)="","","Monster_Challenge"&amp;P636&amp;"_"&amp;Q636&amp;"_"&amp;R636)</f>
        <v>Monster_Challenge10_8_1</v>
      </c>
      <c r="M636" s="57">
        <f t="shared" si="128"/>
        <v>1</v>
      </c>
      <c r="O636" s="102">
        <f>VLOOKUP(P636&amp;"_"&amp;Q636,挑战模式!$A$3:$Z$55,6+5*MonsterWaveCallRuleCfg!R636,FALSE)</f>
        <v>3</v>
      </c>
      <c r="P636" s="110">
        <v>10</v>
      </c>
      <c r="Q636" s="110">
        <f t="shared" si="131"/>
        <v>8</v>
      </c>
      <c r="R636" s="110">
        <v>1</v>
      </c>
    </row>
    <row r="637" spans="2:18" x14ac:dyDescent="0.2">
      <c r="B637" s="57" t="str">
        <f t="shared" si="129"/>
        <v/>
      </c>
      <c r="D637" s="57" t="str">
        <f t="shared" si="130"/>
        <v/>
      </c>
      <c r="F637" s="57" t="str">
        <f t="shared" si="125"/>
        <v/>
      </c>
      <c r="G637" s="102" t="str">
        <f t="shared" si="126"/>
        <v/>
      </c>
      <c r="I637" s="102">
        <f>VLOOKUP(P637&amp;"_"&amp;Q637,挑战模式!$A$3:$Z$55,3+5*MonsterWaveCallRuleCfg!R637,FALSE)</f>
        <v>40</v>
      </c>
      <c r="J637" s="102">
        <f>VLOOKUP(P637&amp;"_"&amp;Q637,挑战模式!$A$3:$Z$55,4+5*MonsterWaveCallRuleCfg!R637,FALSE)</f>
        <v>0.5</v>
      </c>
      <c r="K637" s="102">
        <f t="shared" si="127"/>
        <v>1</v>
      </c>
      <c r="L637" s="102" t="str">
        <f>IF(VLOOKUP(P637&amp;"_"&amp;Q637,挑战模式!$A$3:$Z$55,2+5*R637,FALSE)="","","Monster_Challenge"&amp;P637&amp;"_"&amp;Q637&amp;"_"&amp;R637)</f>
        <v>Monster_Challenge10_8_2</v>
      </c>
      <c r="M637" s="57">
        <f t="shared" si="128"/>
        <v>1</v>
      </c>
      <c r="O637" s="102">
        <f>VLOOKUP(P637&amp;"_"&amp;Q637,挑战模式!$A$3:$Z$55,6+5*MonsterWaveCallRuleCfg!R637,FALSE)</f>
        <v>2</v>
      </c>
      <c r="P637" s="110">
        <v>10</v>
      </c>
      <c r="Q637" s="110">
        <f t="shared" si="131"/>
        <v>8</v>
      </c>
      <c r="R637" s="110">
        <v>2</v>
      </c>
    </row>
    <row r="638" spans="2:18" x14ac:dyDescent="0.2">
      <c r="B638" s="57" t="str">
        <f t="shared" si="129"/>
        <v/>
      </c>
      <c r="D638" s="57" t="str">
        <f t="shared" si="130"/>
        <v/>
      </c>
      <c r="F638" s="57" t="str">
        <f t="shared" si="125"/>
        <v/>
      </c>
      <c r="G638" s="102" t="str">
        <f t="shared" si="126"/>
        <v/>
      </c>
      <c r="I638" s="102">
        <f>VLOOKUP(P638&amp;"_"&amp;Q638,挑战模式!$A$3:$Z$55,3+5*MonsterWaveCallRuleCfg!R638,FALSE)</f>
        <v>40</v>
      </c>
      <c r="J638" s="102">
        <f>VLOOKUP(P638&amp;"_"&amp;Q638,挑战模式!$A$3:$Z$55,4+5*MonsterWaveCallRuleCfg!R638,FALSE)</f>
        <v>0.5</v>
      </c>
      <c r="K638" s="102">
        <f t="shared" si="127"/>
        <v>1</v>
      </c>
      <c r="L638" s="102" t="str">
        <f>IF(VLOOKUP(P638&amp;"_"&amp;Q638,挑战模式!$A$3:$Z$55,2+5*R638,FALSE)="","","Monster_Challenge"&amp;P638&amp;"_"&amp;Q638&amp;"_"&amp;R638)</f>
        <v>Monster_Challenge10_8_3</v>
      </c>
      <c r="M638" s="57">
        <f t="shared" si="128"/>
        <v>1</v>
      </c>
      <c r="O638" s="102">
        <f>VLOOKUP(P638&amp;"_"&amp;Q638,挑战模式!$A$3:$Z$55,6+5*MonsterWaveCallRuleCfg!R638,FALSE)</f>
        <v>3</v>
      </c>
      <c r="P638" s="110">
        <v>10</v>
      </c>
      <c r="Q638" s="110">
        <f t="shared" si="131"/>
        <v>8</v>
      </c>
      <c r="R638" s="110">
        <v>3</v>
      </c>
    </row>
    <row r="639" spans="2:18" x14ac:dyDescent="0.2">
      <c r="B639" s="57" t="str">
        <f t="shared" si="129"/>
        <v/>
      </c>
      <c r="D639" s="57" t="str">
        <f t="shared" si="130"/>
        <v/>
      </c>
      <c r="F639" s="57" t="str">
        <f t="shared" si="125"/>
        <v/>
      </c>
      <c r="G639" s="102" t="str">
        <f t="shared" si="126"/>
        <v/>
      </c>
      <c r="I639" s="102">
        <f>VLOOKUP(P639&amp;"_"&amp;Q639,挑战模式!$A$3:$Z$55,3+5*MonsterWaveCallRuleCfg!R639,FALSE)</f>
        <v>1</v>
      </c>
      <c r="J639" s="102">
        <f>VLOOKUP(P639&amp;"_"&amp;Q639,挑战模式!$A$3:$Z$55,4+5*MonsterWaveCallRuleCfg!R639,FALSE)</f>
        <v>0</v>
      </c>
      <c r="K639" s="102">
        <f t="shared" si="127"/>
        <v>1</v>
      </c>
      <c r="L639" s="102" t="str">
        <f>IF(VLOOKUP(P639&amp;"_"&amp;Q639,挑战模式!$A$3:$Z$55,2+5*R639,FALSE)="","","Monster_Challenge"&amp;P639&amp;"_"&amp;Q639&amp;"_"&amp;R639)</f>
        <v>Monster_Challenge10_8_4</v>
      </c>
      <c r="M639" s="57">
        <f t="shared" si="128"/>
        <v>1</v>
      </c>
      <c r="O639" s="102">
        <f>VLOOKUP(P639&amp;"_"&amp;Q639,挑战模式!$A$3:$Z$55,6+5*MonsterWaveCallRuleCfg!R639,FALSE)</f>
        <v>60</v>
      </c>
      <c r="P639" s="110">
        <v>10</v>
      </c>
      <c r="Q639" s="110">
        <f t="shared" si="131"/>
        <v>8</v>
      </c>
      <c r="R639" s="110">
        <v>4</v>
      </c>
    </row>
    <row r="642" spans="2:17" x14ac:dyDescent="0.2">
      <c r="B642" s="57" t="s">
        <v>1572</v>
      </c>
      <c r="C642" s="57">
        <v>1</v>
      </c>
      <c r="D642" s="57" t="str">
        <f t="shared" ref="D642:D673" si="132">IF(C642="","","线下模式第"&amp;C642&amp;"波")</f>
        <v>线下模式第1波</v>
      </c>
      <c r="F642" s="57">
        <f>IF(C642="","",0)</f>
        <v>0</v>
      </c>
      <c r="G642" s="102">
        <f>IF(C642="","",180)</f>
        <v>180</v>
      </c>
      <c r="H642" s="57">
        <f>IF(I642="","",0)</f>
        <v>0</v>
      </c>
      <c r="I642" s="102">
        <f>IF(VLOOKUP($P642,线下模式!$A$3:$X$22,5,FALSE)="","",VLOOKUP($P642,线下模式!$A$3:$X$22,6,FALSE))</f>
        <v>13</v>
      </c>
      <c r="J642" s="102">
        <f>IF(VLOOKUP($P642,线下模式!$A$3:$X$22,5,FALSE)="","",VLOOKUP($P642,线下模式!$A$3:$X$22,7,FALSE))</f>
        <v>0.75</v>
      </c>
      <c r="K642" s="102">
        <f>IF(I642="","",1)</f>
        <v>1</v>
      </c>
      <c r="L642" s="102" t="str">
        <f>IF(VLOOKUP($P642,线下模式!$A$3:$X$22,5,FALSE)="","","Monster_Offline_"&amp;P642&amp;"_1")</f>
        <v>Monster_Offline_1_1</v>
      </c>
      <c r="M642" s="57">
        <f>IF(I642="","",1)</f>
        <v>1</v>
      </c>
      <c r="O642" s="102">
        <f>IF(VLOOKUP($P642,线下模式!$A$3:$X$22,5,FALSE)="","",VLOOKUP($P642,线下模式!$A$3:$X$22,9,FALSE))</f>
        <v>23</v>
      </c>
      <c r="P642" s="110">
        <f>IF(C642="",P613,C642)</f>
        <v>1</v>
      </c>
      <c r="Q642" s="110">
        <v>1</v>
      </c>
    </row>
    <row r="643" spans="2:17" x14ac:dyDescent="0.2">
      <c r="D643" s="57" t="str">
        <f t="shared" si="132"/>
        <v/>
      </c>
      <c r="F643" s="57" t="str">
        <f t="shared" ref="F643:F706" si="133">IF(C643="","",0)</f>
        <v/>
      </c>
      <c r="G643" s="102" t="str">
        <f t="shared" ref="G643:G706" si="134">IF(C643="","",180)</f>
        <v/>
      </c>
      <c r="H643" s="57" t="str">
        <f t="shared" ref="H643:H706" si="135">IF(I643="","",0)</f>
        <v/>
      </c>
      <c r="I643" s="102" t="str">
        <f>IF(VLOOKUP($P643,线下模式!$A$3:$X$22,10,FALSE)="","",VLOOKUP($P643,线下模式!$A$3:$X$22,11,FALSE))</f>
        <v/>
      </c>
      <c r="J643" s="102" t="str">
        <f>IF(VLOOKUP($P643,线下模式!$A$3:$X$22,10,FALSE)="","",VLOOKUP($P643,线下模式!$A$3:$X$22,12,FALSE))</f>
        <v/>
      </c>
      <c r="K643" s="102" t="str">
        <f t="shared" ref="K643:K706" si="136">IF(I643="","",1)</f>
        <v/>
      </c>
      <c r="L643" s="102" t="str">
        <f>IF(VLOOKUP($P643,线下模式!$A$3:$X$22,10,FALSE)="","","Monster_Offline_"&amp;P643&amp;"_2")</f>
        <v/>
      </c>
      <c r="M643" s="57" t="str">
        <f t="shared" ref="M643:M706" si="137">IF(I643="","",1)</f>
        <v/>
      </c>
      <c r="O643" s="102" t="str">
        <f>IF(VLOOKUP($P643,线下模式!$A$3:$X$22,10,FALSE)="","",VLOOKUP($P643,线下模式!$A$3:$X$22,14,FALSE))</f>
        <v/>
      </c>
      <c r="P643" s="110">
        <f t="shared" ref="P643:P706" si="138">IF(C643="",P642,C643)</f>
        <v>1</v>
      </c>
      <c r="Q643" s="110">
        <v>2</v>
      </c>
    </row>
    <row r="644" spans="2:17" x14ac:dyDescent="0.2">
      <c r="D644" s="57" t="str">
        <f t="shared" si="132"/>
        <v/>
      </c>
      <c r="F644" s="57" t="str">
        <f t="shared" si="133"/>
        <v/>
      </c>
      <c r="G644" s="102" t="str">
        <f t="shared" si="134"/>
        <v/>
      </c>
      <c r="H644" s="57" t="str">
        <f t="shared" si="135"/>
        <v/>
      </c>
      <c r="I644" s="102" t="str">
        <f>IF(VLOOKUP($P644,线下模式!$A$3:$X$22,15,FALSE)="","",VLOOKUP($P644,线下模式!$A$3:$X$22,16,FALSE))</f>
        <v/>
      </c>
      <c r="J644" s="102" t="str">
        <f>IF(VLOOKUP($P644,线下模式!$A$3:$X$22,15,FALSE)="","",VLOOKUP($P644,线下模式!$A$3:$X$22,17,FALSE))</f>
        <v/>
      </c>
      <c r="K644" s="102" t="str">
        <f t="shared" si="136"/>
        <v/>
      </c>
      <c r="L644" s="102" t="str">
        <f>IF(VLOOKUP($P644,线下模式!$A$3:$X$22,15,FALSE)="","","Monster_Offline_"&amp;P644&amp;"_3")</f>
        <v/>
      </c>
      <c r="M644" s="57" t="str">
        <f t="shared" si="137"/>
        <v/>
      </c>
      <c r="O644" s="102" t="str">
        <f>IF(VLOOKUP($P644,线下模式!$A$3:$X$22,15,FALSE)="","",VLOOKUP($P644,线下模式!$A$3:$X$22,19,FALSE))</f>
        <v/>
      </c>
      <c r="P644" s="110">
        <f t="shared" si="138"/>
        <v>1</v>
      </c>
      <c r="Q644" s="110">
        <v>3</v>
      </c>
    </row>
    <row r="645" spans="2:17" x14ac:dyDescent="0.2">
      <c r="D645" s="57" t="str">
        <f t="shared" si="132"/>
        <v/>
      </c>
      <c r="F645" s="57" t="str">
        <f t="shared" si="133"/>
        <v/>
      </c>
      <c r="G645" s="102" t="str">
        <f t="shared" si="134"/>
        <v/>
      </c>
      <c r="H645" s="57" t="str">
        <f t="shared" si="135"/>
        <v/>
      </c>
      <c r="I645" s="102" t="str">
        <f>IF(VLOOKUP($P645,线下模式!$A$3:$X$22,20,FALSE)="","",VLOOKUP($P645,线下模式!$A$3:$X$22,21,FALSE))</f>
        <v/>
      </c>
      <c r="J645" s="102" t="str">
        <f>IF(VLOOKUP($P645,线下模式!$A$3:$X$22,20,FALSE)="","",VLOOKUP($P645,线下模式!$A$3:$X$22,22,FALSE))</f>
        <v/>
      </c>
      <c r="K645" s="102" t="str">
        <f t="shared" si="136"/>
        <v/>
      </c>
      <c r="L645" s="102" t="str">
        <f>IF(VLOOKUP($P645,线下模式!$A$3:$X$22,20,FALSE)="","","Monster_Offline_"&amp;P645&amp;"_4")</f>
        <v/>
      </c>
      <c r="M645" s="57" t="str">
        <f t="shared" si="137"/>
        <v/>
      </c>
      <c r="O645" s="102" t="str">
        <f>IF(VLOOKUP($P645,线下模式!$A$3:$X$22,20,FALSE)="","",VLOOKUP($P645,线下模式!$A$3:$X$22,24,FALSE))</f>
        <v/>
      </c>
      <c r="P645" s="110">
        <f t="shared" si="138"/>
        <v>1</v>
      </c>
      <c r="Q645" s="110">
        <v>4</v>
      </c>
    </row>
    <row r="646" spans="2:17" x14ac:dyDescent="0.2">
      <c r="B646" s="57" t="s">
        <v>1572</v>
      </c>
      <c r="C646" s="57">
        <v>2</v>
      </c>
      <c r="D646" s="57" t="str">
        <f t="shared" si="132"/>
        <v>线下模式第2波</v>
      </c>
      <c r="F646" s="57">
        <f t="shared" si="133"/>
        <v>0</v>
      </c>
      <c r="G646" s="102">
        <f t="shared" si="134"/>
        <v>180</v>
      </c>
      <c r="H646" s="57">
        <f t="shared" si="135"/>
        <v>0</v>
      </c>
      <c r="I646" s="102">
        <f>IF(VLOOKUP($P646,线下模式!$A$3:$X$22,5,FALSE)="","",VLOOKUP($P646,线下模式!$A$3:$X$22,6,FALSE))</f>
        <v>15</v>
      </c>
      <c r="J646" s="102">
        <f>IF(VLOOKUP($P646,线下模式!$A$3:$X$22,5,FALSE)="","",VLOOKUP($P646,线下模式!$A$3:$X$22,7,FALSE))</f>
        <v>0.75</v>
      </c>
      <c r="K646" s="102">
        <f t="shared" si="136"/>
        <v>1</v>
      </c>
      <c r="L646" s="102" t="str">
        <f>IF(VLOOKUP($P646,线下模式!$A$3:$X$22,5,FALSE)="","","Monster_Offline_"&amp;P646&amp;"_1")</f>
        <v>Monster_Offline_2_1</v>
      </c>
      <c r="M646" s="57">
        <f t="shared" si="137"/>
        <v>1</v>
      </c>
      <c r="O646" s="102">
        <f>IF(VLOOKUP($P646,线下模式!$A$3:$X$22,5,FALSE)="","",VLOOKUP($P646,线下模式!$A$3:$X$22,9,FALSE))</f>
        <v>7</v>
      </c>
      <c r="P646" s="110">
        <f t="shared" si="138"/>
        <v>2</v>
      </c>
      <c r="Q646" s="110">
        <v>1</v>
      </c>
    </row>
    <row r="647" spans="2:17" x14ac:dyDescent="0.2">
      <c r="D647" s="57" t="str">
        <f t="shared" si="132"/>
        <v/>
      </c>
      <c r="F647" s="57" t="str">
        <f t="shared" si="133"/>
        <v/>
      </c>
      <c r="G647" s="102" t="str">
        <f t="shared" si="134"/>
        <v/>
      </c>
      <c r="H647" s="57">
        <f t="shared" si="135"/>
        <v>0</v>
      </c>
      <c r="I647" s="102">
        <f>IF(VLOOKUP($P647,线下模式!$A$3:$X$22,10,FALSE)="","",VLOOKUP($P647,线下模式!$A$3:$X$22,11,FALSE))</f>
        <v>7</v>
      </c>
      <c r="J647" s="102">
        <f>IF(VLOOKUP($P647,线下模式!$A$3:$X$22,10,FALSE)="","",VLOOKUP($P647,线下模式!$A$3:$X$22,12,FALSE))</f>
        <v>1.5</v>
      </c>
      <c r="K647" s="102">
        <f t="shared" si="136"/>
        <v>1</v>
      </c>
      <c r="L647" s="102" t="str">
        <f>IF(VLOOKUP($P647,线下模式!$A$3:$X$22,10,FALSE)="","","Monster_Offline_"&amp;P647&amp;"_2")</f>
        <v>Monster_Offline_2_2</v>
      </c>
      <c r="M647" s="57">
        <f t="shared" si="137"/>
        <v>1</v>
      </c>
      <c r="O647" s="102">
        <f>IF(VLOOKUP($P647,线下模式!$A$3:$X$22,10,FALSE)="","",VLOOKUP($P647,线下模式!$A$3:$X$22,14,FALSE))</f>
        <v>28</v>
      </c>
      <c r="P647" s="110">
        <f t="shared" si="138"/>
        <v>2</v>
      </c>
      <c r="Q647" s="110">
        <v>2</v>
      </c>
    </row>
    <row r="648" spans="2:17" x14ac:dyDescent="0.2">
      <c r="D648" s="57" t="str">
        <f t="shared" si="132"/>
        <v/>
      </c>
      <c r="F648" s="57" t="str">
        <f t="shared" si="133"/>
        <v/>
      </c>
      <c r="G648" s="102" t="str">
        <f t="shared" si="134"/>
        <v/>
      </c>
      <c r="H648" s="57" t="str">
        <f t="shared" si="135"/>
        <v/>
      </c>
      <c r="I648" s="102" t="str">
        <f>IF(VLOOKUP($P648,线下模式!$A$3:$X$22,15,FALSE)="","",VLOOKUP(P648,线下模式!$A$3:$X$22,16,FALSE))</f>
        <v/>
      </c>
      <c r="J648" s="102" t="str">
        <f>IF(VLOOKUP($P648,线下模式!$A$3:$X$22,15,FALSE)="","",VLOOKUP($P648,线下模式!$A$3:$X$22,17,FALSE))</f>
        <v/>
      </c>
      <c r="K648" s="102" t="str">
        <f t="shared" si="136"/>
        <v/>
      </c>
      <c r="L648" s="102" t="str">
        <f>IF(VLOOKUP($P648,线下模式!$A$3:$X$22,15,FALSE)="","","Monster_Offline_"&amp;P648&amp;"_3")</f>
        <v/>
      </c>
      <c r="M648" s="57" t="str">
        <f t="shared" si="137"/>
        <v/>
      </c>
      <c r="O648" s="102" t="str">
        <f>IF(VLOOKUP($P648,线下模式!$A$3:$X$22,15,FALSE)="","",VLOOKUP($P648,线下模式!$A$3:$X$22,19,FALSE))</f>
        <v/>
      </c>
      <c r="P648" s="110">
        <f t="shared" si="138"/>
        <v>2</v>
      </c>
      <c r="Q648" s="110">
        <v>3</v>
      </c>
    </row>
    <row r="649" spans="2:17" x14ac:dyDescent="0.2">
      <c r="D649" s="57" t="str">
        <f t="shared" si="132"/>
        <v/>
      </c>
      <c r="F649" s="57" t="str">
        <f t="shared" si="133"/>
        <v/>
      </c>
      <c r="G649" s="102" t="str">
        <f t="shared" si="134"/>
        <v/>
      </c>
      <c r="H649" s="57" t="str">
        <f t="shared" si="135"/>
        <v/>
      </c>
      <c r="I649" s="102" t="str">
        <f>IF(VLOOKUP($P649,线下模式!$A$3:$X$22,20,FALSE)="","",VLOOKUP($P649,线下模式!$A$3:$X$22,21,FALSE))</f>
        <v/>
      </c>
      <c r="J649" s="102" t="str">
        <f>IF(VLOOKUP($P649,线下模式!$A$3:$X$22,20,FALSE)="","",VLOOKUP($P649,线下模式!$A$3:$X$22,22,FALSE))</f>
        <v/>
      </c>
      <c r="K649" s="102" t="str">
        <f t="shared" si="136"/>
        <v/>
      </c>
      <c r="L649" s="102" t="str">
        <f>IF(VLOOKUP($P649,线下模式!$A$3:$X$22,20,FALSE)="","","Monster_Offline_"&amp;P649&amp;"_4")</f>
        <v/>
      </c>
      <c r="M649" s="57" t="str">
        <f t="shared" si="137"/>
        <v/>
      </c>
      <c r="O649" s="102" t="str">
        <f>IF(VLOOKUP($P649,线下模式!$A$3:$X$22,20,FALSE)="","",VLOOKUP($P649,线下模式!$A$3:$X$22,24,FALSE))</f>
        <v/>
      </c>
      <c r="P649" s="110">
        <f t="shared" si="138"/>
        <v>2</v>
      </c>
      <c r="Q649" s="110">
        <v>4</v>
      </c>
    </row>
    <row r="650" spans="2:17" x14ac:dyDescent="0.2">
      <c r="B650" s="57" t="s">
        <v>1572</v>
      </c>
      <c r="C650" s="57">
        <v>3</v>
      </c>
      <c r="D650" s="57" t="str">
        <f t="shared" si="132"/>
        <v>线下模式第3波</v>
      </c>
      <c r="F650" s="57">
        <f t="shared" si="133"/>
        <v>0</v>
      </c>
      <c r="G650" s="102">
        <f t="shared" si="134"/>
        <v>180</v>
      </c>
      <c r="H650" s="57">
        <f t="shared" si="135"/>
        <v>0</v>
      </c>
      <c r="I650" s="102">
        <f>IF(VLOOKUP($P650,线下模式!$A$3:$X$22,5,FALSE)="","",VLOOKUP($P650,线下模式!$A$3:$X$22,6,FALSE))</f>
        <v>8</v>
      </c>
      <c r="J650" s="102">
        <f>IF(VLOOKUP($P650,线下模式!$A$3:$X$22,5,FALSE)="","",VLOOKUP($P650,线下模式!$A$3:$X$22,7,FALSE))</f>
        <v>1.5</v>
      </c>
      <c r="K650" s="102">
        <f t="shared" si="136"/>
        <v>1</v>
      </c>
      <c r="L650" s="102" t="str">
        <f>IF(VLOOKUP($P650,线下模式!$A$3:$X$22,5,FALSE)="","","Monster_Offline_"&amp;P650&amp;"_1")</f>
        <v>Monster_Offline_3_1</v>
      </c>
      <c r="M650" s="57">
        <f t="shared" si="137"/>
        <v>1</v>
      </c>
      <c r="O650" s="102">
        <f>IF(VLOOKUP($P650,线下模式!$A$3:$X$22,5,FALSE)="","",VLOOKUP($P650,线下模式!$A$3:$X$22,9,FALSE))</f>
        <v>13</v>
      </c>
      <c r="P650" s="110">
        <f t="shared" si="138"/>
        <v>3</v>
      </c>
      <c r="Q650" s="110">
        <v>1</v>
      </c>
    </row>
    <row r="651" spans="2:17" x14ac:dyDescent="0.2">
      <c r="D651" s="57" t="str">
        <f t="shared" si="132"/>
        <v/>
      </c>
      <c r="F651" s="57" t="str">
        <f t="shared" si="133"/>
        <v/>
      </c>
      <c r="G651" s="102" t="str">
        <f t="shared" si="134"/>
        <v/>
      </c>
      <c r="H651" s="57">
        <f t="shared" si="135"/>
        <v>0</v>
      </c>
      <c r="I651" s="102">
        <f>IF(VLOOKUP($P651,线下模式!$A$3:$X$22,10,FALSE)="","",VLOOKUP($P651,线下模式!$A$3:$X$22,11,FALSE))</f>
        <v>60</v>
      </c>
      <c r="J651" s="102">
        <f>IF(VLOOKUP($P651,线下模式!$A$3:$X$22,10,FALSE)="","",VLOOKUP($P651,线下模式!$A$3:$X$22,12,FALSE))</f>
        <v>0.2</v>
      </c>
      <c r="K651" s="102">
        <f t="shared" si="136"/>
        <v>1</v>
      </c>
      <c r="L651" s="102" t="str">
        <f>IF(VLOOKUP($P651,线下模式!$A$3:$X$22,10,FALSE)="","","Monster_Offline_"&amp;P651&amp;"_2")</f>
        <v>Monster_Offline_3_2</v>
      </c>
      <c r="M651" s="57">
        <f t="shared" si="137"/>
        <v>1</v>
      </c>
      <c r="O651" s="102">
        <f>IF(VLOOKUP($P651,线下模式!$A$3:$X$22,10,FALSE)="","",VLOOKUP($P651,线下模式!$A$3:$X$22,14,FALSE))</f>
        <v>3</v>
      </c>
      <c r="P651" s="110">
        <f t="shared" si="138"/>
        <v>3</v>
      </c>
      <c r="Q651" s="110">
        <v>2</v>
      </c>
    </row>
    <row r="652" spans="2:17" x14ac:dyDescent="0.2">
      <c r="D652" s="57" t="str">
        <f t="shared" si="132"/>
        <v/>
      </c>
      <c r="F652" s="57" t="str">
        <f t="shared" si="133"/>
        <v/>
      </c>
      <c r="G652" s="102" t="str">
        <f t="shared" si="134"/>
        <v/>
      </c>
      <c r="H652" s="57" t="str">
        <f t="shared" si="135"/>
        <v/>
      </c>
      <c r="I652" s="102" t="str">
        <f>IF(VLOOKUP($P652,线下模式!$A$3:$X$22,15,FALSE)="","",VLOOKUP(P652,线下模式!$A$3:$X$22,16,FALSE))</f>
        <v/>
      </c>
      <c r="J652" s="102" t="str">
        <f>IF(VLOOKUP($P652,线下模式!$A$3:$X$22,15,FALSE)="","",VLOOKUP($P652,线下模式!$A$3:$X$22,17,FALSE))</f>
        <v/>
      </c>
      <c r="K652" s="102" t="str">
        <f t="shared" si="136"/>
        <v/>
      </c>
      <c r="L652" s="102" t="str">
        <f>IF(VLOOKUP($P652,线下模式!$A$3:$X$22,15,FALSE)="","","Monster_Offline_"&amp;P652&amp;"_3")</f>
        <v/>
      </c>
      <c r="M652" s="57" t="str">
        <f t="shared" si="137"/>
        <v/>
      </c>
      <c r="O652" s="102" t="str">
        <f>IF(VLOOKUP($P652,线下模式!$A$3:$X$22,15,FALSE)="","",VLOOKUP($P652,线下模式!$A$3:$X$22,19,FALSE))</f>
        <v/>
      </c>
      <c r="P652" s="110">
        <f t="shared" si="138"/>
        <v>3</v>
      </c>
      <c r="Q652" s="110">
        <v>3</v>
      </c>
    </row>
    <row r="653" spans="2:17" x14ac:dyDescent="0.2">
      <c r="D653" s="57" t="str">
        <f t="shared" si="132"/>
        <v/>
      </c>
      <c r="F653" s="57" t="str">
        <f t="shared" si="133"/>
        <v/>
      </c>
      <c r="G653" s="102" t="str">
        <f t="shared" si="134"/>
        <v/>
      </c>
      <c r="H653" s="57" t="str">
        <f t="shared" si="135"/>
        <v/>
      </c>
      <c r="I653" s="102" t="str">
        <f>IF(VLOOKUP($P653,线下模式!$A$3:$X$22,20,FALSE)="","",VLOOKUP($P653,线下模式!$A$3:$X$22,21,FALSE))</f>
        <v/>
      </c>
      <c r="J653" s="102" t="str">
        <f>IF(VLOOKUP($P653,线下模式!$A$3:$X$22,20,FALSE)="","",VLOOKUP($P653,线下模式!$A$3:$X$22,22,FALSE))</f>
        <v/>
      </c>
      <c r="K653" s="102" t="str">
        <f t="shared" si="136"/>
        <v/>
      </c>
      <c r="L653" s="102" t="str">
        <f>IF(VLOOKUP($P653,线下模式!$A$3:$X$22,20,FALSE)="","","Monster_Offline_"&amp;P653&amp;"_4")</f>
        <v/>
      </c>
      <c r="M653" s="57" t="str">
        <f t="shared" si="137"/>
        <v/>
      </c>
      <c r="O653" s="102" t="str">
        <f>IF(VLOOKUP($P653,线下模式!$A$3:$X$22,20,FALSE)="","",VLOOKUP($P653,线下模式!$A$3:$X$22,24,FALSE))</f>
        <v/>
      </c>
      <c r="P653" s="110">
        <f t="shared" si="138"/>
        <v>3</v>
      </c>
      <c r="Q653" s="110">
        <v>4</v>
      </c>
    </row>
    <row r="654" spans="2:17" x14ac:dyDescent="0.2">
      <c r="B654" s="57" t="s">
        <v>1572</v>
      </c>
      <c r="C654" s="57">
        <v>4</v>
      </c>
      <c r="D654" s="57" t="str">
        <f t="shared" si="132"/>
        <v>线下模式第4波</v>
      </c>
      <c r="F654" s="57">
        <f t="shared" si="133"/>
        <v>0</v>
      </c>
      <c r="G654" s="102">
        <f t="shared" si="134"/>
        <v>180</v>
      </c>
      <c r="H654" s="57">
        <f t="shared" si="135"/>
        <v>0</v>
      </c>
      <c r="I654" s="102">
        <f>IF(VLOOKUP($P654,线下模式!$A$3:$X$22,5,FALSE)="","",VLOOKUP($P654,线下模式!$A$3:$X$22,6,FALSE))</f>
        <v>17</v>
      </c>
      <c r="J654" s="102">
        <f>IF(VLOOKUP($P654,线下模式!$A$3:$X$22,5,FALSE)="","",VLOOKUP($P654,线下模式!$A$3:$X$22,7,FALSE))</f>
        <v>0.75</v>
      </c>
      <c r="K654" s="102">
        <f t="shared" si="136"/>
        <v>1</v>
      </c>
      <c r="L654" s="102" t="str">
        <f>IF(VLOOKUP($P654,线下模式!$A$3:$X$22,5,FALSE)="","","Monster_Offline_"&amp;P654&amp;"_1")</f>
        <v>Monster_Offline_4_1</v>
      </c>
      <c r="M654" s="57">
        <f t="shared" si="137"/>
        <v>1</v>
      </c>
      <c r="O654" s="102">
        <f>IF(VLOOKUP($P654,线下模式!$A$3:$X$22,5,FALSE)="","",VLOOKUP($P654,线下模式!$A$3:$X$22,9,FALSE))</f>
        <v>7</v>
      </c>
      <c r="P654" s="110">
        <f t="shared" si="138"/>
        <v>4</v>
      </c>
      <c r="Q654" s="110">
        <v>1</v>
      </c>
    </row>
    <row r="655" spans="2:17" x14ac:dyDescent="0.2">
      <c r="D655" s="57" t="str">
        <f t="shared" si="132"/>
        <v/>
      </c>
      <c r="F655" s="57" t="str">
        <f t="shared" si="133"/>
        <v/>
      </c>
      <c r="G655" s="102" t="str">
        <f t="shared" si="134"/>
        <v/>
      </c>
      <c r="H655" s="57">
        <f t="shared" si="135"/>
        <v>0</v>
      </c>
      <c r="I655" s="102">
        <f>IF(VLOOKUP($P655,线下模式!$A$3:$X$22,10,FALSE)="","",VLOOKUP($P655,线下模式!$A$3:$X$22,11,FALSE))</f>
        <v>13</v>
      </c>
      <c r="J655" s="102">
        <f>IF(VLOOKUP($P655,线下模式!$A$3:$X$22,10,FALSE)="","",VLOOKUP($P655,线下模式!$A$3:$X$22,12,FALSE))</f>
        <v>1</v>
      </c>
      <c r="K655" s="102">
        <f t="shared" si="136"/>
        <v>1</v>
      </c>
      <c r="L655" s="102" t="str">
        <f>IF(VLOOKUP($P655,线下模式!$A$3:$X$22,10,FALSE)="","","Monster_Offline_"&amp;P655&amp;"_2")</f>
        <v>Monster_Offline_4_2</v>
      </c>
      <c r="M655" s="57">
        <f t="shared" si="137"/>
        <v>1</v>
      </c>
      <c r="O655" s="102">
        <f>IF(VLOOKUP($P655,线下模式!$A$3:$X$22,10,FALSE)="","",VLOOKUP($P655,线下模式!$A$3:$X$22,14,FALSE))</f>
        <v>14</v>
      </c>
      <c r="P655" s="110">
        <f t="shared" si="138"/>
        <v>4</v>
      </c>
      <c r="Q655" s="110">
        <v>2</v>
      </c>
    </row>
    <row r="656" spans="2:17" x14ac:dyDescent="0.2">
      <c r="D656" s="57" t="str">
        <f t="shared" si="132"/>
        <v/>
      </c>
      <c r="F656" s="57" t="str">
        <f t="shared" si="133"/>
        <v/>
      </c>
      <c r="G656" s="102" t="str">
        <f t="shared" si="134"/>
        <v/>
      </c>
      <c r="H656" s="57" t="str">
        <f t="shared" si="135"/>
        <v/>
      </c>
      <c r="I656" s="102" t="str">
        <f>IF(VLOOKUP($P656,线下模式!$A$3:$X$22,15,FALSE)="","",VLOOKUP(P656,线下模式!$A$3:$X$22,16,FALSE))</f>
        <v/>
      </c>
      <c r="J656" s="102" t="str">
        <f>IF(VLOOKUP($P656,线下模式!$A$3:$X$22,15,FALSE)="","",VLOOKUP($P656,线下模式!$A$3:$X$22,17,FALSE))</f>
        <v/>
      </c>
      <c r="K656" s="102" t="str">
        <f t="shared" si="136"/>
        <v/>
      </c>
      <c r="L656" s="102" t="str">
        <f>IF(VLOOKUP($P656,线下模式!$A$3:$X$22,15,FALSE)="","","Monster_Offline_"&amp;P656&amp;"_3")</f>
        <v/>
      </c>
      <c r="M656" s="57" t="str">
        <f t="shared" si="137"/>
        <v/>
      </c>
      <c r="O656" s="102" t="str">
        <f>IF(VLOOKUP($P656,线下模式!$A$3:$X$22,15,FALSE)="","",VLOOKUP($P656,线下模式!$A$3:$X$22,19,FALSE))</f>
        <v/>
      </c>
      <c r="P656" s="110">
        <f t="shared" si="138"/>
        <v>4</v>
      </c>
      <c r="Q656" s="110">
        <v>3</v>
      </c>
    </row>
    <row r="657" spans="2:17" x14ac:dyDescent="0.2">
      <c r="D657" s="57" t="str">
        <f t="shared" si="132"/>
        <v/>
      </c>
      <c r="F657" s="57" t="str">
        <f t="shared" si="133"/>
        <v/>
      </c>
      <c r="G657" s="102" t="str">
        <f t="shared" si="134"/>
        <v/>
      </c>
      <c r="H657" s="57" t="str">
        <f t="shared" si="135"/>
        <v/>
      </c>
      <c r="I657" s="102" t="str">
        <f>IF(VLOOKUP($P657,线下模式!$A$3:$X$22,20,FALSE)="","",VLOOKUP($P657,线下模式!$A$3:$X$22,21,FALSE))</f>
        <v/>
      </c>
      <c r="J657" s="102" t="str">
        <f>IF(VLOOKUP($P657,线下模式!$A$3:$X$22,20,FALSE)="","",VLOOKUP($P657,线下模式!$A$3:$X$22,22,FALSE))</f>
        <v/>
      </c>
      <c r="K657" s="102" t="str">
        <f t="shared" si="136"/>
        <v/>
      </c>
      <c r="L657" s="102" t="str">
        <f>IF(VLOOKUP($P657,线下模式!$A$3:$X$22,20,FALSE)="","","Monster_Offline_"&amp;P657&amp;"_4")</f>
        <v/>
      </c>
      <c r="M657" s="57" t="str">
        <f t="shared" si="137"/>
        <v/>
      </c>
      <c r="O657" s="102" t="str">
        <f>IF(VLOOKUP($P657,线下模式!$A$3:$X$22,20,FALSE)="","",VLOOKUP($P657,线下模式!$A$3:$X$22,24,FALSE))</f>
        <v/>
      </c>
      <c r="P657" s="110">
        <f t="shared" si="138"/>
        <v>4</v>
      </c>
      <c r="Q657" s="110">
        <v>4</v>
      </c>
    </row>
    <row r="658" spans="2:17" x14ac:dyDescent="0.2">
      <c r="B658" s="57" t="s">
        <v>1572</v>
      </c>
      <c r="C658" s="57">
        <v>5</v>
      </c>
      <c r="D658" s="57" t="str">
        <f t="shared" si="132"/>
        <v>线下模式第5波</v>
      </c>
      <c r="F658" s="57">
        <f t="shared" si="133"/>
        <v>0</v>
      </c>
      <c r="G658" s="102">
        <f t="shared" si="134"/>
        <v>180</v>
      </c>
      <c r="H658" s="57">
        <f t="shared" si="135"/>
        <v>0</v>
      </c>
      <c r="I658" s="102">
        <f>IF(VLOOKUP($P658,线下模式!$A$3:$X$22,5,FALSE)="","",VLOOKUP($P658,线下模式!$A$3:$X$22,6,FALSE))</f>
        <v>1</v>
      </c>
      <c r="J658" s="102">
        <f>IF(VLOOKUP($P658,线下模式!$A$3:$X$22,5,FALSE)="","",VLOOKUP($P658,线下模式!$A$3:$X$22,7,FALSE))</f>
        <v>0</v>
      </c>
      <c r="K658" s="102">
        <f t="shared" si="136"/>
        <v>1</v>
      </c>
      <c r="L658" s="102" t="str">
        <f>IF(VLOOKUP($P658,线下模式!$A$3:$X$22,5,FALSE)="","","Monster_Offline_"&amp;P658&amp;"_1")</f>
        <v>Monster_Offline_5_1</v>
      </c>
      <c r="M658" s="57">
        <f t="shared" si="137"/>
        <v>1</v>
      </c>
      <c r="O658" s="102">
        <f>IF(VLOOKUP($P658,线下模式!$A$3:$X$22,5,FALSE)="","",VLOOKUP($P658,线下模式!$A$3:$X$22,9,FALSE))</f>
        <v>209</v>
      </c>
      <c r="P658" s="110">
        <f t="shared" si="138"/>
        <v>5</v>
      </c>
      <c r="Q658" s="110">
        <v>1</v>
      </c>
    </row>
    <row r="659" spans="2:17" x14ac:dyDescent="0.2">
      <c r="D659" s="57" t="str">
        <f t="shared" si="132"/>
        <v/>
      </c>
      <c r="F659" s="57" t="str">
        <f t="shared" si="133"/>
        <v/>
      </c>
      <c r="G659" s="102" t="str">
        <f t="shared" si="134"/>
        <v/>
      </c>
      <c r="H659" s="57">
        <f t="shared" si="135"/>
        <v>0</v>
      </c>
      <c r="I659" s="102">
        <f>IF(VLOOKUP($P659,线下模式!$A$3:$X$22,10,FALSE)="","",VLOOKUP($P659,线下模式!$A$3:$X$22,11,FALSE))</f>
        <v>35</v>
      </c>
      <c r="J659" s="102">
        <f>IF(VLOOKUP($P659,线下模式!$A$3:$X$22,10,FALSE)="","",VLOOKUP($P659,线下模式!$A$3:$X$22,12,FALSE))</f>
        <v>0.4</v>
      </c>
      <c r="K659" s="102">
        <f t="shared" si="136"/>
        <v>1</v>
      </c>
      <c r="L659" s="102" t="str">
        <f>IF(VLOOKUP($P659,线下模式!$A$3:$X$22,10,FALSE)="","","Monster_Offline_"&amp;P659&amp;"_2")</f>
        <v>Monster_Offline_5_2</v>
      </c>
      <c r="M659" s="57">
        <f t="shared" si="137"/>
        <v>1</v>
      </c>
      <c r="O659" s="102">
        <f>IF(VLOOKUP($P659,线下模式!$A$3:$X$22,10,FALSE)="","",VLOOKUP($P659,线下模式!$A$3:$X$22,14,FALSE))</f>
        <v>3</v>
      </c>
      <c r="P659" s="110">
        <f t="shared" si="138"/>
        <v>5</v>
      </c>
      <c r="Q659" s="110">
        <v>2</v>
      </c>
    </row>
    <row r="660" spans="2:17" x14ac:dyDescent="0.2">
      <c r="D660" s="57" t="str">
        <f t="shared" si="132"/>
        <v/>
      </c>
      <c r="F660" s="57" t="str">
        <f t="shared" si="133"/>
        <v/>
      </c>
      <c r="G660" s="102" t="str">
        <f t="shared" si="134"/>
        <v/>
      </c>
      <c r="H660" s="57" t="str">
        <f t="shared" si="135"/>
        <v/>
      </c>
      <c r="I660" s="102" t="str">
        <f>IF(VLOOKUP($P660,线下模式!$A$3:$X$22,15,FALSE)="","",VLOOKUP(P660,线下模式!$A$3:$X$22,16,FALSE))</f>
        <v/>
      </c>
      <c r="J660" s="102" t="str">
        <f>IF(VLOOKUP($P660,线下模式!$A$3:$X$22,15,FALSE)="","",VLOOKUP($P660,线下模式!$A$3:$X$22,17,FALSE))</f>
        <v/>
      </c>
      <c r="K660" s="102" t="str">
        <f t="shared" si="136"/>
        <v/>
      </c>
      <c r="L660" s="102" t="str">
        <f>IF(VLOOKUP($P660,线下模式!$A$3:$X$22,15,FALSE)="","","Monster_Offline_"&amp;P660&amp;"_3")</f>
        <v/>
      </c>
      <c r="M660" s="57" t="str">
        <f t="shared" si="137"/>
        <v/>
      </c>
      <c r="O660" s="102" t="str">
        <f>IF(VLOOKUP($P660,线下模式!$A$3:$X$22,15,FALSE)="","",VLOOKUP($P660,线下模式!$A$3:$X$22,19,FALSE))</f>
        <v/>
      </c>
      <c r="P660" s="110">
        <f t="shared" si="138"/>
        <v>5</v>
      </c>
      <c r="Q660" s="110">
        <v>3</v>
      </c>
    </row>
    <row r="661" spans="2:17" x14ac:dyDescent="0.2">
      <c r="D661" s="57" t="str">
        <f t="shared" si="132"/>
        <v/>
      </c>
      <c r="F661" s="57" t="str">
        <f t="shared" si="133"/>
        <v/>
      </c>
      <c r="G661" s="102" t="str">
        <f t="shared" si="134"/>
        <v/>
      </c>
      <c r="H661" s="57" t="str">
        <f t="shared" si="135"/>
        <v/>
      </c>
      <c r="I661" s="102" t="str">
        <f>IF(VLOOKUP($P661,线下模式!$A$3:$X$22,20,FALSE)="","",VLOOKUP($P661,线下模式!$A$3:$X$22,21,FALSE))</f>
        <v/>
      </c>
      <c r="J661" s="102" t="str">
        <f>IF(VLOOKUP($P661,线下模式!$A$3:$X$22,20,FALSE)="","",VLOOKUP($P661,线下模式!$A$3:$X$22,22,FALSE))</f>
        <v/>
      </c>
      <c r="K661" s="102" t="str">
        <f t="shared" si="136"/>
        <v/>
      </c>
      <c r="L661" s="102" t="str">
        <f>IF(VLOOKUP($P661,线下模式!$A$3:$X$22,20,FALSE)="","","Monster_Offline_"&amp;P661&amp;"_4")</f>
        <v/>
      </c>
      <c r="M661" s="57" t="str">
        <f t="shared" si="137"/>
        <v/>
      </c>
      <c r="O661" s="102" t="str">
        <f>IF(VLOOKUP($P661,线下模式!$A$3:$X$22,20,FALSE)="","",VLOOKUP($P661,线下模式!$A$3:$X$22,24,FALSE))</f>
        <v/>
      </c>
      <c r="P661" s="110">
        <f t="shared" si="138"/>
        <v>5</v>
      </c>
      <c r="Q661" s="110">
        <v>4</v>
      </c>
    </row>
    <row r="662" spans="2:17" x14ac:dyDescent="0.2">
      <c r="B662" s="57" t="s">
        <v>1572</v>
      </c>
      <c r="C662" s="57">
        <v>6</v>
      </c>
      <c r="D662" s="57" t="str">
        <f t="shared" si="132"/>
        <v>线下模式第6波</v>
      </c>
      <c r="F662" s="57">
        <f t="shared" si="133"/>
        <v>0</v>
      </c>
      <c r="G662" s="102">
        <f t="shared" si="134"/>
        <v>180</v>
      </c>
      <c r="H662" s="57">
        <f t="shared" si="135"/>
        <v>0</v>
      </c>
      <c r="I662" s="102">
        <f>IF(VLOOKUP($P662,线下模式!$A$3:$X$22,5,FALSE)="","",VLOOKUP($P662,线下模式!$A$3:$X$22,6,FALSE))</f>
        <v>20</v>
      </c>
      <c r="J662" s="102">
        <f>IF(VLOOKUP($P662,线下模式!$A$3:$X$22,5,FALSE)="","",VLOOKUP($P662,线下模式!$A$3:$X$22,7,FALSE))</f>
        <v>0.75</v>
      </c>
      <c r="K662" s="102">
        <f t="shared" si="136"/>
        <v>1</v>
      </c>
      <c r="L662" s="102" t="str">
        <f>IF(VLOOKUP($P662,线下模式!$A$3:$X$22,5,FALSE)="","","Monster_Offline_"&amp;P662&amp;"_1")</f>
        <v>Monster_Offline_6_1</v>
      </c>
      <c r="M662" s="57">
        <f t="shared" si="137"/>
        <v>1</v>
      </c>
      <c r="O662" s="102">
        <f>IF(VLOOKUP($P662,线下模式!$A$3:$X$22,5,FALSE)="","",VLOOKUP($P662,线下模式!$A$3:$X$22,9,FALSE))</f>
        <v>10</v>
      </c>
      <c r="P662" s="110">
        <f t="shared" si="138"/>
        <v>6</v>
      </c>
      <c r="Q662" s="110">
        <v>1</v>
      </c>
    </row>
    <row r="663" spans="2:17" x14ac:dyDescent="0.2">
      <c r="D663" s="57" t="str">
        <f t="shared" si="132"/>
        <v/>
      </c>
      <c r="F663" s="57" t="str">
        <f t="shared" si="133"/>
        <v/>
      </c>
      <c r="G663" s="102" t="str">
        <f t="shared" si="134"/>
        <v/>
      </c>
      <c r="H663" s="57">
        <f t="shared" si="135"/>
        <v>0</v>
      </c>
      <c r="I663" s="102">
        <f>IF(VLOOKUP($P663,线下模式!$A$3:$X$22,10,FALSE)="","",VLOOKUP($P663,线下模式!$A$3:$X$22,11,FALSE))</f>
        <v>20</v>
      </c>
      <c r="J663" s="102">
        <f>IF(VLOOKUP($P663,线下模式!$A$3:$X$22,10,FALSE)="","",VLOOKUP($P663,线下模式!$A$3:$X$22,12,FALSE))</f>
        <v>0.75</v>
      </c>
      <c r="K663" s="102">
        <f t="shared" si="136"/>
        <v>1</v>
      </c>
      <c r="L663" s="102" t="str">
        <f>IF(VLOOKUP($P663,线下模式!$A$3:$X$22,10,FALSE)="","","Monster_Offline_"&amp;P663&amp;"_2")</f>
        <v>Monster_Offline_6_2</v>
      </c>
      <c r="M663" s="57">
        <f t="shared" si="137"/>
        <v>1</v>
      </c>
      <c r="O663" s="102">
        <f>IF(VLOOKUP($P663,线下模式!$A$3:$X$22,10,FALSE)="","",VLOOKUP($P663,线下模式!$A$3:$X$22,14,FALSE))</f>
        <v>5</v>
      </c>
      <c r="P663" s="110">
        <f t="shared" si="138"/>
        <v>6</v>
      </c>
      <c r="Q663" s="110">
        <v>2</v>
      </c>
    </row>
    <row r="664" spans="2:17" x14ac:dyDescent="0.2">
      <c r="D664" s="57" t="str">
        <f t="shared" si="132"/>
        <v/>
      </c>
      <c r="F664" s="57" t="str">
        <f t="shared" si="133"/>
        <v/>
      </c>
      <c r="G664" s="102" t="str">
        <f t="shared" si="134"/>
        <v/>
      </c>
      <c r="H664" s="57" t="str">
        <f t="shared" si="135"/>
        <v/>
      </c>
      <c r="I664" s="102" t="str">
        <f>IF(VLOOKUP($P664,线下模式!$A$3:$X$22,15,FALSE)="","",VLOOKUP(P664,线下模式!$A$3:$X$22,16,FALSE))</f>
        <v/>
      </c>
      <c r="J664" s="102" t="str">
        <f>IF(VLOOKUP($P664,线下模式!$A$3:$X$22,15,FALSE)="","",VLOOKUP($P664,线下模式!$A$3:$X$22,17,FALSE))</f>
        <v/>
      </c>
      <c r="K664" s="102" t="str">
        <f t="shared" si="136"/>
        <v/>
      </c>
      <c r="L664" s="102" t="str">
        <f>IF(VLOOKUP($P664,线下模式!$A$3:$X$22,15,FALSE)="","","Monster_Offline_"&amp;P664&amp;"_3")</f>
        <v/>
      </c>
      <c r="M664" s="57" t="str">
        <f t="shared" si="137"/>
        <v/>
      </c>
      <c r="O664" s="102" t="str">
        <f>IF(VLOOKUP($P664,线下模式!$A$3:$X$22,15,FALSE)="","",VLOOKUP($P664,线下模式!$A$3:$X$22,19,FALSE))</f>
        <v/>
      </c>
      <c r="P664" s="110">
        <f t="shared" si="138"/>
        <v>6</v>
      </c>
      <c r="Q664" s="110">
        <v>3</v>
      </c>
    </row>
    <row r="665" spans="2:17" x14ac:dyDescent="0.2">
      <c r="D665" s="57" t="str">
        <f t="shared" si="132"/>
        <v/>
      </c>
      <c r="F665" s="57" t="str">
        <f t="shared" si="133"/>
        <v/>
      </c>
      <c r="G665" s="102" t="str">
        <f t="shared" si="134"/>
        <v/>
      </c>
      <c r="H665" s="57" t="str">
        <f t="shared" si="135"/>
        <v/>
      </c>
      <c r="I665" s="102" t="str">
        <f>IF(VLOOKUP($P665,线下模式!$A$3:$X$22,20,FALSE)="","",VLOOKUP($P665,线下模式!$A$3:$X$22,21,FALSE))</f>
        <v/>
      </c>
      <c r="J665" s="102" t="str">
        <f>IF(VLOOKUP($P665,线下模式!$A$3:$X$22,20,FALSE)="","",VLOOKUP($P665,线下模式!$A$3:$X$22,22,FALSE))</f>
        <v/>
      </c>
      <c r="K665" s="102" t="str">
        <f t="shared" si="136"/>
        <v/>
      </c>
      <c r="L665" s="102" t="str">
        <f>IF(VLOOKUP($P665,线下模式!$A$3:$X$22,20,FALSE)="","","Monster_Offline_"&amp;P665&amp;"_4")</f>
        <v/>
      </c>
      <c r="M665" s="57" t="str">
        <f t="shared" si="137"/>
        <v/>
      </c>
      <c r="O665" s="102" t="str">
        <f>IF(VLOOKUP($P665,线下模式!$A$3:$X$22,20,FALSE)="","",VLOOKUP($P665,线下模式!$A$3:$X$22,24,FALSE))</f>
        <v/>
      </c>
      <c r="P665" s="110">
        <f t="shared" si="138"/>
        <v>6</v>
      </c>
      <c r="Q665" s="110">
        <v>4</v>
      </c>
    </row>
    <row r="666" spans="2:17" x14ac:dyDescent="0.2">
      <c r="B666" s="57" t="s">
        <v>1572</v>
      </c>
      <c r="C666" s="57">
        <v>7</v>
      </c>
      <c r="D666" s="57" t="str">
        <f t="shared" si="132"/>
        <v>线下模式第7波</v>
      </c>
      <c r="F666" s="57">
        <f t="shared" si="133"/>
        <v>0</v>
      </c>
      <c r="G666" s="102">
        <f t="shared" si="134"/>
        <v>180</v>
      </c>
      <c r="H666" s="57">
        <f t="shared" si="135"/>
        <v>0</v>
      </c>
      <c r="I666" s="102">
        <f>IF(VLOOKUP($P666,线下模式!$A$3:$X$22,5,FALSE)="","",VLOOKUP($P666,线下模式!$A$3:$X$22,6,FALSE))</f>
        <v>32</v>
      </c>
      <c r="J666" s="102">
        <f>IF(VLOOKUP($P666,线下模式!$A$3:$X$22,5,FALSE)="","",VLOOKUP($P666,线下模式!$A$3:$X$22,7,FALSE))</f>
        <v>0.5</v>
      </c>
      <c r="K666" s="102">
        <f t="shared" si="136"/>
        <v>1</v>
      </c>
      <c r="L666" s="102" t="str">
        <f>IF(VLOOKUP($P666,线下模式!$A$3:$X$22,5,FALSE)="","","Monster_Offline_"&amp;P666&amp;"_1")</f>
        <v>Monster_Offline_7_1</v>
      </c>
      <c r="M666" s="57">
        <f t="shared" si="137"/>
        <v>1</v>
      </c>
      <c r="O666" s="102">
        <f>IF(VLOOKUP($P666,线下模式!$A$3:$X$22,5,FALSE)="","",VLOOKUP($P666,线下模式!$A$3:$X$22,9,FALSE))</f>
        <v>7</v>
      </c>
      <c r="P666" s="110">
        <f t="shared" si="138"/>
        <v>7</v>
      </c>
      <c r="Q666" s="110">
        <v>1</v>
      </c>
    </row>
    <row r="667" spans="2:17" x14ac:dyDescent="0.2">
      <c r="D667" s="57" t="str">
        <f t="shared" si="132"/>
        <v/>
      </c>
      <c r="F667" s="57" t="str">
        <f t="shared" si="133"/>
        <v/>
      </c>
      <c r="G667" s="102" t="str">
        <f t="shared" si="134"/>
        <v/>
      </c>
      <c r="H667" s="57">
        <f t="shared" si="135"/>
        <v>0</v>
      </c>
      <c r="I667" s="102">
        <f>IF(VLOOKUP($P667,线下模式!$A$3:$X$22,10,FALSE)="","",VLOOKUP($P667,线下模式!$A$3:$X$22,11,FALSE))</f>
        <v>21</v>
      </c>
      <c r="J667" s="102">
        <f>IF(VLOOKUP($P667,线下模式!$A$3:$X$22,10,FALSE)="","",VLOOKUP($P667,线下模式!$A$3:$X$22,12,FALSE))</f>
        <v>0.75</v>
      </c>
      <c r="K667" s="102">
        <f t="shared" si="136"/>
        <v>1</v>
      </c>
      <c r="L667" s="102" t="str">
        <f>IF(VLOOKUP($P667,线下模式!$A$3:$X$22,10,FALSE)="","","Monster_Offline_"&amp;P667&amp;"_2")</f>
        <v>Monster_Offline_7_2</v>
      </c>
      <c r="M667" s="57">
        <f t="shared" si="137"/>
        <v>1</v>
      </c>
      <c r="O667" s="102">
        <f>IF(VLOOKUP($P667,线下模式!$A$3:$X$22,10,FALSE)="","",VLOOKUP($P667,线下模式!$A$3:$X$22,14,FALSE))</f>
        <v>4</v>
      </c>
      <c r="P667" s="110">
        <f t="shared" si="138"/>
        <v>7</v>
      </c>
      <c r="Q667" s="110">
        <v>2</v>
      </c>
    </row>
    <row r="668" spans="2:17" x14ac:dyDescent="0.2">
      <c r="D668" s="57" t="str">
        <f t="shared" si="132"/>
        <v/>
      </c>
      <c r="F668" s="57" t="str">
        <f t="shared" si="133"/>
        <v/>
      </c>
      <c r="G668" s="102" t="str">
        <f t="shared" si="134"/>
        <v/>
      </c>
      <c r="H668" s="57" t="str">
        <f t="shared" si="135"/>
        <v/>
      </c>
      <c r="I668" s="102" t="str">
        <f>IF(VLOOKUP($P668,线下模式!$A$3:$X$22,15,FALSE)="","",VLOOKUP(P668,线下模式!$A$3:$X$22,16,FALSE))</f>
        <v/>
      </c>
      <c r="J668" s="102" t="str">
        <f>IF(VLOOKUP($P668,线下模式!$A$3:$X$22,15,FALSE)="","",VLOOKUP($P668,线下模式!$A$3:$X$22,17,FALSE))</f>
        <v/>
      </c>
      <c r="K668" s="102" t="str">
        <f t="shared" si="136"/>
        <v/>
      </c>
      <c r="L668" s="102" t="str">
        <f>IF(VLOOKUP($P668,线下模式!$A$3:$X$22,15,FALSE)="","","Monster_Offline_"&amp;P668&amp;"_3")</f>
        <v/>
      </c>
      <c r="M668" s="57" t="str">
        <f t="shared" si="137"/>
        <v/>
      </c>
      <c r="O668" s="102" t="str">
        <f>IF(VLOOKUP($P668,线下模式!$A$3:$X$22,15,FALSE)="","",VLOOKUP($P668,线下模式!$A$3:$X$22,19,FALSE))</f>
        <v/>
      </c>
      <c r="P668" s="110">
        <f t="shared" si="138"/>
        <v>7</v>
      </c>
      <c r="Q668" s="110">
        <v>3</v>
      </c>
    </row>
    <row r="669" spans="2:17" x14ac:dyDescent="0.2">
      <c r="D669" s="57" t="str">
        <f t="shared" si="132"/>
        <v/>
      </c>
      <c r="F669" s="57" t="str">
        <f t="shared" si="133"/>
        <v/>
      </c>
      <c r="G669" s="102" t="str">
        <f t="shared" si="134"/>
        <v/>
      </c>
      <c r="H669" s="57" t="str">
        <f t="shared" si="135"/>
        <v/>
      </c>
      <c r="I669" s="102" t="str">
        <f>IF(VLOOKUP($P669,线下模式!$A$3:$X$22,20,FALSE)="","",VLOOKUP($P669,线下模式!$A$3:$X$22,21,FALSE))</f>
        <v/>
      </c>
      <c r="J669" s="102" t="str">
        <f>IF(VLOOKUP($P669,线下模式!$A$3:$X$22,20,FALSE)="","",VLOOKUP($P669,线下模式!$A$3:$X$22,22,FALSE))</f>
        <v/>
      </c>
      <c r="K669" s="102" t="str">
        <f t="shared" si="136"/>
        <v/>
      </c>
      <c r="L669" s="102" t="str">
        <f>IF(VLOOKUP($P669,线下模式!$A$3:$X$22,20,FALSE)="","","Monster_Offline_"&amp;P669&amp;"_4")</f>
        <v/>
      </c>
      <c r="M669" s="57" t="str">
        <f t="shared" si="137"/>
        <v/>
      </c>
      <c r="O669" s="102" t="str">
        <f>IF(VLOOKUP($P669,线下模式!$A$3:$X$22,20,FALSE)="","",VLOOKUP($P669,线下模式!$A$3:$X$22,24,FALSE))</f>
        <v/>
      </c>
      <c r="P669" s="110">
        <f t="shared" si="138"/>
        <v>7</v>
      </c>
      <c r="Q669" s="110">
        <v>4</v>
      </c>
    </row>
    <row r="670" spans="2:17" x14ac:dyDescent="0.2">
      <c r="B670" s="57" t="s">
        <v>1572</v>
      </c>
      <c r="C670" s="57">
        <v>8</v>
      </c>
      <c r="D670" s="57" t="str">
        <f t="shared" si="132"/>
        <v>线下模式第8波</v>
      </c>
      <c r="F670" s="57">
        <f t="shared" si="133"/>
        <v>0</v>
      </c>
      <c r="G670" s="102">
        <f t="shared" si="134"/>
        <v>180</v>
      </c>
      <c r="H670" s="57">
        <f t="shared" si="135"/>
        <v>0</v>
      </c>
      <c r="I670" s="102">
        <f>IF(VLOOKUP($P670,线下模式!$A$3:$X$22,5,FALSE)="","",VLOOKUP($P670,线下模式!$A$3:$X$22,6,FALSE))</f>
        <v>17</v>
      </c>
      <c r="J670" s="102">
        <f>IF(VLOOKUP($P670,线下模式!$A$3:$X$22,5,FALSE)="","",VLOOKUP($P670,线下模式!$A$3:$X$22,7,FALSE))</f>
        <v>1</v>
      </c>
      <c r="K670" s="102">
        <f t="shared" si="136"/>
        <v>1</v>
      </c>
      <c r="L670" s="102" t="str">
        <f>IF(VLOOKUP($P670,线下模式!$A$3:$X$22,5,FALSE)="","","Monster_Offline_"&amp;P670&amp;"_1")</f>
        <v>Monster_Offline_8_1</v>
      </c>
      <c r="M670" s="57">
        <f t="shared" si="137"/>
        <v>1</v>
      </c>
      <c r="O670" s="102">
        <f>IF(VLOOKUP($P670,线下模式!$A$3:$X$22,5,FALSE)="","",VLOOKUP($P670,线下模式!$A$3:$X$22,9,FALSE))</f>
        <v>13</v>
      </c>
      <c r="P670" s="110">
        <f t="shared" si="138"/>
        <v>8</v>
      </c>
      <c r="Q670" s="110">
        <v>1</v>
      </c>
    </row>
    <row r="671" spans="2:17" x14ac:dyDescent="0.2">
      <c r="D671" s="57" t="str">
        <f t="shared" si="132"/>
        <v/>
      </c>
      <c r="F671" s="57" t="str">
        <f t="shared" si="133"/>
        <v/>
      </c>
      <c r="G671" s="102" t="str">
        <f t="shared" si="134"/>
        <v/>
      </c>
      <c r="H671" s="57">
        <f t="shared" si="135"/>
        <v>0</v>
      </c>
      <c r="I671" s="102">
        <f>IF(VLOOKUP($P671,线下模式!$A$3:$X$22,10,FALSE)="","",VLOOKUP($P671,线下模式!$A$3:$X$22,11,FALSE))</f>
        <v>6</v>
      </c>
      <c r="J671" s="102">
        <f>IF(VLOOKUP($P671,线下模式!$A$3:$X$22,10,FALSE)="","",VLOOKUP($P671,线下模式!$A$3:$X$22,12,FALSE))</f>
        <v>3</v>
      </c>
      <c r="K671" s="102">
        <f t="shared" si="136"/>
        <v>1</v>
      </c>
      <c r="L671" s="102" t="str">
        <f>IF(VLOOKUP($P671,线下模式!$A$3:$X$22,10,FALSE)="","","Monster_Offline_"&amp;P671&amp;"_2")</f>
        <v>Monster_Offline_8_2</v>
      </c>
      <c r="M671" s="57">
        <f t="shared" si="137"/>
        <v>1</v>
      </c>
      <c r="O671" s="102">
        <f>IF(VLOOKUP($P671,线下模式!$A$3:$X$22,10,FALSE)="","",VLOOKUP($P671,线下模式!$A$3:$X$22,14,FALSE))</f>
        <v>13</v>
      </c>
      <c r="P671" s="110">
        <f t="shared" si="138"/>
        <v>8</v>
      </c>
      <c r="Q671" s="110">
        <v>2</v>
      </c>
    </row>
    <row r="672" spans="2:17" x14ac:dyDescent="0.2">
      <c r="D672" s="57" t="str">
        <f t="shared" si="132"/>
        <v/>
      </c>
      <c r="F672" s="57" t="str">
        <f t="shared" si="133"/>
        <v/>
      </c>
      <c r="G672" s="102" t="str">
        <f t="shared" si="134"/>
        <v/>
      </c>
      <c r="H672" s="57" t="str">
        <f t="shared" si="135"/>
        <v/>
      </c>
      <c r="I672" s="102" t="str">
        <f>IF(VLOOKUP($P672,线下模式!$A$3:$X$22,15,FALSE)="","",VLOOKUP(P672,线下模式!$A$3:$X$22,16,FALSE))</f>
        <v/>
      </c>
      <c r="J672" s="102" t="str">
        <f>IF(VLOOKUP($P672,线下模式!$A$3:$X$22,15,FALSE)="","",VLOOKUP($P672,线下模式!$A$3:$X$22,17,FALSE))</f>
        <v/>
      </c>
      <c r="K672" s="102" t="str">
        <f t="shared" si="136"/>
        <v/>
      </c>
      <c r="L672" s="102" t="str">
        <f>IF(VLOOKUP($P672,线下模式!$A$3:$X$22,15,FALSE)="","","Monster_Offline_"&amp;P672&amp;"_3")</f>
        <v/>
      </c>
      <c r="M672" s="57" t="str">
        <f t="shared" si="137"/>
        <v/>
      </c>
      <c r="O672" s="102" t="str">
        <f>IF(VLOOKUP($P672,线下模式!$A$3:$X$22,15,FALSE)="","",VLOOKUP($P672,线下模式!$A$3:$X$22,19,FALSE))</f>
        <v/>
      </c>
      <c r="P672" s="110">
        <f t="shared" si="138"/>
        <v>8</v>
      </c>
      <c r="Q672" s="110">
        <v>3</v>
      </c>
    </row>
    <row r="673" spans="2:17" x14ac:dyDescent="0.2">
      <c r="D673" s="57" t="str">
        <f t="shared" si="132"/>
        <v/>
      </c>
      <c r="F673" s="57" t="str">
        <f t="shared" si="133"/>
        <v/>
      </c>
      <c r="G673" s="102" t="str">
        <f t="shared" si="134"/>
        <v/>
      </c>
      <c r="H673" s="57" t="str">
        <f t="shared" si="135"/>
        <v/>
      </c>
      <c r="I673" s="102" t="str">
        <f>IF(VLOOKUP($P673,线下模式!$A$3:$X$22,20,FALSE)="","",VLOOKUP($P673,线下模式!$A$3:$X$22,21,FALSE))</f>
        <v/>
      </c>
      <c r="J673" s="102" t="str">
        <f>IF(VLOOKUP($P673,线下模式!$A$3:$X$22,20,FALSE)="","",VLOOKUP($P673,线下模式!$A$3:$X$22,22,FALSE))</f>
        <v/>
      </c>
      <c r="K673" s="102" t="str">
        <f t="shared" si="136"/>
        <v/>
      </c>
      <c r="L673" s="102" t="str">
        <f>IF(VLOOKUP($P673,线下模式!$A$3:$X$22,20,FALSE)="","","Monster_Offline_"&amp;P673&amp;"_4")</f>
        <v/>
      </c>
      <c r="M673" s="57" t="str">
        <f t="shared" si="137"/>
        <v/>
      </c>
      <c r="O673" s="102" t="str">
        <f>IF(VLOOKUP($P673,线下模式!$A$3:$X$22,20,FALSE)="","",VLOOKUP($P673,线下模式!$A$3:$X$22,24,FALSE))</f>
        <v/>
      </c>
      <c r="P673" s="110">
        <f t="shared" si="138"/>
        <v>8</v>
      </c>
      <c r="Q673" s="110">
        <v>4</v>
      </c>
    </row>
    <row r="674" spans="2:17" x14ac:dyDescent="0.2">
      <c r="B674" s="57" t="s">
        <v>1572</v>
      </c>
      <c r="C674" s="57">
        <v>9</v>
      </c>
      <c r="D674" s="57" t="str">
        <f t="shared" ref="D674:D705" si="139">IF(C674="","","线下模式第"&amp;C674&amp;"波")</f>
        <v>线下模式第9波</v>
      </c>
      <c r="F674" s="57">
        <f t="shared" si="133"/>
        <v>0</v>
      </c>
      <c r="G674" s="102">
        <f t="shared" si="134"/>
        <v>180</v>
      </c>
      <c r="H674" s="57">
        <f t="shared" si="135"/>
        <v>0</v>
      </c>
      <c r="I674" s="102">
        <f>IF(VLOOKUP($P674,线下模式!$A$3:$X$22,5,FALSE)="","",VLOOKUP($P674,线下模式!$A$3:$X$22,6,FALSE))</f>
        <v>90</v>
      </c>
      <c r="J674" s="102">
        <f>IF(VLOOKUP($P674,线下模式!$A$3:$X$22,5,FALSE)="","",VLOOKUP($P674,线下模式!$A$3:$X$22,7,FALSE))</f>
        <v>0.2</v>
      </c>
      <c r="K674" s="102">
        <f t="shared" si="136"/>
        <v>1</v>
      </c>
      <c r="L674" s="102" t="str">
        <f>IF(VLOOKUP($P674,线下模式!$A$3:$X$22,5,FALSE)="","","Monster_Offline_"&amp;P674&amp;"_1")</f>
        <v>Monster_Offline_9_1</v>
      </c>
      <c r="M674" s="57">
        <f t="shared" si="137"/>
        <v>1</v>
      </c>
      <c r="O674" s="102">
        <f>IF(VLOOKUP($P674,线下模式!$A$3:$X$22,5,FALSE)="","",VLOOKUP($P674,线下模式!$A$3:$X$22,9,FALSE))</f>
        <v>3</v>
      </c>
      <c r="P674" s="110">
        <f t="shared" si="138"/>
        <v>9</v>
      </c>
      <c r="Q674" s="110">
        <v>1</v>
      </c>
    </row>
    <row r="675" spans="2:17" x14ac:dyDescent="0.2">
      <c r="D675" s="57" t="str">
        <f t="shared" si="139"/>
        <v/>
      </c>
      <c r="F675" s="57" t="str">
        <f t="shared" si="133"/>
        <v/>
      </c>
      <c r="G675" s="102" t="str">
        <f t="shared" si="134"/>
        <v/>
      </c>
      <c r="H675" s="57">
        <f t="shared" si="135"/>
        <v>0</v>
      </c>
      <c r="I675" s="102">
        <f>IF(VLOOKUP($P675,线下模式!$A$3:$X$22,10,FALSE)="","",VLOOKUP($P675,线下模式!$A$3:$X$22,11,FALSE))</f>
        <v>6</v>
      </c>
      <c r="J675" s="102">
        <f>IF(VLOOKUP($P675,线下模式!$A$3:$X$22,10,FALSE)="","",VLOOKUP($P675,线下模式!$A$3:$X$22,12,FALSE))</f>
        <v>3</v>
      </c>
      <c r="K675" s="102">
        <f t="shared" si="136"/>
        <v>1</v>
      </c>
      <c r="L675" s="102" t="str">
        <f>IF(VLOOKUP($P675,线下模式!$A$3:$X$22,10,FALSE)="","","Monster_Offline_"&amp;P675&amp;"_2")</f>
        <v>Monster_Offline_9_2</v>
      </c>
      <c r="M675" s="57">
        <f t="shared" si="137"/>
        <v>1</v>
      </c>
      <c r="O675" s="102">
        <f>IF(VLOOKUP($P675,线下模式!$A$3:$X$22,10,FALSE)="","",VLOOKUP($P675,线下模式!$A$3:$X$22,14,FALSE))</f>
        <v>3</v>
      </c>
      <c r="P675" s="110">
        <f t="shared" si="138"/>
        <v>9</v>
      </c>
      <c r="Q675" s="110">
        <v>2</v>
      </c>
    </row>
    <row r="676" spans="2:17" x14ac:dyDescent="0.2">
      <c r="D676" s="57" t="str">
        <f t="shared" si="139"/>
        <v/>
      </c>
      <c r="F676" s="57" t="str">
        <f t="shared" si="133"/>
        <v/>
      </c>
      <c r="G676" s="102" t="str">
        <f t="shared" si="134"/>
        <v/>
      </c>
      <c r="H676" s="57" t="str">
        <f t="shared" si="135"/>
        <v/>
      </c>
      <c r="I676" s="102" t="str">
        <f>IF(VLOOKUP($P676,线下模式!$A$3:$X$22,15,FALSE)="","",VLOOKUP(P676,线下模式!$A$3:$X$22,16,FALSE))</f>
        <v/>
      </c>
      <c r="J676" s="102" t="str">
        <f>IF(VLOOKUP($P676,线下模式!$A$3:$X$22,15,FALSE)="","",VLOOKUP($P676,线下模式!$A$3:$X$22,17,FALSE))</f>
        <v/>
      </c>
      <c r="K676" s="102" t="str">
        <f t="shared" si="136"/>
        <v/>
      </c>
      <c r="L676" s="102" t="str">
        <f>IF(VLOOKUP($P676,线下模式!$A$3:$X$22,15,FALSE)="","","Monster_Offline_"&amp;P676&amp;"_3")</f>
        <v/>
      </c>
      <c r="M676" s="57" t="str">
        <f t="shared" si="137"/>
        <v/>
      </c>
      <c r="O676" s="102" t="str">
        <f>IF(VLOOKUP($P676,线下模式!$A$3:$X$22,15,FALSE)="","",VLOOKUP($P676,线下模式!$A$3:$X$22,19,FALSE))</f>
        <v/>
      </c>
      <c r="P676" s="110">
        <f t="shared" si="138"/>
        <v>9</v>
      </c>
      <c r="Q676" s="110">
        <v>3</v>
      </c>
    </row>
    <row r="677" spans="2:17" x14ac:dyDescent="0.2">
      <c r="D677" s="57" t="str">
        <f t="shared" si="139"/>
        <v/>
      </c>
      <c r="F677" s="57" t="str">
        <f t="shared" si="133"/>
        <v/>
      </c>
      <c r="G677" s="102" t="str">
        <f t="shared" si="134"/>
        <v/>
      </c>
      <c r="H677" s="57" t="str">
        <f t="shared" si="135"/>
        <v/>
      </c>
      <c r="I677" s="102" t="str">
        <f>IF(VLOOKUP($P677,线下模式!$A$3:$X$22,20,FALSE)="","",VLOOKUP($P677,线下模式!$A$3:$X$22,21,FALSE))</f>
        <v/>
      </c>
      <c r="J677" s="102" t="str">
        <f>IF(VLOOKUP($P677,线下模式!$A$3:$X$22,20,FALSE)="","",VLOOKUP($P677,线下模式!$A$3:$X$22,22,FALSE))</f>
        <v/>
      </c>
      <c r="K677" s="102" t="str">
        <f t="shared" si="136"/>
        <v/>
      </c>
      <c r="L677" s="102" t="str">
        <f>IF(VLOOKUP($P677,线下模式!$A$3:$X$22,20,FALSE)="","","Monster_Offline_"&amp;P677&amp;"_4")</f>
        <v/>
      </c>
      <c r="M677" s="57" t="str">
        <f t="shared" si="137"/>
        <v/>
      </c>
      <c r="O677" s="102" t="str">
        <f>IF(VLOOKUP($P677,线下模式!$A$3:$X$22,20,FALSE)="","",VLOOKUP($P677,线下模式!$A$3:$X$22,24,FALSE))</f>
        <v/>
      </c>
      <c r="P677" s="110">
        <f t="shared" si="138"/>
        <v>9</v>
      </c>
      <c r="Q677" s="110">
        <v>4</v>
      </c>
    </row>
    <row r="678" spans="2:17" x14ac:dyDescent="0.2">
      <c r="B678" s="57" t="s">
        <v>1572</v>
      </c>
      <c r="C678" s="57">
        <v>10</v>
      </c>
      <c r="D678" s="57" t="str">
        <f t="shared" si="139"/>
        <v>线下模式第10波</v>
      </c>
      <c r="F678" s="57">
        <f t="shared" si="133"/>
        <v>0</v>
      </c>
      <c r="G678" s="102">
        <f t="shared" si="134"/>
        <v>180</v>
      </c>
      <c r="H678" s="57">
        <f t="shared" si="135"/>
        <v>0</v>
      </c>
      <c r="I678" s="102">
        <f>IF(VLOOKUP($P678,线下模式!$A$3:$X$22,5,FALSE)="","",VLOOKUP($P678,线下模式!$A$3:$X$22,6,FALSE))</f>
        <v>6</v>
      </c>
      <c r="J678" s="102">
        <f>IF(VLOOKUP($P678,线下模式!$A$3:$X$22,5,FALSE)="","",VLOOKUP($P678,线下模式!$A$3:$X$22,7,FALSE))</f>
        <v>3</v>
      </c>
      <c r="K678" s="102">
        <f t="shared" si="136"/>
        <v>1</v>
      </c>
      <c r="L678" s="102" t="str">
        <f>IF(VLOOKUP($P678,线下模式!$A$3:$X$22,5,FALSE)="","","Monster_Offline_"&amp;P678&amp;"_1")</f>
        <v>Monster_Offline_10_1</v>
      </c>
      <c r="M678" s="57">
        <f t="shared" si="137"/>
        <v>1</v>
      </c>
      <c r="O678" s="102">
        <f>IF(VLOOKUP($P678,线下模式!$A$3:$X$22,5,FALSE)="","",VLOOKUP($P678,线下模式!$A$3:$X$22,9,FALSE))</f>
        <v>19</v>
      </c>
      <c r="P678" s="110">
        <f t="shared" si="138"/>
        <v>10</v>
      </c>
      <c r="Q678" s="110">
        <v>1</v>
      </c>
    </row>
    <row r="679" spans="2:17" x14ac:dyDescent="0.2">
      <c r="D679" s="57" t="str">
        <f t="shared" si="139"/>
        <v/>
      </c>
      <c r="F679" s="57" t="str">
        <f t="shared" si="133"/>
        <v/>
      </c>
      <c r="G679" s="102" t="str">
        <f t="shared" si="134"/>
        <v/>
      </c>
      <c r="H679" s="57">
        <f t="shared" si="135"/>
        <v>0</v>
      </c>
      <c r="I679" s="102">
        <f>IF(VLOOKUP($P679,线下模式!$A$3:$X$22,10,FALSE)="","",VLOOKUP($P679,线下模式!$A$3:$X$22,11,FALSE))</f>
        <v>1</v>
      </c>
      <c r="J679" s="102">
        <f>IF(VLOOKUP($P679,线下模式!$A$3:$X$22,10,FALSE)="","",VLOOKUP($P679,线下模式!$A$3:$X$22,12,FALSE))</f>
        <v>0</v>
      </c>
      <c r="K679" s="102">
        <f t="shared" si="136"/>
        <v>1</v>
      </c>
      <c r="L679" s="102" t="str">
        <f>IF(VLOOKUP($P679,线下模式!$A$3:$X$22,10,FALSE)="","","Monster_Offline_"&amp;P679&amp;"_2")</f>
        <v>Monster_Offline_10_2</v>
      </c>
      <c r="M679" s="57">
        <f t="shared" si="137"/>
        <v>1</v>
      </c>
      <c r="O679" s="102">
        <f>IF(VLOOKUP($P679,线下模式!$A$3:$X$22,10,FALSE)="","",VLOOKUP($P679,线下模式!$A$3:$X$22,14,FALSE))</f>
        <v>188</v>
      </c>
      <c r="P679" s="110">
        <f t="shared" si="138"/>
        <v>10</v>
      </c>
      <c r="Q679" s="110">
        <v>2</v>
      </c>
    </row>
    <row r="680" spans="2:17" x14ac:dyDescent="0.2">
      <c r="D680" s="57" t="str">
        <f t="shared" si="139"/>
        <v/>
      </c>
      <c r="F680" s="57" t="str">
        <f t="shared" si="133"/>
        <v/>
      </c>
      <c r="G680" s="102" t="str">
        <f t="shared" si="134"/>
        <v/>
      </c>
      <c r="H680" s="57" t="str">
        <f t="shared" si="135"/>
        <v/>
      </c>
      <c r="I680" s="102" t="str">
        <f>IF(VLOOKUP($P680,线下模式!$A$3:$X$22,15,FALSE)="","",VLOOKUP(P680,线下模式!$A$3:$X$22,16,FALSE))</f>
        <v/>
      </c>
      <c r="J680" s="102" t="str">
        <f>IF(VLOOKUP($P680,线下模式!$A$3:$X$22,15,FALSE)="","",VLOOKUP($P680,线下模式!$A$3:$X$22,17,FALSE))</f>
        <v/>
      </c>
      <c r="K680" s="102" t="str">
        <f t="shared" si="136"/>
        <v/>
      </c>
      <c r="L680" s="102" t="str">
        <f>IF(VLOOKUP($P680,线下模式!$A$3:$X$22,15,FALSE)="","","Monster_Offline_"&amp;P680&amp;"_3")</f>
        <v/>
      </c>
      <c r="M680" s="57" t="str">
        <f t="shared" si="137"/>
        <v/>
      </c>
      <c r="O680" s="102" t="str">
        <f>IF(VLOOKUP($P680,线下模式!$A$3:$X$22,15,FALSE)="","",VLOOKUP($P680,线下模式!$A$3:$X$22,19,FALSE))</f>
        <v/>
      </c>
      <c r="P680" s="110">
        <f t="shared" si="138"/>
        <v>10</v>
      </c>
      <c r="Q680" s="110">
        <v>3</v>
      </c>
    </row>
    <row r="681" spans="2:17" x14ac:dyDescent="0.2">
      <c r="D681" s="57" t="str">
        <f t="shared" si="139"/>
        <v/>
      </c>
      <c r="F681" s="57" t="str">
        <f t="shared" si="133"/>
        <v/>
      </c>
      <c r="G681" s="102" t="str">
        <f t="shared" si="134"/>
        <v/>
      </c>
      <c r="H681" s="57" t="str">
        <f t="shared" si="135"/>
        <v/>
      </c>
      <c r="I681" s="102" t="str">
        <f>IF(VLOOKUP($P681,线下模式!$A$3:$X$22,20,FALSE)="","",VLOOKUP($P681,线下模式!$A$3:$X$22,21,FALSE))</f>
        <v/>
      </c>
      <c r="J681" s="102" t="str">
        <f>IF(VLOOKUP($P681,线下模式!$A$3:$X$22,20,FALSE)="","",VLOOKUP($P681,线下模式!$A$3:$X$22,22,FALSE))</f>
        <v/>
      </c>
      <c r="K681" s="102" t="str">
        <f t="shared" si="136"/>
        <v/>
      </c>
      <c r="L681" s="102" t="str">
        <f>IF(VLOOKUP($P681,线下模式!$A$3:$X$22,20,FALSE)="","","Monster_Offline_"&amp;P681&amp;"_4")</f>
        <v/>
      </c>
      <c r="M681" s="57" t="str">
        <f t="shared" si="137"/>
        <v/>
      </c>
      <c r="O681" s="102" t="str">
        <f>IF(VLOOKUP($P681,线下模式!$A$3:$X$22,20,FALSE)="","",VLOOKUP($P681,线下模式!$A$3:$X$22,24,FALSE))</f>
        <v/>
      </c>
      <c r="P681" s="110">
        <f t="shared" si="138"/>
        <v>10</v>
      </c>
      <c r="Q681" s="110">
        <v>4</v>
      </c>
    </row>
    <row r="682" spans="2:17" x14ac:dyDescent="0.2">
      <c r="B682" s="57" t="s">
        <v>1572</v>
      </c>
      <c r="C682" s="57">
        <v>11</v>
      </c>
      <c r="D682" s="57" t="str">
        <f t="shared" si="139"/>
        <v>线下模式第11波</v>
      </c>
      <c r="F682" s="57">
        <f t="shared" si="133"/>
        <v>0</v>
      </c>
      <c r="G682" s="102">
        <f t="shared" si="134"/>
        <v>180</v>
      </c>
      <c r="H682" s="57">
        <f t="shared" si="135"/>
        <v>0</v>
      </c>
      <c r="I682" s="102">
        <f>IF(VLOOKUP($P682,线下模式!$A$3:$X$22,5,FALSE)="","",VLOOKUP($P682,线下模式!$A$3:$X$22,6,FALSE))</f>
        <v>10</v>
      </c>
      <c r="J682" s="102">
        <f>IF(VLOOKUP($P682,线下模式!$A$3:$X$22,5,FALSE)="","",VLOOKUP($P682,线下模式!$A$3:$X$22,7,FALSE))</f>
        <v>2</v>
      </c>
      <c r="K682" s="102">
        <f t="shared" si="136"/>
        <v>1</v>
      </c>
      <c r="L682" s="102" t="str">
        <f>IF(VLOOKUP($P682,线下模式!$A$3:$X$22,5,FALSE)="","","Monster_Offline_"&amp;P682&amp;"_1")</f>
        <v>Monster_Offline_11_1</v>
      </c>
      <c r="M682" s="57">
        <f t="shared" si="137"/>
        <v>1</v>
      </c>
      <c r="O682" s="102">
        <f>IF(VLOOKUP($P682,线下模式!$A$3:$X$22,5,FALSE)="","",VLOOKUP($P682,线下模式!$A$3:$X$22,9,FALSE))</f>
        <v>29</v>
      </c>
      <c r="P682" s="110">
        <f t="shared" si="138"/>
        <v>11</v>
      </c>
      <c r="Q682" s="110">
        <v>1</v>
      </c>
    </row>
    <row r="683" spans="2:17" x14ac:dyDescent="0.2">
      <c r="D683" s="57" t="str">
        <f t="shared" si="139"/>
        <v/>
      </c>
      <c r="F683" s="57" t="str">
        <f t="shared" si="133"/>
        <v/>
      </c>
      <c r="G683" s="102" t="str">
        <f t="shared" si="134"/>
        <v/>
      </c>
      <c r="H683" s="57">
        <f t="shared" si="135"/>
        <v>0</v>
      </c>
      <c r="I683" s="102">
        <f>IF(VLOOKUP($P683,线下模式!$A$3:$X$22,10,FALSE)="","",VLOOKUP($P683,线下模式!$A$3:$X$22,11,FALSE))</f>
        <v>1</v>
      </c>
      <c r="J683" s="102">
        <f>IF(VLOOKUP($P683,线下模式!$A$3:$X$22,10,FALSE)="","",VLOOKUP($P683,线下模式!$A$3:$X$22,12,FALSE))</f>
        <v>0</v>
      </c>
      <c r="K683" s="102">
        <f t="shared" si="136"/>
        <v>1</v>
      </c>
      <c r="L683" s="102" t="str">
        <f>IF(VLOOKUP($P683,线下模式!$A$3:$X$22,10,FALSE)="","","Monster_Offline_"&amp;P683&amp;"_2")</f>
        <v>Monster_Offline_11_2</v>
      </c>
      <c r="M683" s="57">
        <f t="shared" si="137"/>
        <v>1</v>
      </c>
      <c r="O683" s="102">
        <f>IF(VLOOKUP($P683,线下模式!$A$3:$X$22,10,FALSE)="","",VLOOKUP($P683,线下模式!$A$3:$X$22,14,FALSE))</f>
        <v>14</v>
      </c>
      <c r="P683" s="110">
        <f t="shared" si="138"/>
        <v>11</v>
      </c>
      <c r="Q683" s="110">
        <v>2</v>
      </c>
    </row>
    <row r="684" spans="2:17" x14ac:dyDescent="0.2">
      <c r="D684" s="57" t="str">
        <f t="shared" si="139"/>
        <v/>
      </c>
      <c r="F684" s="57" t="str">
        <f t="shared" si="133"/>
        <v/>
      </c>
      <c r="G684" s="102" t="str">
        <f t="shared" si="134"/>
        <v/>
      </c>
      <c r="H684" s="57" t="str">
        <f t="shared" si="135"/>
        <v/>
      </c>
      <c r="I684" s="102" t="str">
        <f>IF(VLOOKUP($P684,线下模式!$A$3:$X$22,15,FALSE)="","",VLOOKUP(P684,线下模式!$A$3:$X$22,16,FALSE))</f>
        <v/>
      </c>
      <c r="J684" s="102" t="str">
        <f>IF(VLOOKUP($P684,线下模式!$A$3:$X$22,15,FALSE)="","",VLOOKUP($P684,线下模式!$A$3:$X$22,17,FALSE))</f>
        <v/>
      </c>
      <c r="K684" s="102" t="str">
        <f t="shared" si="136"/>
        <v/>
      </c>
      <c r="L684" s="102" t="str">
        <f>IF(VLOOKUP($P684,线下模式!$A$3:$X$22,15,FALSE)="","","Monster_Offline_"&amp;P684&amp;"_3")</f>
        <v/>
      </c>
      <c r="M684" s="57" t="str">
        <f t="shared" si="137"/>
        <v/>
      </c>
      <c r="O684" s="102" t="str">
        <f>IF(VLOOKUP($P684,线下模式!$A$3:$X$22,15,FALSE)="","",VLOOKUP($P684,线下模式!$A$3:$X$22,19,FALSE))</f>
        <v/>
      </c>
      <c r="P684" s="110">
        <f t="shared" si="138"/>
        <v>11</v>
      </c>
      <c r="Q684" s="110">
        <v>3</v>
      </c>
    </row>
    <row r="685" spans="2:17" x14ac:dyDescent="0.2">
      <c r="D685" s="57" t="str">
        <f t="shared" si="139"/>
        <v/>
      </c>
      <c r="F685" s="57" t="str">
        <f t="shared" si="133"/>
        <v/>
      </c>
      <c r="G685" s="102" t="str">
        <f t="shared" si="134"/>
        <v/>
      </c>
      <c r="H685" s="57" t="str">
        <f t="shared" si="135"/>
        <v/>
      </c>
      <c r="I685" s="102" t="str">
        <f>IF(VLOOKUP($P685,线下模式!$A$3:$X$22,20,FALSE)="","",VLOOKUP($P685,线下模式!$A$3:$X$22,21,FALSE))</f>
        <v/>
      </c>
      <c r="J685" s="102" t="str">
        <f>IF(VLOOKUP($P685,线下模式!$A$3:$X$22,20,FALSE)="","",VLOOKUP($P685,线下模式!$A$3:$X$22,22,FALSE))</f>
        <v/>
      </c>
      <c r="K685" s="102" t="str">
        <f t="shared" si="136"/>
        <v/>
      </c>
      <c r="L685" s="102" t="str">
        <f>IF(VLOOKUP($P685,线下模式!$A$3:$X$22,20,FALSE)="","","Monster_Offline_"&amp;P685&amp;"_4")</f>
        <v/>
      </c>
      <c r="M685" s="57" t="str">
        <f t="shared" si="137"/>
        <v/>
      </c>
      <c r="O685" s="102" t="str">
        <f>IF(VLOOKUP($P685,线下模式!$A$3:$X$22,20,FALSE)="","",VLOOKUP($P685,线下模式!$A$3:$X$22,24,FALSE))</f>
        <v/>
      </c>
      <c r="P685" s="110">
        <f t="shared" si="138"/>
        <v>11</v>
      </c>
      <c r="Q685" s="110">
        <v>4</v>
      </c>
    </row>
    <row r="686" spans="2:17" x14ac:dyDescent="0.2">
      <c r="B686" s="57" t="s">
        <v>1572</v>
      </c>
      <c r="C686" s="57">
        <v>12</v>
      </c>
      <c r="D686" s="57" t="str">
        <f t="shared" si="139"/>
        <v>线下模式第12波</v>
      </c>
      <c r="F686" s="57">
        <f t="shared" si="133"/>
        <v>0</v>
      </c>
      <c r="G686" s="102">
        <f t="shared" si="134"/>
        <v>180</v>
      </c>
      <c r="H686" s="57">
        <f t="shared" si="135"/>
        <v>0</v>
      </c>
      <c r="I686" s="102">
        <f>IF(VLOOKUP($P686,线下模式!$A$3:$X$22,5,FALSE)="","",VLOOKUP($P686,线下模式!$A$3:$X$22,6,FALSE))</f>
        <v>14</v>
      </c>
      <c r="J686" s="102">
        <f>IF(VLOOKUP($P686,线下模式!$A$3:$X$22,5,FALSE)="","",VLOOKUP($P686,线下模式!$A$3:$X$22,7,FALSE))</f>
        <v>1.5</v>
      </c>
      <c r="K686" s="102">
        <f t="shared" si="136"/>
        <v>1</v>
      </c>
      <c r="L686" s="102" t="str">
        <f>IF(VLOOKUP($P686,线下模式!$A$3:$X$22,5,FALSE)="","","Monster_Offline_"&amp;P686&amp;"_1")</f>
        <v>Monster_Offline_12_1</v>
      </c>
      <c r="M686" s="57">
        <f t="shared" si="137"/>
        <v>1</v>
      </c>
      <c r="O686" s="102">
        <f>IF(VLOOKUP($P686,线下模式!$A$3:$X$22,5,FALSE)="","",VLOOKUP($P686,线下模式!$A$3:$X$22,9,FALSE))</f>
        <v>21</v>
      </c>
      <c r="P686" s="110">
        <f t="shared" si="138"/>
        <v>12</v>
      </c>
      <c r="Q686" s="110">
        <v>1</v>
      </c>
    </row>
    <row r="687" spans="2:17" x14ac:dyDescent="0.2">
      <c r="D687" s="57" t="str">
        <f t="shared" si="139"/>
        <v/>
      </c>
      <c r="F687" s="57" t="str">
        <f t="shared" si="133"/>
        <v/>
      </c>
      <c r="G687" s="102" t="str">
        <f t="shared" si="134"/>
        <v/>
      </c>
      <c r="H687" s="57" t="str">
        <f t="shared" si="135"/>
        <v/>
      </c>
      <c r="I687" s="102" t="str">
        <f>IF(VLOOKUP($P687,线下模式!$A$3:$X$22,10,FALSE)="","",VLOOKUP($P687,线下模式!$A$3:$X$22,11,FALSE))</f>
        <v/>
      </c>
      <c r="J687" s="102" t="str">
        <f>IF(VLOOKUP($P687,线下模式!$A$3:$X$22,10,FALSE)="","",VLOOKUP($P687,线下模式!$A$3:$X$22,12,FALSE))</f>
        <v/>
      </c>
      <c r="K687" s="102" t="str">
        <f t="shared" si="136"/>
        <v/>
      </c>
      <c r="L687" s="102" t="str">
        <f>IF(VLOOKUP($P687,线下模式!$A$3:$X$22,10,FALSE)="","","Monster_Offline_"&amp;P687&amp;"_2")</f>
        <v/>
      </c>
      <c r="M687" s="57" t="str">
        <f t="shared" si="137"/>
        <v/>
      </c>
      <c r="O687" s="102" t="str">
        <f>IF(VLOOKUP($P687,线下模式!$A$3:$X$22,10,FALSE)="","",VLOOKUP($P687,线下模式!$A$3:$X$22,14,FALSE))</f>
        <v/>
      </c>
      <c r="P687" s="110">
        <f t="shared" si="138"/>
        <v>12</v>
      </c>
      <c r="Q687" s="110">
        <v>2</v>
      </c>
    </row>
    <row r="688" spans="2:17" x14ac:dyDescent="0.2">
      <c r="D688" s="57" t="str">
        <f t="shared" si="139"/>
        <v/>
      </c>
      <c r="F688" s="57" t="str">
        <f t="shared" si="133"/>
        <v/>
      </c>
      <c r="G688" s="102" t="str">
        <f t="shared" si="134"/>
        <v/>
      </c>
      <c r="H688" s="57" t="str">
        <f t="shared" si="135"/>
        <v/>
      </c>
      <c r="I688" s="102" t="str">
        <f>IF(VLOOKUP($P688,线下模式!$A$3:$X$22,15,FALSE)="","",VLOOKUP(P688,线下模式!$A$3:$X$22,16,FALSE))</f>
        <v/>
      </c>
      <c r="J688" s="102" t="str">
        <f>IF(VLOOKUP($P688,线下模式!$A$3:$X$22,15,FALSE)="","",VLOOKUP($P688,线下模式!$A$3:$X$22,17,FALSE))</f>
        <v/>
      </c>
      <c r="K688" s="102" t="str">
        <f t="shared" si="136"/>
        <v/>
      </c>
      <c r="L688" s="102" t="str">
        <f>IF(VLOOKUP($P688,线下模式!$A$3:$X$22,15,FALSE)="","","Monster_Offline_"&amp;P688&amp;"_3")</f>
        <v/>
      </c>
      <c r="M688" s="57" t="str">
        <f t="shared" si="137"/>
        <v/>
      </c>
      <c r="O688" s="102" t="str">
        <f>IF(VLOOKUP($P688,线下模式!$A$3:$X$22,15,FALSE)="","",VLOOKUP($P688,线下模式!$A$3:$X$22,19,FALSE))</f>
        <v/>
      </c>
      <c r="P688" s="110">
        <f t="shared" si="138"/>
        <v>12</v>
      </c>
      <c r="Q688" s="110">
        <v>3</v>
      </c>
    </row>
    <row r="689" spans="2:17" x14ac:dyDescent="0.2">
      <c r="D689" s="57" t="str">
        <f t="shared" si="139"/>
        <v/>
      </c>
      <c r="F689" s="57" t="str">
        <f t="shared" si="133"/>
        <v/>
      </c>
      <c r="G689" s="102" t="str">
        <f t="shared" si="134"/>
        <v/>
      </c>
      <c r="H689" s="57" t="str">
        <f t="shared" si="135"/>
        <v/>
      </c>
      <c r="I689" s="102" t="str">
        <f>IF(VLOOKUP($P689,线下模式!$A$3:$X$22,20,FALSE)="","",VLOOKUP($P689,线下模式!$A$3:$X$22,21,FALSE))</f>
        <v/>
      </c>
      <c r="J689" s="102" t="str">
        <f>IF(VLOOKUP($P689,线下模式!$A$3:$X$22,20,FALSE)="","",VLOOKUP($P689,线下模式!$A$3:$X$22,22,FALSE))</f>
        <v/>
      </c>
      <c r="K689" s="102" t="str">
        <f t="shared" si="136"/>
        <v/>
      </c>
      <c r="L689" s="102" t="str">
        <f>IF(VLOOKUP($P689,线下模式!$A$3:$X$22,20,FALSE)="","","Monster_Offline_"&amp;P689&amp;"_4")</f>
        <v/>
      </c>
      <c r="M689" s="57" t="str">
        <f t="shared" si="137"/>
        <v/>
      </c>
      <c r="O689" s="102" t="str">
        <f>IF(VLOOKUP($P689,线下模式!$A$3:$X$22,20,FALSE)="","",VLOOKUP($P689,线下模式!$A$3:$X$22,24,FALSE))</f>
        <v/>
      </c>
      <c r="P689" s="110">
        <f t="shared" si="138"/>
        <v>12</v>
      </c>
      <c r="Q689" s="110">
        <v>4</v>
      </c>
    </row>
    <row r="690" spans="2:17" x14ac:dyDescent="0.2">
      <c r="B690" s="57" t="s">
        <v>1572</v>
      </c>
      <c r="C690" s="57">
        <v>13</v>
      </c>
      <c r="D690" s="57" t="str">
        <f t="shared" si="139"/>
        <v>线下模式第13波</v>
      </c>
      <c r="F690" s="57">
        <f t="shared" si="133"/>
        <v>0</v>
      </c>
      <c r="G690" s="102">
        <f t="shared" si="134"/>
        <v>180</v>
      </c>
      <c r="H690" s="57">
        <f t="shared" si="135"/>
        <v>0</v>
      </c>
      <c r="I690" s="102">
        <f>IF(VLOOKUP($P690,线下模式!$A$3:$X$22,5,FALSE)="","",VLOOKUP($P690,线下模式!$A$3:$X$22,6,FALSE))</f>
        <v>15</v>
      </c>
      <c r="J690" s="102">
        <f>IF(VLOOKUP($P690,线下模式!$A$3:$X$22,5,FALSE)="","",VLOOKUP($P690,线下模式!$A$3:$X$22,7,FALSE))</f>
        <v>1.5</v>
      </c>
      <c r="K690" s="102">
        <f t="shared" si="136"/>
        <v>1</v>
      </c>
      <c r="L690" s="102" t="str">
        <f>IF(VLOOKUP($P690,线下模式!$A$3:$X$22,5,FALSE)="","","Monster_Offline_"&amp;P690&amp;"_1")</f>
        <v>Monster_Offline_13_1</v>
      </c>
      <c r="M690" s="57">
        <f t="shared" si="137"/>
        <v>1</v>
      </c>
      <c r="O690" s="102">
        <f>IF(VLOOKUP($P690,线下模式!$A$3:$X$22,5,FALSE)="","",VLOOKUP($P690,线下模式!$A$3:$X$22,9,FALSE))</f>
        <v>10</v>
      </c>
      <c r="P690" s="110">
        <f t="shared" si="138"/>
        <v>13</v>
      </c>
      <c r="Q690" s="110">
        <v>1</v>
      </c>
    </row>
    <row r="691" spans="2:17" x14ac:dyDescent="0.2">
      <c r="D691" s="57" t="str">
        <f t="shared" si="139"/>
        <v/>
      </c>
      <c r="F691" s="57" t="str">
        <f t="shared" si="133"/>
        <v/>
      </c>
      <c r="G691" s="102" t="str">
        <f t="shared" si="134"/>
        <v/>
      </c>
      <c r="H691" s="57">
        <f t="shared" si="135"/>
        <v>0</v>
      </c>
      <c r="I691" s="102">
        <f>IF(VLOOKUP($P691,线下模式!$A$3:$X$22,10,FALSE)="","",VLOOKUP($P691,线下模式!$A$3:$X$22,11,FALSE))</f>
        <v>15</v>
      </c>
      <c r="J691" s="102">
        <f>IF(VLOOKUP($P691,线下模式!$A$3:$X$22,10,FALSE)="","",VLOOKUP($P691,线下模式!$A$3:$X$22,12,FALSE))</f>
        <v>1.5</v>
      </c>
      <c r="K691" s="102">
        <f t="shared" si="136"/>
        <v>1</v>
      </c>
      <c r="L691" s="102" t="str">
        <f>IF(VLOOKUP($P691,线下模式!$A$3:$X$22,10,FALSE)="","","Monster_Offline_"&amp;P691&amp;"_2")</f>
        <v>Monster_Offline_13_2</v>
      </c>
      <c r="M691" s="57">
        <f t="shared" si="137"/>
        <v>1</v>
      </c>
      <c r="O691" s="102">
        <f>IF(VLOOKUP($P691,线下模式!$A$3:$X$22,10,FALSE)="","",VLOOKUP($P691,线下模式!$A$3:$X$22,14,FALSE))</f>
        <v>10</v>
      </c>
      <c r="P691" s="110">
        <f t="shared" si="138"/>
        <v>13</v>
      </c>
      <c r="Q691" s="110">
        <v>2</v>
      </c>
    </row>
    <row r="692" spans="2:17" x14ac:dyDescent="0.2">
      <c r="D692" s="57" t="str">
        <f t="shared" si="139"/>
        <v/>
      </c>
      <c r="F692" s="57" t="str">
        <f t="shared" si="133"/>
        <v/>
      </c>
      <c r="G692" s="102" t="str">
        <f t="shared" si="134"/>
        <v/>
      </c>
      <c r="H692" s="57" t="str">
        <f t="shared" si="135"/>
        <v/>
      </c>
      <c r="I692" s="102" t="str">
        <f>IF(VLOOKUP($P692,线下模式!$A$3:$X$22,15,FALSE)="","",VLOOKUP(P692,线下模式!$A$3:$X$22,16,FALSE))</f>
        <v/>
      </c>
      <c r="J692" s="102" t="str">
        <f>IF(VLOOKUP($P692,线下模式!$A$3:$X$22,15,FALSE)="","",VLOOKUP($P692,线下模式!$A$3:$X$22,17,FALSE))</f>
        <v/>
      </c>
      <c r="K692" s="102" t="str">
        <f t="shared" si="136"/>
        <v/>
      </c>
      <c r="L692" s="102" t="str">
        <f>IF(VLOOKUP($P692,线下模式!$A$3:$X$22,15,FALSE)="","","Monster_Offline_"&amp;P692&amp;"_3")</f>
        <v/>
      </c>
      <c r="M692" s="57" t="str">
        <f t="shared" si="137"/>
        <v/>
      </c>
      <c r="O692" s="102" t="str">
        <f>IF(VLOOKUP($P692,线下模式!$A$3:$X$22,15,FALSE)="","",VLOOKUP($P692,线下模式!$A$3:$X$22,19,FALSE))</f>
        <v/>
      </c>
      <c r="P692" s="110">
        <f t="shared" si="138"/>
        <v>13</v>
      </c>
      <c r="Q692" s="110">
        <v>3</v>
      </c>
    </row>
    <row r="693" spans="2:17" x14ac:dyDescent="0.2">
      <c r="D693" s="57" t="str">
        <f t="shared" si="139"/>
        <v/>
      </c>
      <c r="F693" s="57" t="str">
        <f t="shared" si="133"/>
        <v/>
      </c>
      <c r="G693" s="102" t="str">
        <f t="shared" si="134"/>
        <v/>
      </c>
      <c r="H693" s="57" t="str">
        <f t="shared" si="135"/>
        <v/>
      </c>
      <c r="I693" s="102" t="str">
        <f>IF(VLOOKUP($P693,线下模式!$A$3:$X$22,20,FALSE)="","",VLOOKUP($P693,线下模式!$A$3:$X$22,21,FALSE))</f>
        <v/>
      </c>
      <c r="J693" s="102" t="str">
        <f>IF(VLOOKUP($P693,线下模式!$A$3:$X$22,20,FALSE)="","",VLOOKUP($P693,线下模式!$A$3:$X$22,22,FALSE))</f>
        <v/>
      </c>
      <c r="K693" s="102" t="str">
        <f t="shared" si="136"/>
        <v/>
      </c>
      <c r="L693" s="102" t="str">
        <f>IF(VLOOKUP($P693,线下模式!$A$3:$X$22,20,FALSE)="","","Monster_Offline_"&amp;P693&amp;"_4")</f>
        <v/>
      </c>
      <c r="M693" s="57" t="str">
        <f t="shared" si="137"/>
        <v/>
      </c>
      <c r="O693" s="102" t="str">
        <f>IF(VLOOKUP($P693,线下模式!$A$3:$X$22,20,FALSE)="","",VLOOKUP($P693,线下模式!$A$3:$X$22,24,FALSE))</f>
        <v/>
      </c>
      <c r="P693" s="110">
        <f t="shared" si="138"/>
        <v>13</v>
      </c>
      <c r="Q693" s="110">
        <v>4</v>
      </c>
    </row>
    <row r="694" spans="2:17" x14ac:dyDescent="0.2">
      <c r="B694" s="57" t="s">
        <v>1572</v>
      </c>
      <c r="C694" s="57">
        <v>14</v>
      </c>
      <c r="D694" s="57" t="str">
        <f t="shared" si="139"/>
        <v>线下模式第14波</v>
      </c>
      <c r="F694" s="57">
        <f t="shared" si="133"/>
        <v>0</v>
      </c>
      <c r="G694" s="102">
        <f t="shared" si="134"/>
        <v>180</v>
      </c>
      <c r="H694" s="57">
        <f t="shared" si="135"/>
        <v>0</v>
      </c>
      <c r="I694" s="102">
        <f>IF(VLOOKUP($P694,线下模式!$A$3:$X$22,5,FALSE)="","",VLOOKUP($P694,线下模式!$A$3:$X$22,6,FALSE))</f>
        <v>31</v>
      </c>
      <c r="J694" s="102">
        <f>IF(VLOOKUP($P694,线下模式!$A$3:$X$22,5,FALSE)="","",VLOOKUP($P694,线下模式!$A$3:$X$22,7,FALSE))</f>
        <v>0.75</v>
      </c>
      <c r="K694" s="102">
        <f t="shared" si="136"/>
        <v>1</v>
      </c>
      <c r="L694" s="102" t="str">
        <f>IF(VLOOKUP($P694,线下模式!$A$3:$X$22,5,FALSE)="","","Monster_Offline_"&amp;P694&amp;"_1")</f>
        <v>Monster_Offline_14_1</v>
      </c>
      <c r="M694" s="57">
        <f t="shared" si="137"/>
        <v>1</v>
      </c>
      <c r="O694" s="102">
        <f>IF(VLOOKUP($P694,线下模式!$A$3:$X$22,5,FALSE)="","",VLOOKUP($P694,线下模式!$A$3:$X$22,9,FALSE))</f>
        <v>6</v>
      </c>
      <c r="P694" s="110">
        <f t="shared" si="138"/>
        <v>14</v>
      </c>
      <c r="Q694" s="110">
        <v>1</v>
      </c>
    </row>
    <row r="695" spans="2:17" x14ac:dyDescent="0.2">
      <c r="D695" s="57" t="str">
        <f t="shared" si="139"/>
        <v/>
      </c>
      <c r="F695" s="57" t="str">
        <f t="shared" si="133"/>
        <v/>
      </c>
      <c r="G695" s="102" t="str">
        <f t="shared" si="134"/>
        <v/>
      </c>
      <c r="H695" s="57">
        <f t="shared" si="135"/>
        <v>0</v>
      </c>
      <c r="I695" s="102">
        <f>IF(VLOOKUP($P695,线下模式!$A$3:$X$22,10,FALSE)="","",VLOOKUP($P695,线下模式!$A$3:$X$22,11,FALSE))</f>
        <v>8</v>
      </c>
      <c r="J695" s="102">
        <f>IF(VLOOKUP($P695,线下模式!$A$3:$X$22,10,FALSE)="","",VLOOKUP($P695,线下模式!$A$3:$X$22,12,FALSE))</f>
        <v>3</v>
      </c>
      <c r="K695" s="102">
        <f t="shared" si="136"/>
        <v>1</v>
      </c>
      <c r="L695" s="102" t="str">
        <f>IF(VLOOKUP($P695,线下模式!$A$3:$X$22,10,FALSE)="","","Monster_Offline_"&amp;P695&amp;"_2")</f>
        <v>Monster_Offline_14_2</v>
      </c>
      <c r="M695" s="57">
        <f t="shared" si="137"/>
        <v>1</v>
      </c>
      <c r="O695" s="102">
        <f>IF(VLOOKUP($P695,线下模式!$A$3:$X$22,10,FALSE)="","",VLOOKUP($P695,线下模式!$A$3:$X$22,14,FALSE))</f>
        <v>13</v>
      </c>
      <c r="P695" s="110">
        <f t="shared" si="138"/>
        <v>14</v>
      </c>
      <c r="Q695" s="110">
        <v>2</v>
      </c>
    </row>
    <row r="696" spans="2:17" x14ac:dyDescent="0.2">
      <c r="D696" s="57" t="str">
        <f t="shared" si="139"/>
        <v/>
      </c>
      <c r="F696" s="57" t="str">
        <f t="shared" si="133"/>
        <v/>
      </c>
      <c r="G696" s="102" t="str">
        <f t="shared" si="134"/>
        <v/>
      </c>
      <c r="H696" s="57" t="str">
        <f t="shared" si="135"/>
        <v/>
      </c>
      <c r="I696" s="102" t="str">
        <f>IF(VLOOKUP($P696,线下模式!$A$3:$X$22,15,FALSE)="","",VLOOKUP(P696,线下模式!$A$3:$X$22,16,FALSE))</f>
        <v/>
      </c>
      <c r="J696" s="102" t="str">
        <f>IF(VLOOKUP($P696,线下模式!$A$3:$X$22,15,FALSE)="","",VLOOKUP($P696,线下模式!$A$3:$X$22,17,FALSE))</f>
        <v/>
      </c>
      <c r="K696" s="102" t="str">
        <f t="shared" si="136"/>
        <v/>
      </c>
      <c r="L696" s="102" t="str">
        <f>IF(VLOOKUP($P696,线下模式!$A$3:$X$22,15,FALSE)="","","Monster_Offline_"&amp;P696&amp;"_3")</f>
        <v/>
      </c>
      <c r="M696" s="57" t="str">
        <f t="shared" si="137"/>
        <v/>
      </c>
      <c r="O696" s="102" t="str">
        <f>IF(VLOOKUP($P696,线下模式!$A$3:$X$22,15,FALSE)="","",VLOOKUP($P696,线下模式!$A$3:$X$22,19,FALSE))</f>
        <v/>
      </c>
      <c r="P696" s="110">
        <f t="shared" si="138"/>
        <v>14</v>
      </c>
      <c r="Q696" s="110">
        <v>3</v>
      </c>
    </row>
    <row r="697" spans="2:17" x14ac:dyDescent="0.2">
      <c r="D697" s="57" t="str">
        <f t="shared" si="139"/>
        <v/>
      </c>
      <c r="F697" s="57" t="str">
        <f t="shared" si="133"/>
        <v/>
      </c>
      <c r="G697" s="102" t="str">
        <f t="shared" si="134"/>
        <v/>
      </c>
      <c r="H697" s="57" t="str">
        <f t="shared" si="135"/>
        <v/>
      </c>
      <c r="I697" s="102" t="str">
        <f>IF(VLOOKUP($P697,线下模式!$A$3:$X$22,20,FALSE)="","",VLOOKUP($P697,线下模式!$A$3:$X$22,21,FALSE))</f>
        <v/>
      </c>
      <c r="J697" s="102" t="str">
        <f>IF(VLOOKUP($P697,线下模式!$A$3:$X$22,20,FALSE)="","",VLOOKUP($P697,线下模式!$A$3:$X$22,22,FALSE))</f>
        <v/>
      </c>
      <c r="K697" s="102" t="str">
        <f t="shared" si="136"/>
        <v/>
      </c>
      <c r="L697" s="102" t="str">
        <f>IF(VLOOKUP($P697,线下模式!$A$3:$X$22,20,FALSE)="","","Monster_Offline_"&amp;P697&amp;"_4")</f>
        <v/>
      </c>
      <c r="M697" s="57" t="str">
        <f t="shared" si="137"/>
        <v/>
      </c>
      <c r="O697" s="102" t="str">
        <f>IF(VLOOKUP($P697,线下模式!$A$3:$X$22,20,FALSE)="","",VLOOKUP($P697,线下模式!$A$3:$X$22,24,FALSE))</f>
        <v/>
      </c>
      <c r="P697" s="110">
        <f t="shared" si="138"/>
        <v>14</v>
      </c>
      <c r="Q697" s="110">
        <v>4</v>
      </c>
    </row>
    <row r="698" spans="2:17" x14ac:dyDescent="0.2">
      <c r="B698" s="57" t="s">
        <v>1572</v>
      </c>
      <c r="C698" s="57">
        <v>15</v>
      </c>
      <c r="D698" s="57" t="str">
        <f t="shared" si="139"/>
        <v>线下模式第15波</v>
      </c>
      <c r="F698" s="57">
        <f t="shared" si="133"/>
        <v>0</v>
      </c>
      <c r="G698" s="102">
        <f t="shared" si="134"/>
        <v>180</v>
      </c>
      <c r="H698" s="57">
        <f t="shared" si="135"/>
        <v>0</v>
      </c>
      <c r="I698" s="102">
        <f>IF(VLOOKUP($P698,线下模式!$A$3:$X$22,5,FALSE)="","",VLOOKUP($P698,线下模式!$A$3:$X$22,6,FALSE))</f>
        <v>120</v>
      </c>
      <c r="J698" s="102">
        <f>IF(VLOOKUP($P698,线下模式!$A$3:$X$22,5,FALSE)="","",VLOOKUP($P698,线下模式!$A$3:$X$22,7,FALSE))</f>
        <v>0.2</v>
      </c>
      <c r="K698" s="102">
        <f t="shared" si="136"/>
        <v>1</v>
      </c>
      <c r="L698" s="102" t="str">
        <f>IF(VLOOKUP($P698,线下模式!$A$3:$X$22,5,FALSE)="","","Monster_Offline_"&amp;P698&amp;"_1")</f>
        <v>Monster_Offline_15_1</v>
      </c>
      <c r="M698" s="57">
        <f t="shared" si="137"/>
        <v>1</v>
      </c>
      <c r="O698" s="102">
        <f>IF(VLOOKUP($P698,线下模式!$A$3:$X$22,5,FALSE)="","",VLOOKUP($P698,线下模式!$A$3:$X$22,9,FALSE))</f>
        <v>2</v>
      </c>
      <c r="P698" s="110">
        <f t="shared" si="138"/>
        <v>15</v>
      </c>
      <c r="Q698" s="110">
        <v>1</v>
      </c>
    </row>
    <row r="699" spans="2:17" x14ac:dyDescent="0.2">
      <c r="D699" s="57" t="str">
        <f t="shared" si="139"/>
        <v/>
      </c>
      <c r="F699" s="57" t="str">
        <f t="shared" si="133"/>
        <v/>
      </c>
      <c r="G699" s="102" t="str">
        <f t="shared" si="134"/>
        <v/>
      </c>
      <c r="H699" s="57">
        <f t="shared" si="135"/>
        <v>0</v>
      </c>
      <c r="I699" s="102">
        <f>IF(VLOOKUP($P699,线下模式!$A$3:$X$22,10,FALSE)="","",VLOOKUP($P699,线下模式!$A$3:$X$22,11,FALSE))</f>
        <v>8</v>
      </c>
      <c r="J699" s="102">
        <f>IF(VLOOKUP($P699,线下模式!$A$3:$X$22,10,FALSE)="","",VLOOKUP($P699,线下模式!$A$3:$X$22,12,FALSE))</f>
        <v>3</v>
      </c>
      <c r="K699" s="102">
        <f t="shared" si="136"/>
        <v>1</v>
      </c>
      <c r="L699" s="102" t="str">
        <f>IF(VLOOKUP($P699,线下模式!$A$3:$X$22,10,FALSE)="","","Monster_Offline_"&amp;P699&amp;"_2")</f>
        <v>Monster_Offline_15_2</v>
      </c>
      <c r="M699" s="57">
        <f t="shared" si="137"/>
        <v>1</v>
      </c>
      <c r="O699" s="102">
        <f>IF(VLOOKUP($P699,线下模式!$A$3:$X$22,10,FALSE)="","",VLOOKUP($P699,线下模式!$A$3:$X$22,14,FALSE))</f>
        <v>2</v>
      </c>
      <c r="P699" s="110">
        <f t="shared" si="138"/>
        <v>15</v>
      </c>
      <c r="Q699" s="110">
        <v>2</v>
      </c>
    </row>
    <row r="700" spans="2:17" x14ac:dyDescent="0.2">
      <c r="D700" s="57" t="str">
        <f t="shared" si="139"/>
        <v/>
      </c>
      <c r="F700" s="57" t="str">
        <f t="shared" si="133"/>
        <v/>
      </c>
      <c r="G700" s="102" t="str">
        <f t="shared" si="134"/>
        <v/>
      </c>
      <c r="H700" s="57">
        <f t="shared" si="135"/>
        <v>0</v>
      </c>
      <c r="I700" s="102">
        <f>IF(VLOOKUP($P700,线下模式!$A$3:$X$22,15,FALSE)="","",VLOOKUP(P700,线下模式!$A$3:$X$22,16,FALSE))</f>
        <v>1</v>
      </c>
      <c r="J700" s="102">
        <f>IF(VLOOKUP($P700,线下模式!$A$3:$X$22,15,FALSE)="","",VLOOKUP($P700,线下模式!$A$3:$X$22,17,FALSE))</f>
        <v>0</v>
      </c>
      <c r="K700" s="102">
        <f t="shared" si="136"/>
        <v>1</v>
      </c>
      <c r="L700" s="102" t="str">
        <f>IF(VLOOKUP($P700,线下模式!$A$3:$X$22,15,FALSE)="","","Monster_Offline_"&amp;P700&amp;"_3")</f>
        <v>Monster_Offline_15_3</v>
      </c>
      <c r="M700" s="57">
        <f t="shared" si="137"/>
        <v>1</v>
      </c>
      <c r="O700" s="102">
        <f>IF(VLOOKUP($P700,线下模式!$A$3:$X$22,15,FALSE)="","",VLOOKUP($P700,线下模式!$A$3:$X$22,19,FALSE))</f>
        <v>41</v>
      </c>
      <c r="P700" s="110">
        <f t="shared" si="138"/>
        <v>15</v>
      </c>
      <c r="Q700" s="110">
        <v>3</v>
      </c>
    </row>
    <row r="701" spans="2:17" x14ac:dyDescent="0.2">
      <c r="D701" s="57" t="str">
        <f t="shared" si="139"/>
        <v/>
      </c>
      <c r="F701" s="57" t="str">
        <f t="shared" si="133"/>
        <v/>
      </c>
      <c r="G701" s="102" t="str">
        <f t="shared" si="134"/>
        <v/>
      </c>
      <c r="H701" s="57" t="str">
        <f t="shared" si="135"/>
        <v/>
      </c>
      <c r="I701" s="102" t="str">
        <f>IF(VLOOKUP($P701,线下模式!$A$3:$X$22,20,FALSE)="","",VLOOKUP($P701,线下模式!$A$3:$X$22,21,FALSE))</f>
        <v/>
      </c>
      <c r="J701" s="102" t="str">
        <f>IF(VLOOKUP($P701,线下模式!$A$3:$X$22,20,FALSE)="","",VLOOKUP($P701,线下模式!$A$3:$X$22,22,FALSE))</f>
        <v/>
      </c>
      <c r="K701" s="102" t="str">
        <f t="shared" si="136"/>
        <v/>
      </c>
      <c r="L701" s="102" t="str">
        <f>IF(VLOOKUP($P701,线下模式!$A$3:$X$22,20,FALSE)="","","Monster_Offline_"&amp;P701&amp;"_4")</f>
        <v/>
      </c>
      <c r="M701" s="57" t="str">
        <f t="shared" si="137"/>
        <v/>
      </c>
      <c r="O701" s="102" t="str">
        <f>IF(VLOOKUP($P701,线下模式!$A$3:$X$22,20,FALSE)="","",VLOOKUP($P701,线下模式!$A$3:$X$22,24,FALSE))</f>
        <v/>
      </c>
      <c r="P701" s="110">
        <f t="shared" si="138"/>
        <v>15</v>
      </c>
      <c r="Q701" s="110">
        <v>4</v>
      </c>
    </row>
    <row r="702" spans="2:17" x14ac:dyDescent="0.2">
      <c r="B702" s="57" t="s">
        <v>1572</v>
      </c>
      <c r="C702" s="57">
        <v>16</v>
      </c>
      <c r="D702" s="57" t="str">
        <f t="shared" si="139"/>
        <v>线下模式第16波</v>
      </c>
      <c r="F702" s="57">
        <f t="shared" si="133"/>
        <v>0</v>
      </c>
      <c r="G702" s="102">
        <f t="shared" si="134"/>
        <v>180</v>
      </c>
      <c r="H702" s="57">
        <f t="shared" si="135"/>
        <v>0</v>
      </c>
      <c r="I702" s="102">
        <f>IF(VLOOKUP($P702,线下模式!$A$3:$X$22,5,FALSE)="","",VLOOKUP($P702,线下模式!$A$3:$X$22,6,FALSE))</f>
        <v>33</v>
      </c>
      <c r="J702" s="102">
        <f>IF(VLOOKUP($P702,线下模式!$A$3:$X$22,5,FALSE)="","",VLOOKUP($P702,线下模式!$A$3:$X$22,7,FALSE))</f>
        <v>0.75</v>
      </c>
      <c r="K702" s="102">
        <f t="shared" si="136"/>
        <v>1</v>
      </c>
      <c r="L702" s="102" t="str">
        <f>IF(VLOOKUP($P702,线下模式!$A$3:$X$22,5,FALSE)="","","Monster_Offline_"&amp;P702&amp;"_1")</f>
        <v>Monster_Offline_16_1</v>
      </c>
      <c r="M702" s="57">
        <f t="shared" si="137"/>
        <v>1</v>
      </c>
      <c r="O702" s="102">
        <f>IF(VLOOKUP($P702,线下模式!$A$3:$X$22,5,FALSE)="","",VLOOKUP($P702,线下模式!$A$3:$X$22,9,FALSE))</f>
        <v>7</v>
      </c>
      <c r="P702" s="110">
        <f t="shared" si="138"/>
        <v>16</v>
      </c>
      <c r="Q702" s="110">
        <v>1</v>
      </c>
    </row>
    <row r="703" spans="2:17" x14ac:dyDescent="0.2">
      <c r="D703" s="57" t="str">
        <f t="shared" si="139"/>
        <v/>
      </c>
      <c r="F703" s="57" t="str">
        <f t="shared" si="133"/>
        <v/>
      </c>
      <c r="G703" s="102" t="str">
        <f t="shared" si="134"/>
        <v/>
      </c>
      <c r="H703" s="57">
        <f t="shared" si="135"/>
        <v>0</v>
      </c>
      <c r="I703" s="102">
        <f>IF(VLOOKUP($P703,线下模式!$A$3:$X$22,10,FALSE)="","",VLOOKUP($P703,线下模式!$A$3:$X$22,11,FALSE))</f>
        <v>8</v>
      </c>
      <c r="J703" s="102">
        <f>IF(VLOOKUP($P703,线下模式!$A$3:$X$22,10,FALSE)="","",VLOOKUP($P703,线下模式!$A$3:$X$22,12,FALSE))</f>
        <v>3</v>
      </c>
      <c r="K703" s="102">
        <f t="shared" si="136"/>
        <v>1</v>
      </c>
      <c r="L703" s="102" t="str">
        <f>IF(VLOOKUP($P703,线下模式!$A$3:$X$22,10,FALSE)="","","Monster_Offline_"&amp;P703&amp;"_2")</f>
        <v>Monster_Offline_16_2</v>
      </c>
      <c r="M703" s="57">
        <f t="shared" si="137"/>
        <v>1</v>
      </c>
      <c r="O703" s="102">
        <f>IF(VLOOKUP($P703,线下模式!$A$3:$X$22,10,FALSE)="","",VLOOKUP($P703,线下模式!$A$3:$X$22,14,FALSE))</f>
        <v>7</v>
      </c>
      <c r="P703" s="110">
        <f t="shared" si="138"/>
        <v>16</v>
      </c>
      <c r="Q703" s="110">
        <v>2</v>
      </c>
    </row>
    <row r="704" spans="2:17" x14ac:dyDescent="0.2">
      <c r="D704" s="57" t="str">
        <f t="shared" si="139"/>
        <v/>
      </c>
      <c r="F704" s="57" t="str">
        <f t="shared" si="133"/>
        <v/>
      </c>
      <c r="G704" s="102" t="str">
        <f t="shared" si="134"/>
        <v/>
      </c>
      <c r="H704" s="57" t="str">
        <f t="shared" si="135"/>
        <v/>
      </c>
      <c r="I704" s="102" t="str">
        <f>IF(VLOOKUP($P704,线下模式!$A$3:$X$22,15,FALSE)="","",VLOOKUP(P704,线下模式!$A$3:$X$22,16,FALSE))</f>
        <v/>
      </c>
      <c r="J704" s="102" t="str">
        <f>IF(VLOOKUP($P704,线下模式!$A$3:$X$22,15,FALSE)="","",VLOOKUP($P704,线下模式!$A$3:$X$22,17,FALSE))</f>
        <v/>
      </c>
      <c r="K704" s="102" t="str">
        <f t="shared" si="136"/>
        <v/>
      </c>
      <c r="L704" s="102" t="str">
        <f>IF(VLOOKUP($P704,线下模式!$A$3:$X$22,15,FALSE)="","","Monster_Offline_"&amp;P704&amp;"_3")</f>
        <v/>
      </c>
      <c r="M704" s="57" t="str">
        <f t="shared" si="137"/>
        <v/>
      </c>
      <c r="O704" s="102" t="str">
        <f>IF(VLOOKUP($P704,线下模式!$A$3:$X$22,15,FALSE)="","",VLOOKUP($P704,线下模式!$A$3:$X$22,19,FALSE))</f>
        <v/>
      </c>
      <c r="P704" s="110">
        <f t="shared" si="138"/>
        <v>16</v>
      </c>
      <c r="Q704" s="110">
        <v>3</v>
      </c>
    </row>
    <row r="705" spans="2:17" x14ac:dyDescent="0.2">
      <c r="D705" s="57" t="str">
        <f t="shared" si="139"/>
        <v/>
      </c>
      <c r="F705" s="57" t="str">
        <f t="shared" si="133"/>
        <v/>
      </c>
      <c r="G705" s="102" t="str">
        <f t="shared" si="134"/>
        <v/>
      </c>
      <c r="H705" s="57" t="str">
        <f t="shared" si="135"/>
        <v/>
      </c>
      <c r="I705" s="102" t="str">
        <f>IF(VLOOKUP($P705,线下模式!$A$3:$X$22,20,FALSE)="","",VLOOKUP($P705,线下模式!$A$3:$X$22,21,FALSE))</f>
        <v/>
      </c>
      <c r="J705" s="102" t="str">
        <f>IF(VLOOKUP($P705,线下模式!$A$3:$X$22,20,FALSE)="","",VLOOKUP($P705,线下模式!$A$3:$X$22,22,FALSE))</f>
        <v/>
      </c>
      <c r="K705" s="102" t="str">
        <f t="shared" si="136"/>
        <v/>
      </c>
      <c r="L705" s="102" t="str">
        <f>IF(VLOOKUP($P705,线下模式!$A$3:$X$22,20,FALSE)="","","Monster_Offline_"&amp;P705&amp;"_4")</f>
        <v/>
      </c>
      <c r="M705" s="57" t="str">
        <f t="shared" si="137"/>
        <v/>
      </c>
      <c r="O705" s="102" t="str">
        <f>IF(VLOOKUP($P705,线下模式!$A$3:$X$22,20,FALSE)="","",VLOOKUP($P705,线下模式!$A$3:$X$22,24,FALSE))</f>
        <v/>
      </c>
      <c r="P705" s="110">
        <f t="shared" si="138"/>
        <v>16</v>
      </c>
      <c r="Q705" s="110">
        <v>4</v>
      </c>
    </row>
    <row r="706" spans="2:17" x14ac:dyDescent="0.2">
      <c r="B706" s="57" t="s">
        <v>1572</v>
      </c>
      <c r="C706" s="57">
        <v>17</v>
      </c>
      <c r="D706" s="57" t="str">
        <f t="shared" ref="D706:D721" si="140">IF(C706="","","线下模式第"&amp;C706&amp;"波")</f>
        <v>线下模式第17波</v>
      </c>
      <c r="F706" s="57">
        <f t="shared" si="133"/>
        <v>0</v>
      </c>
      <c r="G706" s="102">
        <f t="shared" si="134"/>
        <v>180</v>
      </c>
      <c r="H706" s="57">
        <f t="shared" si="135"/>
        <v>0</v>
      </c>
      <c r="I706" s="102">
        <f>IF(VLOOKUP($P706,线下模式!$A$3:$X$22,5,FALSE)="","",VLOOKUP($P706,线下模式!$A$3:$X$22,6,FALSE))</f>
        <v>17</v>
      </c>
      <c r="J706" s="102">
        <f>IF(VLOOKUP($P706,线下模式!$A$3:$X$22,5,FALSE)="","",VLOOKUP($P706,线下模式!$A$3:$X$22,7,FALSE))</f>
        <v>1.5</v>
      </c>
      <c r="K706" s="102">
        <f t="shared" si="136"/>
        <v>1</v>
      </c>
      <c r="L706" s="102" t="str">
        <f>IF(VLOOKUP($P706,线下模式!$A$3:$X$22,5,FALSE)="","","Monster_Offline_"&amp;P706&amp;"_1")</f>
        <v>Monster_Offline_17_1</v>
      </c>
      <c r="M706" s="57">
        <f t="shared" si="137"/>
        <v>1</v>
      </c>
      <c r="O706" s="102">
        <f>IF(VLOOKUP($P706,线下模式!$A$3:$X$22,5,FALSE)="","",VLOOKUP($P706,线下模式!$A$3:$X$22,9,FALSE))</f>
        <v>9</v>
      </c>
      <c r="P706" s="110">
        <f t="shared" si="138"/>
        <v>17</v>
      </c>
      <c r="Q706" s="110">
        <v>1</v>
      </c>
    </row>
    <row r="707" spans="2:17" x14ac:dyDescent="0.2">
      <c r="D707" s="57" t="str">
        <f t="shared" si="140"/>
        <v/>
      </c>
      <c r="F707" s="57" t="str">
        <f t="shared" ref="F707:F721" si="141">IF(C707="","",0)</f>
        <v/>
      </c>
      <c r="G707" s="102" t="str">
        <f t="shared" ref="G707:G721" si="142">IF(C707="","",180)</f>
        <v/>
      </c>
      <c r="H707" s="57">
        <f t="shared" ref="H707:H721" si="143">IF(I707="","",0)</f>
        <v>0</v>
      </c>
      <c r="I707" s="102">
        <f>IF(VLOOKUP($P707,线下模式!$A$3:$X$22,10,FALSE)="","",VLOOKUP($P707,线下模式!$A$3:$X$22,11,FALSE))</f>
        <v>35</v>
      </c>
      <c r="J707" s="102">
        <f>IF(VLOOKUP($P707,线下模式!$A$3:$X$22,10,FALSE)="","",VLOOKUP($P707,线下模式!$A$3:$X$22,12,FALSE))</f>
        <v>0.75</v>
      </c>
      <c r="K707" s="102">
        <f t="shared" ref="K707:K721" si="144">IF(I707="","",1)</f>
        <v>1</v>
      </c>
      <c r="L707" s="102" t="str">
        <f>IF(VLOOKUP($P707,线下模式!$A$3:$X$22,10,FALSE)="","","Monster_Offline_"&amp;P707&amp;"_2")</f>
        <v>Monster_Offline_17_2</v>
      </c>
      <c r="M707" s="57">
        <f t="shared" ref="M707:M721" si="145">IF(I707="","",1)</f>
        <v>1</v>
      </c>
      <c r="O707" s="102">
        <f>IF(VLOOKUP($P707,线下模式!$A$3:$X$22,10,FALSE)="","",VLOOKUP($P707,线下模式!$A$3:$X$22,14,FALSE))</f>
        <v>4</v>
      </c>
      <c r="P707" s="110">
        <f t="shared" ref="P707:P721" si="146">IF(C707="",P706,C707)</f>
        <v>17</v>
      </c>
      <c r="Q707" s="110">
        <v>2</v>
      </c>
    </row>
    <row r="708" spans="2:17" x14ac:dyDescent="0.2">
      <c r="D708" s="57" t="str">
        <f t="shared" si="140"/>
        <v/>
      </c>
      <c r="F708" s="57" t="str">
        <f t="shared" si="141"/>
        <v/>
      </c>
      <c r="G708" s="102" t="str">
        <f t="shared" si="142"/>
        <v/>
      </c>
      <c r="H708" s="57" t="str">
        <f t="shared" si="143"/>
        <v/>
      </c>
      <c r="I708" s="102" t="str">
        <f>IF(VLOOKUP($P708,线下模式!$A$3:$X$22,15,FALSE)="","",VLOOKUP(P708,线下模式!$A$3:$X$22,16,FALSE))</f>
        <v/>
      </c>
      <c r="J708" s="102" t="str">
        <f>IF(VLOOKUP($P708,线下模式!$A$3:$X$22,15,FALSE)="","",VLOOKUP($P708,线下模式!$A$3:$X$22,17,FALSE))</f>
        <v/>
      </c>
      <c r="K708" s="102" t="str">
        <f t="shared" si="144"/>
        <v/>
      </c>
      <c r="L708" s="102" t="str">
        <f>IF(VLOOKUP($P708,线下模式!$A$3:$X$22,15,FALSE)="","","Monster_Offline_"&amp;P708&amp;"_3")</f>
        <v/>
      </c>
      <c r="M708" s="57" t="str">
        <f t="shared" si="145"/>
        <v/>
      </c>
      <c r="O708" s="102" t="str">
        <f>IF(VLOOKUP($P708,线下模式!$A$3:$X$22,15,FALSE)="","",VLOOKUP($P708,线下模式!$A$3:$X$22,19,FALSE))</f>
        <v/>
      </c>
      <c r="P708" s="110">
        <f t="shared" si="146"/>
        <v>17</v>
      </c>
      <c r="Q708" s="110">
        <v>3</v>
      </c>
    </row>
    <row r="709" spans="2:17" x14ac:dyDescent="0.2">
      <c r="D709" s="57" t="str">
        <f t="shared" si="140"/>
        <v/>
      </c>
      <c r="F709" s="57" t="str">
        <f t="shared" si="141"/>
        <v/>
      </c>
      <c r="G709" s="102" t="str">
        <f t="shared" si="142"/>
        <v/>
      </c>
      <c r="H709" s="57" t="str">
        <f t="shared" si="143"/>
        <v/>
      </c>
      <c r="I709" s="102" t="str">
        <f>IF(VLOOKUP($P709,线下模式!$A$3:$X$22,20,FALSE)="","",VLOOKUP($P709,线下模式!$A$3:$X$22,21,FALSE))</f>
        <v/>
      </c>
      <c r="J709" s="102" t="str">
        <f>IF(VLOOKUP($P709,线下模式!$A$3:$X$22,20,FALSE)="","",VLOOKUP($P709,线下模式!$A$3:$X$22,22,FALSE))</f>
        <v/>
      </c>
      <c r="K709" s="102" t="str">
        <f t="shared" si="144"/>
        <v/>
      </c>
      <c r="L709" s="102" t="str">
        <f>IF(VLOOKUP($P709,线下模式!$A$3:$X$22,20,FALSE)="","","Monster_Offline_"&amp;P709&amp;"_4")</f>
        <v/>
      </c>
      <c r="M709" s="57" t="str">
        <f t="shared" si="145"/>
        <v/>
      </c>
      <c r="O709" s="102" t="str">
        <f>IF(VLOOKUP($P709,线下模式!$A$3:$X$22,20,FALSE)="","",VLOOKUP($P709,线下模式!$A$3:$X$22,24,FALSE))</f>
        <v/>
      </c>
      <c r="P709" s="110">
        <f t="shared" si="146"/>
        <v>17</v>
      </c>
      <c r="Q709" s="110">
        <v>4</v>
      </c>
    </row>
    <row r="710" spans="2:17" x14ac:dyDescent="0.2">
      <c r="B710" s="57" t="s">
        <v>1572</v>
      </c>
      <c r="C710" s="57">
        <v>18</v>
      </c>
      <c r="D710" s="57" t="str">
        <f t="shared" si="140"/>
        <v>线下模式第18波</v>
      </c>
      <c r="F710" s="57">
        <f t="shared" si="141"/>
        <v>0</v>
      </c>
      <c r="G710" s="102">
        <f t="shared" si="142"/>
        <v>180</v>
      </c>
      <c r="H710" s="57">
        <f t="shared" si="143"/>
        <v>0</v>
      </c>
      <c r="I710" s="102">
        <f>IF(VLOOKUP($P710,线下模式!$A$3:$X$22,5,FALSE)="","",VLOOKUP($P710,线下模式!$A$3:$X$22,6,FALSE))</f>
        <v>18</v>
      </c>
      <c r="J710" s="102">
        <f>IF(VLOOKUP($P710,线下模式!$A$3:$X$22,5,FALSE)="","",VLOOKUP($P710,线下模式!$A$3:$X$22,7,FALSE))</f>
        <v>1.5</v>
      </c>
      <c r="K710" s="102">
        <f t="shared" si="144"/>
        <v>1</v>
      </c>
      <c r="L710" s="102" t="str">
        <f>IF(VLOOKUP($P710,线下模式!$A$3:$X$22,5,FALSE)="","","Monster_Offline_"&amp;P710&amp;"_1")</f>
        <v>Monster_Offline_18_1</v>
      </c>
      <c r="M710" s="57">
        <f t="shared" si="145"/>
        <v>1</v>
      </c>
      <c r="O710" s="102">
        <f>IF(VLOOKUP($P710,线下模式!$A$3:$X$22,5,FALSE)="","",VLOOKUP($P710,线下模式!$A$3:$X$22,9,FALSE))</f>
        <v>6</v>
      </c>
      <c r="P710" s="110">
        <f t="shared" si="146"/>
        <v>18</v>
      </c>
      <c r="Q710" s="110">
        <v>1</v>
      </c>
    </row>
    <row r="711" spans="2:17" x14ac:dyDescent="0.2">
      <c r="D711" s="57" t="str">
        <f t="shared" si="140"/>
        <v/>
      </c>
      <c r="F711" s="57" t="str">
        <f t="shared" si="141"/>
        <v/>
      </c>
      <c r="G711" s="102" t="str">
        <f t="shared" si="142"/>
        <v/>
      </c>
      <c r="H711" s="57">
        <f t="shared" si="143"/>
        <v>0</v>
      </c>
      <c r="I711" s="102">
        <f>IF(VLOOKUP($P711,线下模式!$A$3:$X$22,10,FALSE)="","",VLOOKUP($P711,线下模式!$A$3:$X$22,11,FALSE))</f>
        <v>36</v>
      </c>
      <c r="J711" s="102">
        <f>IF(VLOOKUP($P711,线下模式!$A$3:$X$22,10,FALSE)="","",VLOOKUP($P711,线下模式!$A$3:$X$22,12,FALSE))</f>
        <v>0.75</v>
      </c>
      <c r="K711" s="102">
        <f t="shared" si="144"/>
        <v>1</v>
      </c>
      <c r="L711" s="102" t="str">
        <f>IF(VLOOKUP($P711,线下模式!$A$3:$X$22,10,FALSE)="","","Monster_Offline_"&amp;P711&amp;"_2")</f>
        <v>Monster_Offline_18_2</v>
      </c>
      <c r="M711" s="57">
        <f t="shared" si="145"/>
        <v>1</v>
      </c>
      <c r="O711" s="102">
        <f>IF(VLOOKUP($P711,线下模式!$A$3:$X$22,10,FALSE)="","",VLOOKUP($P711,线下模式!$A$3:$X$22,14,FALSE))</f>
        <v>3</v>
      </c>
      <c r="P711" s="110">
        <f t="shared" si="146"/>
        <v>18</v>
      </c>
      <c r="Q711" s="110">
        <v>2</v>
      </c>
    </row>
    <row r="712" spans="2:17" x14ac:dyDescent="0.2">
      <c r="D712" s="57" t="str">
        <f t="shared" si="140"/>
        <v/>
      </c>
      <c r="F712" s="57" t="str">
        <f t="shared" si="141"/>
        <v/>
      </c>
      <c r="G712" s="102" t="str">
        <f t="shared" si="142"/>
        <v/>
      </c>
      <c r="H712" s="57">
        <f t="shared" si="143"/>
        <v>0</v>
      </c>
      <c r="I712" s="102">
        <f>IF(VLOOKUP($P712,线下模式!$A$3:$X$22,15,FALSE)="","",VLOOKUP(P712,线下模式!$A$3:$X$22,16,FALSE))</f>
        <v>14</v>
      </c>
      <c r="J712" s="102">
        <f>IF(VLOOKUP($P712,线下模式!$A$3:$X$22,15,FALSE)="","",VLOOKUP($P712,线下模式!$A$3:$X$22,17,FALSE))</f>
        <v>2</v>
      </c>
      <c r="K712" s="102">
        <f t="shared" si="144"/>
        <v>1</v>
      </c>
      <c r="L712" s="102" t="str">
        <f>IF(VLOOKUP($P712,线下模式!$A$3:$X$22,15,FALSE)="","","Monster_Offline_"&amp;P712&amp;"_3")</f>
        <v>Monster_Offline_18_3</v>
      </c>
      <c r="M712" s="57">
        <f t="shared" si="145"/>
        <v>1</v>
      </c>
      <c r="O712" s="102">
        <f>IF(VLOOKUP($P712,线下模式!$A$3:$X$22,15,FALSE)="","",VLOOKUP($P712,线下模式!$A$3:$X$22,19,FALSE))</f>
        <v>6</v>
      </c>
      <c r="P712" s="110">
        <f t="shared" si="146"/>
        <v>18</v>
      </c>
      <c r="Q712" s="110">
        <v>3</v>
      </c>
    </row>
    <row r="713" spans="2:17" x14ac:dyDescent="0.2">
      <c r="D713" s="57" t="str">
        <f t="shared" si="140"/>
        <v/>
      </c>
      <c r="F713" s="57" t="str">
        <f t="shared" si="141"/>
        <v/>
      </c>
      <c r="G713" s="102" t="str">
        <f t="shared" si="142"/>
        <v/>
      </c>
      <c r="H713" s="57" t="str">
        <f t="shared" si="143"/>
        <v/>
      </c>
      <c r="I713" s="102" t="str">
        <f>IF(VLOOKUP($P713,线下模式!$A$3:$X$22,20,FALSE)="","",VLOOKUP($P713,线下模式!$A$3:$X$22,21,FALSE))</f>
        <v/>
      </c>
      <c r="J713" s="102" t="str">
        <f>IF(VLOOKUP($P713,线下模式!$A$3:$X$22,20,FALSE)="","",VLOOKUP($P713,线下模式!$A$3:$X$22,22,FALSE))</f>
        <v/>
      </c>
      <c r="K713" s="102" t="str">
        <f t="shared" si="144"/>
        <v/>
      </c>
      <c r="L713" s="102" t="str">
        <f>IF(VLOOKUP($P713,线下模式!$A$3:$X$22,20,FALSE)="","","Monster_Offline_"&amp;P713&amp;"_4")</f>
        <v/>
      </c>
      <c r="M713" s="57" t="str">
        <f t="shared" si="145"/>
        <v/>
      </c>
      <c r="O713" s="102" t="str">
        <f>IF(VLOOKUP($P713,线下模式!$A$3:$X$22,20,FALSE)="","",VLOOKUP($P713,线下模式!$A$3:$X$22,24,FALSE))</f>
        <v/>
      </c>
      <c r="P713" s="110">
        <f t="shared" si="146"/>
        <v>18</v>
      </c>
      <c r="Q713" s="110">
        <v>4</v>
      </c>
    </row>
    <row r="714" spans="2:17" x14ac:dyDescent="0.2">
      <c r="B714" s="57" t="s">
        <v>1572</v>
      </c>
      <c r="C714" s="57">
        <v>19</v>
      </c>
      <c r="D714" s="57" t="str">
        <f t="shared" si="140"/>
        <v>线下模式第19波</v>
      </c>
      <c r="F714" s="57">
        <f t="shared" si="141"/>
        <v>0</v>
      </c>
      <c r="G714" s="102">
        <f t="shared" si="142"/>
        <v>180</v>
      </c>
      <c r="H714" s="57">
        <f t="shared" si="143"/>
        <v>0</v>
      </c>
      <c r="I714" s="102">
        <f>IF(VLOOKUP($P714,线下模式!$A$3:$X$22,5,FALSE)="","",VLOOKUP($P714,线下模式!$A$3:$X$22,6,FALSE))</f>
        <v>19</v>
      </c>
      <c r="J714" s="102">
        <f>IF(VLOOKUP($P714,线下模式!$A$3:$X$22,5,FALSE)="","",VLOOKUP($P714,线下模式!$A$3:$X$22,7,FALSE))</f>
        <v>1.5</v>
      </c>
      <c r="K714" s="102">
        <f t="shared" si="144"/>
        <v>1</v>
      </c>
      <c r="L714" s="102" t="str">
        <f>IF(VLOOKUP($P714,线下模式!$A$3:$X$22,5,FALSE)="","","Monster_Offline_"&amp;P714&amp;"_1")</f>
        <v>Monster_Offline_19_1</v>
      </c>
      <c r="M714" s="57">
        <f t="shared" si="145"/>
        <v>1</v>
      </c>
      <c r="O714" s="102">
        <f>IF(VLOOKUP($P714,线下模式!$A$3:$X$22,5,FALSE)="","",VLOOKUP($P714,线下模式!$A$3:$X$22,9,FALSE))</f>
        <v>5</v>
      </c>
      <c r="P714" s="110">
        <f t="shared" si="146"/>
        <v>19</v>
      </c>
      <c r="Q714" s="110">
        <v>1</v>
      </c>
    </row>
    <row r="715" spans="2:17" x14ac:dyDescent="0.2">
      <c r="D715" s="57" t="str">
        <f t="shared" si="140"/>
        <v/>
      </c>
      <c r="F715" s="57" t="str">
        <f t="shared" si="141"/>
        <v/>
      </c>
      <c r="G715" s="102" t="str">
        <f t="shared" si="142"/>
        <v/>
      </c>
      <c r="H715" s="57">
        <f t="shared" si="143"/>
        <v>0</v>
      </c>
      <c r="I715" s="102">
        <f>IF(VLOOKUP($P715,线下模式!$A$3:$X$22,10,FALSE)="","",VLOOKUP($P715,线下模式!$A$3:$X$22,11,FALSE))</f>
        <v>37</v>
      </c>
      <c r="J715" s="102">
        <f>IF(VLOOKUP($P715,线下模式!$A$3:$X$22,10,FALSE)="","",VLOOKUP($P715,线下模式!$A$3:$X$22,12,FALSE))</f>
        <v>0.75</v>
      </c>
      <c r="K715" s="102">
        <f t="shared" si="144"/>
        <v>1</v>
      </c>
      <c r="L715" s="102" t="str">
        <f>IF(VLOOKUP($P715,线下模式!$A$3:$X$22,10,FALSE)="","","Monster_Offline_"&amp;P715&amp;"_2")</f>
        <v>Monster_Offline_19_2</v>
      </c>
      <c r="M715" s="57">
        <f t="shared" si="145"/>
        <v>1</v>
      </c>
      <c r="O715" s="102">
        <f>IF(VLOOKUP($P715,线下模式!$A$3:$X$22,10,FALSE)="","",VLOOKUP($P715,线下模式!$A$3:$X$22,14,FALSE))</f>
        <v>2</v>
      </c>
      <c r="P715" s="110">
        <f t="shared" si="146"/>
        <v>19</v>
      </c>
      <c r="Q715" s="110">
        <v>2</v>
      </c>
    </row>
    <row r="716" spans="2:17" x14ac:dyDescent="0.2">
      <c r="D716" s="57" t="str">
        <f t="shared" si="140"/>
        <v/>
      </c>
      <c r="F716" s="57" t="str">
        <f t="shared" si="141"/>
        <v/>
      </c>
      <c r="G716" s="102" t="str">
        <f t="shared" si="142"/>
        <v/>
      </c>
      <c r="H716" s="57">
        <f t="shared" si="143"/>
        <v>0</v>
      </c>
      <c r="I716" s="102">
        <f>IF(VLOOKUP($P716,线下模式!$A$3:$X$22,15,FALSE)="","",VLOOKUP(P716,线下模式!$A$3:$X$22,16,FALSE))</f>
        <v>28</v>
      </c>
      <c r="J716" s="102">
        <f>IF(VLOOKUP($P716,线下模式!$A$3:$X$22,15,FALSE)="","",VLOOKUP($P716,线下模式!$A$3:$X$22,17,FALSE))</f>
        <v>1</v>
      </c>
      <c r="K716" s="102">
        <f t="shared" si="144"/>
        <v>1</v>
      </c>
      <c r="L716" s="102" t="str">
        <f>IF(VLOOKUP($P716,线下模式!$A$3:$X$22,15,FALSE)="","","Monster_Offline_"&amp;P716&amp;"_3")</f>
        <v>Monster_Offline_19_3</v>
      </c>
      <c r="M716" s="57">
        <f t="shared" si="145"/>
        <v>1</v>
      </c>
      <c r="O716" s="102">
        <f>IF(VLOOKUP($P716,线下模式!$A$3:$X$22,15,FALSE)="","",VLOOKUP($P716,线下模式!$A$3:$X$22,19,FALSE))</f>
        <v>5</v>
      </c>
      <c r="P716" s="110">
        <f t="shared" si="146"/>
        <v>19</v>
      </c>
      <c r="Q716" s="110">
        <v>3</v>
      </c>
    </row>
    <row r="717" spans="2:17" x14ac:dyDescent="0.2">
      <c r="D717" s="57" t="str">
        <f t="shared" si="140"/>
        <v/>
      </c>
      <c r="F717" s="57" t="str">
        <f t="shared" si="141"/>
        <v/>
      </c>
      <c r="G717" s="102" t="str">
        <f t="shared" si="142"/>
        <v/>
      </c>
      <c r="H717" s="57" t="str">
        <f t="shared" si="143"/>
        <v/>
      </c>
      <c r="I717" s="102" t="str">
        <f>IF(VLOOKUP($P717,线下模式!$A$3:$X$22,20,FALSE)="","",VLOOKUP($P717,线下模式!$A$3:$X$22,21,FALSE))</f>
        <v/>
      </c>
      <c r="J717" s="102" t="str">
        <f>IF(VLOOKUP($P717,线下模式!$A$3:$X$22,20,FALSE)="","",VLOOKUP($P717,线下模式!$A$3:$X$22,22,FALSE))</f>
        <v/>
      </c>
      <c r="K717" s="102" t="str">
        <f t="shared" si="144"/>
        <v/>
      </c>
      <c r="L717" s="102" t="str">
        <f>IF(VLOOKUP($P717,线下模式!$A$3:$X$22,20,FALSE)="","","Monster_Offline_"&amp;P717&amp;"_4")</f>
        <v/>
      </c>
      <c r="M717" s="57" t="str">
        <f t="shared" si="145"/>
        <v/>
      </c>
      <c r="O717" s="102" t="str">
        <f>IF(VLOOKUP($P717,线下模式!$A$3:$X$22,20,FALSE)="","",VLOOKUP($P717,线下模式!$A$3:$X$22,24,FALSE))</f>
        <v/>
      </c>
      <c r="P717" s="110">
        <f t="shared" si="146"/>
        <v>19</v>
      </c>
      <c r="Q717" s="110">
        <v>4</v>
      </c>
    </row>
    <row r="718" spans="2:17" x14ac:dyDescent="0.2">
      <c r="B718" s="57" t="s">
        <v>1572</v>
      </c>
      <c r="C718" s="57">
        <v>20</v>
      </c>
      <c r="D718" s="57" t="str">
        <f t="shared" si="140"/>
        <v>线下模式第20波</v>
      </c>
      <c r="F718" s="57">
        <f t="shared" si="141"/>
        <v>0</v>
      </c>
      <c r="G718" s="102">
        <f t="shared" si="142"/>
        <v>180</v>
      </c>
      <c r="H718" s="57">
        <f t="shared" si="143"/>
        <v>0</v>
      </c>
      <c r="I718" s="102">
        <f>IF(VLOOKUP($P718,线下模式!$A$3:$X$22,5,FALSE)="","",VLOOKUP($P718,线下模式!$A$3:$X$22,6,FALSE))</f>
        <v>145</v>
      </c>
      <c r="J718" s="102">
        <f>IF(VLOOKUP($P718,线下模式!$A$3:$X$22,5,FALSE)="","",VLOOKUP($P718,线下模式!$A$3:$X$22,7,FALSE))</f>
        <v>0.2</v>
      </c>
      <c r="K718" s="102">
        <f t="shared" si="144"/>
        <v>1</v>
      </c>
      <c r="L718" s="102" t="str">
        <f>IF(VLOOKUP($P718,线下模式!$A$3:$X$22,5,FALSE)="","","Monster_Offline_"&amp;P718&amp;"_1")</f>
        <v>Monster_Offline_20_1</v>
      </c>
      <c r="M718" s="57">
        <f t="shared" si="145"/>
        <v>1</v>
      </c>
      <c r="O718" s="102">
        <f>IF(VLOOKUP($P718,线下模式!$A$3:$X$22,5,FALSE)="","",VLOOKUP($P718,线下模式!$A$3:$X$22,9,FALSE))</f>
        <v>2</v>
      </c>
      <c r="P718" s="110">
        <f t="shared" si="146"/>
        <v>20</v>
      </c>
      <c r="Q718" s="110">
        <v>1</v>
      </c>
    </row>
    <row r="719" spans="2:17" x14ac:dyDescent="0.2">
      <c r="D719" s="57" t="str">
        <f t="shared" si="140"/>
        <v/>
      </c>
      <c r="F719" s="57" t="str">
        <f t="shared" si="141"/>
        <v/>
      </c>
      <c r="G719" s="102" t="str">
        <f t="shared" si="142"/>
        <v/>
      </c>
      <c r="H719" s="57">
        <f t="shared" si="143"/>
        <v>0</v>
      </c>
      <c r="I719" s="102">
        <f>IF(VLOOKUP($P719,线下模式!$A$3:$X$22,10,FALSE)="","",VLOOKUP($P719,线下模式!$A$3:$X$22,11,FALSE))</f>
        <v>1</v>
      </c>
      <c r="J719" s="102">
        <f>IF(VLOOKUP($P719,线下模式!$A$3:$X$22,10,FALSE)="","",VLOOKUP($P719,线下模式!$A$3:$X$22,12,FALSE))</f>
        <v>0</v>
      </c>
      <c r="K719" s="102">
        <f t="shared" si="144"/>
        <v>1</v>
      </c>
      <c r="L719" s="102" t="str">
        <f>IF(VLOOKUP($P719,线下模式!$A$3:$X$22,10,FALSE)="","","Monster_Offline_"&amp;P719&amp;"_2")</f>
        <v>Monster_Offline_20_2</v>
      </c>
      <c r="M719" s="57">
        <f t="shared" si="145"/>
        <v>1</v>
      </c>
      <c r="O719" s="102">
        <f>IF(VLOOKUP($P719,线下模式!$A$3:$X$22,10,FALSE)="","",VLOOKUP($P719,线下模式!$A$3:$X$22,14,FALSE))</f>
        <v>16</v>
      </c>
      <c r="P719" s="110">
        <f t="shared" si="146"/>
        <v>20</v>
      </c>
      <c r="Q719" s="110">
        <v>2</v>
      </c>
    </row>
    <row r="720" spans="2:17" x14ac:dyDescent="0.2">
      <c r="D720" s="57" t="str">
        <f t="shared" si="140"/>
        <v/>
      </c>
      <c r="F720" s="57" t="str">
        <f t="shared" si="141"/>
        <v/>
      </c>
      <c r="G720" s="102" t="str">
        <f t="shared" si="142"/>
        <v/>
      </c>
      <c r="H720" s="57">
        <f t="shared" si="143"/>
        <v>0</v>
      </c>
      <c r="I720" s="102">
        <f>IF(VLOOKUP($P720,线下模式!$A$3:$X$22,15,FALSE)="","",VLOOKUP(P720,线下模式!$A$3:$X$22,16,FALSE))</f>
        <v>29</v>
      </c>
      <c r="J720" s="102">
        <f>IF(VLOOKUP($P720,线下模式!$A$3:$X$22,15,FALSE)="","",VLOOKUP($P720,线下模式!$A$3:$X$22,17,FALSE))</f>
        <v>1</v>
      </c>
      <c r="K720" s="102">
        <f t="shared" si="144"/>
        <v>1</v>
      </c>
      <c r="L720" s="102" t="str">
        <f>IF(VLOOKUP($P720,线下模式!$A$3:$X$22,15,FALSE)="","","Monster_Offline_"&amp;P720&amp;"_3")</f>
        <v>Monster_Offline_20_3</v>
      </c>
      <c r="M720" s="57">
        <f t="shared" si="145"/>
        <v>1</v>
      </c>
      <c r="O720" s="102">
        <f>IF(VLOOKUP($P720,线下模式!$A$3:$X$22,15,FALSE)="","",VLOOKUP($P720,线下模式!$A$3:$X$22,19,FALSE))</f>
        <v>2</v>
      </c>
      <c r="P720" s="110">
        <f t="shared" si="146"/>
        <v>20</v>
      </c>
      <c r="Q720" s="110">
        <v>3</v>
      </c>
    </row>
    <row r="721" spans="2:18" x14ac:dyDescent="0.2">
      <c r="D721" s="57" t="str">
        <f t="shared" si="140"/>
        <v/>
      </c>
      <c r="F721" s="57" t="str">
        <f t="shared" si="141"/>
        <v/>
      </c>
      <c r="G721" s="102" t="str">
        <f t="shared" si="142"/>
        <v/>
      </c>
      <c r="H721" s="57" t="str">
        <f t="shared" si="143"/>
        <v/>
      </c>
      <c r="I721" s="102" t="str">
        <f>IF(VLOOKUP($P721,线下模式!$A$3:$X$22,20,FALSE)="","",VLOOKUP($P721,线下模式!$A$3:$X$22,21,FALSE))</f>
        <v/>
      </c>
      <c r="J721" s="102" t="str">
        <f>IF(VLOOKUP($P721,线下模式!$A$3:$X$22,20,FALSE)="","",VLOOKUP($P721,线下模式!$A$3:$X$22,22,FALSE))</f>
        <v/>
      </c>
      <c r="K721" s="102" t="str">
        <f t="shared" si="144"/>
        <v/>
      </c>
      <c r="L721" s="102" t="str">
        <f>IF(VLOOKUP($P721,线下模式!$A$3:$X$22,20,FALSE)="","","Monster_Offline_"&amp;P721&amp;"_4")</f>
        <v/>
      </c>
      <c r="M721" s="57" t="str">
        <f t="shared" si="145"/>
        <v/>
      </c>
      <c r="O721" s="102" t="str">
        <f>IF(VLOOKUP($P721,线下模式!$A$3:$X$22,20,FALSE)="","",VLOOKUP($P721,线下模式!$A$3:$X$22,24,FALSE))</f>
        <v/>
      </c>
      <c r="P721" s="110">
        <f t="shared" si="146"/>
        <v>20</v>
      </c>
      <c r="Q721" s="110">
        <v>4</v>
      </c>
    </row>
    <row r="724" spans="2:18" x14ac:dyDescent="0.2">
      <c r="B724" s="57" t="str">
        <f t="shared" ref="B724:B755" si="147">IF(C724="","","MonsterWaveCallRule_Season1_Challenge"&amp;P724)</f>
        <v>MonsterWaveCallRule_Season1_Challenge1</v>
      </c>
      <c r="C724" s="57">
        <v>1</v>
      </c>
      <c r="D724" s="57" t="str">
        <f t="shared" ref="D724:D755" si="148">IF(C724="","","赛季1关卡"&amp;P724&amp;"第"&amp;C724&amp;"波")</f>
        <v>赛季1关卡1第1波</v>
      </c>
      <c r="F724" s="57">
        <f t="shared" ref="F724:F787" si="149">IF(C724="","",0)</f>
        <v>0</v>
      </c>
      <c r="G724" s="102">
        <f>IF(C724="","",180)</f>
        <v>180</v>
      </c>
      <c r="H724" s="57">
        <f t="shared" ref="H724:H787" si="150">IF(I724="","",0)</f>
        <v>0</v>
      </c>
      <c r="I724" s="102">
        <f>VLOOKUP(P724&amp;"_"&amp;Q724,活动关卡!$A$4:$Z$27,3+5*MonsterWaveCallRuleCfg!R724,FALSE)</f>
        <v>5</v>
      </c>
      <c r="J724" s="102">
        <f>VLOOKUP(P724&amp;"_"&amp;Q724,活动关卡!$A$4:$Z$27,4+5*MonsterWaveCallRuleCfg!R724,FALSE)</f>
        <v>2</v>
      </c>
      <c r="K724" s="102">
        <f t="shared" ref="K724" si="151">IF(I724="","",1)</f>
        <v>1</v>
      </c>
      <c r="L724" s="102" t="str">
        <f>IF(VLOOKUP(P724&amp;"_"&amp;Q724,活动关卡!$A$4:$Z$27,2+5*R724,FALSE)="","","Monster_Season1_Challenge"&amp;P724&amp;"_"&amp;Q724&amp;"_"&amp;R724)</f>
        <v>Monster_Season1_Challenge1_1_1</v>
      </c>
      <c r="M724" s="57">
        <f t="shared" ref="M724" si="152">IF(I724="","",1)</f>
        <v>1</v>
      </c>
      <c r="O724" s="102">
        <f>VLOOKUP(P724&amp;"_"&amp;Q724,活动关卡!$A$4:$Z$27,6+5*MonsterWaveCallRuleCfg!R724,FALSE)</f>
        <v>18</v>
      </c>
      <c r="P724" s="110">
        <v>1</v>
      </c>
      <c r="Q724" s="110">
        <f>C724</f>
        <v>1</v>
      </c>
      <c r="R724" s="110">
        <v>1</v>
      </c>
    </row>
    <row r="725" spans="2:18" x14ac:dyDescent="0.2">
      <c r="B725" s="57" t="str">
        <f t="shared" si="147"/>
        <v/>
      </c>
      <c r="D725" s="57" t="str">
        <f t="shared" si="148"/>
        <v/>
      </c>
      <c r="F725" s="57" t="str">
        <f t="shared" si="149"/>
        <v/>
      </c>
      <c r="G725" s="102" t="str">
        <f t="shared" ref="G725:G788" si="153">IF(C725="","",180)</f>
        <v/>
      </c>
      <c r="H725" s="57">
        <f t="shared" si="150"/>
        <v>0</v>
      </c>
      <c r="I725" s="102">
        <f>VLOOKUP(P725&amp;"_"&amp;Q725,活动关卡!$A$4:$Z$27,3+5*MonsterWaveCallRuleCfg!R725,FALSE)</f>
        <v>3</v>
      </c>
      <c r="J725" s="102">
        <f>VLOOKUP(P725&amp;"_"&amp;Q725,活动关卡!$A$4:$Z$27,4+5*MonsterWaveCallRuleCfg!R725,FALSE)</f>
        <v>3</v>
      </c>
      <c r="K725" s="102">
        <f t="shared" ref="K725:K788" si="154">IF(I725="","",1)</f>
        <v>1</v>
      </c>
      <c r="L725" s="102" t="str">
        <f>IF(VLOOKUP(P725&amp;"_"&amp;Q725,活动关卡!$A$4:$Z$27,2+5*R725,FALSE)="","","Monster_Season1_Challenge"&amp;P725&amp;"_"&amp;Q725&amp;"_"&amp;R725)</f>
        <v>Monster_Season1_Challenge1_1_2</v>
      </c>
      <c r="M725" s="57">
        <f t="shared" ref="M725:M788" si="155">IF(I725="","",1)</f>
        <v>1</v>
      </c>
      <c r="O725" s="102">
        <f>VLOOKUP(P725&amp;"_"&amp;Q725,活动关卡!$A$4:$Z$27,6+5*MonsterWaveCallRuleCfg!R725,FALSE)</f>
        <v>71</v>
      </c>
      <c r="P725" s="110">
        <v>1</v>
      </c>
      <c r="Q725" s="110">
        <f>IF(C725="",Q724,C725)</f>
        <v>1</v>
      </c>
      <c r="R725" s="110">
        <v>2</v>
      </c>
    </row>
    <row r="726" spans="2:18" x14ac:dyDescent="0.2">
      <c r="B726" s="57" t="str">
        <f t="shared" si="147"/>
        <v/>
      </c>
      <c r="D726" s="57" t="str">
        <f t="shared" si="148"/>
        <v/>
      </c>
      <c r="F726" s="57" t="str">
        <f t="shared" si="149"/>
        <v/>
      </c>
      <c r="G726" s="102" t="str">
        <f t="shared" si="153"/>
        <v/>
      </c>
      <c r="H726" s="57" t="str">
        <f t="shared" si="150"/>
        <v/>
      </c>
      <c r="I726" s="102" t="str">
        <f>VLOOKUP(P726&amp;"_"&amp;Q726,活动关卡!$A$4:$Z$27,3+5*MonsterWaveCallRuleCfg!R726,FALSE)</f>
        <v/>
      </c>
      <c r="J726" s="102" t="str">
        <f>VLOOKUP(P726&amp;"_"&amp;Q726,活动关卡!$A$4:$Z$27,4+5*MonsterWaveCallRuleCfg!R726,FALSE)</f>
        <v/>
      </c>
      <c r="K726" s="102" t="str">
        <f t="shared" si="154"/>
        <v/>
      </c>
      <c r="L726" s="102" t="str">
        <f>IF(VLOOKUP(P726&amp;"_"&amp;Q726,活动关卡!$A$4:$Z$27,2+5*R726,FALSE)="","","Monster_Season1_Challenge"&amp;P726&amp;"_"&amp;Q726&amp;"_"&amp;R726)</f>
        <v/>
      </c>
      <c r="M726" s="57" t="str">
        <f t="shared" si="155"/>
        <v/>
      </c>
      <c r="O726" s="102" t="str">
        <f>VLOOKUP(P726&amp;"_"&amp;Q726,活动关卡!$A$4:$Z$27,6+5*MonsterWaveCallRuleCfg!R726,FALSE)</f>
        <v/>
      </c>
      <c r="P726" s="110">
        <v>1</v>
      </c>
      <c r="Q726" s="110">
        <f t="shared" ref="Q726:Q789" si="156">IF(C726="",Q725,C726)</f>
        <v>1</v>
      </c>
      <c r="R726" s="110">
        <v>3</v>
      </c>
    </row>
    <row r="727" spans="2:18" x14ac:dyDescent="0.2">
      <c r="B727" s="57" t="str">
        <f t="shared" si="147"/>
        <v/>
      </c>
      <c r="D727" s="57" t="str">
        <f t="shared" si="148"/>
        <v/>
      </c>
      <c r="F727" s="57" t="str">
        <f t="shared" si="149"/>
        <v/>
      </c>
      <c r="G727" s="102" t="str">
        <f t="shared" si="153"/>
        <v/>
      </c>
      <c r="H727" s="57" t="str">
        <f t="shared" si="150"/>
        <v/>
      </c>
      <c r="I727" s="102" t="str">
        <f>VLOOKUP(P727&amp;"_"&amp;Q727,活动关卡!$A$4:$Z$27,3+5*MonsterWaveCallRuleCfg!R727,FALSE)</f>
        <v/>
      </c>
      <c r="J727" s="102" t="str">
        <f>VLOOKUP(P727&amp;"_"&amp;Q727,活动关卡!$A$4:$Z$27,4+5*MonsterWaveCallRuleCfg!R727,FALSE)</f>
        <v/>
      </c>
      <c r="K727" s="102" t="str">
        <f t="shared" si="154"/>
        <v/>
      </c>
      <c r="L727" s="102" t="str">
        <f>IF(VLOOKUP(P727&amp;"_"&amp;Q727,活动关卡!$A$4:$Z$27,2+5*R727,FALSE)="","","Monster_Season1_Challenge"&amp;P727&amp;"_"&amp;Q727&amp;"_"&amp;R727)</f>
        <v/>
      </c>
      <c r="M727" s="57" t="str">
        <f t="shared" si="155"/>
        <v/>
      </c>
      <c r="O727" s="102" t="str">
        <f>VLOOKUP(P727&amp;"_"&amp;Q727,活动关卡!$A$4:$Z$27,6+5*MonsterWaveCallRuleCfg!R727,FALSE)</f>
        <v/>
      </c>
      <c r="P727" s="110">
        <v>1</v>
      </c>
      <c r="Q727" s="110">
        <f t="shared" si="156"/>
        <v>1</v>
      </c>
      <c r="R727" s="110">
        <v>4</v>
      </c>
    </row>
    <row r="728" spans="2:18" x14ac:dyDescent="0.2">
      <c r="B728" s="57" t="str">
        <f t="shared" si="147"/>
        <v>MonsterWaveCallRule_Season1_Challenge1</v>
      </c>
      <c r="C728" s="57">
        <v>2</v>
      </c>
      <c r="D728" s="57" t="str">
        <f t="shared" si="148"/>
        <v>赛季1关卡1第2波</v>
      </c>
      <c r="F728" s="57">
        <f t="shared" si="149"/>
        <v>0</v>
      </c>
      <c r="G728" s="102">
        <f t="shared" si="153"/>
        <v>180</v>
      </c>
      <c r="H728" s="57">
        <f t="shared" si="150"/>
        <v>0</v>
      </c>
      <c r="I728" s="102">
        <f>VLOOKUP(P728&amp;"_"&amp;Q728,活动关卡!$A$4:$Z$27,3+5*MonsterWaveCallRuleCfg!R728,FALSE)</f>
        <v>25</v>
      </c>
      <c r="J728" s="102">
        <f>VLOOKUP(P728&amp;"_"&amp;Q728,活动关卡!$A$4:$Z$27,4+5*MonsterWaveCallRuleCfg!R728,FALSE)</f>
        <v>0.5</v>
      </c>
      <c r="K728" s="102">
        <f t="shared" si="154"/>
        <v>1</v>
      </c>
      <c r="L728" s="102" t="str">
        <f>IF(VLOOKUP(P728&amp;"_"&amp;Q728,活动关卡!$A$4:$Z$27,2+5*R728,FALSE)="","","Monster_Season1_Challenge"&amp;P728&amp;"_"&amp;Q728&amp;"_"&amp;R728)</f>
        <v>Monster_Season1_Challenge1_2_1</v>
      </c>
      <c r="M728" s="57">
        <f t="shared" si="155"/>
        <v>1</v>
      </c>
      <c r="O728" s="102">
        <f>VLOOKUP(P728&amp;"_"&amp;Q728,活动关卡!$A$4:$Z$27,6+5*MonsterWaveCallRuleCfg!R728,FALSE)</f>
        <v>7</v>
      </c>
      <c r="P728" s="110">
        <v>1</v>
      </c>
      <c r="Q728" s="110">
        <f t="shared" si="156"/>
        <v>2</v>
      </c>
      <c r="R728" s="110">
        <v>1</v>
      </c>
    </row>
    <row r="729" spans="2:18" x14ac:dyDescent="0.2">
      <c r="B729" s="57" t="str">
        <f t="shared" si="147"/>
        <v/>
      </c>
      <c r="D729" s="57" t="str">
        <f t="shared" si="148"/>
        <v/>
      </c>
      <c r="F729" s="57" t="str">
        <f t="shared" si="149"/>
        <v/>
      </c>
      <c r="G729" s="102" t="str">
        <f t="shared" si="153"/>
        <v/>
      </c>
      <c r="H729" s="57">
        <f t="shared" si="150"/>
        <v>0</v>
      </c>
      <c r="I729" s="102">
        <f>VLOOKUP(P729&amp;"_"&amp;Q729,活动关卡!$A$4:$Z$27,3+5*MonsterWaveCallRuleCfg!R729,FALSE)</f>
        <v>4</v>
      </c>
      <c r="J729" s="102">
        <f>VLOOKUP(P729&amp;"_"&amp;Q729,活动关卡!$A$4:$Z$27,4+5*MonsterWaveCallRuleCfg!R729,FALSE)</f>
        <v>3</v>
      </c>
      <c r="K729" s="102">
        <f t="shared" si="154"/>
        <v>1</v>
      </c>
      <c r="L729" s="102" t="str">
        <f>IF(VLOOKUP(P729&amp;"_"&amp;Q729,活动关卡!$A$4:$Z$27,2+5*R729,FALSE)="","","Monster_Season1_Challenge"&amp;P729&amp;"_"&amp;Q729&amp;"_"&amp;R729)</f>
        <v>Monster_Season1_Challenge1_2_2</v>
      </c>
      <c r="M729" s="57">
        <f t="shared" si="155"/>
        <v>1</v>
      </c>
      <c r="O729" s="102">
        <f>VLOOKUP(P729&amp;"_"&amp;Q729,活动关卡!$A$4:$Z$27,6+5*MonsterWaveCallRuleCfg!R729,FALSE)</f>
        <v>29</v>
      </c>
      <c r="P729" s="110">
        <v>1</v>
      </c>
      <c r="Q729" s="110">
        <f t="shared" si="156"/>
        <v>2</v>
      </c>
      <c r="R729" s="110">
        <v>2</v>
      </c>
    </row>
    <row r="730" spans="2:18" x14ac:dyDescent="0.2">
      <c r="B730" s="57" t="str">
        <f t="shared" si="147"/>
        <v/>
      </c>
      <c r="D730" s="57" t="str">
        <f t="shared" si="148"/>
        <v/>
      </c>
      <c r="F730" s="57" t="str">
        <f t="shared" si="149"/>
        <v/>
      </c>
      <c r="G730" s="102" t="str">
        <f t="shared" si="153"/>
        <v/>
      </c>
      <c r="H730" s="57" t="str">
        <f t="shared" si="150"/>
        <v/>
      </c>
      <c r="I730" s="102" t="str">
        <f>VLOOKUP(P730&amp;"_"&amp;Q730,活动关卡!$A$4:$Z$27,3+5*MonsterWaveCallRuleCfg!R730,FALSE)</f>
        <v/>
      </c>
      <c r="J730" s="102" t="str">
        <f>VLOOKUP(P730&amp;"_"&amp;Q730,活动关卡!$A$4:$Z$27,4+5*MonsterWaveCallRuleCfg!R730,FALSE)</f>
        <v/>
      </c>
      <c r="K730" s="102" t="str">
        <f t="shared" si="154"/>
        <v/>
      </c>
      <c r="L730" s="102" t="str">
        <f>IF(VLOOKUP(P730&amp;"_"&amp;Q730,活动关卡!$A$4:$Z$27,2+5*R730,FALSE)="","","Monster_Season1_Challenge"&amp;P730&amp;"_"&amp;Q730&amp;"_"&amp;R730)</f>
        <v/>
      </c>
      <c r="M730" s="57" t="str">
        <f t="shared" si="155"/>
        <v/>
      </c>
      <c r="O730" s="102" t="str">
        <f>VLOOKUP(P730&amp;"_"&amp;Q730,活动关卡!$A$4:$Z$27,6+5*MonsterWaveCallRuleCfg!R730,FALSE)</f>
        <v/>
      </c>
      <c r="P730" s="110">
        <v>1</v>
      </c>
      <c r="Q730" s="110">
        <f t="shared" si="156"/>
        <v>2</v>
      </c>
      <c r="R730" s="110">
        <v>3</v>
      </c>
    </row>
    <row r="731" spans="2:18" x14ac:dyDescent="0.2">
      <c r="B731" s="57" t="str">
        <f t="shared" si="147"/>
        <v/>
      </c>
      <c r="D731" s="57" t="str">
        <f t="shared" si="148"/>
        <v/>
      </c>
      <c r="F731" s="57" t="str">
        <f t="shared" si="149"/>
        <v/>
      </c>
      <c r="G731" s="102" t="str">
        <f t="shared" si="153"/>
        <v/>
      </c>
      <c r="H731" s="57" t="str">
        <f t="shared" si="150"/>
        <v/>
      </c>
      <c r="I731" s="102" t="str">
        <f>VLOOKUP(P731&amp;"_"&amp;Q731,活动关卡!$A$4:$Z$27,3+5*MonsterWaveCallRuleCfg!R731,FALSE)</f>
        <v/>
      </c>
      <c r="J731" s="102" t="str">
        <f>VLOOKUP(P731&amp;"_"&amp;Q731,活动关卡!$A$4:$Z$27,4+5*MonsterWaveCallRuleCfg!R731,FALSE)</f>
        <v/>
      </c>
      <c r="K731" s="102" t="str">
        <f t="shared" si="154"/>
        <v/>
      </c>
      <c r="L731" s="102" t="str">
        <f>IF(VLOOKUP(P731&amp;"_"&amp;Q731,活动关卡!$A$4:$Z$27,2+5*R731,FALSE)="","","Monster_Season1_Challenge"&amp;P731&amp;"_"&amp;Q731&amp;"_"&amp;R731)</f>
        <v/>
      </c>
      <c r="M731" s="57" t="str">
        <f t="shared" si="155"/>
        <v/>
      </c>
      <c r="O731" s="102" t="str">
        <f>VLOOKUP(P731&amp;"_"&amp;Q731,活动关卡!$A$4:$Z$27,6+5*MonsterWaveCallRuleCfg!R731,FALSE)</f>
        <v/>
      </c>
      <c r="P731" s="110">
        <v>1</v>
      </c>
      <c r="Q731" s="110">
        <f t="shared" si="156"/>
        <v>2</v>
      </c>
      <c r="R731" s="110">
        <v>4</v>
      </c>
    </row>
    <row r="732" spans="2:18" x14ac:dyDescent="0.2">
      <c r="B732" s="57" t="str">
        <f t="shared" si="147"/>
        <v>MonsterWaveCallRule_Season1_Challenge1</v>
      </c>
      <c r="C732" s="57">
        <v>3</v>
      </c>
      <c r="D732" s="57" t="str">
        <f t="shared" si="148"/>
        <v>赛季1关卡1第3波</v>
      </c>
      <c r="F732" s="57">
        <f t="shared" si="149"/>
        <v>0</v>
      </c>
      <c r="G732" s="102">
        <f t="shared" si="153"/>
        <v>180</v>
      </c>
      <c r="H732" s="57">
        <f t="shared" si="150"/>
        <v>0</v>
      </c>
      <c r="I732" s="102">
        <f>VLOOKUP(P732&amp;"_"&amp;Q732,活动关卡!$A$4:$Z$27,3+5*MonsterWaveCallRuleCfg!R732,FALSE)</f>
        <v>30</v>
      </c>
      <c r="J732" s="102">
        <f>VLOOKUP(P732&amp;"_"&amp;Q732,活动关卡!$A$4:$Z$27,4+5*MonsterWaveCallRuleCfg!R732,FALSE)</f>
        <v>0.5</v>
      </c>
      <c r="K732" s="102">
        <f t="shared" si="154"/>
        <v>1</v>
      </c>
      <c r="L732" s="102" t="str">
        <f>IF(VLOOKUP(P732&amp;"_"&amp;Q732,活动关卡!$A$4:$Z$27,2+5*R732,FALSE)="","","Monster_Season1_Challenge"&amp;P732&amp;"_"&amp;Q732&amp;"_"&amp;R732)</f>
        <v>Monster_Season1_Challenge1_3_1</v>
      </c>
      <c r="M732" s="57">
        <f t="shared" si="155"/>
        <v>1</v>
      </c>
      <c r="O732" s="102">
        <f>VLOOKUP(P732&amp;"_"&amp;Q732,活动关卡!$A$4:$Z$27,6+5*MonsterWaveCallRuleCfg!R732,FALSE)</f>
        <v>3</v>
      </c>
      <c r="P732" s="110">
        <v>1</v>
      </c>
      <c r="Q732" s="110">
        <f t="shared" si="156"/>
        <v>3</v>
      </c>
      <c r="R732" s="110">
        <v>1</v>
      </c>
    </row>
    <row r="733" spans="2:18" x14ac:dyDescent="0.2">
      <c r="B733" s="57" t="str">
        <f t="shared" si="147"/>
        <v/>
      </c>
      <c r="D733" s="57" t="str">
        <f t="shared" si="148"/>
        <v/>
      </c>
      <c r="F733" s="57" t="str">
        <f t="shared" si="149"/>
        <v/>
      </c>
      <c r="G733" s="102" t="str">
        <f t="shared" si="153"/>
        <v/>
      </c>
      <c r="H733" s="57">
        <f t="shared" si="150"/>
        <v>0</v>
      </c>
      <c r="I733" s="102">
        <f>VLOOKUP(P733&amp;"_"&amp;Q733,活动关卡!$A$4:$Z$27,3+5*MonsterWaveCallRuleCfg!R733,FALSE)</f>
        <v>5</v>
      </c>
      <c r="J733" s="102">
        <f>VLOOKUP(P733&amp;"_"&amp;Q733,活动关卡!$A$4:$Z$27,4+5*MonsterWaveCallRuleCfg!R733,FALSE)</f>
        <v>3</v>
      </c>
      <c r="K733" s="102">
        <f t="shared" si="154"/>
        <v>1</v>
      </c>
      <c r="L733" s="102" t="str">
        <f>IF(VLOOKUP(P733&amp;"_"&amp;Q733,活动关卡!$A$4:$Z$27,2+5*R733,FALSE)="","","Monster_Season1_Challenge"&amp;P733&amp;"_"&amp;Q733&amp;"_"&amp;R733)</f>
        <v>Monster_Season1_Challenge1_3_2</v>
      </c>
      <c r="M733" s="57">
        <f t="shared" si="155"/>
        <v>1</v>
      </c>
      <c r="O733" s="102">
        <f>VLOOKUP(P733&amp;"_"&amp;Q733,活动关卡!$A$4:$Z$27,6+5*MonsterWaveCallRuleCfg!R733,FALSE)</f>
        <v>13</v>
      </c>
      <c r="P733" s="110">
        <v>1</v>
      </c>
      <c r="Q733" s="110">
        <f t="shared" si="156"/>
        <v>3</v>
      </c>
      <c r="R733" s="110">
        <v>2</v>
      </c>
    </row>
    <row r="734" spans="2:18" x14ac:dyDescent="0.2">
      <c r="B734" s="57" t="str">
        <f t="shared" si="147"/>
        <v/>
      </c>
      <c r="D734" s="57" t="str">
        <f t="shared" si="148"/>
        <v/>
      </c>
      <c r="F734" s="57" t="str">
        <f t="shared" si="149"/>
        <v/>
      </c>
      <c r="G734" s="102" t="str">
        <f t="shared" si="153"/>
        <v/>
      </c>
      <c r="H734" s="57">
        <f t="shared" si="150"/>
        <v>0</v>
      </c>
      <c r="I734" s="102">
        <f>VLOOKUP(P734&amp;"_"&amp;Q734,活动关卡!$A$4:$Z$27,3+5*MonsterWaveCallRuleCfg!R734,FALSE)</f>
        <v>10</v>
      </c>
      <c r="J734" s="102">
        <f>VLOOKUP(P734&amp;"_"&amp;Q734,活动关卡!$A$4:$Z$27,4+5*MonsterWaveCallRuleCfg!R734,FALSE)</f>
        <v>1.5</v>
      </c>
      <c r="K734" s="102">
        <f t="shared" si="154"/>
        <v>1</v>
      </c>
      <c r="L734" s="102" t="str">
        <f>IF(VLOOKUP(P734&amp;"_"&amp;Q734,活动关卡!$A$4:$Z$27,2+5*R734,FALSE)="","","Monster_Season1_Challenge"&amp;P734&amp;"_"&amp;Q734&amp;"_"&amp;R734)</f>
        <v>Monster_Season1_Challenge1_3_3</v>
      </c>
      <c r="M734" s="57">
        <f t="shared" si="155"/>
        <v>1</v>
      </c>
      <c r="O734" s="102">
        <f>VLOOKUP(P734&amp;"_"&amp;Q734,活动关卡!$A$4:$Z$27,6+5*MonsterWaveCallRuleCfg!R734,FALSE)</f>
        <v>13</v>
      </c>
      <c r="P734" s="110">
        <v>1</v>
      </c>
      <c r="Q734" s="110">
        <f t="shared" si="156"/>
        <v>3</v>
      </c>
      <c r="R734" s="110">
        <v>3</v>
      </c>
    </row>
    <row r="735" spans="2:18" x14ac:dyDescent="0.2">
      <c r="B735" s="57" t="str">
        <f t="shared" si="147"/>
        <v/>
      </c>
      <c r="D735" s="57" t="str">
        <f t="shared" si="148"/>
        <v/>
      </c>
      <c r="F735" s="57" t="str">
        <f t="shared" si="149"/>
        <v/>
      </c>
      <c r="G735" s="102" t="str">
        <f t="shared" si="153"/>
        <v/>
      </c>
      <c r="H735" s="57" t="str">
        <f t="shared" si="150"/>
        <v/>
      </c>
      <c r="I735" s="102" t="str">
        <f>VLOOKUP(P735&amp;"_"&amp;Q735,活动关卡!$A$4:$Z$27,3+5*MonsterWaveCallRuleCfg!R735,FALSE)</f>
        <v/>
      </c>
      <c r="J735" s="102" t="str">
        <f>VLOOKUP(P735&amp;"_"&amp;Q735,活动关卡!$A$4:$Z$27,4+5*MonsterWaveCallRuleCfg!R735,FALSE)</f>
        <v/>
      </c>
      <c r="K735" s="102" t="str">
        <f t="shared" si="154"/>
        <v/>
      </c>
      <c r="L735" s="102" t="str">
        <f>IF(VLOOKUP(P735&amp;"_"&amp;Q735,活动关卡!$A$4:$Z$27,2+5*R735,FALSE)="","","Monster_Season1_Challenge"&amp;P735&amp;"_"&amp;Q735&amp;"_"&amp;R735)</f>
        <v/>
      </c>
      <c r="M735" s="57" t="str">
        <f t="shared" si="155"/>
        <v/>
      </c>
      <c r="O735" s="102" t="str">
        <f>VLOOKUP(P735&amp;"_"&amp;Q735,活动关卡!$A$4:$Z$27,6+5*MonsterWaveCallRuleCfg!R735,FALSE)</f>
        <v/>
      </c>
      <c r="P735" s="110">
        <v>1</v>
      </c>
      <c r="Q735" s="110">
        <f t="shared" si="156"/>
        <v>3</v>
      </c>
      <c r="R735" s="110">
        <v>4</v>
      </c>
    </row>
    <row r="736" spans="2:18" x14ac:dyDescent="0.2">
      <c r="B736" s="57" t="str">
        <f t="shared" si="147"/>
        <v>MonsterWaveCallRule_Season1_Challenge1</v>
      </c>
      <c r="C736" s="57">
        <v>4</v>
      </c>
      <c r="D736" s="57" t="str">
        <f t="shared" si="148"/>
        <v>赛季1关卡1第4波</v>
      </c>
      <c r="F736" s="57">
        <f t="shared" si="149"/>
        <v>0</v>
      </c>
      <c r="G736" s="102">
        <f t="shared" si="153"/>
        <v>180</v>
      </c>
      <c r="H736" s="57" t="e">
        <f t="shared" si="150"/>
        <v>#N/A</v>
      </c>
      <c r="I736" s="102" t="e">
        <f>VLOOKUP(P736&amp;"_"&amp;Q736,活动关卡!$A$4:$Z$27,3+5*MonsterWaveCallRuleCfg!R736,FALSE)</f>
        <v>#N/A</v>
      </c>
      <c r="J736" s="102" t="e">
        <f>VLOOKUP(P736&amp;"_"&amp;Q736,活动关卡!$A$4:$Z$27,4+5*MonsterWaveCallRuleCfg!R736,FALSE)</f>
        <v>#N/A</v>
      </c>
      <c r="K736" s="102" t="e">
        <f t="shared" si="154"/>
        <v>#N/A</v>
      </c>
      <c r="L736" s="102" t="e">
        <f>IF(VLOOKUP(P736&amp;"_"&amp;Q736,活动关卡!$A$4:$Z$27,2+5*R736,FALSE)="","","Monster_Season1_Challenge"&amp;P736&amp;"_"&amp;Q736&amp;"_"&amp;R736)</f>
        <v>#N/A</v>
      </c>
      <c r="M736" s="57" t="e">
        <f t="shared" si="155"/>
        <v>#N/A</v>
      </c>
      <c r="O736" s="102" t="e">
        <f>VLOOKUP(P736&amp;"_"&amp;Q736,活动关卡!$A$4:$Z$27,6+5*MonsterWaveCallRuleCfg!R736,FALSE)</f>
        <v>#N/A</v>
      </c>
      <c r="P736" s="110">
        <v>1</v>
      </c>
      <c r="Q736" s="110">
        <f t="shared" si="156"/>
        <v>4</v>
      </c>
      <c r="R736" s="110">
        <v>1</v>
      </c>
    </row>
    <row r="737" spans="2:18" x14ac:dyDescent="0.2">
      <c r="B737" s="57" t="str">
        <f t="shared" si="147"/>
        <v/>
      </c>
      <c r="D737" s="57" t="str">
        <f t="shared" si="148"/>
        <v/>
      </c>
      <c r="F737" s="57" t="str">
        <f t="shared" si="149"/>
        <v/>
      </c>
      <c r="G737" s="102" t="str">
        <f t="shared" si="153"/>
        <v/>
      </c>
      <c r="H737" s="57" t="e">
        <f t="shared" si="150"/>
        <v>#N/A</v>
      </c>
      <c r="I737" s="102" t="e">
        <f>VLOOKUP(P737&amp;"_"&amp;Q737,活动关卡!$A$4:$Z$27,3+5*MonsterWaveCallRuleCfg!R737,FALSE)</f>
        <v>#N/A</v>
      </c>
      <c r="J737" s="102" t="e">
        <f>VLOOKUP(P737&amp;"_"&amp;Q737,活动关卡!$A$4:$Z$27,4+5*MonsterWaveCallRuleCfg!R737,FALSE)</f>
        <v>#N/A</v>
      </c>
      <c r="K737" s="102" t="e">
        <f t="shared" si="154"/>
        <v>#N/A</v>
      </c>
      <c r="L737" s="102" t="e">
        <f>IF(VLOOKUP(P737&amp;"_"&amp;Q737,活动关卡!$A$4:$Z$27,2+5*R737,FALSE)="","","Monster_Season1_Challenge"&amp;P737&amp;"_"&amp;Q737&amp;"_"&amp;R737)</f>
        <v>#N/A</v>
      </c>
      <c r="M737" s="57" t="e">
        <f t="shared" si="155"/>
        <v>#N/A</v>
      </c>
      <c r="O737" s="102" t="e">
        <f>VLOOKUP(P737&amp;"_"&amp;Q737,活动关卡!$A$4:$Z$27,6+5*MonsterWaveCallRuleCfg!R737,FALSE)</f>
        <v>#N/A</v>
      </c>
      <c r="P737" s="110">
        <v>1</v>
      </c>
      <c r="Q737" s="110">
        <f t="shared" si="156"/>
        <v>4</v>
      </c>
      <c r="R737" s="110">
        <v>2</v>
      </c>
    </row>
    <row r="738" spans="2:18" x14ac:dyDescent="0.2">
      <c r="B738" s="57" t="str">
        <f t="shared" si="147"/>
        <v/>
      </c>
      <c r="D738" s="57" t="str">
        <f t="shared" si="148"/>
        <v/>
      </c>
      <c r="F738" s="57" t="str">
        <f t="shared" si="149"/>
        <v/>
      </c>
      <c r="G738" s="102" t="str">
        <f t="shared" si="153"/>
        <v/>
      </c>
      <c r="H738" s="57" t="e">
        <f t="shared" si="150"/>
        <v>#N/A</v>
      </c>
      <c r="I738" s="102" t="e">
        <f>VLOOKUP(P738&amp;"_"&amp;Q738,活动关卡!$A$4:$Z$27,3+5*MonsterWaveCallRuleCfg!R738,FALSE)</f>
        <v>#N/A</v>
      </c>
      <c r="J738" s="102" t="e">
        <f>VLOOKUP(P738&amp;"_"&amp;Q738,活动关卡!$A$4:$Z$27,4+5*MonsterWaveCallRuleCfg!R738,FALSE)</f>
        <v>#N/A</v>
      </c>
      <c r="K738" s="102" t="e">
        <f t="shared" si="154"/>
        <v>#N/A</v>
      </c>
      <c r="L738" s="102" t="e">
        <f>IF(VLOOKUP(P738&amp;"_"&amp;Q738,活动关卡!$A$4:$Z$27,2+5*R738,FALSE)="","","Monster_Season1_Challenge"&amp;P738&amp;"_"&amp;Q738&amp;"_"&amp;R738)</f>
        <v>#N/A</v>
      </c>
      <c r="M738" s="57" t="e">
        <f t="shared" si="155"/>
        <v>#N/A</v>
      </c>
      <c r="O738" s="102" t="e">
        <f>VLOOKUP(P738&amp;"_"&amp;Q738,活动关卡!$A$4:$Z$27,6+5*MonsterWaveCallRuleCfg!R738,FALSE)</f>
        <v>#N/A</v>
      </c>
      <c r="P738" s="110">
        <v>1</v>
      </c>
      <c r="Q738" s="110">
        <f t="shared" si="156"/>
        <v>4</v>
      </c>
      <c r="R738" s="110">
        <v>3</v>
      </c>
    </row>
    <row r="739" spans="2:18" x14ac:dyDescent="0.2">
      <c r="B739" s="57" t="str">
        <f t="shared" si="147"/>
        <v/>
      </c>
      <c r="D739" s="57" t="str">
        <f t="shared" si="148"/>
        <v/>
      </c>
      <c r="F739" s="57" t="str">
        <f t="shared" si="149"/>
        <v/>
      </c>
      <c r="G739" s="102" t="str">
        <f t="shared" si="153"/>
        <v/>
      </c>
      <c r="H739" s="57" t="e">
        <f t="shared" si="150"/>
        <v>#N/A</v>
      </c>
      <c r="I739" s="102" t="e">
        <f>VLOOKUP(P739&amp;"_"&amp;Q739,活动关卡!$A$4:$Z$27,3+5*MonsterWaveCallRuleCfg!R739,FALSE)</f>
        <v>#N/A</v>
      </c>
      <c r="J739" s="102" t="e">
        <f>VLOOKUP(P739&amp;"_"&amp;Q739,活动关卡!$A$4:$Z$27,4+5*MonsterWaveCallRuleCfg!R739,FALSE)</f>
        <v>#N/A</v>
      </c>
      <c r="K739" s="102" t="e">
        <f t="shared" si="154"/>
        <v>#N/A</v>
      </c>
      <c r="L739" s="102" t="e">
        <f>IF(VLOOKUP(P739&amp;"_"&amp;Q739,活动关卡!$A$4:$Z$27,2+5*R739,FALSE)="","","Monster_Season1_Challenge"&amp;P739&amp;"_"&amp;Q739&amp;"_"&amp;R739)</f>
        <v>#N/A</v>
      </c>
      <c r="M739" s="57" t="e">
        <f t="shared" si="155"/>
        <v>#N/A</v>
      </c>
      <c r="O739" s="102" t="e">
        <f>VLOOKUP(P739&amp;"_"&amp;Q739,活动关卡!$A$4:$Z$27,6+5*MonsterWaveCallRuleCfg!R739,FALSE)</f>
        <v>#N/A</v>
      </c>
      <c r="P739" s="110">
        <v>1</v>
      </c>
      <c r="Q739" s="110">
        <f t="shared" si="156"/>
        <v>4</v>
      </c>
      <c r="R739" s="110">
        <v>4</v>
      </c>
    </row>
    <row r="740" spans="2:18" x14ac:dyDescent="0.2">
      <c r="B740" s="57" t="str">
        <f t="shared" si="147"/>
        <v>MonsterWaveCallRule_Season1_Challenge1</v>
      </c>
      <c r="C740" s="57">
        <v>5</v>
      </c>
      <c r="D740" s="57" t="str">
        <f t="shared" si="148"/>
        <v>赛季1关卡1第5波</v>
      </c>
      <c r="F740" s="57">
        <f t="shared" si="149"/>
        <v>0</v>
      </c>
      <c r="G740" s="102">
        <f t="shared" si="153"/>
        <v>180</v>
      </c>
      <c r="H740" s="57" t="e">
        <f t="shared" si="150"/>
        <v>#N/A</v>
      </c>
      <c r="I740" s="102" t="e">
        <f>VLOOKUP(P740&amp;"_"&amp;Q740,活动关卡!$A$4:$Z$27,3+5*MonsterWaveCallRuleCfg!R740,FALSE)</f>
        <v>#N/A</v>
      </c>
      <c r="J740" s="102" t="e">
        <f>VLOOKUP(P740&amp;"_"&amp;Q740,活动关卡!$A$4:$Z$27,4+5*MonsterWaveCallRuleCfg!R740,FALSE)</f>
        <v>#N/A</v>
      </c>
      <c r="K740" s="102" t="e">
        <f t="shared" si="154"/>
        <v>#N/A</v>
      </c>
      <c r="L740" s="102" t="e">
        <f>IF(VLOOKUP(P740&amp;"_"&amp;Q740,活动关卡!$A$4:$Z$27,2+5*R740,FALSE)="","","Monster_Season1_Challenge"&amp;P740&amp;"_"&amp;Q740&amp;"_"&amp;R740)</f>
        <v>#N/A</v>
      </c>
      <c r="M740" s="57" t="e">
        <f t="shared" si="155"/>
        <v>#N/A</v>
      </c>
      <c r="O740" s="102" t="e">
        <f>VLOOKUP(P740&amp;"_"&amp;Q740,活动关卡!$A$4:$Z$27,6+5*MonsterWaveCallRuleCfg!R740,FALSE)</f>
        <v>#N/A</v>
      </c>
      <c r="P740" s="110">
        <v>1</v>
      </c>
      <c r="Q740" s="110">
        <f t="shared" si="156"/>
        <v>5</v>
      </c>
      <c r="R740" s="110">
        <v>1</v>
      </c>
    </row>
    <row r="741" spans="2:18" x14ac:dyDescent="0.2">
      <c r="B741" s="57" t="str">
        <f t="shared" si="147"/>
        <v/>
      </c>
      <c r="D741" s="57" t="str">
        <f t="shared" si="148"/>
        <v/>
      </c>
      <c r="F741" s="57" t="str">
        <f t="shared" si="149"/>
        <v/>
      </c>
      <c r="G741" s="102" t="str">
        <f t="shared" si="153"/>
        <v/>
      </c>
      <c r="H741" s="57" t="e">
        <f t="shared" si="150"/>
        <v>#N/A</v>
      </c>
      <c r="I741" s="102" t="e">
        <f>VLOOKUP(P741&amp;"_"&amp;Q741,活动关卡!$A$4:$Z$27,3+5*MonsterWaveCallRuleCfg!R741,FALSE)</f>
        <v>#N/A</v>
      </c>
      <c r="J741" s="102" t="e">
        <f>VLOOKUP(P741&amp;"_"&amp;Q741,活动关卡!$A$4:$Z$27,4+5*MonsterWaveCallRuleCfg!R741,FALSE)</f>
        <v>#N/A</v>
      </c>
      <c r="K741" s="102" t="e">
        <f t="shared" si="154"/>
        <v>#N/A</v>
      </c>
      <c r="L741" s="102" t="e">
        <f>IF(VLOOKUP(P741&amp;"_"&amp;Q741,活动关卡!$A$4:$Z$27,2+5*R741,FALSE)="","","Monster_Season1_Challenge"&amp;P741&amp;"_"&amp;Q741&amp;"_"&amp;R741)</f>
        <v>#N/A</v>
      </c>
      <c r="M741" s="57" t="e">
        <f t="shared" si="155"/>
        <v>#N/A</v>
      </c>
      <c r="O741" s="102" t="e">
        <f>VLOOKUP(P741&amp;"_"&amp;Q741,活动关卡!$A$4:$Z$27,6+5*MonsterWaveCallRuleCfg!R741,FALSE)</f>
        <v>#N/A</v>
      </c>
      <c r="P741" s="110">
        <v>1</v>
      </c>
      <c r="Q741" s="110">
        <f t="shared" si="156"/>
        <v>5</v>
      </c>
      <c r="R741" s="110">
        <v>2</v>
      </c>
    </row>
    <row r="742" spans="2:18" x14ac:dyDescent="0.2">
      <c r="B742" s="57" t="str">
        <f t="shared" si="147"/>
        <v/>
      </c>
      <c r="D742" s="57" t="str">
        <f t="shared" si="148"/>
        <v/>
      </c>
      <c r="F742" s="57" t="str">
        <f t="shared" si="149"/>
        <v/>
      </c>
      <c r="G742" s="102" t="str">
        <f t="shared" si="153"/>
        <v/>
      </c>
      <c r="H742" s="57" t="e">
        <f t="shared" si="150"/>
        <v>#N/A</v>
      </c>
      <c r="I742" s="102" t="e">
        <f>VLOOKUP(P742&amp;"_"&amp;Q742,活动关卡!$A$4:$Z$27,3+5*MonsterWaveCallRuleCfg!R742,FALSE)</f>
        <v>#N/A</v>
      </c>
      <c r="J742" s="102" t="e">
        <f>VLOOKUP(P742&amp;"_"&amp;Q742,活动关卡!$A$4:$Z$27,4+5*MonsterWaveCallRuleCfg!R742,FALSE)</f>
        <v>#N/A</v>
      </c>
      <c r="K742" s="102" t="e">
        <f t="shared" si="154"/>
        <v>#N/A</v>
      </c>
      <c r="L742" s="102" t="e">
        <f>IF(VLOOKUP(P742&amp;"_"&amp;Q742,活动关卡!$A$4:$Z$27,2+5*R742,FALSE)="","","Monster_Season1_Challenge"&amp;P742&amp;"_"&amp;Q742&amp;"_"&amp;R742)</f>
        <v>#N/A</v>
      </c>
      <c r="M742" s="57" t="e">
        <f t="shared" si="155"/>
        <v>#N/A</v>
      </c>
      <c r="O742" s="102" t="e">
        <f>VLOOKUP(P742&amp;"_"&amp;Q742,活动关卡!$A$4:$Z$27,6+5*MonsterWaveCallRuleCfg!R742,FALSE)</f>
        <v>#N/A</v>
      </c>
      <c r="P742" s="110">
        <v>1</v>
      </c>
      <c r="Q742" s="110">
        <f t="shared" si="156"/>
        <v>5</v>
      </c>
      <c r="R742" s="110">
        <v>3</v>
      </c>
    </row>
    <row r="743" spans="2:18" x14ac:dyDescent="0.2">
      <c r="B743" s="57" t="str">
        <f t="shared" si="147"/>
        <v/>
      </c>
      <c r="D743" s="57" t="str">
        <f t="shared" si="148"/>
        <v/>
      </c>
      <c r="F743" s="57" t="str">
        <f t="shared" si="149"/>
        <v/>
      </c>
      <c r="G743" s="102" t="str">
        <f t="shared" si="153"/>
        <v/>
      </c>
      <c r="H743" s="57" t="e">
        <f t="shared" si="150"/>
        <v>#N/A</v>
      </c>
      <c r="I743" s="102" t="e">
        <f>VLOOKUP(P743&amp;"_"&amp;Q743,活动关卡!$A$4:$Z$27,3+5*MonsterWaveCallRuleCfg!R743,FALSE)</f>
        <v>#N/A</v>
      </c>
      <c r="J743" s="102" t="e">
        <f>VLOOKUP(P743&amp;"_"&amp;Q743,活动关卡!$A$4:$Z$27,4+5*MonsterWaveCallRuleCfg!R743,FALSE)</f>
        <v>#N/A</v>
      </c>
      <c r="K743" s="102" t="e">
        <f t="shared" si="154"/>
        <v>#N/A</v>
      </c>
      <c r="L743" s="102" t="e">
        <f>IF(VLOOKUP(P743&amp;"_"&amp;Q743,活动关卡!$A$4:$Z$27,2+5*R743,FALSE)="","","Monster_Season1_Challenge"&amp;P743&amp;"_"&amp;Q743&amp;"_"&amp;R743)</f>
        <v>#N/A</v>
      </c>
      <c r="M743" s="57" t="e">
        <f t="shared" si="155"/>
        <v>#N/A</v>
      </c>
      <c r="O743" s="102" t="e">
        <f>VLOOKUP(P743&amp;"_"&amp;Q743,活动关卡!$A$4:$Z$27,6+5*MonsterWaveCallRuleCfg!R743,FALSE)</f>
        <v>#N/A</v>
      </c>
      <c r="P743" s="110">
        <v>1</v>
      </c>
      <c r="Q743" s="110">
        <f t="shared" si="156"/>
        <v>5</v>
      </c>
      <c r="R743" s="110">
        <v>4</v>
      </c>
    </row>
    <row r="744" spans="2:18" x14ac:dyDescent="0.2">
      <c r="B744" s="57" t="str">
        <f t="shared" si="147"/>
        <v>MonsterWaveCallRule_Season1_Challenge2</v>
      </c>
      <c r="C744" s="57">
        <v>1</v>
      </c>
      <c r="D744" s="57" t="str">
        <f t="shared" si="148"/>
        <v>赛季1关卡2第1波</v>
      </c>
      <c r="F744" s="57">
        <f t="shared" si="149"/>
        <v>0</v>
      </c>
      <c r="G744" s="102">
        <f t="shared" si="153"/>
        <v>180</v>
      </c>
      <c r="H744" s="57">
        <f t="shared" si="150"/>
        <v>0</v>
      </c>
      <c r="I744" s="102">
        <f>VLOOKUP(P744&amp;"_"&amp;Q744,活动关卡!$A$4:$Z$27,3+5*MonsterWaveCallRuleCfg!R744,FALSE)</f>
        <v>5</v>
      </c>
      <c r="J744" s="102">
        <f>VLOOKUP(P744&amp;"_"&amp;Q744,活动关卡!$A$4:$Z$27,4+5*MonsterWaveCallRuleCfg!R744,FALSE)</f>
        <v>2</v>
      </c>
      <c r="K744" s="102">
        <f t="shared" si="154"/>
        <v>1</v>
      </c>
      <c r="L744" s="102" t="str">
        <f>IF(VLOOKUP(P744&amp;"_"&amp;Q744,活动关卡!$A$4:$Z$27,2+5*R744,FALSE)="","","Monster_Season1_Challenge"&amp;P744&amp;"_"&amp;Q744&amp;"_"&amp;R744)</f>
        <v>Monster_Season1_Challenge2_1_1</v>
      </c>
      <c r="M744" s="57">
        <f t="shared" si="155"/>
        <v>1</v>
      </c>
      <c r="O744" s="102">
        <f>VLOOKUP(P744&amp;"_"&amp;Q744,活动关卡!$A$4:$Z$27,6+5*MonsterWaveCallRuleCfg!R744,FALSE)</f>
        <v>20</v>
      </c>
      <c r="P744" s="110">
        <v>2</v>
      </c>
      <c r="Q744" s="110">
        <f t="shared" si="156"/>
        <v>1</v>
      </c>
      <c r="R744" s="110">
        <v>1</v>
      </c>
    </row>
    <row r="745" spans="2:18" x14ac:dyDescent="0.2">
      <c r="B745" s="57" t="str">
        <f t="shared" si="147"/>
        <v/>
      </c>
      <c r="D745" s="57" t="str">
        <f t="shared" si="148"/>
        <v/>
      </c>
      <c r="F745" s="57" t="str">
        <f t="shared" si="149"/>
        <v/>
      </c>
      <c r="G745" s="102" t="str">
        <f t="shared" si="153"/>
        <v/>
      </c>
      <c r="H745" s="57">
        <f t="shared" si="150"/>
        <v>0</v>
      </c>
      <c r="I745" s="102">
        <f>VLOOKUP(P745&amp;"_"&amp;Q745,活动关卡!$A$4:$Z$27,3+5*MonsterWaveCallRuleCfg!R745,FALSE)</f>
        <v>5</v>
      </c>
      <c r="J745" s="102">
        <f>VLOOKUP(P745&amp;"_"&amp;Q745,活动关卡!$A$4:$Z$27,4+5*MonsterWaveCallRuleCfg!R745,FALSE)</f>
        <v>2</v>
      </c>
      <c r="K745" s="102">
        <f t="shared" si="154"/>
        <v>1</v>
      </c>
      <c r="L745" s="102" t="str">
        <f>IF(VLOOKUP(P745&amp;"_"&amp;Q745,活动关卡!$A$4:$Z$27,2+5*R745,FALSE)="","","Monster_Season1_Challenge"&amp;P745&amp;"_"&amp;Q745&amp;"_"&amp;R745)</f>
        <v>Monster_Season1_Challenge2_1_2</v>
      </c>
      <c r="M745" s="57">
        <f t="shared" si="155"/>
        <v>1</v>
      </c>
      <c r="O745" s="102">
        <f>VLOOKUP(P745&amp;"_"&amp;Q745,活动关卡!$A$4:$Z$27,6+5*MonsterWaveCallRuleCfg!R745,FALSE)</f>
        <v>40</v>
      </c>
      <c r="P745" s="110">
        <v>2</v>
      </c>
      <c r="Q745" s="110">
        <f t="shared" si="156"/>
        <v>1</v>
      </c>
      <c r="R745" s="110">
        <v>2</v>
      </c>
    </row>
    <row r="746" spans="2:18" x14ac:dyDescent="0.2">
      <c r="B746" s="57" t="str">
        <f t="shared" si="147"/>
        <v/>
      </c>
      <c r="D746" s="57" t="str">
        <f t="shared" si="148"/>
        <v/>
      </c>
      <c r="F746" s="57" t="str">
        <f t="shared" si="149"/>
        <v/>
      </c>
      <c r="G746" s="102" t="str">
        <f t="shared" si="153"/>
        <v/>
      </c>
      <c r="H746" s="57" t="str">
        <f t="shared" si="150"/>
        <v/>
      </c>
      <c r="I746" s="102" t="str">
        <f>VLOOKUP(P746&amp;"_"&amp;Q746,活动关卡!$A$4:$Z$27,3+5*MonsterWaveCallRuleCfg!R746,FALSE)</f>
        <v/>
      </c>
      <c r="J746" s="102" t="str">
        <f>VLOOKUP(P746&amp;"_"&amp;Q746,活动关卡!$A$4:$Z$27,4+5*MonsterWaveCallRuleCfg!R746,FALSE)</f>
        <v/>
      </c>
      <c r="K746" s="102" t="str">
        <f t="shared" si="154"/>
        <v/>
      </c>
      <c r="L746" s="102" t="str">
        <f>IF(VLOOKUP(P746&amp;"_"&amp;Q746,活动关卡!$A$4:$Z$27,2+5*R746,FALSE)="","","Monster_Season1_Challenge"&amp;P746&amp;"_"&amp;Q746&amp;"_"&amp;R746)</f>
        <v/>
      </c>
      <c r="M746" s="57" t="str">
        <f t="shared" si="155"/>
        <v/>
      </c>
      <c r="O746" s="102" t="str">
        <f>VLOOKUP(P746&amp;"_"&amp;Q746,活动关卡!$A$4:$Z$27,6+5*MonsterWaveCallRuleCfg!R746,FALSE)</f>
        <v/>
      </c>
      <c r="P746" s="110">
        <v>2</v>
      </c>
      <c r="Q746" s="110">
        <f t="shared" si="156"/>
        <v>1</v>
      </c>
      <c r="R746" s="110">
        <v>3</v>
      </c>
    </row>
    <row r="747" spans="2:18" x14ac:dyDescent="0.2">
      <c r="B747" s="57" t="str">
        <f t="shared" si="147"/>
        <v/>
      </c>
      <c r="D747" s="57" t="str">
        <f t="shared" si="148"/>
        <v/>
      </c>
      <c r="F747" s="57" t="str">
        <f t="shared" si="149"/>
        <v/>
      </c>
      <c r="G747" s="102" t="str">
        <f t="shared" si="153"/>
        <v/>
      </c>
      <c r="H747" s="57" t="str">
        <f t="shared" si="150"/>
        <v/>
      </c>
      <c r="I747" s="102" t="str">
        <f>VLOOKUP(P747&amp;"_"&amp;Q747,活动关卡!$A$4:$Z$27,3+5*MonsterWaveCallRuleCfg!R747,FALSE)</f>
        <v/>
      </c>
      <c r="J747" s="102" t="str">
        <f>VLOOKUP(P747&amp;"_"&amp;Q747,活动关卡!$A$4:$Z$27,4+5*MonsterWaveCallRuleCfg!R747,FALSE)</f>
        <v/>
      </c>
      <c r="K747" s="102" t="str">
        <f t="shared" si="154"/>
        <v/>
      </c>
      <c r="L747" s="102" t="str">
        <f>IF(VLOOKUP(P747&amp;"_"&amp;Q747,活动关卡!$A$4:$Z$27,2+5*R747,FALSE)="","","Monster_Season1_Challenge"&amp;P747&amp;"_"&amp;Q747&amp;"_"&amp;R747)</f>
        <v/>
      </c>
      <c r="M747" s="57" t="str">
        <f t="shared" si="155"/>
        <v/>
      </c>
      <c r="O747" s="102" t="str">
        <f>VLOOKUP(P747&amp;"_"&amp;Q747,活动关卡!$A$4:$Z$27,6+5*MonsterWaveCallRuleCfg!R747,FALSE)</f>
        <v/>
      </c>
      <c r="P747" s="110">
        <v>2</v>
      </c>
      <c r="Q747" s="110">
        <f t="shared" si="156"/>
        <v>1</v>
      </c>
      <c r="R747" s="110">
        <v>4</v>
      </c>
    </row>
    <row r="748" spans="2:18" x14ac:dyDescent="0.2">
      <c r="B748" s="57" t="str">
        <f t="shared" si="147"/>
        <v>MonsterWaveCallRule_Season1_Challenge2</v>
      </c>
      <c r="C748" s="57">
        <v>2</v>
      </c>
      <c r="D748" s="57" t="str">
        <f t="shared" si="148"/>
        <v>赛季1关卡2第2波</v>
      </c>
      <c r="F748" s="57">
        <f t="shared" si="149"/>
        <v>0</v>
      </c>
      <c r="G748" s="102">
        <f t="shared" si="153"/>
        <v>180</v>
      </c>
      <c r="H748" s="57">
        <f t="shared" si="150"/>
        <v>0</v>
      </c>
      <c r="I748" s="102">
        <f>VLOOKUP(P748&amp;"_"&amp;Q748,活动关卡!$A$4:$Z$27,3+5*MonsterWaveCallRuleCfg!R748,FALSE)</f>
        <v>6</v>
      </c>
      <c r="J748" s="102">
        <f>VLOOKUP(P748&amp;"_"&amp;Q748,活动关卡!$A$4:$Z$27,4+5*MonsterWaveCallRuleCfg!R748,FALSE)</f>
        <v>2</v>
      </c>
      <c r="K748" s="102">
        <f t="shared" si="154"/>
        <v>1</v>
      </c>
      <c r="L748" s="102" t="str">
        <f>IF(VLOOKUP(P748&amp;"_"&amp;Q748,活动关卡!$A$4:$Z$27,2+5*R748,FALSE)="","","Monster_Season1_Challenge"&amp;P748&amp;"_"&amp;Q748&amp;"_"&amp;R748)</f>
        <v>Monster_Season1_Challenge2_2_1</v>
      </c>
      <c r="M748" s="57">
        <f t="shared" si="155"/>
        <v>1</v>
      </c>
      <c r="O748" s="102">
        <f>VLOOKUP(P748&amp;"_"&amp;Q748,活动关卡!$A$4:$Z$27,6+5*MonsterWaveCallRuleCfg!R748,FALSE)</f>
        <v>10</v>
      </c>
      <c r="P748" s="110">
        <v>2</v>
      </c>
      <c r="Q748" s="110">
        <f t="shared" si="156"/>
        <v>2</v>
      </c>
      <c r="R748" s="110">
        <v>1</v>
      </c>
    </row>
    <row r="749" spans="2:18" x14ac:dyDescent="0.2">
      <c r="B749" s="57" t="str">
        <f t="shared" si="147"/>
        <v/>
      </c>
      <c r="D749" s="57" t="str">
        <f t="shared" si="148"/>
        <v/>
      </c>
      <c r="F749" s="57" t="str">
        <f t="shared" si="149"/>
        <v/>
      </c>
      <c r="G749" s="102" t="str">
        <f t="shared" si="153"/>
        <v/>
      </c>
      <c r="H749" s="57">
        <f t="shared" si="150"/>
        <v>0</v>
      </c>
      <c r="I749" s="102">
        <f>VLOOKUP(P749&amp;"_"&amp;Q749,活动关卡!$A$4:$Z$27,3+5*MonsterWaveCallRuleCfg!R749,FALSE)</f>
        <v>6</v>
      </c>
      <c r="J749" s="102">
        <f>VLOOKUP(P749&amp;"_"&amp;Q749,活动关卡!$A$4:$Z$27,4+5*MonsterWaveCallRuleCfg!R749,FALSE)</f>
        <v>2</v>
      </c>
      <c r="K749" s="102">
        <f t="shared" si="154"/>
        <v>1</v>
      </c>
      <c r="L749" s="102" t="str">
        <f>IF(VLOOKUP(P749&amp;"_"&amp;Q749,活动关卡!$A$4:$Z$27,2+5*R749,FALSE)="","","Monster_Season1_Challenge"&amp;P749&amp;"_"&amp;Q749&amp;"_"&amp;R749)</f>
        <v>Monster_Season1_Challenge2_2_2</v>
      </c>
      <c r="M749" s="57">
        <f t="shared" si="155"/>
        <v>1</v>
      </c>
      <c r="O749" s="102">
        <f>VLOOKUP(P749&amp;"_"&amp;Q749,活动关卡!$A$4:$Z$27,6+5*MonsterWaveCallRuleCfg!R749,FALSE)</f>
        <v>20</v>
      </c>
      <c r="P749" s="110">
        <v>2</v>
      </c>
      <c r="Q749" s="110">
        <f t="shared" si="156"/>
        <v>2</v>
      </c>
      <c r="R749" s="110">
        <v>2</v>
      </c>
    </row>
    <row r="750" spans="2:18" x14ac:dyDescent="0.2">
      <c r="B750" s="57" t="str">
        <f t="shared" si="147"/>
        <v/>
      </c>
      <c r="D750" s="57" t="str">
        <f t="shared" si="148"/>
        <v/>
      </c>
      <c r="F750" s="57" t="str">
        <f t="shared" si="149"/>
        <v/>
      </c>
      <c r="G750" s="102" t="str">
        <f t="shared" si="153"/>
        <v/>
      </c>
      <c r="H750" s="57">
        <f t="shared" si="150"/>
        <v>0</v>
      </c>
      <c r="I750" s="102">
        <f>VLOOKUP(P750&amp;"_"&amp;Q750,活动关卡!$A$4:$Z$27,3+5*MonsterWaveCallRuleCfg!R750,FALSE)</f>
        <v>6</v>
      </c>
      <c r="J750" s="102">
        <f>VLOOKUP(P750&amp;"_"&amp;Q750,活动关卡!$A$4:$Z$27,4+5*MonsterWaveCallRuleCfg!R750,FALSE)</f>
        <v>2</v>
      </c>
      <c r="K750" s="102">
        <f t="shared" si="154"/>
        <v>1</v>
      </c>
      <c r="L750" s="102" t="str">
        <f>IF(VLOOKUP(P750&amp;"_"&amp;Q750,活动关卡!$A$4:$Z$27,2+5*R750,FALSE)="","","Monster_Season1_Challenge"&amp;P750&amp;"_"&amp;Q750&amp;"_"&amp;R750)</f>
        <v>Monster_Season1_Challenge2_2_3</v>
      </c>
      <c r="M750" s="57">
        <f t="shared" si="155"/>
        <v>1</v>
      </c>
      <c r="O750" s="102">
        <f>VLOOKUP(P750&amp;"_"&amp;Q750,活动关卡!$A$4:$Z$27,6+5*MonsterWaveCallRuleCfg!R750,FALSE)</f>
        <v>20</v>
      </c>
      <c r="P750" s="110">
        <v>2</v>
      </c>
      <c r="Q750" s="110">
        <f t="shared" si="156"/>
        <v>2</v>
      </c>
      <c r="R750" s="110">
        <v>3</v>
      </c>
    </row>
    <row r="751" spans="2:18" x14ac:dyDescent="0.2">
      <c r="B751" s="57" t="str">
        <f t="shared" si="147"/>
        <v/>
      </c>
      <c r="D751" s="57" t="str">
        <f t="shared" si="148"/>
        <v/>
      </c>
      <c r="F751" s="57" t="str">
        <f t="shared" si="149"/>
        <v/>
      </c>
      <c r="G751" s="102" t="str">
        <f t="shared" si="153"/>
        <v/>
      </c>
      <c r="H751" s="57" t="str">
        <f t="shared" si="150"/>
        <v/>
      </c>
      <c r="I751" s="102" t="str">
        <f>VLOOKUP(P751&amp;"_"&amp;Q751,活动关卡!$A$4:$Z$27,3+5*MonsterWaveCallRuleCfg!R751,FALSE)</f>
        <v/>
      </c>
      <c r="J751" s="102" t="str">
        <f>VLOOKUP(P751&amp;"_"&amp;Q751,活动关卡!$A$4:$Z$27,4+5*MonsterWaveCallRuleCfg!R751,FALSE)</f>
        <v/>
      </c>
      <c r="K751" s="102" t="str">
        <f t="shared" si="154"/>
        <v/>
      </c>
      <c r="L751" s="102" t="str">
        <f>IF(VLOOKUP(P751&amp;"_"&amp;Q751,活动关卡!$A$4:$Z$27,2+5*R751,FALSE)="","","Monster_Season1_Challenge"&amp;P751&amp;"_"&amp;Q751&amp;"_"&amp;R751)</f>
        <v/>
      </c>
      <c r="M751" s="57" t="str">
        <f t="shared" si="155"/>
        <v/>
      </c>
      <c r="O751" s="102" t="str">
        <f>VLOOKUP(P751&amp;"_"&amp;Q751,活动关卡!$A$4:$Z$27,6+5*MonsterWaveCallRuleCfg!R751,FALSE)</f>
        <v/>
      </c>
      <c r="P751" s="110">
        <v>2</v>
      </c>
      <c r="Q751" s="110">
        <f t="shared" si="156"/>
        <v>2</v>
      </c>
      <c r="R751" s="110">
        <v>4</v>
      </c>
    </row>
    <row r="752" spans="2:18" x14ac:dyDescent="0.2">
      <c r="B752" s="57" t="str">
        <f t="shared" si="147"/>
        <v>MonsterWaveCallRule_Season1_Challenge2</v>
      </c>
      <c r="C752" s="57">
        <v>3</v>
      </c>
      <c r="D752" s="57" t="str">
        <f t="shared" si="148"/>
        <v>赛季1关卡2第3波</v>
      </c>
      <c r="F752" s="57">
        <f t="shared" si="149"/>
        <v>0</v>
      </c>
      <c r="G752" s="102">
        <f t="shared" si="153"/>
        <v>180</v>
      </c>
      <c r="H752" s="57">
        <f t="shared" si="150"/>
        <v>0</v>
      </c>
      <c r="I752" s="102">
        <f>VLOOKUP(P752&amp;"_"&amp;Q752,活动关卡!$A$4:$Z$27,3+5*MonsterWaveCallRuleCfg!R752,FALSE)</f>
        <v>15</v>
      </c>
      <c r="J752" s="102">
        <f>VLOOKUP(P752&amp;"_"&amp;Q752,活动关卡!$A$4:$Z$27,4+5*MonsterWaveCallRuleCfg!R752,FALSE)</f>
        <v>1</v>
      </c>
      <c r="K752" s="102">
        <f t="shared" si="154"/>
        <v>1</v>
      </c>
      <c r="L752" s="102" t="str">
        <f>IF(VLOOKUP(P752&amp;"_"&amp;Q752,活动关卡!$A$4:$Z$27,2+5*R752,FALSE)="","","Monster_Season1_Challenge"&amp;P752&amp;"_"&amp;Q752&amp;"_"&amp;R752)</f>
        <v>Monster_Season1_Challenge2_3_1</v>
      </c>
      <c r="M752" s="57">
        <f t="shared" si="155"/>
        <v>1</v>
      </c>
      <c r="O752" s="102">
        <f>VLOOKUP(P752&amp;"_"&amp;Q752,活动关卡!$A$4:$Z$27,6+5*MonsterWaveCallRuleCfg!R752,FALSE)</f>
        <v>6</v>
      </c>
      <c r="P752" s="110">
        <v>2</v>
      </c>
      <c r="Q752" s="110">
        <f t="shared" si="156"/>
        <v>3</v>
      </c>
      <c r="R752" s="110">
        <v>1</v>
      </c>
    </row>
    <row r="753" spans="2:18" x14ac:dyDescent="0.2">
      <c r="B753" s="57" t="str">
        <f t="shared" si="147"/>
        <v/>
      </c>
      <c r="D753" s="57" t="str">
        <f t="shared" si="148"/>
        <v/>
      </c>
      <c r="F753" s="57" t="str">
        <f t="shared" si="149"/>
        <v/>
      </c>
      <c r="G753" s="102" t="str">
        <f t="shared" si="153"/>
        <v/>
      </c>
      <c r="H753" s="57">
        <f t="shared" si="150"/>
        <v>0</v>
      </c>
      <c r="I753" s="102">
        <f>VLOOKUP(P753&amp;"_"&amp;Q753,活动关卡!$A$4:$Z$27,3+5*MonsterWaveCallRuleCfg!R753,FALSE)</f>
        <v>15</v>
      </c>
      <c r="J753" s="102">
        <f>VLOOKUP(P753&amp;"_"&amp;Q753,活动关卡!$A$4:$Z$27,4+5*MonsterWaveCallRuleCfg!R753,FALSE)</f>
        <v>1</v>
      </c>
      <c r="K753" s="102">
        <f t="shared" si="154"/>
        <v>1</v>
      </c>
      <c r="L753" s="102" t="str">
        <f>IF(VLOOKUP(P753&amp;"_"&amp;Q753,活动关卡!$A$4:$Z$27,2+5*R753,FALSE)="","","Monster_Season1_Challenge"&amp;P753&amp;"_"&amp;Q753&amp;"_"&amp;R753)</f>
        <v>Monster_Season1_Challenge2_3_2</v>
      </c>
      <c r="M753" s="57">
        <f t="shared" si="155"/>
        <v>1</v>
      </c>
      <c r="O753" s="102">
        <f>VLOOKUP(P753&amp;"_"&amp;Q753,活动关卡!$A$4:$Z$27,6+5*MonsterWaveCallRuleCfg!R753,FALSE)</f>
        <v>3</v>
      </c>
      <c r="P753" s="110">
        <v>2</v>
      </c>
      <c r="Q753" s="110">
        <f t="shared" si="156"/>
        <v>3</v>
      </c>
      <c r="R753" s="110">
        <v>2</v>
      </c>
    </row>
    <row r="754" spans="2:18" x14ac:dyDescent="0.2">
      <c r="B754" s="57" t="str">
        <f t="shared" si="147"/>
        <v/>
      </c>
      <c r="D754" s="57" t="str">
        <f t="shared" si="148"/>
        <v/>
      </c>
      <c r="F754" s="57" t="str">
        <f t="shared" si="149"/>
        <v/>
      </c>
      <c r="G754" s="102" t="str">
        <f t="shared" si="153"/>
        <v/>
      </c>
      <c r="H754" s="57">
        <f t="shared" si="150"/>
        <v>0</v>
      </c>
      <c r="I754" s="102">
        <f>VLOOKUP(P754&amp;"_"&amp;Q754,活动关卡!$A$4:$Z$27,3+5*MonsterWaveCallRuleCfg!R754,FALSE)</f>
        <v>15</v>
      </c>
      <c r="J754" s="102">
        <f>VLOOKUP(P754&amp;"_"&amp;Q754,活动关卡!$A$4:$Z$27,4+5*MonsterWaveCallRuleCfg!R754,FALSE)</f>
        <v>1</v>
      </c>
      <c r="K754" s="102">
        <f t="shared" si="154"/>
        <v>1</v>
      </c>
      <c r="L754" s="102" t="str">
        <f>IF(VLOOKUP(P754&amp;"_"&amp;Q754,活动关卡!$A$4:$Z$27,2+5*R754,FALSE)="","","Monster_Season1_Challenge"&amp;P754&amp;"_"&amp;Q754&amp;"_"&amp;R754)</f>
        <v>Monster_Season1_Challenge2_3_3</v>
      </c>
      <c r="M754" s="57">
        <f t="shared" si="155"/>
        <v>1</v>
      </c>
      <c r="O754" s="102">
        <f>VLOOKUP(P754&amp;"_"&amp;Q754,活动关卡!$A$4:$Z$27,6+5*MonsterWaveCallRuleCfg!R754,FALSE)</f>
        <v>11</v>
      </c>
      <c r="P754" s="110">
        <v>2</v>
      </c>
      <c r="Q754" s="110">
        <f t="shared" si="156"/>
        <v>3</v>
      </c>
      <c r="R754" s="110">
        <v>3</v>
      </c>
    </row>
    <row r="755" spans="2:18" x14ac:dyDescent="0.2">
      <c r="B755" s="57" t="str">
        <f t="shared" si="147"/>
        <v/>
      </c>
      <c r="D755" s="57" t="str">
        <f t="shared" si="148"/>
        <v/>
      </c>
      <c r="F755" s="57" t="str">
        <f t="shared" si="149"/>
        <v/>
      </c>
      <c r="G755" s="102" t="str">
        <f t="shared" si="153"/>
        <v/>
      </c>
      <c r="H755" s="57" t="str">
        <f t="shared" si="150"/>
        <v/>
      </c>
      <c r="I755" s="102" t="str">
        <f>VLOOKUP(P755&amp;"_"&amp;Q755,活动关卡!$A$4:$Z$27,3+5*MonsterWaveCallRuleCfg!R755,FALSE)</f>
        <v/>
      </c>
      <c r="J755" s="102" t="str">
        <f>VLOOKUP(P755&amp;"_"&amp;Q755,活动关卡!$A$4:$Z$27,4+5*MonsterWaveCallRuleCfg!R755,FALSE)</f>
        <v/>
      </c>
      <c r="K755" s="102" t="str">
        <f t="shared" si="154"/>
        <v/>
      </c>
      <c r="L755" s="102" t="str">
        <f>IF(VLOOKUP(P755&amp;"_"&amp;Q755,活动关卡!$A$4:$Z$27,2+5*R755,FALSE)="","","Monster_Season1_Challenge"&amp;P755&amp;"_"&amp;Q755&amp;"_"&amp;R755)</f>
        <v/>
      </c>
      <c r="M755" s="57" t="str">
        <f t="shared" si="155"/>
        <v/>
      </c>
      <c r="O755" s="102" t="str">
        <f>VLOOKUP(P755&amp;"_"&amp;Q755,活动关卡!$A$4:$Z$27,6+5*MonsterWaveCallRuleCfg!R755,FALSE)</f>
        <v/>
      </c>
      <c r="P755" s="110">
        <v>2</v>
      </c>
      <c r="Q755" s="110">
        <f t="shared" si="156"/>
        <v>3</v>
      </c>
      <c r="R755" s="110">
        <v>4</v>
      </c>
    </row>
    <row r="756" spans="2:18" x14ac:dyDescent="0.2">
      <c r="B756" s="57" t="str">
        <f t="shared" ref="B756:B787" si="157">IF(C756="","","MonsterWaveCallRule_Season1_Challenge"&amp;P756)</f>
        <v>MonsterWaveCallRule_Season1_Challenge2</v>
      </c>
      <c r="C756" s="57">
        <v>4</v>
      </c>
      <c r="D756" s="57" t="str">
        <f t="shared" ref="D756:D787" si="158">IF(C756="","","赛季1关卡"&amp;P756&amp;"第"&amp;C756&amp;"波")</f>
        <v>赛季1关卡2第4波</v>
      </c>
      <c r="F756" s="57">
        <f t="shared" si="149"/>
        <v>0</v>
      </c>
      <c r="G756" s="102">
        <f t="shared" si="153"/>
        <v>180</v>
      </c>
      <c r="H756" s="57">
        <f t="shared" si="150"/>
        <v>0</v>
      </c>
      <c r="I756" s="102">
        <f>VLOOKUP(P756&amp;"_"&amp;Q756,活动关卡!$A$4:$Z$27,3+5*MonsterWaveCallRuleCfg!R756,FALSE)</f>
        <v>18</v>
      </c>
      <c r="J756" s="102">
        <f>VLOOKUP(P756&amp;"_"&amp;Q756,活动关卡!$A$4:$Z$27,4+5*MonsterWaveCallRuleCfg!R756,FALSE)</f>
        <v>1</v>
      </c>
      <c r="K756" s="102">
        <f t="shared" si="154"/>
        <v>1</v>
      </c>
      <c r="L756" s="102" t="str">
        <f>IF(VLOOKUP(P756&amp;"_"&amp;Q756,活动关卡!$A$4:$Z$27,2+5*R756,FALSE)="","","Monster_Season1_Challenge"&amp;P756&amp;"_"&amp;Q756&amp;"_"&amp;R756)</f>
        <v>Monster_Season1_Challenge2_4_1</v>
      </c>
      <c r="M756" s="57">
        <f t="shared" si="155"/>
        <v>1</v>
      </c>
      <c r="O756" s="102">
        <f>VLOOKUP(P756&amp;"_"&amp;Q756,活动关卡!$A$4:$Z$27,6+5*MonsterWaveCallRuleCfg!R756,FALSE)</f>
        <v>4</v>
      </c>
      <c r="P756" s="110">
        <v>2</v>
      </c>
      <c r="Q756" s="110">
        <f t="shared" si="156"/>
        <v>4</v>
      </c>
      <c r="R756" s="110">
        <v>1</v>
      </c>
    </row>
    <row r="757" spans="2:18" x14ac:dyDescent="0.2">
      <c r="B757" s="57" t="str">
        <f t="shared" si="157"/>
        <v/>
      </c>
      <c r="D757" s="57" t="str">
        <f t="shared" si="158"/>
        <v/>
      </c>
      <c r="F757" s="57" t="str">
        <f t="shared" si="149"/>
        <v/>
      </c>
      <c r="G757" s="102" t="str">
        <f t="shared" si="153"/>
        <v/>
      </c>
      <c r="H757" s="57">
        <f t="shared" si="150"/>
        <v>0</v>
      </c>
      <c r="I757" s="102">
        <f>VLOOKUP(P757&amp;"_"&amp;Q757,活动关卡!$A$4:$Z$27,3+5*MonsterWaveCallRuleCfg!R757,FALSE)</f>
        <v>18</v>
      </c>
      <c r="J757" s="102">
        <f>VLOOKUP(P757&amp;"_"&amp;Q757,活动关卡!$A$4:$Z$27,4+5*MonsterWaveCallRuleCfg!R757,FALSE)</f>
        <v>1</v>
      </c>
      <c r="K757" s="102">
        <f t="shared" si="154"/>
        <v>1</v>
      </c>
      <c r="L757" s="102" t="str">
        <f>IF(VLOOKUP(P757&amp;"_"&amp;Q757,活动关卡!$A$4:$Z$27,2+5*R757,FALSE)="","","Monster_Season1_Challenge"&amp;P757&amp;"_"&amp;Q757&amp;"_"&amp;R757)</f>
        <v>Monster_Season1_Challenge2_4_2</v>
      </c>
      <c r="M757" s="57">
        <f t="shared" si="155"/>
        <v>1</v>
      </c>
      <c r="O757" s="102">
        <f>VLOOKUP(P757&amp;"_"&amp;Q757,活动关卡!$A$4:$Z$27,6+5*MonsterWaveCallRuleCfg!R757,FALSE)</f>
        <v>2</v>
      </c>
      <c r="P757" s="110">
        <v>2</v>
      </c>
      <c r="Q757" s="110">
        <f t="shared" si="156"/>
        <v>4</v>
      </c>
      <c r="R757" s="110">
        <v>2</v>
      </c>
    </row>
    <row r="758" spans="2:18" x14ac:dyDescent="0.2">
      <c r="B758" s="57" t="str">
        <f t="shared" si="157"/>
        <v/>
      </c>
      <c r="D758" s="57" t="str">
        <f t="shared" si="158"/>
        <v/>
      </c>
      <c r="F758" s="57" t="str">
        <f t="shared" si="149"/>
        <v/>
      </c>
      <c r="G758" s="102" t="str">
        <f t="shared" si="153"/>
        <v/>
      </c>
      <c r="H758" s="57">
        <f t="shared" si="150"/>
        <v>0</v>
      </c>
      <c r="I758" s="102">
        <f>VLOOKUP(P758&amp;"_"&amp;Q758,活动关卡!$A$4:$Z$27,3+5*MonsterWaveCallRuleCfg!R758,FALSE)</f>
        <v>9</v>
      </c>
      <c r="J758" s="102">
        <f>VLOOKUP(P758&amp;"_"&amp;Q758,活动关卡!$A$4:$Z$27,4+5*MonsterWaveCallRuleCfg!R758,FALSE)</f>
        <v>2</v>
      </c>
      <c r="K758" s="102">
        <f t="shared" si="154"/>
        <v>1</v>
      </c>
      <c r="L758" s="102" t="str">
        <f>IF(VLOOKUP(P758&amp;"_"&amp;Q758,活动关卡!$A$4:$Z$27,2+5*R758,FALSE)="","","Monster_Season1_Challenge"&amp;P758&amp;"_"&amp;Q758&amp;"_"&amp;R758)</f>
        <v>Monster_Season1_Challenge2_4_3</v>
      </c>
      <c r="M758" s="57">
        <f t="shared" si="155"/>
        <v>1</v>
      </c>
      <c r="O758" s="102">
        <f>VLOOKUP(P758&amp;"_"&amp;Q758,活动关卡!$A$4:$Z$27,6+5*MonsterWaveCallRuleCfg!R758,FALSE)</f>
        <v>7</v>
      </c>
      <c r="P758" s="110">
        <v>2</v>
      </c>
      <c r="Q758" s="110">
        <f t="shared" si="156"/>
        <v>4</v>
      </c>
      <c r="R758" s="110">
        <v>3</v>
      </c>
    </row>
    <row r="759" spans="2:18" x14ac:dyDescent="0.2">
      <c r="B759" s="57" t="str">
        <f t="shared" si="157"/>
        <v/>
      </c>
      <c r="D759" s="57" t="str">
        <f t="shared" si="158"/>
        <v/>
      </c>
      <c r="F759" s="57" t="str">
        <f t="shared" si="149"/>
        <v/>
      </c>
      <c r="G759" s="102" t="str">
        <f t="shared" si="153"/>
        <v/>
      </c>
      <c r="H759" s="57">
        <f t="shared" si="150"/>
        <v>0</v>
      </c>
      <c r="I759" s="102">
        <f>VLOOKUP(P759&amp;"_"&amp;Q759,活动关卡!$A$4:$Z$27,3+5*MonsterWaveCallRuleCfg!R759,FALSE)</f>
        <v>18</v>
      </c>
      <c r="J759" s="102">
        <f>VLOOKUP(P759&amp;"_"&amp;Q759,活动关卡!$A$4:$Z$27,4+5*MonsterWaveCallRuleCfg!R759,FALSE)</f>
        <v>1</v>
      </c>
      <c r="K759" s="102">
        <f t="shared" si="154"/>
        <v>1</v>
      </c>
      <c r="L759" s="102" t="str">
        <f>IF(VLOOKUP(P759&amp;"_"&amp;Q759,活动关卡!$A$4:$Z$27,2+5*R759,FALSE)="","","Monster_Season1_Challenge"&amp;P759&amp;"_"&amp;Q759&amp;"_"&amp;R759)</f>
        <v>Monster_Season1_Challenge2_4_4</v>
      </c>
      <c r="M759" s="57">
        <f t="shared" si="155"/>
        <v>1</v>
      </c>
      <c r="O759" s="102">
        <f>VLOOKUP(P759&amp;"_"&amp;Q759,活动关卡!$A$4:$Z$27,6+5*MonsterWaveCallRuleCfg!R759,FALSE)</f>
        <v>7</v>
      </c>
      <c r="P759" s="110">
        <v>2</v>
      </c>
      <c r="Q759" s="110">
        <f t="shared" si="156"/>
        <v>4</v>
      </c>
      <c r="R759" s="110">
        <v>4</v>
      </c>
    </row>
    <row r="760" spans="2:18" x14ac:dyDescent="0.2">
      <c r="B760" s="57" t="str">
        <f t="shared" si="157"/>
        <v>MonsterWaveCallRule_Season1_Challenge2</v>
      </c>
      <c r="C760" s="57">
        <v>5</v>
      </c>
      <c r="D760" s="57" t="str">
        <f t="shared" si="158"/>
        <v>赛季1关卡2第5波</v>
      </c>
      <c r="F760" s="57">
        <f t="shared" si="149"/>
        <v>0</v>
      </c>
      <c r="G760" s="102">
        <f t="shared" si="153"/>
        <v>180</v>
      </c>
      <c r="H760" s="57">
        <f t="shared" si="150"/>
        <v>0</v>
      </c>
      <c r="I760" s="102">
        <f>VLOOKUP(P760&amp;"_"&amp;Q760,活动关卡!$A$4:$Z$27,3+5*MonsterWaveCallRuleCfg!R760,FALSE)</f>
        <v>20</v>
      </c>
      <c r="J760" s="102">
        <f>VLOOKUP(P760&amp;"_"&amp;Q760,活动关卡!$A$4:$Z$27,4+5*MonsterWaveCallRuleCfg!R760,FALSE)</f>
        <v>1</v>
      </c>
      <c r="K760" s="102">
        <f t="shared" si="154"/>
        <v>1</v>
      </c>
      <c r="L760" s="102" t="str">
        <f>IF(VLOOKUP(P760&amp;"_"&amp;Q760,活动关卡!$A$4:$Z$27,2+5*R760,FALSE)="","","Monster_Season1_Challenge"&amp;P760&amp;"_"&amp;Q760&amp;"_"&amp;R760)</f>
        <v>Monster_Season1_Challenge2_5_1</v>
      </c>
      <c r="M760" s="57">
        <f t="shared" si="155"/>
        <v>1</v>
      </c>
      <c r="O760" s="102">
        <f>VLOOKUP(P760&amp;"_"&amp;Q760,活动关卡!$A$4:$Z$27,6+5*MonsterWaveCallRuleCfg!R760,FALSE)</f>
        <v>3</v>
      </c>
      <c r="P760" s="110">
        <v>2</v>
      </c>
      <c r="Q760" s="110">
        <f t="shared" si="156"/>
        <v>5</v>
      </c>
      <c r="R760" s="110">
        <v>1</v>
      </c>
    </row>
    <row r="761" spans="2:18" x14ac:dyDescent="0.2">
      <c r="B761" s="57" t="str">
        <f t="shared" si="157"/>
        <v/>
      </c>
      <c r="D761" s="57" t="str">
        <f t="shared" si="158"/>
        <v/>
      </c>
      <c r="F761" s="57" t="str">
        <f t="shared" si="149"/>
        <v/>
      </c>
      <c r="G761" s="102" t="str">
        <f t="shared" si="153"/>
        <v/>
      </c>
      <c r="H761" s="57">
        <f t="shared" si="150"/>
        <v>0</v>
      </c>
      <c r="I761" s="102">
        <f>VLOOKUP(P761&amp;"_"&amp;Q761,活动关卡!$A$4:$Z$27,3+5*MonsterWaveCallRuleCfg!R761,FALSE)</f>
        <v>40</v>
      </c>
      <c r="J761" s="102">
        <f>VLOOKUP(P761&amp;"_"&amp;Q761,活动关卡!$A$4:$Z$27,4+5*MonsterWaveCallRuleCfg!R761,FALSE)</f>
        <v>0.5</v>
      </c>
      <c r="K761" s="102">
        <f t="shared" si="154"/>
        <v>1</v>
      </c>
      <c r="L761" s="102" t="str">
        <f>IF(VLOOKUP(P761&amp;"_"&amp;Q761,活动关卡!$A$4:$Z$27,2+5*R761,FALSE)="","","Monster_Season1_Challenge"&amp;P761&amp;"_"&amp;Q761&amp;"_"&amp;R761)</f>
        <v>Monster_Season1_Challenge2_5_2</v>
      </c>
      <c r="M761" s="57">
        <f t="shared" si="155"/>
        <v>1</v>
      </c>
      <c r="O761" s="102">
        <f>VLOOKUP(P761&amp;"_"&amp;Q761,活动关卡!$A$4:$Z$27,6+5*MonsterWaveCallRuleCfg!R761,FALSE)</f>
        <v>1</v>
      </c>
      <c r="P761" s="110">
        <v>2</v>
      </c>
      <c r="Q761" s="110">
        <f t="shared" si="156"/>
        <v>5</v>
      </c>
      <c r="R761" s="110">
        <v>2</v>
      </c>
    </row>
    <row r="762" spans="2:18" x14ac:dyDescent="0.2">
      <c r="B762" s="57" t="str">
        <f t="shared" si="157"/>
        <v/>
      </c>
      <c r="D762" s="57" t="str">
        <f t="shared" si="158"/>
        <v/>
      </c>
      <c r="F762" s="57" t="str">
        <f t="shared" si="149"/>
        <v/>
      </c>
      <c r="G762" s="102" t="str">
        <f t="shared" si="153"/>
        <v/>
      </c>
      <c r="H762" s="57">
        <f t="shared" si="150"/>
        <v>0</v>
      </c>
      <c r="I762" s="102">
        <f>VLOOKUP(P762&amp;"_"&amp;Q762,活动关卡!$A$4:$Z$27,3+5*MonsterWaveCallRuleCfg!R762,FALSE)</f>
        <v>20</v>
      </c>
      <c r="J762" s="102">
        <f>VLOOKUP(P762&amp;"_"&amp;Q762,活动关卡!$A$4:$Z$27,4+5*MonsterWaveCallRuleCfg!R762,FALSE)</f>
        <v>1</v>
      </c>
      <c r="K762" s="102">
        <f t="shared" si="154"/>
        <v>1</v>
      </c>
      <c r="L762" s="102" t="str">
        <f>IF(VLOOKUP(P762&amp;"_"&amp;Q762,活动关卡!$A$4:$Z$27,2+5*R762,FALSE)="","","Monster_Season1_Challenge"&amp;P762&amp;"_"&amp;Q762&amp;"_"&amp;R762)</f>
        <v>Monster_Season1_Challenge2_5_3</v>
      </c>
      <c r="M762" s="57">
        <f t="shared" si="155"/>
        <v>1</v>
      </c>
      <c r="O762" s="102">
        <f>VLOOKUP(P762&amp;"_"&amp;Q762,活动关卡!$A$4:$Z$27,6+5*MonsterWaveCallRuleCfg!R762,FALSE)</f>
        <v>5</v>
      </c>
      <c r="P762" s="110">
        <v>2</v>
      </c>
      <c r="Q762" s="110">
        <f t="shared" si="156"/>
        <v>5</v>
      </c>
      <c r="R762" s="110">
        <v>3</v>
      </c>
    </row>
    <row r="763" spans="2:18" x14ac:dyDescent="0.2">
      <c r="B763" s="57" t="str">
        <f t="shared" si="157"/>
        <v/>
      </c>
      <c r="D763" s="57" t="str">
        <f t="shared" si="158"/>
        <v/>
      </c>
      <c r="F763" s="57" t="str">
        <f t="shared" si="149"/>
        <v/>
      </c>
      <c r="G763" s="102" t="str">
        <f t="shared" si="153"/>
        <v/>
      </c>
      <c r="H763" s="57">
        <f t="shared" si="150"/>
        <v>0</v>
      </c>
      <c r="I763" s="102">
        <f>VLOOKUP(P763&amp;"_"&amp;Q763,活动关卡!$A$4:$Z$27,3+5*MonsterWaveCallRuleCfg!R763,FALSE)</f>
        <v>20</v>
      </c>
      <c r="J763" s="102">
        <f>VLOOKUP(P763&amp;"_"&amp;Q763,活动关卡!$A$4:$Z$27,4+5*MonsterWaveCallRuleCfg!R763,FALSE)</f>
        <v>1</v>
      </c>
      <c r="K763" s="102">
        <f t="shared" si="154"/>
        <v>1</v>
      </c>
      <c r="L763" s="102" t="str">
        <f>IF(VLOOKUP(P763&amp;"_"&amp;Q763,活动关卡!$A$4:$Z$27,2+5*R763,FALSE)="","","Monster_Season1_Challenge"&amp;P763&amp;"_"&amp;Q763&amp;"_"&amp;R763)</f>
        <v>Monster_Season1_Challenge2_5_4</v>
      </c>
      <c r="M763" s="57">
        <f t="shared" si="155"/>
        <v>1</v>
      </c>
      <c r="O763" s="102">
        <f>VLOOKUP(P763&amp;"_"&amp;Q763,活动关卡!$A$4:$Z$27,6+5*MonsterWaveCallRuleCfg!R763,FALSE)</f>
        <v>5</v>
      </c>
      <c r="P763" s="110">
        <v>2</v>
      </c>
      <c r="Q763" s="110">
        <f t="shared" si="156"/>
        <v>5</v>
      </c>
      <c r="R763" s="110">
        <v>4</v>
      </c>
    </row>
    <row r="764" spans="2:18" x14ac:dyDescent="0.2">
      <c r="B764" s="57" t="str">
        <f t="shared" si="157"/>
        <v>MonsterWaveCallRule_Season1_Challenge3</v>
      </c>
      <c r="C764" s="57">
        <v>1</v>
      </c>
      <c r="D764" s="57" t="str">
        <f t="shared" si="158"/>
        <v>赛季1关卡3第1波</v>
      </c>
      <c r="F764" s="57">
        <f t="shared" si="149"/>
        <v>0</v>
      </c>
      <c r="G764" s="102">
        <f t="shared" si="153"/>
        <v>180</v>
      </c>
      <c r="H764" s="57">
        <f t="shared" si="150"/>
        <v>0</v>
      </c>
      <c r="I764" s="102">
        <f>VLOOKUP(P764&amp;"_"&amp;Q764,活动关卡!$A$4:$Z$27,3+5*MonsterWaveCallRuleCfg!R764,FALSE)</f>
        <v>5</v>
      </c>
      <c r="J764" s="102">
        <f>VLOOKUP(P764&amp;"_"&amp;Q764,活动关卡!$A$4:$Z$27,4+5*MonsterWaveCallRuleCfg!R764,FALSE)</f>
        <v>2</v>
      </c>
      <c r="K764" s="102">
        <f t="shared" si="154"/>
        <v>1</v>
      </c>
      <c r="L764" s="102" t="str">
        <f>IF(VLOOKUP(P764&amp;"_"&amp;Q764,活动关卡!$A$4:$Z$27,2+5*R764,FALSE)="","","Monster_Season1_Challenge"&amp;P764&amp;"_"&amp;Q764&amp;"_"&amp;R764)</f>
        <v>Monster_Season1_Challenge3_1_1</v>
      </c>
      <c r="M764" s="57">
        <f t="shared" si="155"/>
        <v>1</v>
      </c>
      <c r="O764" s="102">
        <f>VLOOKUP(P764&amp;"_"&amp;Q764,活动关卡!$A$4:$Z$27,6+5*MonsterWaveCallRuleCfg!R764,FALSE)</f>
        <v>30</v>
      </c>
      <c r="P764" s="110">
        <v>3</v>
      </c>
      <c r="Q764" s="110">
        <f t="shared" si="156"/>
        <v>1</v>
      </c>
      <c r="R764" s="110">
        <v>1</v>
      </c>
    </row>
    <row r="765" spans="2:18" x14ac:dyDescent="0.2">
      <c r="B765" s="57" t="str">
        <f t="shared" si="157"/>
        <v/>
      </c>
      <c r="D765" s="57" t="str">
        <f t="shared" si="158"/>
        <v/>
      </c>
      <c r="F765" s="57" t="str">
        <f t="shared" si="149"/>
        <v/>
      </c>
      <c r="G765" s="102" t="str">
        <f t="shared" si="153"/>
        <v/>
      </c>
      <c r="H765" s="57">
        <f t="shared" si="150"/>
        <v>0</v>
      </c>
      <c r="I765" s="102">
        <f>VLOOKUP(P765&amp;"_"&amp;Q765,活动关卡!$A$4:$Z$27,3+5*MonsterWaveCallRuleCfg!R765,FALSE)</f>
        <v>5</v>
      </c>
      <c r="J765" s="102">
        <f>VLOOKUP(P765&amp;"_"&amp;Q765,活动关卡!$A$4:$Z$27,4+5*MonsterWaveCallRuleCfg!R765,FALSE)</f>
        <v>2</v>
      </c>
      <c r="K765" s="102">
        <f t="shared" si="154"/>
        <v>1</v>
      </c>
      <c r="L765" s="102" t="str">
        <f>IF(VLOOKUP(P765&amp;"_"&amp;Q765,活动关卡!$A$4:$Z$27,2+5*R765,FALSE)="","","Monster_Season1_Challenge"&amp;P765&amp;"_"&amp;Q765&amp;"_"&amp;R765)</f>
        <v>Monster_Season1_Challenge3_1_2</v>
      </c>
      <c r="M765" s="57">
        <f t="shared" si="155"/>
        <v>1</v>
      </c>
      <c r="O765" s="102">
        <f>VLOOKUP(P765&amp;"_"&amp;Q765,活动关卡!$A$4:$Z$27,6+5*MonsterWaveCallRuleCfg!R765,FALSE)</f>
        <v>30</v>
      </c>
      <c r="P765" s="110">
        <v>3</v>
      </c>
      <c r="Q765" s="110">
        <f t="shared" si="156"/>
        <v>1</v>
      </c>
      <c r="R765" s="110">
        <v>2</v>
      </c>
    </row>
    <row r="766" spans="2:18" x14ac:dyDescent="0.2">
      <c r="B766" s="57" t="str">
        <f t="shared" si="157"/>
        <v/>
      </c>
      <c r="D766" s="57" t="str">
        <f t="shared" si="158"/>
        <v/>
      </c>
      <c r="F766" s="57" t="str">
        <f t="shared" si="149"/>
        <v/>
      </c>
      <c r="G766" s="102" t="str">
        <f t="shared" si="153"/>
        <v/>
      </c>
      <c r="H766" s="57" t="str">
        <f t="shared" si="150"/>
        <v/>
      </c>
      <c r="I766" s="102" t="str">
        <f>VLOOKUP(P766&amp;"_"&amp;Q766,活动关卡!$A$4:$Z$27,3+5*MonsterWaveCallRuleCfg!R766,FALSE)</f>
        <v/>
      </c>
      <c r="J766" s="102" t="str">
        <f>VLOOKUP(P766&amp;"_"&amp;Q766,活动关卡!$A$4:$Z$27,4+5*MonsterWaveCallRuleCfg!R766,FALSE)</f>
        <v/>
      </c>
      <c r="K766" s="102" t="str">
        <f t="shared" si="154"/>
        <v/>
      </c>
      <c r="L766" s="102" t="str">
        <f>IF(VLOOKUP(P766&amp;"_"&amp;Q766,活动关卡!$A$4:$Z$27,2+5*R766,FALSE)="","","Monster_Season1_Challenge"&amp;P766&amp;"_"&amp;Q766&amp;"_"&amp;R766)</f>
        <v/>
      </c>
      <c r="M766" s="57" t="str">
        <f t="shared" si="155"/>
        <v/>
      </c>
      <c r="O766" s="102" t="str">
        <f>VLOOKUP(P766&amp;"_"&amp;Q766,活动关卡!$A$4:$Z$27,6+5*MonsterWaveCallRuleCfg!R766,FALSE)</f>
        <v/>
      </c>
      <c r="P766" s="110">
        <v>3</v>
      </c>
      <c r="Q766" s="110">
        <f t="shared" si="156"/>
        <v>1</v>
      </c>
      <c r="R766" s="110">
        <v>3</v>
      </c>
    </row>
    <row r="767" spans="2:18" x14ac:dyDescent="0.2">
      <c r="B767" s="57" t="str">
        <f t="shared" si="157"/>
        <v/>
      </c>
      <c r="D767" s="57" t="str">
        <f t="shared" si="158"/>
        <v/>
      </c>
      <c r="F767" s="57" t="str">
        <f t="shared" si="149"/>
        <v/>
      </c>
      <c r="G767" s="102" t="str">
        <f t="shared" si="153"/>
        <v/>
      </c>
      <c r="H767" s="57" t="str">
        <f t="shared" si="150"/>
        <v/>
      </c>
      <c r="I767" s="102" t="str">
        <f>VLOOKUP(P767&amp;"_"&amp;Q767,活动关卡!$A$4:$Z$27,3+5*MonsterWaveCallRuleCfg!R767,FALSE)</f>
        <v/>
      </c>
      <c r="J767" s="102" t="str">
        <f>VLOOKUP(P767&amp;"_"&amp;Q767,活动关卡!$A$4:$Z$27,4+5*MonsterWaveCallRuleCfg!R767,FALSE)</f>
        <v/>
      </c>
      <c r="K767" s="102" t="str">
        <f t="shared" si="154"/>
        <v/>
      </c>
      <c r="L767" s="102" t="str">
        <f>IF(VLOOKUP(P767&amp;"_"&amp;Q767,活动关卡!$A$4:$Z$27,2+5*R767,FALSE)="","","Monster_Season1_Challenge"&amp;P767&amp;"_"&amp;Q767&amp;"_"&amp;R767)</f>
        <v/>
      </c>
      <c r="M767" s="57" t="str">
        <f t="shared" si="155"/>
        <v/>
      </c>
      <c r="O767" s="102" t="str">
        <f>VLOOKUP(P767&amp;"_"&amp;Q767,活动关卡!$A$4:$Z$27,6+5*MonsterWaveCallRuleCfg!R767,FALSE)</f>
        <v/>
      </c>
      <c r="P767" s="110">
        <v>3</v>
      </c>
      <c r="Q767" s="110">
        <f t="shared" si="156"/>
        <v>1</v>
      </c>
      <c r="R767" s="110">
        <v>4</v>
      </c>
    </row>
    <row r="768" spans="2:18" x14ac:dyDescent="0.2">
      <c r="B768" s="57" t="str">
        <f t="shared" si="157"/>
        <v>MonsterWaveCallRule_Season1_Challenge3</v>
      </c>
      <c r="C768" s="57">
        <v>2</v>
      </c>
      <c r="D768" s="57" t="str">
        <f t="shared" si="158"/>
        <v>赛季1关卡3第2波</v>
      </c>
      <c r="F768" s="57">
        <f t="shared" si="149"/>
        <v>0</v>
      </c>
      <c r="G768" s="102">
        <f t="shared" si="153"/>
        <v>180</v>
      </c>
      <c r="H768" s="57">
        <f t="shared" si="150"/>
        <v>0</v>
      </c>
      <c r="I768" s="102">
        <f>VLOOKUP(P768&amp;"_"&amp;Q768,活动关卡!$A$4:$Z$27,3+5*MonsterWaveCallRuleCfg!R768,FALSE)</f>
        <v>6</v>
      </c>
      <c r="J768" s="102">
        <f>VLOOKUP(P768&amp;"_"&amp;Q768,活动关卡!$A$4:$Z$27,4+5*MonsterWaveCallRuleCfg!R768,FALSE)</f>
        <v>2</v>
      </c>
      <c r="K768" s="102">
        <f t="shared" si="154"/>
        <v>1</v>
      </c>
      <c r="L768" s="102" t="str">
        <f>IF(VLOOKUP(P768&amp;"_"&amp;Q768,活动关卡!$A$4:$Z$27,2+5*R768,FALSE)="","","Monster_Season1_Challenge"&amp;P768&amp;"_"&amp;Q768&amp;"_"&amp;R768)</f>
        <v>Monster_Season1_Challenge3_2_1</v>
      </c>
      <c r="M768" s="57">
        <f t="shared" si="155"/>
        <v>1</v>
      </c>
      <c r="O768" s="102">
        <f>VLOOKUP(P768&amp;"_"&amp;Q768,活动关卡!$A$4:$Z$27,6+5*MonsterWaveCallRuleCfg!R768,FALSE)</f>
        <v>17</v>
      </c>
      <c r="P768" s="110">
        <v>3</v>
      </c>
      <c r="Q768" s="110">
        <f t="shared" si="156"/>
        <v>2</v>
      </c>
      <c r="R768" s="110">
        <v>1</v>
      </c>
    </row>
    <row r="769" spans="2:18" x14ac:dyDescent="0.2">
      <c r="B769" s="57" t="str">
        <f t="shared" si="157"/>
        <v/>
      </c>
      <c r="D769" s="57" t="str">
        <f t="shared" si="158"/>
        <v/>
      </c>
      <c r="F769" s="57" t="str">
        <f t="shared" si="149"/>
        <v/>
      </c>
      <c r="G769" s="102" t="str">
        <f t="shared" si="153"/>
        <v/>
      </c>
      <c r="H769" s="57">
        <f t="shared" si="150"/>
        <v>0</v>
      </c>
      <c r="I769" s="102">
        <f>VLOOKUP(P769&amp;"_"&amp;Q769,活动关卡!$A$4:$Z$27,3+5*MonsterWaveCallRuleCfg!R769,FALSE)</f>
        <v>6</v>
      </c>
      <c r="J769" s="102">
        <f>VLOOKUP(P769&amp;"_"&amp;Q769,活动关卡!$A$4:$Z$27,4+5*MonsterWaveCallRuleCfg!R769,FALSE)</f>
        <v>2</v>
      </c>
      <c r="K769" s="102">
        <f t="shared" si="154"/>
        <v>1</v>
      </c>
      <c r="L769" s="102" t="str">
        <f>IF(VLOOKUP(P769&amp;"_"&amp;Q769,活动关卡!$A$4:$Z$27,2+5*R769,FALSE)="","","Monster_Season1_Challenge"&amp;P769&amp;"_"&amp;Q769&amp;"_"&amp;R769)</f>
        <v>Monster_Season1_Challenge3_2_2</v>
      </c>
      <c r="M769" s="57">
        <f t="shared" si="155"/>
        <v>1</v>
      </c>
      <c r="O769" s="102">
        <f>VLOOKUP(P769&amp;"_"&amp;Q769,活动关卡!$A$4:$Z$27,6+5*MonsterWaveCallRuleCfg!R769,FALSE)</f>
        <v>17</v>
      </c>
      <c r="P769" s="110">
        <v>3</v>
      </c>
      <c r="Q769" s="110">
        <f t="shared" si="156"/>
        <v>2</v>
      </c>
      <c r="R769" s="110">
        <v>2</v>
      </c>
    </row>
    <row r="770" spans="2:18" x14ac:dyDescent="0.2">
      <c r="B770" s="57" t="str">
        <f t="shared" si="157"/>
        <v/>
      </c>
      <c r="D770" s="57" t="str">
        <f t="shared" si="158"/>
        <v/>
      </c>
      <c r="F770" s="57" t="str">
        <f t="shared" si="149"/>
        <v/>
      </c>
      <c r="G770" s="102" t="str">
        <f t="shared" si="153"/>
        <v/>
      </c>
      <c r="H770" s="57">
        <f t="shared" si="150"/>
        <v>0</v>
      </c>
      <c r="I770" s="102">
        <f>VLOOKUP(P770&amp;"_"&amp;Q770,活动关卡!$A$4:$Z$27,3+5*MonsterWaveCallRuleCfg!R770,FALSE)</f>
        <v>6</v>
      </c>
      <c r="J770" s="102">
        <f>VLOOKUP(P770&amp;"_"&amp;Q770,活动关卡!$A$4:$Z$27,4+5*MonsterWaveCallRuleCfg!R770,FALSE)</f>
        <v>2</v>
      </c>
      <c r="K770" s="102">
        <f t="shared" si="154"/>
        <v>1</v>
      </c>
      <c r="L770" s="102" t="str">
        <f>IF(VLOOKUP(P770&amp;"_"&amp;Q770,活动关卡!$A$4:$Z$27,2+5*R770,FALSE)="","","Monster_Season1_Challenge"&amp;P770&amp;"_"&amp;Q770&amp;"_"&amp;R770)</f>
        <v>Monster_Season1_Challenge3_2_3</v>
      </c>
      <c r="M770" s="57">
        <f t="shared" si="155"/>
        <v>1</v>
      </c>
      <c r="O770" s="102">
        <f>VLOOKUP(P770&amp;"_"&amp;Q770,活动关卡!$A$4:$Z$27,6+5*MonsterWaveCallRuleCfg!R770,FALSE)</f>
        <v>17</v>
      </c>
      <c r="P770" s="110">
        <v>3</v>
      </c>
      <c r="Q770" s="110">
        <f t="shared" si="156"/>
        <v>2</v>
      </c>
      <c r="R770" s="110">
        <v>3</v>
      </c>
    </row>
    <row r="771" spans="2:18" x14ac:dyDescent="0.2">
      <c r="B771" s="57" t="str">
        <f t="shared" si="157"/>
        <v/>
      </c>
      <c r="D771" s="57" t="str">
        <f t="shared" si="158"/>
        <v/>
      </c>
      <c r="F771" s="57" t="str">
        <f t="shared" si="149"/>
        <v/>
      </c>
      <c r="G771" s="102" t="str">
        <f t="shared" si="153"/>
        <v/>
      </c>
      <c r="H771" s="57" t="str">
        <f t="shared" si="150"/>
        <v/>
      </c>
      <c r="I771" s="102" t="str">
        <f>VLOOKUP(P771&amp;"_"&amp;Q771,活动关卡!$A$4:$Z$27,3+5*MonsterWaveCallRuleCfg!R771,FALSE)</f>
        <v/>
      </c>
      <c r="J771" s="102" t="str">
        <f>VLOOKUP(P771&amp;"_"&amp;Q771,活动关卡!$A$4:$Z$27,4+5*MonsterWaveCallRuleCfg!R771,FALSE)</f>
        <v/>
      </c>
      <c r="K771" s="102" t="str">
        <f t="shared" si="154"/>
        <v/>
      </c>
      <c r="L771" s="102" t="str">
        <f>IF(VLOOKUP(P771&amp;"_"&amp;Q771,活动关卡!$A$4:$Z$27,2+5*R771,FALSE)="","","Monster_Season1_Challenge"&amp;P771&amp;"_"&amp;Q771&amp;"_"&amp;R771)</f>
        <v/>
      </c>
      <c r="M771" s="57" t="str">
        <f t="shared" si="155"/>
        <v/>
      </c>
      <c r="O771" s="102" t="str">
        <f>VLOOKUP(P771&amp;"_"&amp;Q771,活动关卡!$A$4:$Z$27,6+5*MonsterWaveCallRuleCfg!R771,FALSE)</f>
        <v/>
      </c>
      <c r="P771" s="110">
        <v>3</v>
      </c>
      <c r="Q771" s="110">
        <f t="shared" si="156"/>
        <v>2</v>
      </c>
      <c r="R771" s="110">
        <v>4</v>
      </c>
    </row>
    <row r="772" spans="2:18" x14ac:dyDescent="0.2">
      <c r="B772" s="57" t="str">
        <f t="shared" si="157"/>
        <v>MonsterWaveCallRule_Season1_Challenge3</v>
      </c>
      <c r="C772" s="57">
        <v>3</v>
      </c>
      <c r="D772" s="57" t="str">
        <f t="shared" si="158"/>
        <v>赛季1关卡3第3波</v>
      </c>
      <c r="F772" s="57">
        <f t="shared" si="149"/>
        <v>0</v>
      </c>
      <c r="G772" s="102">
        <f t="shared" si="153"/>
        <v>180</v>
      </c>
      <c r="H772" s="57">
        <f t="shared" si="150"/>
        <v>0</v>
      </c>
      <c r="I772" s="102">
        <f>VLOOKUP(P772&amp;"_"&amp;Q772,活动关卡!$A$4:$Z$27,3+5*MonsterWaveCallRuleCfg!R772,FALSE)</f>
        <v>8</v>
      </c>
      <c r="J772" s="102">
        <f>VLOOKUP(P772&amp;"_"&amp;Q772,活动关卡!$A$4:$Z$27,4+5*MonsterWaveCallRuleCfg!R772,FALSE)</f>
        <v>2</v>
      </c>
      <c r="K772" s="102">
        <f t="shared" si="154"/>
        <v>1</v>
      </c>
      <c r="L772" s="102" t="str">
        <f>IF(VLOOKUP(P772&amp;"_"&amp;Q772,活动关卡!$A$4:$Z$27,2+5*R772,FALSE)="","","Monster_Season1_Challenge"&amp;P772&amp;"_"&amp;Q772&amp;"_"&amp;R772)</f>
        <v>Monster_Season1_Challenge3_3_1</v>
      </c>
      <c r="M772" s="57">
        <f t="shared" si="155"/>
        <v>1</v>
      </c>
      <c r="O772" s="102">
        <f>VLOOKUP(P772&amp;"_"&amp;Q772,活动关卡!$A$4:$Z$27,6+5*MonsterWaveCallRuleCfg!R772,FALSE)</f>
        <v>15</v>
      </c>
      <c r="P772" s="110">
        <v>3</v>
      </c>
      <c r="Q772" s="110">
        <f t="shared" si="156"/>
        <v>3</v>
      </c>
      <c r="R772" s="110">
        <v>1</v>
      </c>
    </row>
    <row r="773" spans="2:18" x14ac:dyDescent="0.2">
      <c r="B773" s="57" t="str">
        <f t="shared" si="157"/>
        <v/>
      </c>
      <c r="D773" s="57" t="str">
        <f t="shared" si="158"/>
        <v/>
      </c>
      <c r="F773" s="57" t="str">
        <f t="shared" si="149"/>
        <v/>
      </c>
      <c r="G773" s="102" t="str">
        <f t="shared" si="153"/>
        <v/>
      </c>
      <c r="H773" s="57">
        <f t="shared" si="150"/>
        <v>0</v>
      </c>
      <c r="I773" s="102">
        <f>VLOOKUP(P773&amp;"_"&amp;Q773,活动关卡!$A$4:$Z$27,3+5*MonsterWaveCallRuleCfg!R773,FALSE)</f>
        <v>15</v>
      </c>
      <c r="J773" s="102">
        <f>VLOOKUP(P773&amp;"_"&amp;Q773,活动关卡!$A$4:$Z$27,4+5*MonsterWaveCallRuleCfg!R773,FALSE)</f>
        <v>1</v>
      </c>
      <c r="K773" s="102">
        <f t="shared" si="154"/>
        <v>1</v>
      </c>
      <c r="L773" s="102" t="str">
        <f>IF(VLOOKUP(P773&amp;"_"&amp;Q773,活动关卡!$A$4:$Z$27,2+5*R773,FALSE)="","","Monster_Season1_Challenge"&amp;P773&amp;"_"&amp;Q773&amp;"_"&amp;R773)</f>
        <v>Monster_Season1_Challenge3_3_2</v>
      </c>
      <c r="M773" s="57">
        <f t="shared" si="155"/>
        <v>1</v>
      </c>
      <c r="O773" s="102">
        <f>VLOOKUP(P773&amp;"_"&amp;Q773,活动关卡!$A$4:$Z$27,6+5*MonsterWaveCallRuleCfg!R773,FALSE)</f>
        <v>4</v>
      </c>
      <c r="P773" s="110">
        <v>3</v>
      </c>
      <c r="Q773" s="110">
        <f t="shared" si="156"/>
        <v>3</v>
      </c>
      <c r="R773" s="110">
        <v>2</v>
      </c>
    </row>
    <row r="774" spans="2:18" x14ac:dyDescent="0.2">
      <c r="B774" s="57" t="str">
        <f t="shared" si="157"/>
        <v/>
      </c>
      <c r="D774" s="57" t="str">
        <f t="shared" si="158"/>
        <v/>
      </c>
      <c r="F774" s="57" t="str">
        <f t="shared" si="149"/>
        <v/>
      </c>
      <c r="G774" s="102" t="str">
        <f t="shared" si="153"/>
        <v/>
      </c>
      <c r="H774" s="57">
        <f t="shared" si="150"/>
        <v>0</v>
      </c>
      <c r="I774" s="102">
        <f>VLOOKUP(P774&amp;"_"&amp;Q774,活动关卡!$A$4:$Z$27,3+5*MonsterWaveCallRuleCfg!R774,FALSE)</f>
        <v>8</v>
      </c>
      <c r="J774" s="102">
        <f>VLOOKUP(P774&amp;"_"&amp;Q774,活动关卡!$A$4:$Z$27,4+5*MonsterWaveCallRuleCfg!R774,FALSE)</f>
        <v>2</v>
      </c>
      <c r="K774" s="102">
        <f t="shared" si="154"/>
        <v>1</v>
      </c>
      <c r="L774" s="102" t="str">
        <f>IF(VLOOKUP(P774&amp;"_"&amp;Q774,活动关卡!$A$4:$Z$27,2+5*R774,FALSE)="","","Monster_Season1_Challenge"&amp;P774&amp;"_"&amp;Q774&amp;"_"&amp;R774)</f>
        <v>Monster_Season1_Challenge3_3_3</v>
      </c>
      <c r="M774" s="57">
        <f t="shared" si="155"/>
        <v>1</v>
      </c>
      <c r="O774" s="102">
        <f>VLOOKUP(P774&amp;"_"&amp;Q774,活动关卡!$A$4:$Z$27,6+5*MonsterWaveCallRuleCfg!R774,FALSE)</f>
        <v>15</v>
      </c>
      <c r="P774" s="110">
        <v>3</v>
      </c>
      <c r="Q774" s="110">
        <f t="shared" si="156"/>
        <v>3</v>
      </c>
      <c r="R774" s="110">
        <v>3</v>
      </c>
    </row>
    <row r="775" spans="2:18" x14ac:dyDescent="0.2">
      <c r="B775" s="57" t="str">
        <f t="shared" si="157"/>
        <v/>
      </c>
      <c r="D775" s="57" t="str">
        <f t="shared" si="158"/>
        <v/>
      </c>
      <c r="F775" s="57" t="str">
        <f t="shared" si="149"/>
        <v/>
      </c>
      <c r="G775" s="102" t="str">
        <f t="shared" si="153"/>
        <v/>
      </c>
      <c r="H775" s="57" t="str">
        <f t="shared" si="150"/>
        <v/>
      </c>
      <c r="I775" s="102" t="str">
        <f>VLOOKUP(P775&amp;"_"&amp;Q775,活动关卡!$A$4:$Z$27,3+5*MonsterWaveCallRuleCfg!R775,FALSE)</f>
        <v/>
      </c>
      <c r="J775" s="102" t="str">
        <f>VLOOKUP(P775&amp;"_"&amp;Q775,活动关卡!$A$4:$Z$27,4+5*MonsterWaveCallRuleCfg!R775,FALSE)</f>
        <v/>
      </c>
      <c r="K775" s="102" t="str">
        <f t="shared" si="154"/>
        <v/>
      </c>
      <c r="L775" s="102" t="str">
        <f>IF(VLOOKUP(P775&amp;"_"&amp;Q775,活动关卡!$A$4:$Z$27,2+5*R775,FALSE)="","","Monster_Season1_Challenge"&amp;P775&amp;"_"&amp;Q775&amp;"_"&amp;R775)</f>
        <v/>
      </c>
      <c r="M775" s="57" t="str">
        <f t="shared" si="155"/>
        <v/>
      </c>
      <c r="O775" s="102" t="str">
        <f>VLOOKUP(P775&amp;"_"&amp;Q775,活动关卡!$A$4:$Z$27,6+5*MonsterWaveCallRuleCfg!R775,FALSE)</f>
        <v/>
      </c>
      <c r="P775" s="110">
        <v>3</v>
      </c>
      <c r="Q775" s="110">
        <f t="shared" si="156"/>
        <v>3</v>
      </c>
      <c r="R775" s="110">
        <v>4</v>
      </c>
    </row>
    <row r="776" spans="2:18" x14ac:dyDescent="0.2">
      <c r="B776" s="57" t="str">
        <f t="shared" si="157"/>
        <v>MonsterWaveCallRule_Season1_Challenge3</v>
      </c>
      <c r="C776" s="57">
        <v>4</v>
      </c>
      <c r="D776" s="57" t="str">
        <f t="shared" si="158"/>
        <v>赛季1关卡3第4波</v>
      </c>
      <c r="F776" s="57">
        <f t="shared" si="149"/>
        <v>0</v>
      </c>
      <c r="G776" s="102">
        <f t="shared" si="153"/>
        <v>180</v>
      </c>
      <c r="H776" s="57" t="e">
        <f t="shared" si="150"/>
        <v>#N/A</v>
      </c>
      <c r="I776" s="102" t="e">
        <f>VLOOKUP(P776&amp;"_"&amp;Q776,活动关卡!$A$4:$Z$27,3+5*MonsterWaveCallRuleCfg!R776,FALSE)</f>
        <v>#N/A</v>
      </c>
      <c r="J776" s="102" t="e">
        <f>VLOOKUP(P776&amp;"_"&amp;Q776,活动关卡!$A$4:$Z$27,4+5*MonsterWaveCallRuleCfg!R776,FALSE)</f>
        <v>#N/A</v>
      </c>
      <c r="K776" s="102" t="e">
        <f t="shared" si="154"/>
        <v>#N/A</v>
      </c>
      <c r="L776" s="102" t="e">
        <f>IF(VLOOKUP(P776&amp;"_"&amp;Q776,活动关卡!$A$4:$Z$27,2+5*R776,FALSE)="","","Monster_Season1_Challenge"&amp;P776&amp;"_"&amp;Q776&amp;"_"&amp;R776)</f>
        <v>#N/A</v>
      </c>
      <c r="M776" s="57" t="e">
        <f t="shared" si="155"/>
        <v>#N/A</v>
      </c>
      <c r="O776" s="102" t="e">
        <f>VLOOKUP(P776&amp;"_"&amp;Q776,活动关卡!$A$4:$Z$27,6+5*MonsterWaveCallRuleCfg!R776,FALSE)</f>
        <v>#N/A</v>
      </c>
      <c r="P776" s="110">
        <v>3</v>
      </c>
      <c r="Q776" s="110">
        <f t="shared" si="156"/>
        <v>4</v>
      </c>
      <c r="R776" s="110">
        <v>1</v>
      </c>
    </row>
    <row r="777" spans="2:18" x14ac:dyDescent="0.2">
      <c r="B777" s="57" t="str">
        <f t="shared" si="157"/>
        <v/>
      </c>
      <c r="D777" s="57" t="str">
        <f t="shared" si="158"/>
        <v/>
      </c>
      <c r="F777" s="57" t="str">
        <f t="shared" si="149"/>
        <v/>
      </c>
      <c r="G777" s="102" t="str">
        <f t="shared" si="153"/>
        <v/>
      </c>
      <c r="H777" s="57" t="e">
        <f t="shared" si="150"/>
        <v>#N/A</v>
      </c>
      <c r="I777" s="102" t="e">
        <f>VLOOKUP(P777&amp;"_"&amp;Q777,活动关卡!$A$4:$Z$27,3+5*MonsterWaveCallRuleCfg!R777,FALSE)</f>
        <v>#N/A</v>
      </c>
      <c r="J777" s="102" t="e">
        <f>VLOOKUP(P777&amp;"_"&amp;Q777,活动关卡!$A$4:$Z$27,4+5*MonsterWaveCallRuleCfg!R777,FALSE)</f>
        <v>#N/A</v>
      </c>
      <c r="K777" s="102" t="e">
        <f t="shared" si="154"/>
        <v>#N/A</v>
      </c>
      <c r="L777" s="102" t="e">
        <f>IF(VLOOKUP(P777&amp;"_"&amp;Q777,活动关卡!$A$4:$Z$27,2+5*R777,FALSE)="","","Monster_Season1_Challenge"&amp;P777&amp;"_"&amp;Q777&amp;"_"&amp;R777)</f>
        <v>#N/A</v>
      </c>
      <c r="M777" s="57" t="e">
        <f t="shared" si="155"/>
        <v>#N/A</v>
      </c>
      <c r="O777" s="102" t="e">
        <f>VLOOKUP(P777&amp;"_"&amp;Q777,活动关卡!$A$4:$Z$27,6+5*MonsterWaveCallRuleCfg!R777,FALSE)</f>
        <v>#N/A</v>
      </c>
      <c r="P777" s="110">
        <v>3</v>
      </c>
      <c r="Q777" s="110">
        <f t="shared" si="156"/>
        <v>4</v>
      </c>
      <c r="R777" s="110">
        <v>2</v>
      </c>
    </row>
    <row r="778" spans="2:18" x14ac:dyDescent="0.2">
      <c r="B778" s="57" t="str">
        <f t="shared" si="157"/>
        <v/>
      </c>
      <c r="D778" s="57" t="str">
        <f t="shared" si="158"/>
        <v/>
      </c>
      <c r="F778" s="57" t="str">
        <f t="shared" si="149"/>
        <v/>
      </c>
      <c r="G778" s="102" t="str">
        <f t="shared" si="153"/>
        <v/>
      </c>
      <c r="H778" s="57" t="e">
        <f t="shared" si="150"/>
        <v>#N/A</v>
      </c>
      <c r="I778" s="102" t="e">
        <f>VLOOKUP(P778&amp;"_"&amp;Q778,活动关卡!$A$4:$Z$27,3+5*MonsterWaveCallRuleCfg!R778,FALSE)</f>
        <v>#N/A</v>
      </c>
      <c r="J778" s="102" t="e">
        <f>VLOOKUP(P778&amp;"_"&amp;Q778,活动关卡!$A$4:$Z$27,4+5*MonsterWaveCallRuleCfg!R778,FALSE)</f>
        <v>#N/A</v>
      </c>
      <c r="K778" s="102" t="e">
        <f t="shared" si="154"/>
        <v>#N/A</v>
      </c>
      <c r="L778" s="102" t="e">
        <f>IF(VLOOKUP(P778&amp;"_"&amp;Q778,活动关卡!$A$4:$Z$27,2+5*R778,FALSE)="","","Monster_Season1_Challenge"&amp;P778&amp;"_"&amp;Q778&amp;"_"&amp;R778)</f>
        <v>#N/A</v>
      </c>
      <c r="M778" s="57" t="e">
        <f t="shared" si="155"/>
        <v>#N/A</v>
      </c>
      <c r="O778" s="102" t="e">
        <f>VLOOKUP(P778&amp;"_"&amp;Q778,活动关卡!$A$4:$Z$27,6+5*MonsterWaveCallRuleCfg!R778,FALSE)</f>
        <v>#N/A</v>
      </c>
      <c r="P778" s="110">
        <v>3</v>
      </c>
      <c r="Q778" s="110">
        <f t="shared" si="156"/>
        <v>4</v>
      </c>
      <c r="R778" s="110">
        <v>3</v>
      </c>
    </row>
    <row r="779" spans="2:18" x14ac:dyDescent="0.2">
      <c r="B779" s="57" t="str">
        <f t="shared" si="157"/>
        <v/>
      </c>
      <c r="D779" s="57" t="str">
        <f t="shared" si="158"/>
        <v/>
      </c>
      <c r="F779" s="57" t="str">
        <f t="shared" si="149"/>
        <v/>
      </c>
      <c r="G779" s="102" t="str">
        <f t="shared" si="153"/>
        <v/>
      </c>
      <c r="H779" s="57" t="e">
        <f t="shared" si="150"/>
        <v>#N/A</v>
      </c>
      <c r="I779" s="102" t="e">
        <f>VLOOKUP(P779&amp;"_"&amp;Q779,活动关卡!$A$4:$Z$27,3+5*MonsterWaveCallRuleCfg!R779,FALSE)</f>
        <v>#N/A</v>
      </c>
      <c r="J779" s="102" t="e">
        <f>VLOOKUP(P779&amp;"_"&amp;Q779,活动关卡!$A$4:$Z$27,4+5*MonsterWaveCallRuleCfg!R779,FALSE)</f>
        <v>#N/A</v>
      </c>
      <c r="K779" s="102" t="e">
        <f t="shared" si="154"/>
        <v>#N/A</v>
      </c>
      <c r="L779" s="102" t="e">
        <f>IF(VLOOKUP(P779&amp;"_"&amp;Q779,活动关卡!$A$4:$Z$27,2+5*R779,FALSE)="","","Monster_Season1_Challenge"&amp;P779&amp;"_"&amp;Q779&amp;"_"&amp;R779)</f>
        <v>#N/A</v>
      </c>
      <c r="M779" s="57" t="e">
        <f t="shared" si="155"/>
        <v>#N/A</v>
      </c>
      <c r="O779" s="102" t="e">
        <f>VLOOKUP(P779&amp;"_"&amp;Q779,活动关卡!$A$4:$Z$27,6+5*MonsterWaveCallRuleCfg!R779,FALSE)</f>
        <v>#N/A</v>
      </c>
      <c r="P779" s="110">
        <v>3</v>
      </c>
      <c r="Q779" s="110">
        <f t="shared" si="156"/>
        <v>4</v>
      </c>
      <c r="R779" s="110">
        <v>4</v>
      </c>
    </row>
    <row r="780" spans="2:18" x14ac:dyDescent="0.2">
      <c r="B780" s="57" t="str">
        <f t="shared" si="157"/>
        <v>MonsterWaveCallRule_Season1_Challenge3</v>
      </c>
      <c r="C780" s="57">
        <v>5</v>
      </c>
      <c r="D780" s="57" t="str">
        <f t="shared" si="158"/>
        <v>赛季1关卡3第5波</v>
      </c>
      <c r="F780" s="57">
        <f t="shared" si="149"/>
        <v>0</v>
      </c>
      <c r="G780" s="102">
        <f t="shared" si="153"/>
        <v>180</v>
      </c>
      <c r="H780" s="57" t="e">
        <f t="shared" si="150"/>
        <v>#N/A</v>
      </c>
      <c r="I780" s="102" t="e">
        <f>VLOOKUP(P780&amp;"_"&amp;Q780,活动关卡!$A$4:$Z$27,3+5*MonsterWaveCallRuleCfg!R780,FALSE)</f>
        <v>#N/A</v>
      </c>
      <c r="J780" s="102" t="e">
        <f>VLOOKUP(P780&amp;"_"&amp;Q780,活动关卡!$A$4:$Z$27,4+5*MonsterWaveCallRuleCfg!R780,FALSE)</f>
        <v>#N/A</v>
      </c>
      <c r="K780" s="102" t="e">
        <f t="shared" si="154"/>
        <v>#N/A</v>
      </c>
      <c r="L780" s="102" t="e">
        <f>IF(VLOOKUP(P780&amp;"_"&amp;Q780,活动关卡!$A$4:$Z$27,2+5*R780,FALSE)="","","Monster_Season1_Challenge"&amp;P780&amp;"_"&amp;Q780&amp;"_"&amp;R780)</f>
        <v>#N/A</v>
      </c>
      <c r="M780" s="57" t="e">
        <f t="shared" si="155"/>
        <v>#N/A</v>
      </c>
      <c r="O780" s="102" t="e">
        <f>VLOOKUP(P780&amp;"_"&amp;Q780,活动关卡!$A$4:$Z$27,6+5*MonsterWaveCallRuleCfg!R780,FALSE)</f>
        <v>#N/A</v>
      </c>
      <c r="P780" s="110">
        <v>3</v>
      </c>
      <c r="Q780" s="110">
        <f t="shared" si="156"/>
        <v>5</v>
      </c>
      <c r="R780" s="110">
        <v>1</v>
      </c>
    </row>
    <row r="781" spans="2:18" x14ac:dyDescent="0.2">
      <c r="B781" s="57" t="str">
        <f t="shared" si="157"/>
        <v/>
      </c>
      <c r="D781" s="57" t="str">
        <f t="shared" si="158"/>
        <v/>
      </c>
      <c r="F781" s="57" t="str">
        <f t="shared" si="149"/>
        <v/>
      </c>
      <c r="G781" s="102" t="str">
        <f t="shared" si="153"/>
        <v/>
      </c>
      <c r="H781" s="57" t="e">
        <f t="shared" si="150"/>
        <v>#N/A</v>
      </c>
      <c r="I781" s="102" t="e">
        <f>VLOOKUP(P781&amp;"_"&amp;Q781,活动关卡!$A$4:$Z$27,3+5*MonsterWaveCallRuleCfg!R781,FALSE)</f>
        <v>#N/A</v>
      </c>
      <c r="J781" s="102" t="e">
        <f>VLOOKUP(P781&amp;"_"&amp;Q781,活动关卡!$A$4:$Z$27,4+5*MonsterWaveCallRuleCfg!R781,FALSE)</f>
        <v>#N/A</v>
      </c>
      <c r="K781" s="102" t="e">
        <f t="shared" si="154"/>
        <v>#N/A</v>
      </c>
      <c r="L781" s="102" t="e">
        <f>IF(VLOOKUP(P781&amp;"_"&amp;Q781,活动关卡!$A$4:$Z$27,2+5*R781,FALSE)="","","Monster_Season1_Challenge"&amp;P781&amp;"_"&amp;Q781&amp;"_"&amp;R781)</f>
        <v>#N/A</v>
      </c>
      <c r="M781" s="57" t="e">
        <f t="shared" si="155"/>
        <v>#N/A</v>
      </c>
      <c r="O781" s="102" t="e">
        <f>VLOOKUP(P781&amp;"_"&amp;Q781,活动关卡!$A$4:$Z$27,6+5*MonsterWaveCallRuleCfg!R781,FALSE)</f>
        <v>#N/A</v>
      </c>
      <c r="P781" s="110">
        <v>3</v>
      </c>
      <c r="Q781" s="110">
        <f t="shared" si="156"/>
        <v>5</v>
      </c>
      <c r="R781" s="110">
        <v>2</v>
      </c>
    </row>
    <row r="782" spans="2:18" x14ac:dyDescent="0.2">
      <c r="B782" s="57" t="str">
        <f t="shared" si="157"/>
        <v/>
      </c>
      <c r="D782" s="57" t="str">
        <f t="shared" si="158"/>
        <v/>
      </c>
      <c r="F782" s="57" t="str">
        <f t="shared" si="149"/>
        <v/>
      </c>
      <c r="G782" s="102" t="str">
        <f t="shared" si="153"/>
        <v/>
      </c>
      <c r="H782" s="57" t="e">
        <f t="shared" si="150"/>
        <v>#N/A</v>
      </c>
      <c r="I782" s="102" t="e">
        <f>VLOOKUP(P782&amp;"_"&amp;Q782,活动关卡!$A$4:$Z$27,3+5*MonsterWaveCallRuleCfg!R782,FALSE)</f>
        <v>#N/A</v>
      </c>
      <c r="J782" s="102" t="e">
        <f>VLOOKUP(P782&amp;"_"&amp;Q782,活动关卡!$A$4:$Z$27,4+5*MonsterWaveCallRuleCfg!R782,FALSE)</f>
        <v>#N/A</v>
      </c>
      <c r="K782" s="102" t="e">
        <f t="shared" si="154"/>
        <v>#N/A</v>
      </c>
      <c r="L782" s="102" t="e">
        <f>IF(VLOOKUP(P782&amp;"_"&amp;Q782,活动关卡!$A$4:$Z$27,2+5*R782,FALSE)="","","Monster_Season1_Challenge"&amp;P782&amp;"_"&amp;Q782&amp;"_"&amp;R782)</f>
        <v>#N/A</v>
      </c>
      <c r="M782" s="57" t="e">
        <f t="shared" si="155"/>
        <v>#N/A</v>
      </c>
      <c r="O782" s="102" t="e">
        <f>VLOOKUP(P782&amp;"_"&amp;Q782,活动关卡!$A$4:$Z$27,6+5*MonsterWaveCallRuleCfg!R782,FALSE)</f>
        <v>#N/A</v>
      </c>
      <c r="P782" s="110">
        <v>3</v>
      </c>
      <c r="Q782" s="110">
        <f t="shared" si="156"/>
        <v>5</v>
      </c>
      <c r="R782" s="110">
        <v>3</v>
      </c>
    </row>
    <row r="783" spans="2:18" x14ac:dyDescent="0.2">
      <c r="B783" s="57" t="str">
        <f t="shared" si="157"/>
        <v/>
      </c>
      <c r="D783" s="57" t="str">
        <f t="shared" si="158"/>
        <v/>
      </c>
      <c r="F783" s="57" t="str">
        <f t="shared" si="149"/>
        <v/>
      </c>
      <c r="G783" s="102" t="str">
        <f t="shared" si="153"/>
        <v/>
      </c>
      <c r="H783" s="57" t="e">
        <f t="shared" si="150"/>
        <v>#N/A</v>
      </c>
      <c r="I783" s="102" t="e">
        <f>VLOOKUP(P783&amp;"_"&amp;Q783,活动关卡!$A$4:$Z$27,3+5*MonsterWaveCallRuleCfg!R783,FALSE)</f>
        <v>#N/A</v>
      </c>
      <c r="J783" s="102" t="e">
        <f>VLOOKUP(P783&amp;"_"&amp;Q783,活动关卡!$A$4:$Z$27,4+5*MonsterWaveCallRuleCfg!R783,FALSE)</f>
        <v>#N/A</v>
      </c>
      <c r="K783" s="102" t="e">
        <f t="shared" si="154"/>
        <v>#N/A</v>
      </c>
      <c r="L783" s="102" t="e">
        <f>IF(VLOOKUP(P783&amp;"_"&amp;Q783,活动关卡!$A$4:$Z$27,2+5*R783,FALSE)="","","Monster_Season1_Challenge"&amp;P783&amp;"_"&amp;Q783&amp;"_"&amp;R783)</f>
        <v>#N/A</v>
      </c>
      <c r="M783" s="57" t="e">
        <f t="shared" si="155"/>
        <v>#N/A</v>
      </c>
      <c r="O783" s="102" t="e">
        <f>VLOOKUP(P783&amp;"_"&amp;Q783,活动关卡!$A$4:$Z$27,6+5*MonsterWaveCallRuleCfg!R783,FALSE)</f>
        <v>#N/A</v>
      </c>
      <c r="P783" s="110">
        <v>3</v>
      </c>
      <c r="Q783" s="110">
        <f t="shared" si="156"/>
        <v>5</v>
      </c>
      <c r="R783" s="110">
        <v>4</v>
      </c>
    </row>
    <row r="784" spans="2:18" x14ac:dyDescent="0.2">
      <c r="B784" s="57" t="str">
        <f t="shared" si="157"/>
        <v>MonsterWaveCallRule_Season1_Challenge4</v>
      </c>
      <c r="C784" s="57">
        <v>1</v>
      </c>
      <c r="D784" s="57" t="str">
        <f t="shared" si="158"/>
        <v>赛季1关卡4第1波</v>
      </c>
      <c r="F784" s="57">
        <f t="shared" si="149"/>
        <v>0</v>
      </c>
      <c r="G784" s="102">
        <f t="shared" si="153"/>
        <v>180</v>
      </c>
      <c r="H784" s="57">
        <f t="shared" si="150"/>
        <v>0</v>
      </c>
      <c r="I784" s="102">
        <f>VLOOKUP(P784&amp;"_"&amp;Q784,活动关卡!$A$4:$Z$27,3+5*MonsterWaveCallRuleCfg!R784,FALSE)</f>
        <v>7</v>
      </c>
      <c r="J784" s="102">
        <f>VLOOKUP(P784&amp;"_"&amp;Q784,活动关卡!$A$4:$Z$27,4+5*MonsterWaveCallRuleCfg!R784,FALSE)</f>
        <v>1.5</v>
      </c>
      <c r="K784" s="102">
        <f t="shared" si="154"/>
        <v>1</v>
      </c>
      <c r="L784" s="102" t="str">
        <f>IF(VLOOKUP(P784&amp;"_"&amp;Q784,活动关卡!$A$4:$Z$27,2+5*R784,FALSE)="","","Monster_Season1_Challenge"&amp;P784&amp;"_"&amp;Q784&amp;"_"&amp;R784)</f>
        <v>Monster_Season1_Challenge4_1_1</v>
      </c>
      <c r="M784" s="57">
        <f t="shared" si="155"/>
        <v>1</v>
      </c>
      <c r="O784" s="102">
        <f>VLOOKUP(P784&amp;"_"&amp;Q784,活动关卡!$A$4:$Z$27,6+5*MonsterWaveCallRuleCfg!R784,FALSE)</f>
        <v>18</v>
      </c>
      <c r="P784" s="110">
        <v>4</v>
      </c>
      <c r="Q784" s="110">
        <f t="shared" si="156"/>
        <v>1</v>
      </c>
      <c r="R784" s="110">
        <v>1</v>
      </c>
    </row>
    <row r="785" spans="2:18" x14ac:dyDescent="0.2">
      <c r="B785" s="57" t="str">
        <f t="shared" si="157"/>
        <v/>
      </c>
      <c r="D785" s="57" t="str">
        <f t="shared" si="158"/>
        <v/>
      </c>
      <c r="F785" s="57" t="str">
        <f t="shared" si="149"/>
        <v/>
      </c>
      <c r="G785" s="102" t="str">
        <f t="shared" si="153"/>
        <v/>
      </c>
      <c r="H785" s="57">
        <f t="shared" si="150"/>
        <v>0</v>
      </c>
      <c r="I785" s="102">
        <f>VLOOKUP(P785&amp;"_"&amp;Q785,活动关卡!$A$4:$Z$27,3+5*MonsterWaveCallRuleCfg!R785,FALSE)</f>
        <v>5</v>
      </c>
      <c r="J785" s="102">
        <f>VLOOKUP(P785&amp;"_"&amp;Q785,活动关卡!$A$4:$Z$27,4+5*MonsterWaveCallRuleCfg!R785,FALSE)</f>
        <v>2</v>
      </c>
      <c r="K785" s="102">
        <f t="shared" si="154"/>
        <v>1</v>
      </c>
      <c r="L785" s="102" t="str">
        <f>IF(VLOOKUP(P785&amp;"_"&amp;Q785,活动关卡!$A$4:$Z$27,2+5*R785,FALSE)="","","Monster_Season1_Challenge"&amp;P785&amp;"_"&amp;Q785&amp;"_"&amp;R785)</f>
        <v>Monster_Season1_Challenge4_1_2</v>
      </c>
      <c r="M785" s="57">
        <f t="shared" si="155"/>
        <v>1</v>
      </c>
      <c r="O785" s="102">
        <f>VLOOKUP(P785&amp;"_"&amp;Q785,活动关卡!$A$4:$Z$27,6+5*MonsterWaveCallRuleCfg!R785,FALSE)</f>
        <v>35</v>
      </c>
      <c r="P785" s="110">
        <v>4</v>
      </c>
      <c r="Q785" s="110">
        <f t="shared" si="156"/>
        <v>1</v>
      </c>
      <c r="R785" s="110">
        <v>2</v>
      </c>
    </row>
    <row r="786" spans="2:18" x14ac:dyDescent="0.2">
      <c r="B786" s="57" t="str">
        <f t="shared" si="157"/>
        <v/>
      </c>
      <c r="D786" s="57" t="str">
        <f t="shared" si="158"/>
        <v/>
      </c>
      <c r="F786" s="57" t="str">
        <f t="shared" si="149"/>
        <v/>
      </c>
      <c r="G786" s="102" t="str">
        <f t="shared" si="153"/>
        <v/>
      </c>
      <c r="H786" s="57" t="str">
        <f t="shared" si="150"/>
        <v/>
      </c>
      <c r="I786" s="102" t="str">
        <f>VLOOKUP(P786&amp;"_"&amp;Q786,活动关卡!$A$4:$Z$27,3+5*MonsterWaveCallRuleCfg!R786,FALSE)</f>
        <v/>
      </c>
      <c r="J786" s="102" t="str">
        <f>VLOOKUP(P786&amp;"_"&amp;Q786,活动关卡!$A$4:$Z$27,4+5*MonsterWaveCallRuleCfg!R786,FALSE)</f>
        <v/>
      </c>
      <c r="K786" s="102" t="str">
        <f t="shared" si="154"/>
        <v/>
      </c>
      <c r="L786" s="102" t="str">
        <f>IF(VLOOKUP(P786&amp;"_"&amp;Q786,活动关卡!$A$4:$Z$27,2+5*R786,FALSE)="","","Monster_Season1_Challenge"&amp;P786&amp;"_"&amp;Q786&amp;"_"&amp;R786)</f>
        <v/>
      </c>
      <c r="M786" s="57" t="str">
        <f t="shared" si="155"/>
        <v/>
      </c>
      <c r="O786" s="102" t="str">
        <f>VLOOKUP(P786&amp;"_"&amp;Q786,活动关卡!$A$4:$Z$27,6+5*MonsterWaveCallRuleCfg!R786,FALSE)</f>
        <v/>
      </c>
      <c r="P786" s="110">
        <v>4</v>
      </c>
      <c r="Q786" s="110">
        <f t="shared" si="156"/>
        <v>1</v>
      </c>
      <c r="R786" s="110">
        <v>3</v>
      </c>
    </row>
    <row r="787" spans="2:18" x14ac:dyDescent="0.2">
      <c r="B787" s="57" t="str">
        <f t="shared" si="157"/>
        <v/>
      </c>
      <c r="D787" s="57" t="str">
        <f t="shared" si="158"/>
        <v/>
      </c>
      <c r="F787" s="57" t="str">
        <f t="shared" si="149"/>
        <v/>
      </c>
      <c r="G787" s="102" t="str">
        <f t="shared" si="153"/>
        <v/>
      </c>
      <c r="H787" s="57" t="str">
        <f t="shared" si="150"/>
        <v/>
      </c>
      <c r="I787" s="102" t="str">
        <f>VLOOKUP(P787&amp;"_"&amp;Q787,活动关卡!$A$4:$Z$27,3+5*MonsterWaveCallRuleCfg!R787,FALSE)</f>
        <v/>
      </c>
      <c r="J787" s="102" t="str">
        <f>VLOOKUP(P787&amp;"_"&amp;Q787,活动关卡!$A$4:$Z$27,4+5*MonsterWaveCallRuleCfg!R787,FALSE)</f>
        <v/>
      </c>
      <c r="K787" s="102" t="str">
        <f t="shared" si="154"/>
        <v/>
      </c>
      <c r="L787" s="102" t="str">
        <f>IF(VLOOKUP(P787&amp;"_"&amp;Q787,活动关卡!$A$4:$Z$27,2+5*R787,FALSE)="","","Monster_Season1_Challenge"&amp;P787&amp;"_"&amp;Q787&amp;"_"&amp;R787)</f>
        <v/>
      </c>
      <c r="M787" s="57" t="str">
        <f t="shared" si="155"/>
        <v/>
      </c>
      <c r="O787" s="102" t="str">
        <f>VLOOKUP(P787&amp;"_"&amp;Q787,活动关卡!$A$4:$Z$27,6+5*MonsterWaveCallRuleCfg!R787,FALSE)</f>
        <v/>
      </c>
      <c r="P787" s="110">
        <v>4</v>
      </c>
      <c r="Q787" s="110">
        <f t="shared" si="156"/>
        <v>1</v>
      </c>
      <c r="R787" s="110">
        <v>4</v>
      </c>
    </row>
    <row r="788" spans="2:18" x14ac:dyDescent="0.2">
      <c r="B788" s="57" t="str">
        <f t="shared" ref="B788:B819" si="159">IF(C788="","","MonsterWaveCallRule_Season1_Challenge"&amp;P788)</f>
        <v>MonsterWaveCallRule_Season1_Challenge4</v>
      </c>
      <c r="C788" s="57">
        <v>2</v>
      </c>
      <c r="D788" s="57" t="str">
        <f t="shared" ref="D788:D819" si="160">IF(C788="","","赛季1关卡"&amp;P788&amp;"第"&amp;C788&amp;"波")</f>
        <v>赛季1关卡4第2波</v>
      </c>
      <c r="F788" s="57">
        <f t="shared" ref="F788:F820" si="161">IF(C788="","",0)</f>
        <v>0</v>
      </c>
      <c r="G788" s="102">
        <f t="shared" si="153"/>
        <v>180</v>
      </c>
      <c r="H788" s="57">
        <f t="shared" ref="H788:H835" si="162">IF(I788="","",0)</f>
        <v>0</v>
      </c>
      <c r="I788" s="102">
        <f>VLOOKUP(P788&amp;"_"&amp;Q788,活动关卡!$A$4:$Z$27,3+5*MonsterWaveCallRuleCfg!R788,FALSE)</f>
        <v>8</v>
      </c>
      <c r="J788" s="102">
        <f>VLOOKUP(P788&amp;"_"&amp;Q788,活动关卡!$A$4:$Z$27,4+5*MonsterWaveCallRuleCfg!R788,FALSE)</f>
        <v>1.5</v>
      </c>
      <c r="K788" s="102">
        <f t="shared" si="154"/>
        <v>1</v>
      </c>
      <c r="L788" s="102" t="str">
        <f>IF(VLOOKUP(P788&amp;"_"&amp;Q788,活动关卡!$A$4:$Z$27,2+5*R788,FALSE)="","","Monster_Season1_Challenge"&amp;P788&amp;"_"&amp;Q788&amp;"_"&amp;R788)</f>
        <v>Monster_Season1_Challenge4_2_1</v>
      </c>
      <c r="M788" s="57">
        <f t="shared" si="155"/>
        <v>1</v>
      </c>
      <c r="O788" s="102">
        <f>VLOOKUP(P788&amp;"_"&amp;Q788,活动关卡!$A$4:$Z$27,6+5*MonsterWaveCallRuleCfg!R788,FALSE)</f>
        <v>4</v>
      </c>
      <c r="P788" s="110">
        <v>4</v>
      </c>
      <c r="Q788" s="110">
        <f t="shared" si="156"/>
        <v>2</v>
      </c>
      <c r="R788" s="110">
        <v>1</v>
      </c>
    </row>
    <row r="789" spans="2:18" x14ac:dyDescent="0.2">
      <c r="B789" s="57" t="str">
        <f t="shared" si="159"/>
        <v/>
      </c>
      <c r="D789" s="57" t="str">
        <f t="shared" si="160"/>
        <v/>
      </c>
      <c r="F789" s="57" t="str">
        <f t="shared" si="161"/>
        <v/>
      </c>
      <c r="G789" s="102" t="str">
        <f t="shared" ref="G789:G803" si="163">IF(C789="","",180)</f>
        <v/>
      </c>
      <c r="H789" s="57">
        <f t="shared" si="162"/>
        <v>0</v>
      </c>
      <c r="I789" s="102">
        <f>VLOOKUP(P789&amp;"_"&amp;Q789,活动关卡!$A$4:$Z$27,3+5*MonsterWaveCallRuleCfg!R789,FALSE)</f>
        <v>25</v>
      </c>
      <c r="J789" s="102">
        <f>VLOOKUP(P789&amp;"_"&amp;Q789,活动关卡!$A$4:$Z$27,4+5*MonsterWaveCallRuleCfg!R789,FALSE)</f>
        <v>0.5</v>
      </c>
      <c r="K789" s="102">
        <f t="shared" ref="K789:K823" si="164">IF(I789="","",1)</f>
        <v>1</v>
      </c>
      <c r="L789" s="102" t="str">
        <f>IF(VLOOKUP(P789&amp;"_"&amp;Q789,活动关卡!$A$4:$Z$27,2+5*R789,FALSE)="","","Monster_Season1_Challenge"&amp;P789&amp;"_"&amp;Q789&amp;"_"&amp;R789)</f>
        <v>Monster_Season1_Challenge4_2_2</v>
      </c>
      <c r="M789" s="57">
        <f t="shared" ref="M789:M823" si="165">IF(I789="","",1)</f>
        <v>1</v>
      </c>
      <c r="O789" s="102">
        <f>VLOOKUP(P789&amp;"_"&amp;Q789,活动关卡!$A$4:$Z$27,6+5*MonsterWaveCallRuleCfg!R789,FALSE)</f>
        <v>9</v>
      </c>
      <c r="P789" s="110">
        <v>4</v>
      </c>
      <c r="Q789" s="110">
        <f t="shared" si="156"/>
        <v>2</v>
      </c>
      <c r="R789" s="110">
        <v>2</v>
      </c>
    </row>
    <row r="790" spans="2:18" x14ac:dyDescent="0.2">
      <c r="B790" s="57" t="str">
        <f t="shared" si="159"/>
        <v/>
      </c>
      <c r="D790" s="57" t="str">
        <f t="shared" si="160"/>
        <v/>
      </c>
      <c r="F790" s="57" t="str">
        <f t="shared" si="161"/>
        <v/>
      </c>
      <c r="G790" s="102" t="str">
        <f t="shared" si="163"/>
        <v/>
      </c>
      <c r="H790" s="57">
        <f t="shared" si="162"/>
        <v>0</v>
      </c>
      <c r="I790" s="102">
        <f>VLOOKUP(P790&amp;"_"&amp;Q790,活动关卡!$A$4:$Z$27,3+5*MonsterWaveCallRuleCfg!R790,FALSE)</f>
        <v>6</v>
      </c>
      <c r="J790" s="102">
        <f>VLOOKUP(P790&amp;"_"&amp;Q790,活动关卡!$A$4:$Z$27,4+5*MonsterWaveCallRuleCfg!R790,FALSE)</f>
        <v>2</v>
      </c>
      <c r="K790" s="102">
        <f t="shared" si="164"/>
        <v>1</v>
      </c>
      <c r="L790" s="102" t="str">
        <f>IF(VLOOKUP(P790&amp;"_"&amp;Q790,活动关卡!$A$4:$Z$27,2+5*R790,FALSE)="","","Monster_Season1_Challenge"&amp;P790&amp;"_"&amp;Q790&amp;"_"&amp;R790)</f>
        <v>Monster_Season1_Challenge4_2_3</v>
      </c>
      <c r="M790" s="57">
        <f t="shared" si="165"/>
        <v>1</v>
      </c>
      <c r="O790" s="102">
        <f>VLOOKUP(P790&amp;"_"&amp;Q790,活动关卡!$A$4:$Z$27,6+5*MonsterWaveCallRuleCfg!R790,FALSE)</f>
        <v>9</v>
      </c>
      <c r="P790" s="110">
        <v>4</v>
      </c>
      <c r="Q790" s="110">
        <f t="shared" ref="Q790:Q835" si="166">IF(C790="",Q789,C790)</f>
        <v>2</v>
      </c>
      <c r="R790" s="110">
        <v>3</v>
      </c>
    </row>
    <row r="791" spans="2:18" x14ac:dyDescent="0.2">
      <c r="B791" s="57" t="str">
        <f t="shared" si="159"/>
        <v/>
      </c>
      <c r="D791" s="57" t="str">
        <f t="shared" si="160"/>
        <v/>
      </c>
      <c r="F791" s="57" t="str">
        <f t="shared" si="161"/>
        <v/>
      </c>
      <c r="G791" s="102" t="str">
        <f t="shared" si="163"/>
        <v/>
      </c>
      <c r="H791" s="57" t="str">
        <f t="shared" si="162"/>
        <v/>
      </c>
      <c r="I791" s="102" t="str">
        <f>VLOOKUP(P791&amp;"_"&amp;Q791,活动关卡!$A$4:$Z$27,3+5*MonsterWaveCallRuleCfg!R791,FALSE)</f>
        <v/>
      </c>
      <c r="J791" s="102" t="str">
        <f>VLOOKUP(P791&amp;"_"&amp;Q791,活动关卡!$A$4:$Z$27,4+5*MonsterWaveCallRuleCfg!R791,FALSE)</f>
        <v/>
      </c>
      <c r="K791" s="102" t="str">
        <f t="shared" si="164"/>
        <v/>
      </c>
      <c r="L791" s="102" t="str">
        <f>IF(VLOOKUP(P791&amp;"_"&amp;Q791,活动关卡!$A$4:$Z$27,2+5*R791,FALSE)="","","Monster_Season1_Challenge"&amp;P791&amp;"_"&amp;Q791&amp;"_"&amp;R791)</f>
        <v/>
      </c>
      <c r="M791" s="57" t="str">
        <f t="shared" si="165"/>
        <v/>
      </c>
      <c r="O791" s="102" t="str">
        <f>VLOOKUP(P791&amp;"_"&amp;Q791,活动关卡!$A$4:$Z$27,6+5*MonsterWaveCallRuleCfg!R791,FALSE)</f>
        <v/>
      </c>
      <c r="P791" s="110">
        <v>4</v>
      </c>
      <c r="Q791" s="110">
        <f t="shared" si="166"/>
        <v>2</v>
      </c>
      <c r="R791" s="110">
        <v>4</v>
      </c>
    </row>
    <row r="792" spans="2:18" x14ac:dyDescent="0.2">
      <c r="B792" s="57" t="str">
        <f t="shared" si="159"/>
        <v>MonsterWaveCallRule_Season1_Challenge4</v>
      </c>
      <c r="C792" s="57">
        <v>3</v>
      </c>
      <c r="D792" s="57" t="str">
        <f t="shared" si="160"/>
        <v>赛季1关卡4第3波</v>
      </c>
      <c r="F792" s="57">
        <f t="shared" si="161"/>
        <v>0</v>
      </c>
      <c r="G792" s="102">
        <f t="shared" si="163"/>
        <v>180</v>
      </c>
      <c r="H792" s="57">
        <f t="shared" si="162"/>
        <v>0</v>
      </c>
      <c r="I792" s="102">
        <f>VLOOKUP(P792&amp;"_"&amp;Q792,活动关卡!$A$4:$Z$27,3+5*MonsterWaveCallRuleCfg!R792,FALSE)</f>
        <v>10</v>
      </c>
      <c r="J792" s="102">
        <f>VLOOKUP(P792&amp;"_"&amp;Q792,活动关卡!$A$4:$Z$27,4+5*MonsterWaveCallRuleCfg!R792,FALSE)</f>
        <v>1.5</v>
      </c>
      <c r="K792" s="102">
        <f t="shared" si="164"/>
        <v>1</v>
      </c>
      <c r="L792" s="102" t="str">
        <f>IF(VLOOKUP(P792&amp;"_"&amp;Q792,活动关卡!$A$4:$Z$27,2+5*R792,FALSE)="","","Monster_Season1_Challenge"&amp;P792&amp;"_"&amp;Q792&amp;"_"&amp;R792)</f>
        <v>Monster_Season1_Challenge4_3_1</v>
      </c>
      <c r="M792" s="57">
        <f t="shared" si="165"/>
        <v>1</v>
      </c>
      <c r="O792" s="102">
        <f>VLOOKUP(P792&amp;"_"&amp;Q792,活动关卡!$A$4:$Z$27,6+5*MonsterWaveCallRuleCfg!R792,FALSE)</f>
        <v>7</v>
      </c>
      <c r="P792" s="110">
        <v>4</v>
      </c>
      <c r="Q792" s="110">
        <f t="shared" si="166"/>
        <v>3</v>
      </c>
      <c r="R792" s="110">
        <v>1</v>
      </c>
    </row>
    <row r="793" spans="2:18" x14ac:dyDescent="0.2">
      <c r="B793" s="57" t="str">
        <f t="shared" si="159"/>
        <v/>
      </c>
      <c r="D793" s="57" t="str">
        <f t="shared" si="160"/>
        <v/>
      </c>
      <c r="F793" s="57" t="str">
        <f t="shared" si="161"/>
        <v/>
      </c>
      <c r="G793" s="102" t="str">
        <f t="shared" si="163"/>
        <v/>
      </c>
      <c r="H793" s="57">
        <f t="shared" si="162"/>
        <v>0</v>
      </c>
      <c r="I793" s="102">
        <f>VLOOKUP(P793&amp;"_"&amp;Q793,活动关卡!$A$4:$Z$27,3+5*MonsterWaveCallRuleCfg!R793,FALSE)</f>
        <v>30</v>
      </c>
      <c r="J793" s="102">
        <f>VLOOKUP(P793&amp;"_"&amp;Q793,活动关卡!$A$4:$Z$27,4+5*MonsterWaveCallRuleCfg!R793,FALSE)</f>
        <v>0.5</v>
      </c>
      <c r="K793" s="102">
        <f t="shared" si="164"/>
        <v>1</v>
      </c>
      <c r="L793" s="102" t="str">
        <f>IF(VLOOKUP(P793&amp;"_"&amp;Q793,活动关卡!$A$4:$Z$27,2+5*R793,FALSE)="","","Monster_Season1_Challenge"&amp;P793&amp;"_"&amp;Q793&amp;"_"&amp;R793)</f>
        <v>Monster_Season1_Challenge4_3_2</v>
      </c>
      <c r="M793" s="57">
        <f t="shared" si="165"/>
        <v>1</v>
      </c>
      <c r="O793" s="102">
        <f>VLOOKUP(P793&amp;"_"&amp;Q793,活动关卡!$A$4:$Z$27,6+5*MonsterWaveCallRuleCfg!R793,FALSE)</f>
        <v>4</v>
      </c>
      <c r="P793" s="110">
        <v>4</v>
      </c>
      <c r="Q793" s="110">
        <f t="shared" si="166"/>
        <v>3</v>
      </c>
      <c r="R793" s="110">
        <v>2</v>
      </c>
    </row>
    <row r="794" spans="2:18" x14ac:dyDescent="0.2">
      <c r="B794" s="57" t="str">
        <f t="shared" si="159"/>
        <v/>
      </c>
      <c r="D794" s="57" t="str">
        <f t="shared" si="160"/>
        <v/>
      </c>
      <c r="F794" s="57" t="str">
        <f t="shared" si="161"/>
        <v/>
      </c>
      <c r="G794" s="102" t="str">
        <f t="shared" si="163"/>
        <v/>
      </c>
      <c r="H794" s="57">
        <f t="shared" si="162"/>
        <v>0</v>
      </c>
      <c r="I794" s="102">
        <f>VLOOKUP(P794&amp;"_"&amp;Q794,活动关卡!$A$4:$Z$27,3+5*MonsterWaveCallRuleCfg!R794,FALSE)</f>
        <v>8</v>
      </c>
      <c r="J794" s="102">
        <f>VLOOKUP(P794&amp;"_"&amp;Q794,活动关卡!$A$4:$Z$27,4+5*MonsterWaveCallRuleCfg!R794,FALSE)</f>
        <v>2</v>
      </c>
      <c r="K794" s="102">
        <f t="shared" si="164"/>
        <v>1</v>
      </c>
      <c r="L794" s="102" t="str">
        <f>IF(VLOOKUP(P794&amp;"_"&amp;Q794,活动关卡!$A$4:$Z$27,2+5*R794,FALSE)="","","Monster_Season1_Challenge"&amp;P794&amp;"_"&amp;Q794&amp;"_"&amp;R794)</f>
        <v>Monster_Season1_Challenge4_3_3</v>
      </c>
      <c r="M794" s="57">
        <f t="shared" si="165"/>
        <v>1</v>
      </c>
      <c r="O794" s="102">
        <f>VLOOKUP(P794&amp;"_"&amp;Q794,活动关卡!$A$4:$Z$27,6+5*MonsterWaveCallRuleCfg!R794,FALSE)</f>
        <v>15</v>
      </c>
      <c r="P794" s="110">
        <v>4</v>
      </c>
      <c r="Q794" s="110">
        <f t="shared" si="166"/>
        <v>3</v>
      </c>
      <c r="R794" s="110">
        <v>3</v>
      </c>
    </row>
    <row r="795" spans="2:18" x14ac:dyDescent="0.2">
      <c r="B795" s="57" t="str">
        <f t="shared" si="159"/>
        <v/>
      </c>
      <c r="D795" s="57" t="str">
        <f t="shared" si="160"/>
        <v/>
      </c>
      <c r="F795" s="57" t="str">
        <f t="shared" si="161"/>
        <v/>
      </c>
      <c r="G795" s="102" t="str">
        <f t="shared" si="163"/>
        <v/>
      </c>
      <c r="H795" s="57" t="str">
        <f t="shared" si="162"/>
        <v/>
      </c>
      <c r="I795" s="102" t="str">
        <f>VLOOKUP(P795&amp;"_"&amp;Q795,活动关卡!$A$4:$Z$27,3+5*MonsterWaveCallRuleCfg!R795,FALSE)</f>
        <v/>
      </c>
      <c r="J795" s="102" t="str">
        <f>VLOOKUP(P795&amp;"_"&amp;Q795,活动关卡!$A$4:$Z$27,4+5*MonsterWaveCallRuleCfg!R795,FALSE)</f>
        <v/>
      </c>
      <c r="K795" s="102" t="str">
        <f t="shared" si="164"/>
        <v/>
      </c>
      <c r="L795" s="102" t="str">
        <f>IF(VLOOKUP(P795&amp;"_"&amp;Q795,活动关卡!$A$4:$Z$27,2+5*R795,FALSE)="","","Monster_Season1_Challenge"&amp;P795&amp;"_"&amp;Q795&amp;"_"&amp;R795)</f>
        <v/>
      </c>
      <c r="M795" s="57" t="str">
        <f t="shared" si="165"/>
        <v/>
      </c>
      <c r="O795" s="102" t="str">
        <f>VLOOKUP(P795&amp;"_"&amp;Q795,活动关卡!$A$4:$Z$27,6+5*MonsterWaveCallRuleCfg!R795,FALSE)</f>
        <v/>
      </c>
      <c r="P795" s="110">
        <v>4</v>
      </c>
      <c r="Q795" s="110">
        <f t="shared" si="166"/>
        <v>3</v>
      </c>
      <c r="R795" s="110">
        <v>4</v>
      </c>
    </row>
    <row r="796" spans="2:18" x14ac:dyDescent="0.2">
      <c r="B796" s="57" t="str">
        <f t="shared" si="159"/>
        <v>MonsterWaveCallRule_Season1_Challenge4</v>
      </c>
      <c r="C796" s="57">
        <v>4</v>
      </c>
      <c r="D796" s="57" t="str">
        <f t="shared" si="160"/>
        <v>赛季1关卡4第4波</v>
      </c>
      <c r="F796" s="57">
        <f t="shared" si="161"/>
        <v>0</v>
      </c>
      <c r="G796" s="102">
        <f t="shared" si="163"/>
        <v>180</v>
      </c>
      <c r="H796" s="57">
        <f t="shared" si="162"/>
        <v>0</v>
      </c>
      <c r="I796" s="102">
        <f>VLOOKUP(P796&amp;"_"&amp;Q796,活动关卡!$A$4:$Z$27,3+5*MonsterWaveCallRuleCfg!R796,FALSE)</f>
        <v>12</v>
      </c>
      <c r="J796" s="102">
        <f>VLOOKUP(P796&amp;"_"&amp;Q796,活动关卡!$A$4:$Z$27,4+5*MonsterWaveCallRuleCfg!R796,FALSE)</f>
        <v>1.5</v>
      </c>
      <c r="K796" s="102">
        <f t="shared" si="164"/>
        <v>1</v>
      </c>
      <c r="L796" s="102" t="str">
        <f>IF(VLOOKUP(P796&amp;"_"&amp;Q796,活动关卡!$A$4:$Z$27,2+5*R796,FALSE)="","","Monster_Season1_Challenge"&amp;P796&amp;"_"&amp;Q796&amp;"_"&amp;R796)</f>
        <v>Monster_Season1_Challenge4_4_1</v>
      </c>
      <c r="M796" s="57">
        <f t="shared" si="165"/>
        <v>1</v>
      </c>
      <c r="O796" s="102">
        <f>VLOOKUP(P796&amp;"_"&amp;Q796,活动关卡!$A$4:$Z$27,6+5*MonsterWaveCallRuleCfg!R796,FALSE)</f>
        <v>3</v>
      </c>
      <c r="P796" s="110">
        <v>4</v>
      </c>
      <c r="Q796" s="110">
        <f t="shared" si="166"/>
        <v>4</v>
      </c>
      <c r="R796" s="110">
        <v>1</v>
      </c>
    </row>
    <row r="797" spans="2:18" x14ac:dyDescent="0.2">
      <c r="B797" s="57" t="str">
        <f t="shared" si="159"/>
        <v/>
      </c>
      <c r="D797" s="57" t="str">
        <f t="shared" si="160"/>
        <v/>
      </c>
      <c r="F797" s="57" t="str">
        <f t="shared" si="161"/>
        <v/>
      </c>
      <c r="G797" s="102" t="str">
        <f t="shared" si="163"/>
        <v/>
      </c>
      <c r="H797" s="57">
        <f t="shared" si="162"/>
        <v>0</v>
      </c>
      <c r="I797" s="102">
        <f>VLOOKUP(P797&amp;"_"&amp;Q797,活动关卡!$A$4:$Z$27,3+5*MonsterWaveCallRuleCfg!R797,FALSE)</f>
        <v>44</v>
      </c>
      <c r="J797" s="102">
        <f>VLOOKUP(P797&amp;"_"&amp;Q797,活动关卡!$A$4:$Z$27,4+5*MonsterWaveCallRuleCfg!R797,FALSE)</f>
        <v>0.4</v>
      </c>
      <c r="K797" s="102">
        <f t="shared" si="164"/>
        <v>1</v>
      </c>
      <c r="L797" s="102" t="str">
        <f>IF(VLOOKUP(P797&amp;"_"&amp;Q797,活动关卡!$A$4:$Z$27,2+5*R797,FALSE)="","","Monster_Season1_Challenge"&amp;P797&amp;"_"&amp;Q797&amp;"_"&amp;R797)</f>
        <v>Monster_Season1_Challenge4_4_2</v>
      </c>
      <c r="M797" s="57">
        <f t="shared" si="165"/>
        <v>1</v>
      </c>
      <c r="O797" s="102">
        <f>VLOOKUP(P797&amp;"_"&amp;Q797,活动关卡!$A$4:$Z$27,6+5*MonsterWaveCallRuleCfg!R797,FALSE)</f>
        <v>3</v>
      </c>
      <c r="P797" s="110">
        <v>4</v>
      </c>
      <c r="Q797" s="110">
        <f t="shared" si="166"/>
        <v>4</v>
      </c>
      <c r="R797" s="110">
        <v>2</v>
      </c>
    </row>
    <row r="798" spans="2:18" x14ac:dyDescent="0.2">
      <c r="B798" s="57" t="str">
        <f t="shared" si="159"/>
        <v/>
      </c>
      <c r="D798" s="57" t="str">
        <f t="shared" si="160"/>
        <v/>
      </c>
      <c r="F798" s="57" t="str">
        <f t="shared" si="161"/>
        <v/>
      </c>
      <c r="G798" s="102" t="str">
        <f t="shared" si="163"/>
        <v/>
      </c>
      <c r="H798" s="57">
        <f t="shared" si="162"/>
        <v>0</v>
      </c>
      <c r="I798" s="102">
        <f>VLOOKUP(P798&amp;"_"&amp;Q798,活动关卡!$A$4:$Z$27,3+5*MonsterWaveCallRuleCfg!R798,FALSE)</f>
        <v>18</v>
      </c>
      <c r="J798" s="102">
        <f>VLOOKUP(P798&amp;"_"&amp;Q798,活动关卡!$A$4:$Z$27,4+5*MonsterWaveCallRuleCfg!R798,FALSE)</f>
        <v>1</v>
      </c>
      <c r="K798" s="102">
        <f t="shared" si="164"/>
        <v>1</v>
      </c>
      <c r="L798" s="102" t="str">
        <f>IF(VLOOKUP(P798&amp;"_"&amp;Q798,活动关卡!$A$4:$Z$27,2+5*R798,FALSE)="","","Monster_Season1_Challenge"&amp;P798&amp;"_"&amp;Q798&amp;"_"&amp;R798)</f>
        <v>Monster_Season1_Challenge4_4_3</v>
      </c>
      <c r="M798" s="57">
        <f t="shared" si="165"/>
        <v>1</v>
      </c>
      <c r="O798" s="102">
        <f>VLOOKUP(P798&amp;"_"&amp;Q798,活动关卡!$A$4:$Z$27,6+5*MonsterWaveCallRuleCfg!R798,FALSE)</f>
        <v>7</v>
      </c>
      <c r="P798" s="110">
        <v>4</v>
      </c>
      <c r="Q798" s="110">
        <f t="shared" si="166"/>
        <v>4</v>
      </c>
      <c r="R798" s="110">
        <v>3</v>
      </c>
    </row>
    <row r="799" spans="2:18" x14ac:dyDescent="0.2">
      <c r="B799" s="57" t="str">
        <f t="shared" si="159"/>
        <v/>
      </c>
      <c r="D799" s="57" t="str">
        <f t="shared" si="160"/>
        <v/>
      </c>
      <c r="F799" s="57" t="str">
        <f t="shared" si="161"/>
        <v/>
      </c>
      <c r="G799" s="102" t="str">
        <f t="shared" si="163"/>
        <v/>
      </c>
      <c r="H799" s="57" t="str">
        <f t="shared" si="162"/>
        <v/>
      </c>
      <c r="I799" s="102" t="str">
        <f>VLOOKUP(P799&amp;"_"&amp;Q799,活动关卡!$A$4:$Z$27,3+5*MonsterWaveCallRuleCfg!R799,FALSE)</f>
        <v/>
      </c>
      <c r="J799" s="102" t="str">
        <f>VLOOKUP(P799&amp;"_"&amp;Q799,活动关卡!$A$4:$Z$27,4+5*MonsterWaveCallRuleCfg!R799,FALSE)</f>
        <v/>
      </c>
      <c r="K799" s="102" t="str">
        <f t="shared" si="164"/>
        <v/>
      </c>
      <c r="L799" s="102" t="str">
        <f>IF(VLOOKUP(P799&amp;"_"&amp;Q799,活动关卡!$A$4:$Z$27,2+5*R799,FALSE)="","","Monster_Season1_Challenge"&amp;P799&amp;"_"&amp;Q799&amp;"_"&amp;R799)</f>
        <v/>
      </c>
      <c r="M799" s="57" t="str">
        <f t="shared" si="165"/>
        <v/>
      </c>
      <c r="O799" s="102" t="str">
        <f>VLOOKUP(P799&amp;"_"&amp;Q799,活动关卡!$A$4:$Z$27,6+5*MonsterWaveCallRuleCfg!R799,FALSE)</f>
        <v/>
      </c>
      <c r="P799" s="110">
        <v>4</v>
      </c>
      <c r="Q799" s="110">
        <f t="shared" si="166"/>
        <v>4</v>
      </c>
      <c r="R799" s="110">
        <v>4</v>
      </c>
    </row>
    <row r="800" spans="2:18" x14ac:dyDescent="0.2">
      <c r="B800" s="57" t="str">
        <f t="shared" si="159"/>
        <v>MonsterWaveCallRule_Season1_Challenge4</v>
      </c>
      <c r="C800" s="57">
        <v>5</v>
      </c>
      <c r="D800" s="57" t="str">
        <f t="shared" si="160"/>
        <v>赛季1关卡4第5波</v>
      </c>
      <c r="F800" s="57">
        <f t="shared" si="161"/>
        <v>0</v>
      </c>
      <c r="G800" s="102">
        <f t="shared" si="163"/>
        <v>180</v>
      </c>
      <c r="H800" s="57">
        <f t="shared" si="162"/>
        <v>0</v>
      </c>
      <c r="I800" s="102">
        <f>VLOOKUP(P800&amp;"_"&amp;Q800,活动关卡!$A$4:$Z$27,3+5*MonsterWaveCallRuleCfg!R800,FALSE)</f>
        <v>40</v>
      </c>
      <c r="J800" s="102">
        <f>VLOOKUP(P800&amp;"_"&amp;Q800,活动关卡!$A$4:$Z$27,4+5*MonsterWaveCallRuleCfg!R800,FALSE)</f>
        <v>0.5</v>
      </c>
      <c r="K800" s="102">
        <f t="shared" si="164"/>
        <v>1</v>
      </c>
      <c r="L800" s="102" t="str">
        <f>IF(VLOOKUP(P800&amp;"_"&amp;Q800,活动关卡!$A$4:$Z$27,2+5*R800,FALSE)="","","Monster_Season1_Challenge"&amp;P800&amp;"_"&amp;Q800&amp;"_"&amp;R800)</f>
        <v>Monster_Season1_Challenge4_5_1</v>
      </c>
      <c r="M800" s="57">
        <f t="shared" si="165"/>
        <v>1</v>
      </c>
      <c r="O800" s="102">
        <f>VLOOKUP(P800&amp;"_"&amp;Q800,活动关卡!$A$4:$Z$27,6+5*MonsterWaveCallRuleCfg!R800,FALSE)</f>
        <v>3</v>
      </c>
      <c r="P800" s="110">
        <v>4</v>
      </c>
      <c r="Q800" s="110">
        <f t="shared" si="166"/>
        <v>5</v>
      </c>
      <c r="R800" s="110">
        <v>1</v>
      </c>
    </row>
    <row r="801" spans="2:18" x14ac:dyDescent="0.2">
      <c r="B801" s="57" t="str">
        <f t="shared" si="159"/>
        <v/>
      </c>
      <c r="D801" s="57" t="str">
        <f t="shared" si="160"/>
        <v/>
      </c>
      <c r="F801" s="57" t="str">
        <f t="shared" si="161"/>
        <v/>
      </c>
      <c r="G801" s="102" t="str">
        <f t="shared" si="163"/>
        <v/>
      </c>
      <c r="H801" s="57">
        <f t="shared" si="162"/>
        <v>0</v>
      </c>
      <c r="I801" s="102">
        <f>VLOOKUP(P801&amp;"_"&amp;Q801,活动关卡!$A$4:$Z$27,3+5*MonsterWaveCallRuleCfg!R801,FALSE)</f>
        <v>10</v>
      </c>
      <c r="J801" s="102">
        <f>VLOOKUP(P801&amp;"_"&amp;Q801,活动关卡!$A$4:$Z$27,4+5*MonsterWaveCallRuleCfg!R801,FALSE)</f>
        <v>2</v>
      </c>
      <c r="K801" s="102">
        <f t="shared" si="164"/>
        <v>1</v>
      </c>
      <c r="L801" s="102" t="str">
        <f>IF(VLOOKUP(P801&amp;"_"&amp;Q801,活动关卡!$A$4:$Z$27,2+5*R801,FALSE)="","","Monster_Season1_Challenge"&amp;P801&amp;"_"&amp;Q801&amp;"_"&amp;R801)</f>
        <v>Monster_Season1_Challenge4_5_2</v>
      </c>
      <c r="M801" s="57">
        <f t="shared" si="165"/>
        <v>1</v>
      </c>
      <c r="O801" s="102">
        <f>VLOOKUP(P801&amp;"_"&amp;Q801,活动关卡!$A$4:$Z$27,6+5*MonsterWaveCallRuleCfg!R801,FALSE)</f>
        <v>6</v>
      </c>
      <c r="P801" s="110">
        <v>4</v>
      </c>
      <c r="Q801" s="110">
        <f t="shared" si="166"/>
        <v>5</v>
      </c>
      <c r="R801" s="110">
        <v>2</v>
      </c>
    </row>
    <row r="802" spans="2:18" x14ac:dyDescent="0.2">
      <c r="B802" s="57" t="str">
        <f t="shared" si="159"/>
        <v/>
      </c>
      <c r="D802" s="57" t="str">
        <f t="shared" si="160"/>
        <v/>
      </c>
      <c r="F802" s="57" t="str">
        <f t="shared" si="161"/>
        <v/>
      </c>
      <c r="G802" s="102" t="str">
        <f t="shared" si="163"/>
        <v/>
      </c>
      <c r="H802" s="57">
        <f t="shared" si="162"/>
        <v>0</v>
      </c>
      <c r="I802" s="102">
        <f>VLOOKUP(P802&amp;"_"&amp;Q802,活动关卡!$A$4:$Z$27,3+5*MonsterWaveCallRuleCfg!R802,FALSE)</f>
        <v>20</v>
      </c>
      <c r="J802" s="102">
        <f>VLOOKUP(P802&amp;"_"&amp;Q802,活动关卡!$A$4:$Z$27,4+5*MonsterWaveCallRuleCfg!R802,FALSE)</f>
        <v>1</v>
      </c>
      <c r="K802" s="102">
        <f t="shared" si="164"/>
        <v>1</v>
      </c>
      <c r="L802" s="102" t="str">
        <f>IF(VLOOKUP(P802&amp;"_"&amp;Q802,活动关卡!$A$4:$Z$27,2+5*R802,FALSE)="","","Monster_Season1_Challenge"&amp;P802&amp;"_"&amp;Q802&amp;"_"&amp;R802)</f>
        <v>Monster_Season1_Challenge4_5_3</v>
      </c>
      <c r="M802" s="57">
        <f t="shared" si="165"/>
        <v>1</v>
      </c>
      <c r="O802" s="102">
        <f>VLOOKUP(P802&amp;"_"&amp;Q802,活动关卡!$A$4:$Z$27,6+5*MonsterWaveCallRuleCfg!R802,FALSE)</f>
        <v>6</v>
      </c>
      <c r="P802" s="110">
        <v>4</v>
      </c>
      <c r="Q802" s="110">
        <f t="shared" si="166"/>
        <v>5</v>
      </c>
      <c r="R802" s="110">
        <v>3</v>
      </c>
    </row>
    <row r="803" spans="2:18" x14ac:dyDescent="0.2">
      <c r="B803" s="57" t="str">
        <f t="shared" si="159"/>
        <v/>
      </c>
      <c r="D803" s="57" t="str">
        <f t="shared" si="160"/>
        <v/>
      </c>
      <c r="F803" s="57" t="str">
        <f t="shared" si="161"/>
        <v/>
      </c>
      <c r="G803" s="102" t="str">
        <f t="shared" si="163"/>
        <v/>
      </c>
      <c r="H803" s="57" t="str">
        <f t="shared" si="162"/>
        <v/>
      </c>
      <c r="I803" s="102" t="str">
        <f>VLOOKUP(P803&amp;"_"&amp;Q803,活动关卡!$A$4:$Z$27,3+5*MonsterWaveCallRuleCfg!R803,FALSE)</f>
        <v/>
      </c>
      <c r="J803" s="102" t="str">
        <f>VLOOKUP(P803&amp;"_"&amp;Q803,活动关卡!$A$4:$Z$27,4+5*MonsterWaveCallRuleCfg!R803,FALSE)</f>
        <v/>
      </c>
      <c r="K803" s="102" t="str">
        <f t="shared" si="164"/>
        <v/>
      </c>
      <c r="L803" s="102" t="str">
        <f>IF(VLOOKUP(P803&amp;"_"&amp;Q803,活动关卡!$A$4:$Z$27,2+5*R803,FALSE)="","","Monster_Season1_Challenge"&amp;P803&amp;"_"&amp;Q803&amp;"_"&amp;R803)</f>
        <v/>
      </c>
      <c r="M803" s="57" t="str">
        <f t="shared" si="165"/>
        <v/>
      </c>
      <c r="O803" s="102" t="str">
        <f>VLOOKUP(P803&amp;"_"&amp;Q803,活动关卡!$A$4:$Z$27,6+5*MonsterWaveCallRuleCfg!R803,FALSE)</f>
        <v/>
      </c>
      <c r="P803" s="110">
        <v>4</v>
      </c>
      <c r="Q803" s="110">
        <f t="shared" si="166"/>
        <v>5</v>
      </c>
      <c r="R803" s="110">
        <v>4</v>
      </c>
    </row>
    <row r="804" spans="2:18" x14ac:dyDescent="0.2">
      <c r="B804" s="57" t="str">
        <f t="shared" si="159"/>
        <v>MonsterWaveCallRule_Season1_Challenge5</v>
      </c>
      <c r="C804" s="57">
        <v>1</v>
      </c>
      <c r="D804" s="57" t="str">
        <f t="shared" si="160"/>
        <v>赛季1关卡5第1波</v>
      </c>
      <c r="F804" s="57">
        <f t="shared" si="161"/>
        <v>0</v>
      </c>
      <c r="G804" s="102">
        <f>IF(C804="","",180)</f>
        <v>180</v>
      </c>
      <c r="H804" s="57">
        <f t="shared" si="162"/>
        <v>0</v>
      </c>
      <c r="I804" s="102">
        <f>VLOOKUP(P804&amp;"_"&amp;Q804,活动关卡!$A$4:$Z$27,3+5*MonsterWaveCallRuleCfg!R804,FALSE)</f>
        <v>7</v>
      </c>
      <c r="J804" s="102">
        <f>VLOOKUP(P804&amp;"_"&amp;Q804,活动关卡!$A$4:$Z$27,4+5*MonsterWaveCallRuleCfg!R804,FALSE)</f>
        <v>1.5</v>
      </c>
      <c r="K804" s="102">
        <f t="shared" si="164"/>
        <v>1</v>
      </c>
      <c r="L804" s="102" t="str">
        <f>IF(VLOOKUP(P804&amp;"_"&amp;Q804,活动关卡!$A$4:$Z$27,2+5*R804,FALSE)="","","Monster_Season1_Challenge"&amp;P804&amp;"_"&amp;Q804&amp;"_"&amp;R804)</f>
        <v>Monster_Season1_Challenge5_1_1</v>
      </c>
      <c r="M804" s="57">
        <f t="shared" si="165"/>
        <v>1</v>
      </c>
      <c r="O804" s="102">
        <f>VLOOKUP(P804&amp;"_"&amp;Q804,活动关卡!$A$4:$Z$27,6+5*MonsterWaveCallRuleCfg!R804,FALSE)</f>
        <v>25</v>
      </c>
      <c r="P804" s="110">
        <v>5</v>
      </c>
      <c r="Q804" s="110">
        <f t="shared" si="166"/>
        <v>1</v>
      </c>
      <c r="R804" s="110">
        <v>1</v>
      </c>
    </row>
    <row r="805" spans="2:18" x14ac:dyDescent="0.2">
      <c r="B805" s="57" t="str">
        <f t="shared" si="159"/>
        <v/>
      </c>
      <c r="D805" s="57" t="str">
        <f t="shared" si="160"/>
        <v/>
      </c>
      <c r="F805" s="57" t="str">
        <f t="shared" si="161"/>
        <v/>
      </c>
      <c r="G805" s="102" t="str">
        <f t="shared" ref="G805:G820" si="167">IF(C805="","",180)</f>
        <v/>
      </c>
      <c r="H805" s="57">
        <f t="shared" si="162"/>
        <v>0</v>
      </c>
      <c r="I805" s="102">
        <f>VLOOKUP(P805&amp;"_"&amp;Q805,活动关卡!$A$4:$Z$27,3+5*MonsterWaveCallRuleCfg!R805,FALSE)</f>
        <v>5</v>
      </c>
      <c r="J805" s="102">
        <f>VLOOKUP(P805&amp;"_"&amp;Q805,活动关卡!$A$4:$Z$27,4+5*MonsterWaveCallRuleCfg!R805,FALSE)</f>
        <v>2</v>
      </c>
      <c r="K805" s="102">
        <f t="shared" si="164"/>
        <v>1</v>
      </c>
      <c r="L805" s="102" t="str">
        <f>IF(VLOOKUP(P805&amp;"_"&amp;Q805,活动关卡!$A$4:$Z$27,2+5*R805,FALSE)="","","Monster_Season1_Challenge"&amp;P805&amp;"_"&amp;Q805&amp;"_"&amp;R805)</f>
        <v>Monster_Season1_Challenge5_1_2</v>
      </c>
      <c r="M805" s="57">
        <f t="shared" si="165"/>
        <v>1</v>
      </c>
      <c r="O805" s="102">
        <f>VLOOKUP(P805&amp;"_"&amp;Q805,活动关卡!$A$4:$Z$27,6+5*MonsterWaveCallRuleCfg!R805,FALSE)</f>
        <v>25</v>
      </c>
      <c r="P805" s="110">
        <v>5</v>
      </c>
      <c r="Q805" s="110">
        <f t="shared" si="166"/>
        <v>1</v>
      </c>
      <c r="R805" s="110">
        <v>2</v>
      </c>
    </row>
    <row r="806" spans="2:18" x14ac:dyDescent="0.2">
      <c r="B806" s="57" t="str">
        <f t="shared" si="159"/>
        <v/>
      </c>
      <c r="D806" s="57" t="str">
        <f t="shared" si="160"/>
        <v/>
      </c>
      <c r="F806" s="57" t="str">
        <f t="shared" si="161"/>
        <v/>
      </c>
      <c r="G806" s="102" t="str">
        <f t="shared" si="167"/>
        <v/>
      </c>
      <c r="H806" s="57" t="str">
        <f t="shared" si="162"/>
        <v/>
      </c>
      <c r="I806" s="102" t="str">
        <f>VLOOKUP(P806&amp;"_"&amp;Q806,活动关卡!$A$4:$Z$27,3+5*MonsterWaveCallRuleCfg!R806,FALSE)</f>
        <v/>
      </c>
      <c r="J806" s="102" t="str">
        <f>VLOOKUP(P806&amp;"_"&amp;Q806,活动关卡!$A$4:$Z$27,4+5*MonsterWaveCallRuleCfg!R806,FALSE)</f>
        <v/>
      </c>
      <c r="K806" s="102" t="str">
        <f t="shared" si="164"/>
        <v/>
      </c>
      <c r="L806" s="102" t="str">
        <f>IF(VLOOKUP(P806&amp;"_"&amp;Q806,活动关卡!$A$4:$Z$27,2+5*R806,FALSE)="","","Monster_Season1_Challenge"&amp;P806&amp;"_"&amp;Q806&amp;"_"&amp;R806)</f>
        <v/>
      </c>
      <c r="M806" s="57" t="str">
        <f t="shared" si="165"/>
        <v/>
      </c>
      <c r="O806" s="102" t="str">
        <f>VLOOKUP(P806&amp;"_"&amp;Q806,活动关卡!$A$4:$Z$27,6+5*MonsterWaveCallRuleCfg!R806,FALSE)</f>
        <v/>
      </c>
      <c r="P806" s="110">
        <v>5</v>
      </c>
      <c r="Q806" s="110">
        <f t="shared" si="166"/>
        <v>1</v>
      </c>
      <c r="R806" s="110">
        <v>3</v>
      </c>
    </row>
    <row r="807" spans="2:18" x14ac:dyDescent="0.2">
      <c r="B807" s="57" t="str">
        <f t="shared" si="159"/>
        <v/>
      </c>
      <c r="D807" s="57" t="str">
        <f t="shared" si="160"/>
        <v/>
      </c>
      <c r="F807" s="57" t="str">
        <f t="shared" si="161"/>
        <v/>
      </c>
      <c r="G807" s="102" t="str">
        <f t="shared" si="167"/>
        <v/>
      </c>
      <c r="H807" s="57" t="str">
        <f t="shared" si="162"/>
        <v/>
      </c>
      <c r="I807" s="102" t="str">
        <f>VLOOKUP(P807&amp;"_"&amp;Q807,活动关卡!$A$4:$Z$27,3+5*MonsterWaveCallRuleCfg!R807,FALSE)</f>
        <v/>
      </c>
      <c r="J807" s="102" t="str">
        <f>VLOOKUP(P807&amp;"_"&amp;Q807,活动关卡!$A$4:$Z$27,4+5*MonsterWaveCallRuleCfg!R807,FALSE)</f>
        <v/>
      </c>
      <c r="K807" s="102" t="str">
        <f t="shared" si="164"/>
        <v/>
      </c>
      <c r="L807" s="102" t="str">
        <f>IF(VLOOKUP(P807&amp;"_"&amp;Q807,活动关卡!$A$4:$Z$27,2+5*R807,FALSE)="","","Monster_Season1_Challenge"&amp;P807&amp;"_"&amp;Q807&amp;"_"&amp;R807)</f>
        <v/>
      </c>
      <c r="M807" s="57" t="str">
        <f t="shared" si="165"/>
        <v/>
      </c>
      <c r="O807" s="102" t="str">
        <f>VLOOKUP(P807&amp;"_"&amp;Q807,活动关卡!$A$4:$Z$27,6+5*MonsterWaveCallRuleCfg!R807,FALSE)</f>
        <v/>
      </c>
      <c r="P807" s="110">
        <v>5</v>
      </c>
      <c r="Q807" s="110">
        <f t="shared" si="166"/>
        <v>1</v>
      </c>
      <c r="R807" s="110">
        <v>4</v>
      </c>
    </row>
    <row r="808" spans="2:18" x14ac:dyDescent="0.2">
      <c r="B808" s="57" t="str">
        <f t="shared" si="159"/>
        <v>MonsterWaveCallRule_Season1_Challenge5</v>
      </c>
      <c r="C808" s="57">
        <v>2</v>
      </c>
      <c r="D808" s="57" t="str">
        <f t="shared" si="160"/>
        <v>赛季1关卡5第2波</v>
      </c>
      <c r="F808" s="57">
        <f t="shared" si="161"/>
        <v>0</v>
      </c>
      <c r="G808" s="102">
        <f t="shared" si="167"/>
        <v>180</v>
      </c>
      <c r="H808" s="57">
        <f t="shared" si="162"/>
        <v>0</v>
      </c>
      <c r="I808" s="102">
        <f>VLOOKUP(P808&amp;"_"&amp;Q808,活动关卡!$A$4:$Z$27,3+5*MonsterWaveCallRuleCfg!R808,FALSE)</f>
        <v>8</v>
      </c>
      <c r="J808" s="102">
        <f>VLOOKUP(P808&amp;"_"&amp;Q808,活动关卡!$A$4:$Z$27,4+5*MonsterWaveCallRuleCfg!R808,FALSE)</f>
        <v>1.5</v>
      </c>
      <c r="K808" s="102">
        <f t="shared" si="164"/>
        <v>1</v>
      </c>
      <c r="L808" s="102" t="str">
        <f>IF(VLOOKUP(P808&amp;"_"&amp;Q808,活动关卡!$A$4:$Z$27,2+5*R808,FALSE)="","","Monster_Season1_Challenge"&amp;P808&amp;"_"&amp;Q808&amp;"_"&amp;R808)</f>
        <v>Monster_Season1_Challenge5_2_1</v>
      </c>
      <c r="M808" s="57">
        <f t="shared" si="165"/>
        <v>1</v>
      </c>
      <c r="O808" s="102">
        <f>VLOOKUP(P808&amp;"_"&amp;Q808,活动关卡!$A$4:$Z$27,6+5*MonsterWaveCallRuleCfg!R808,FALSE)</f>
        <v>15</v>
      </c>
      <c r="P808" s="110">
        <v>5</v>
      </c>
      <c r="Q808" s="110">
        <f t="shared" si="166"/>
        <v>2</v>
      </c>
      <c r="R808" s="110">
        <v>1</v>
      </c>
    </row>
    <row r="809" spans="2:18" x14ac:dyDescent="0.2">
      <c r="B809" s="57" t="str">
        <f t="shared" si="159"/>
        <v/>
      </c>
      <c r="D809" s="57" t="str">
        <f t="shared" si="160"/>
        <v/>
      </c>
      <c r="F809" s="57" t="str">
        <f t="shared" si="161"/>
        <v/>
      </c>
      <c r="G809" s="102" t="str">
        <f t="shared" si="167"/>
        <v/>
      </c>
      <c r="H809" s="57">
        <f t="shared" si="162"/>
        <v>0</v>
      </c>
      <c r="I809" s="102">
        <f>VLOOKUP(P809&amp;"_"&amp;Q809,活动关卡!$A$4:$Z$27,3+5*MonsterWaveCallRuleCfg!R809,FALSE)</f>
        <v>25</v>
      </c>
      <c r="J809" s="102">
        <f>VLOOKUP(P809&amp;"_"&amp;Q809,活动关卡!$A$4:$Z$27,4+5*MonsterWaveCallRuleCfg!R809,FALSE)</f>
        <v>0.5</v>
      </c>
      <c r="K809" s="102">
        <f t="shared" si="164"/>
        <v>1</v>
      </c>
      <c r="L809" s="102" t="str">
        <f>IF(VLOOKUP(P809&amp;"_"&amp;Q809,活动关卡!$A$4:$Z$27,2+5*R809,FALSE)="","","Monster_Season1_Challenge"&amp;P809&amp;"_"&amp;Q809&amp;"_"&amp;R809)</f>
        <v>Monster_Season1_Challenge5_2_2</v>
      </c>
      <c r="M809" s="57">
        <f t="shared" si="165"/>
        <v>1</v>
      </c>
      <c r="O809" s="102">
        <f>VLOOKUP(P809&amp;"_"&amp;Q809,活动关卡!$A$4:$Z$27,6+5*MonsterWaveCallRuleCfg!R809,FALSE)</f>
        <v>4</v>
      </c>
      <c r="P809" s="110">
        <v>5</v>
      </c>
      <c r="Q809" s="110">
        <f t="shared" si="166"/>
        <v>2</v>
      </c>
      <c r="R809" s="110">
        <v>2</v>
      </c>
    </row>
    <row r="810" spans="2:18" x14ac:dyDescent="0.2">
      <c r="B810" s="57" t="str">
        <f t="shared" si="159"/>
        <v/>
      </c>
      <c r="D810" s="57" t="str">
        <f t="shared" si="160"/>
        <v/>
      </c>
      <c r="F810" s="57" t="str">
        <f t="shared" si="161"/>
        <v/>
      </c>
      <c r="G810" s="102" t="str">
        <f t="shared" si="167"/>
        <v/>
      </c>
      <c r="H810" s="57">
        <f t="shared" si="162"/>
        <v>0</v>
      </c>
      <c r="I810" s="102">
        <f>VLOOKUP(P810&amp;"_"&amp;Q810,活动关卡!$A$4:$Z$27,3+5*MonsterWaveCallRuleCfg!R810,FALSE)</f>
        <v>6</v>
      </c>
      <c r="J810" s="102">
        <f>VLOOKUP(P810&amp;"_"&amp;Q810,活动关卡!$A$4:$Z$27,4+5*MonsterWaveCallRuleCfg!R810,FALSE)</f>
        <v>2</v>
      </c>
      <c r="K810" s="102">
        <f t="shared" si="164"/>
        <v>1</v>
      </c>
      <c r="L810" s="102" t="str">
        <f>IF(VLOOKUP(P810&amp;"_"&amp;Q810,活动关卡!$A$4:$Z$27,2+5*R810,FALSE)="","","Monster_Season1_Challenge"&amp;P810&amp;"_"&amp;Q810&amp;"_"&amp;R810)</f>
        <v>Monster_Season1_Challenge5_2_3</v>
      </c>
      <c r="M810" s="57">
        <f t="shared" si="165"/>
        <v>1</v>
      </c>
      <c r="O810" s="102">
        <f>VLOOKUP(P810&amp;"_"&amp;Q810,活动关卡!$A$4:$Z$27,6+5*MonsterWaveCallRuleCfg!R810,FALSE)</f>
        <v>15</v>
      </c>
      <c r="P810" s="110">
        <v>5</v>
      </c>
      <c r="Q810" s="110">
        <f t="shared" si="166"/>
        <v>2</v>
      </c>
      <c r="R810" s="110">
        <v>3</v>
      </c>
    </row>
    <row r="811" spans="2:18" x14ac:dyDescent="0.2">
      <c r="B811" s="57" t="str">
        <f t="shared" si="159"/>
        <v/>
      </c>
      <c r="D811" s="57" t="str">
        <f t="shared" si="160"/>
        <v/>
      </c>
      <c r="F811" s="57" t="str">
        <f t="shared" si="161"/>
        <v/>
      </c>
      <c r="G811" s="102" t="str">
        <f t="shared" si="167"/>
        <v/>
      </c>
      <c r="H811" s="57" t="str">
        <f t="shared" si="162"/>
        <v/>
      </c>
      <c r="I811" s="102" t="str">
        <f>VLOOKUP(P811&amp;"_"&amp;Q811,活动关卡!$A$4:$Z$27,3+5*MonsterWaveCallRuleCfg!R811,FALSE)</f>
        <v/>
      </c>
      <c r="J811" s="102" t="str">
        <f>VLOOKUP(P811&amp;"_"&amp;Q811,活动关卡!$A$4:$Z$27,4+5*MonsterWaveCallRuleCfg!R811,FALSE)</f>
        <v/>
      </c>
      <c r="K811" s="102" t="str">
        <f t="shared" si="164"/>
        <v/>
      </c>
      <c r="L811" s="102" t="str">
        <f>IF(VLOOKUP(P811&amp;"_"&amp;Q811,活动关卡!$A$4:$Z$27,2+5*R811,FALSE)="","","Monster_Season1_Challenge"&amp;P811&amp;"_"&amp;Q811&amp;"_"&amp;R811)</f>
        <v/>
      </c>
      <c r="M811" s="57" t="str">
        <f t="shared" si="165"/>
        <v/>
      </c>
      <c r="O811" s="102" t="str">
        <f>VLOOKUP(P811&amp;"_"&amp;Q811,活动关卡!$A$4:$Z$27,6+5*MonsterWaveCallRuleCfg!R811,FALSE)</f>
        <v/>
      </c>
      <c r="P811" s="110">
        <v>5</v>
      </c>
      <c r="Q811" s="110">
        <f t="shared" si="166"/>
        <v>2</v>
      </c>
      <c r="R811" s="110">
        <v>4</v>
      </c>
    </row>
    <row r="812" spans="2:18" x14ac:dyDescent="0.2">
      <c r="B812" s="57" t="str">
        <f t="shared" si="159"/>
        <v>MonsterWaveCallRule_Season1_Challenge5</v>
      </c>
      <c r="C812" s="57">
        <v>3</v>
      </c>
      <c r="D812" s="57" t="str">
        <f t="shared" si="160"/>
        <v>赛季1关卡5第3波</v>
      </c>
      <c r="F812" s="57">
        <f t="shared" si="161"/>
        <v>0</v>
      </c>
      <c r="G812" s="102">
        <f t="shared" si="167"/>
        <v>180</v>
      </c>
      <c r="H812" s="57">
        <f t="shared" si="162"/>
        <v>0</v>
      </c>
      <c r="I812" s="102">
        <f>VLOOKUP(P812&amp;"_"&amp;Q812,活动关卡!$A$4:$Z$27,3+5*MonsterWaveCallRuleCfg!R812,FALSE)</f>
        <v>10</v>
      </c>
      <c r="J812" s="102">
        <f>VLOOKUP(P812&amp;"_"&amp;Q812,活动关卡!$A$4:$Z$27,4+5*MonsterWaveCallRuleCfg!R812,FALSE)</f>
        <v>1.5</v>
      </c>
      <c r="K812" s="102">
        <f t="shared" si="164"/>
        <v>1</v>
      </c>
      <c r="L812" s="102" t="str">
        <f>IF(VLOOKUP(P812&amp;"_"&amp;Q812,活动关卡!$A$4:$Z$27,2+5*R812,FALSE)="","","Monster_Season1_Challenge"&amp;P812&amp;"_"&amp;Q812&amp;"_"&amp;R812)</f>
        <v>Monster_Season1_Challenge5_3_1</v>
      </c>
      <c r="M812" s="57">
        <f t="shared" si="165"/>
        <v>1</v>
      </c>
      <c r="O812" s="102">
        <f>VLOOKUP(P812&amp;"_"&amp;Q812,活动关卡!$A$4:$Z$27,6+5*MonsterWaveCallRuleCfg!R812,FALSE)</f>
        <v>7</v>
      </c>
      <c r="P812" s="110">
        <v>5</v>
      </c>
      <c r="Q812" s="110">
        <f t="shared" si="166"/>
        <v>3</v>
      </c>
      <c r="R812" s="110">
        <v>1</v>
      </c>
    </row>
    <row r="813" spans="2:18" x14ac:dyDescent="0.2">
      <c r="B813" s="57" t="str">
        <f t="shared" si="159"/>
        <v/>
      </c>
      <c r="D813" s="57" t="str">
        <f t="shared" si="160"/>
        <v/>
      </c>
      <c r="F813" s="57" t="str">
        <f t="shared" si="161"/>
        <v/>
      </c>
      <c r="G813" s="102" t="str">
        <f t="shared" si="167"/>
        <v/>
      </c>
      <c r="H813" s="57">
        <f t="shared" si="162"/>
        <v>0</v>
      </c>
      <c r="I813" s="102">
        <f>VLOOKUP(P813&amp;"_"&amp;Q813,活动关卡!$A$4:$Z$27,3+5*MonsterWaveCallRuleCfg!R813,FALSE)</f>
        <v>38</v>
      </c>
      <c r="J813" s="102">
        <f>VLOOKUP(P813&amp;"_"&amp;Q813,活动关卡!$A$4:$Z$27,4+5*MonsterWaveCallRuleCfg!R813,FALSE)</f>
        <v>0.4</v>
      </c>
      <c r="K813" s="102">
        <f t="shared" si="164"/>
        <v>1</v>
      </c>
      <c r="L813" s="102" t="str">
        <f>IF(VLOOKUP(P813&amp;"_"&amp;Q813,活动关卡!$A$4:$Z$27,2+5*R813,FALSE)="","","Monster_Season1_Challenge"&amp;P813&amp;"_"&amp;Q813&amp;"_"&amp;R813)</f>
        <v>Monster_Season1_Challenge5_3_2</v>
      </c>
      <c r="M813" s="57">
        <f t="shared" si="165"/>
        <v>1</v>
      </c>
      <c r="O813" s="102">
        <f>VLOOKUP(P813&amp;"_"&amp;Q813,活动关卡!$A$4:$Z$27,6+5*MonsterWaveCallRuleCfg!R813,FALSE)</f>
        <v>4</v>
      </c>
      <c r="P813" s="110">
        <v>5</v>
      </c>
      <c r="Q813" s="110">
        <f t="shared" si="166"/>
        <v>3</v>
      </c>
      <c r="R813" s="110">
        <v>2</v>
      </c>
    </row>
    <row r="814" spans="2:18" x14ac:dyDescent="0.2">
      <c r="B814" s="57" t="str">
        <f t="shared" si="159"/>
        <v/>
      </c>
      <c r="D814" s="57" t="str">
        <f t="shared" si="160"/>
        <v/>
      </c>
      <c r="F814" s="57" t="str">
        <f t="shared" si="161"/>
        <v/>
      </c>
      <c r="G814" s="102" t="str">
        <f t="shared" si="167"/>
        <v/>
      </c>
      <c r="H814" s="57">
        <f t="shared" si="162"/>
        <v>0</v>
      </c>
      <c r="I814" s="102">
        <f>VLOOKUP(P814&amp;"_"&amp;Q814,活动关卡!$A$4:$Z$27,3+5*MonsterWaveCallRuleCfg!R814,FALSE)</f>
        <v>10</v>
      </c>
      <c r="J814" s="102">
        <f>VLOOKUP(P814&amp;"_"&amp;Q814,活动关卡!$A$4:$Z$27,4+5*MonsterWaveCallRuleCfg!R814,FALSE)</f>
        <v>1.5</v>
      </c>
      <c r="K814" s="102">
        <f t="shared" si="164"/>
        <v>1</v>
      </c>
      <c r="L814" s="102" t="str">
        <f>IF(VLOOKUP(P814&amp;"_"&amp;Q814,活动关卡!$A$4:$Z$27,2+5*R814,FALSE)="","","Monster_Season1_Challenge"&amp;P814&amp;"_"&amp;Q814&amp;"_"&amp;R814)</f>
        <v>Monster_Season1_Challenge5_3_3</v>
      </c>
      <c r="M814" s="57">
        <f t="shared" si="165"/>
        <v>1</v>
      </c>
      <c r="O814" s="102">
        <f>VLOOKUP(P814&amp;"_"&amp;Q814,活动关卡!$A$4:$Z$27,6+5*MonsterWaveCallRuleCfg!R814,FALSE)</f>
        <v>4</v>
      </c>
      <c r="P814" s="110">
        <v>5</v>
      </c>
      <c r="Q814" s="110">
        <f t="shared" si="166"/>
        <v>3</v>
      </c>
      <c r="R814" s="110">
        <v>3</v>
      </c>
    </row>
    <row r="815" spans="2:18" x14ac:dyDescent="0.2">
      <c r="B815" s="57" t="str">
        <f t="shared" si="159"/>
        <v/>
      </c>
      <c r="D815" s="57" t="str">
        <f t="shared" si="160"/>
        <v/>
      </c>
      <c r="F815" s="57" t="str">
        <f t="shared" si="161"/>
        <v/>
      </c>
      <c r="G815" s="102" t="str">
        <f t="shared" si="167"/>
        <v/>
      </c>
      <c r="H815" s="57">
        <f t="shared" si="162"/>
        <v>0</v>
      </c>
      <c r="I815" s="102">
        <f>VLOOKUP(P815&amp;"_"&amp;Q815,活动关卡!$A$4:$Z$27,3+5*MonsterWaveCallRuleCfg!R815,FALSE)</f>
        <v>8</v>
      </c>
      <c r="J815" s="102">
        <f>VLOOKUP(P815&amp;"_"&amp;Q815,活动关卡!$A$4:$Z$27,4+5*MonsterWaveCallRuleCfg!R815,FALSE)</f>
        <v>2</v>
      </c>
      <c r="K815" s="102">
        <f t="shared" si="164"/>
        <v>1</v>
      </c>
      <c r="L815" s="102" t="str">
        <f>IF(VLOOKUP(P815&amp;"_"&amp;Q815,活动关卡!$A$4:$Z$27,2+5*R815,FALSE)="","","Monster_Season1_Challenge"&amp;P815&amp;"_"&amp;Q815&amp;"_"&amp;R815)</f>
        <v>Monster_Season1_Challenge5_3_4</v>
      </c>
      <c r="M815" s="57">
        <f t="shared" si="165"/>
        <v>1</v>
      </c>
      <c r="O815" s="102">
        <f>VLOOKUP(P815&amp;"_"&amp;Q815,活动关卡!$A$4:$Z$27,6+5*MonsterWaveCallRuleCfg!R815,FALSE)</f>
        <v>7</v>
      </c>
      <c r="P815" s="110">
        <v>5</v>
      </c>
      <c r="Q815" s="110">
        <f t="shared" si="166"/>
        <v>3</v>
      </c>
      <c r="R815" s="110">
        <v>4</v>
      </c>
    </row>
    <row r="816" spans="2:18" x14ac:dyDescent="0.2">
      <c r="B816" s="57" t="str">
        <f t="shared" si="159"/>
        <v>MonsterWaveCallRule_Season1_Challenge5</v>
      </c>
      <c r="C816" s="57">
        <v>4</v>
      </c>
      <c r="D816" s="57" t="str">
        <f t="shared" si="160"/>
        <v>赛季1关卡5第4波</v>
      </c>
      <c r="F816" s="57">
        <f t="shared" si="161"/>
        <v>0</v>
      </c>
      <c r="G816" s="102">
        <f t="shared" si="167"/>
        <v>180</v>
      </c>
      <c r="H816" s="57">
        <f t="shared" si="162"/>
        <v>0</v>
      </c>
      <c r="I816" s="102">
        <f>VLOOKUP(P816&amp;"_"&amp;Q816,活动关卡!$A$4:$Z$27,3+5*MonsterWaveCallRuleCfg!R816,FALSE)</f>
        <v>12</v>
      </c>
      <c r="J816" s="102">
        <f>VLOOKUP(P816&amp;"_"&amp;Q816,活动关卡!$A$4:$Z$27,4+5*MonsterWaveCallRuleCfg!R816,FALSE)</f>
        <v>1.5</v>
      </c>
      <c r="K816" s="102">
        <f t="shared" si="164"/>
        <v>1</v>
      </c>
      <c r="L816" s="102" t="str">
        <f>IF(VLOOKUP(P816&amp;"_"&amp;Q816,活动关卡!$A$4:$Z$27,2+5*R816,FALSE)="","","Monster_Season1_Challenge"&amp;P816&amp;"_"&amp;Q816&amp;"_"&amp;R816)</f>
        <v>Monster_Season1_Challenge5_4_1</v>
      </c>
      <c r="M816" s="57">
        <f t="shared" si="165"/>
        <v>1</v>
      </c>
      <c r="O816" s="102">
        <f>VLOOKUP(P816&amp;"_"&amp;Q816,活动关卡!$A$4:$Z$27,6+5*MonsterWaveCallRuleCfg!R816,FALSE)</f>
        <v>8</v>
      </c>
      <c r="P816" s="110">
        <v>5</v>
      </c>
      <c r="Q816" s="110">
        <f t="shared" si="166"/>
        <v>4</v>
      </c>
      <c r="R816" s="110">
        <v>1</v>
      </c>
    </row>
    <row r="817" spans="2:18" x14ac:dyDescent="0.2">
      <c r="B817" s="57" t="str">
        <f t="shared" si="159"/>
        <v/>
      </c>
      <c r="D817" s="57" t="str">
        <f t="shared" si="160"/>
        <v/>
      </c>
      <c r="F817" s="57" t="str">
        <f t="shared" si="161"/>
        <v/>
      </c>
      <c r="G817" s="102" t="str">
        <f t="shared" si="167"/>
        <v/>
      </c>
      <c r="H817" s="57">
        <f t="shared" si="162"/>
        <v>0</v>
      </c>
      <c r="I817" s="102">
        <f>VLOOKUP(P817&amp;"_"&amp;Q817,活动关卡!$A$4:$Z$27,3+5*MonsterWaveCallRuleCfg!R817,FALSE)</f>
        <v>35</v>
      </c>
      <c r="J817" s="102">
        <f>VLOOKUP(P817&amp;"_"&amp;Q817,活动关卡!$A$4:$Z$27,4+5*MonsterWaveCallRuleCfg!R817,FALSE)</f>
        <v>0.5</v>
      </c>
      <c r="K817" s="102">
        <f t="shared" si="164"/>
        <v>1</v>
      </c>
      <c r="L817" s="102" t="str">
        <f>IF(VLOOKUP(P817&amp;"_"&amp;Q817,活动关卡!$A$4:$Z$27,2+5*R817,FALSE)="","","Monster_Season1_Challenge"&amp;P817&amp;"_"&amp;Q817&amp;"_"&amp;R817)</f>
        <v>Monster_Season1_Challenge5_4_2</v>
      </c>
      <c r="M817" s="57">
        <f t="shared" si="165"/>
        <v>1</v>
      </c>
      <c r="O817" s="102">
        <f>VLOOKUP(P817&amp;"_"&amp;Q817,活动关卡!$A$4:$Z$27,6+5*MonsterWaveCallRuleCfg!R817,FALSE)</f>
        <v>4</v>
      </c>
      <c r="P817" s="110">
        <v>5</v>
      </c>
      <c r="Q817" s="110">
        <f t="shared" si="166"/>
        <v>4</v>
      </c>
      <c r="R817" s="110">
        <v>2</v>
      </c>
    </row>
    <row r="818" spans="2:18" x14ac:dyDescent="0.2">
      <c r="B818" s="57" t="str">
        <f t="shared" si="159"/>
        <v/>
      </c>
      <c r="D818" s="57" t="str">
        <f t="shared" si="160"/>
        <v/>
      </c>
      <c r="F818" s="57" t="str">
        <f t="shared" si="161"/>
        <v/>
      </c>
      <c r="G818" s="102" t="str">
        <f t="shared" si="167"/>
        <v/>
      </c>
      <c r="H818" s="57">
        <f t="shared" si="162"/>
        <v>0</v>
      </c>
      <c r="I818" s="102">
        <f>VLOOKUP(P818&amp;"_"&amp;Q818,活动关卡!$A$4:$Z$27,3+5*MonsterWaveCallRuleCfg!R818,FALSE)</f>
        <v>9</v>
      </c>
      <c r="J818" s="102">
        <f>VLOOKUP(P818&amp;"_"&amp;Q818,活动关卡!$A$4:$Z$27,4+5*MonsterWaveCallRuleCfg!R818,FALSE)</f>
        <v>2</v>
      </c>
      <c r="K818" s="102">
        <f t="shared" si="164"/>
        <v>1</v>
      </c>
      <c r="L818" s="102" t="str">
        <f>IF(VLOOKUP(P818&amp;"_"&amp;Q818,活动关卡!$A$4:$Z$27,2+5*R818,FALSE)="","","Monster_Season1_Challenge"&amp;P818&amp;"_"&amp;Q818&amp;"_"&amp;R818)</f>
        <v>Monster_Season1_Challenge5_4_3</v>
      </c>
      <c r="M818" s="57">
        <f t="shared" si="165"/>
        <v>1</v>
      </c>
      <c r="O818" s="102">
        <f>VLOOKUP(P818&amp;"_"&amp;Q818,活动关卡!$A$4:$Z$27,6+5*MonsterWaveCallRuleCfg!R818,FALSE)</f>
        <v>8</v>
      </c>
      <c r="P818" s="110">
        <v>5</v>
      </c>
      <c r="Q818" s="110">
        <f t="shared" si="166"/>
        <v>4</v>
      </c>
      <c r="R818" s="110">
        <v>3</v>
      </c>
    </row>
    <row r="819" spans="2:18" x14ac:dyDescent="0.2">
      <c r="B819" s="57" t="str">
        <f t="shared" si="159"/>
        <v/>
      </c>
      <c r="D819" s="57" t="str">
        <f t="shared" si="160"/>
        <v/>
      </c>
      <c r="F819" s="57" t="str">
        <f t="shared" si="161"/>
        <v/>
      </c>
      <c r="G819" s="102" t="str">
        <f t="shared" si="167"/>
        <v/>
      </c>
      <c r="H819" s="57" t="str">
        <f t="shared" si="162"/>
        <v/>
      </c>
      <c r="I819" s="102" t="str">
        <f>VLOOKUP(P819&amp;"_"&amp;Q819,活动关卡!$A$4:$Z$27,3+5*MonsterWaveCallRuleCfg!R819,FALSE)</f>
        <v/>
      </c>
      <c r="J819" s="102" t="str">
        <f>VLOOKUP(P819&amp;"_"&amp;Q819,活动关卡!$A$4:$Z$27,4+5*MonsterWaveCallRuleCfg!R819,FALSE)</f>
        <v/>
      </c>
      <c r="K819" s="102" t="str">
        <f t="shared" si="164"/>
        <v/>
      </c>
      <c r="L819" s="102" t="str">
        <f>IF(VLOOKUP(P819&amp;"_"&amp;Q819,活动关卡!$A$4:$Z$27,2+5*R819,FALSE)="","","Monster_Season1_Challenge"&amp;P819&amp;"_"&amp;Q819&amp;"_"&amp;R819)</f>
        <v/>
      </c>
      <c r="M819" s="57" t="str">
        <f t="shared" si="165"/>
        <v/>
      </c>
      <c r="O819" s="102" t="str">
        <f>VLOOKUP(P819&amp;"_"&amp;Q819,活动关卡!$A$4:$Z$27,6+5*MonsterWaveCallRuleCfg!R819,FALSE)</f>
        <v/>
      </c>
      <c r="P819" s="110">
        <v>5</v>
      </c>
      <c r="Q819" s="110">
        <f t="shared" si="166"/>
        <v>4</v>
      </c>
      <c r="R819" s="110">
        <v>4</v>
      </c>
    </row>
    <row r="820" spans="2:18" x14ac:dyDescent="0.2">
      <c r="B820" s="57" t="str">
        <f t="shared" ref="B820" si="168">IF(C820="","","MonsterWaveCallRule_Season1_Challenge"&amp;P820)</f>
        <v>MonsterWaveCallRule_Season1_Challenge5</v>
      </c>
      <c r="C820" s="57">
        <v>5</v>
      </c>
      <c r="D820" s="57" t="str">
        <f t="shared" ref="D820" si="169">IF(C820="","","赛季1关卡"&amp;P820&amp;"第"&amp;C820&amp;"波")</f>
        <v>赛季1关卡5第5波</v>
      </c>
      <c r="F820" s="57">
        <f t="shared" si="161"/>
        <v>0</v>
      </c>
      <c r="G820" s="102">
        <f t="shared" si="167"/>
        <v>180</v>
      </c>
      <c r="H820" s="57">
        <f t="shared" si="162"/>
        <v>0</v>
      </c>
      <c r="I820" s="102">
        <f>VLOOKUP(P820&amp;"_"&amp;Q820,活动关卡!$A$4:$Z$27,3+5*MonsterWaveCallRuleCfg!R820,FALSE)</f>
        <v>13</v>
      </c>
      <c r="J820" s="102">
        <f>VLOOKUP(P820&amp;"_"&amp;Q820,活动关卡!$A$4:$Z$27,4+5*MonsterWaveCallRuleCfg!R820,FALSE)</f>
        <v>1.5</v>
      </c>
      <c r="K820" s="102">
        <f t="shared" si="164"/>
        <v>1</v>
      </c>
      <c r="L820" s="102" t="str">
        <f>IF(VLOOKUP(P820&amp;"_"&amp;Q820,活动关卡!$A$4:$Z$27,2+5*R820,FALSE)="","","Monster_Season1_Challenge"&amp;P820&amp;"_"&amp;Q820&amp;"_"&amp;R820)</f>
        <v>Monster_Season1_Challenge5_5_1</v>
      </c>
      <c r="M820" s="57">
        <f t="shared" si="165"/>
        <v>1</v>
      </c>
      <c r="O820" s="102">
        <f>VLOOKUP(P820&amp;"_"&amp;Q820,活动关卡!$A$4:$Z$27,6+5*MonsterWaveCallRuleCfg!R820,FALSE)</f>
        <v>5</v>
      </c>
      <c r="P820" s="110">
        <v>5</v>
      </c>
      <c r="Q820" s="110">
        <f t="shared" si="166"/>
        <v>5</v>
      </c>
      <c r="R820" s="110">
        <v>1</v>
      </c>
    </row>
    <row r="821" spans="2:18" x14ac:dyDescent="0.2">
      <c r="B821" s="57" t="str">
        <f t="shared" ref="B821:B832" si="170">IF(C821="","","MonsterWaveCallRule_Season1_Challenge"&amp;P821)</f>
        <v/>
      </c>
      <c r="D821" s="57" t="str">
        <f t="shared" ref="D821:D832" si="171">IF(C821="","","赛季1关卡"&amp;P821&amp;"第"&amp;C821&amp;"波")</f>
        <v/>
      </c>
      <c r="F821" s="57" t="str">
        <f t="shared" ref="F821:F832" si="172">IF(C821="","",0)</f>
        <v/>
      </c>
      <c r="G821" s="102" t="str">
        <f t="shared" ref="G821:G835" si="173">IF(C821="","",180)</f>
        <v/>
      </c>
      <c r="H821" s="57">
        <f t="shared" si="162"/>
        <v>0</v>
      </c>
      <c r="I821" s="102">
        <f>VLOOKUP(P821&amp;"_"&amp;Q821,活动关卡!$A$4:$Z$27,3+5*MonsterWaveCallRuleCfg!R821,FALSE)</f>
        <v>40</v>
      </c>
      <c r="J821" s="102">
        <f>VLOOKUP(P821&amp;"_"&amp;Q821,活动关卡!$A$4:$Z$27,4+5*MonsterWaveCallRuleCfg!R821,FALSE)</f>
        <v>0.5</v>
      </c>
      <c r="K821" s="102">
        <f t="shared" si="164"/>
        <v>1</v>
      </c>
      <c r="L821" s="102" t="str">
        <f>IF(VLOOKUP(P821&amp;"_"&amp;Q821,活动关卡!$A$4:$Z$27,2+5*R821,FALSE)="","","Monster_Season1_Challenge"&amp;P821&amp;"_"&amp;Q821&amp;"_"&amp;R821)</f>
        <v>Monster_Season1_Challenge5_5_2</v>
      </c>
      <c r="M821" s="57">
        <f t="shared" si="165"/>
        <v>1</v>
      </c>
      <c r="O821" s="102">
        <f>VLOOKUP(P821&amp;"_"&amp;Q821,活动关卡!$A$4:$Z$27,6+5*MonsterWaveCallRuleCfg!R821,FALSE)</f>
        <v>2</v>
      </c>
      <c r="P821" s="110">
        <v>5</v>
      </c>
      <c r="Q821" s="110">
        <f t="shared" si="166"/>
        <v>5</v>
      </c>
      <c r="R821" s="110">
        <v>2</v>
      </c>
    </row>
    <row r="822" spans="2:18" x14ac:dyDescent="0.2">
      <c r="B822" s="57" t="str">
        <f t="shared" si="170"/>
        <v/>
      </c>
      <c r="D822" s="57" t="str">
        <f t="shared" si="171"/>
        <v/>
      </c>
      <c r="F822" s="57" t="str">
        <f t="shared" si="172"/>
        <v/>
      </c>
      <c r="G822" s="102" t="str">
        <f t="shared" si="173"/>
        <v/>
      </c>
      <c r="H822" s="57">
        <f t="shared" si="162"/>
        <v>0</v>
      </c>
      <c r="I822" s="102">
        <f>VLOOKUP(P822&amp;"_"&amp;Q822,活动关卡!$A$4:$Z$27,3+5*MonsterWaveCallRuleCfg!R822,FALSE)</f>
        <v>10</v>
      </c>
      <c r="J822" s="102">
        <f>VLOOKUP(P822&amp;"_"&amp;Q822,活动关卡!$A$4:$Z$27,4+5*MonsterWaveCallRuleCfg!R822,FALSE)</f>
        <v>2</v>
      </c>
      <c r="K822" s="102">
        <f t="shared" si="164"/>
        <v>1</v>
      </c>
      <c r="L822" s="102" t="str">
        <f>IF(VLOOKUP(P822&amp;"_"&amp;Q822,活动关卡!$A$4:$Z$27,2+5*R822,FALSE)="","","Monster_Season1_Challenge"&amp;P822&amp;"_"&amp;Q822&amp;"_"&amp;R822)</f>
        <v>Monster_Season1_Challenge5_5_3</v>
      </c>
      <c r="M822" s="57">
        <f t="shared" si="165"/>
        <v>1</v>
      </c>
      <c r="O822" s="102">
        <f>VLOOKUP(P822&amp;"_"&amp;Q822,活动关卡!$A$4:$Z$27,6+5*MonsterWaveCallRuleCfg!R822,FALSE)</f>
        <v>5</v>
      </c>
      <c r="P822" s="110">
        <v>5</v>
      </c>
      <c r="Q822" s="110">
        <f t="shared" si="166"/>
        <v>5</v>
      </c>
      <c r="R822" s="110">
        <v>3</v>
      </c>
    </row>
    <row r="823" spans="2:18" x14ac:dyDescent="0.2">
      <c r="B823" s="57" t="str">
        <f t="shared" si="170"/>
        <v/>
      </c>
      <c r="D823" s="57" t="str">
        <f t="shared" si="171"/>
        <v/>
      </c>
      <c r="F823" s="57" t="str">
        <f t="shared" si="172"/>
        <v/>
      </c>
      <c r="G823" s="102" t="str">
        <f t="shared" si="173"/>
        <v/>
      </c>
      <c r="H823" s="57">
        <f t="shared" si="162"/>
        <v>0</v>
      </c>
      <c r="I823" s="102">
        <f>VLOOKUP(P823&amp;"_"&amp;Q823,活动关卡!$A$4:$Z$27,3+5*MonsterWaveCallRuleCfg!R823,FALSE)</f>
        <v>20</v>
      </c>
      <c r="J823" s="102">
        <f>VLOOKUP(P823&amp;"_"&amp;Q823,活动关卡!$A$4:$Z$27,4+5*MonsterWaveCallRuleCfg!R823,FALSE)</f>
        <v>1</v>
      </c>
      <c r="K823" s="102">
        <f t="shared" si="164"/>
        <v>1</v>
      </c>
      <c r="L823" s="102" t="str">
        <f>IF(VLOOKUP(P823&amp;"_"&amp;Q823,活动关卡!$A$4:$Z$27,2+5*R823,FALSE)="","","Monster_Season1_Challenge"&amp;P823&amp;"_"&amp;Q823&amp;"_"&amp;R823)</f>
        <v>Monster_Season1_Challenge5_5_4</v>
      </c>
      <c r="M823" s="57">
        <f t="shared" si="165"/>
        <v>1</v>
      </c>
      <c r="O823" s="102">
        <f>VLOOKUP(P823&amp;"_"&amp;Q823,活动关卡!$A$4:$Z$27,6+5*MonsterWaveCallRuleCfg!R823,FALSE)</f>
        <v>5</v>
      </c>
      <c r="P823" s="110">
        <v>5</v>
      </c>
      <c r="Q823" s="110">
        <f t="shared" si="166"/>
        <v>5</v>
      </c>
      <c r="R823" s="110">
        <v>4</v>
      </c>
    </row>
    <row r="824" spans="2:18" x14ac:dyDescent="0.2">
      <c r="B824" s="57" t="str">
        <f t="shared" si="170"/>
        <v>MonsterWaveCallRule_Season1_Challenge5</v>
      </c>
      <c r="C824" s="57">
        <v>6</v>
      </c>
      <c r="D824" s="57" t="str">
        <f t="shared" si="171"/>
        <v>赛季1关卡5第6波</v>
      </c>
      <c r="F824" s="57">
        <f t="shared" si="172"/>
        <v>0</v>
      </c>
      <c r="G824" s="102">
        <f t="shared" si="173"/>
        <v>180</v>
      </c>
      <c r="H824" s="57">
        <f t="shared" si="162"/>
        <v>0</v>
      </c>
      <c r="I824" s="102">
        <f>VLOOKUP(P824&amp;"_"&amp;Q824,活动关卡!$A$4:$Z$27,3+5*MonsterWaveCallRuleCfg!R824,FALSE)</f>
        <v>15</v>
      </c>
      <c r="J824" s="102">
        <f>VLOOKUP(P824&amp;"_"&amp;Q824,活动关卡!$A$4:$Z$27,4+5*MonsterWaveCallRuleCfg!R824,FALSE)</f>
        <v>1.5</v>
      </c>
      <c r="K824" s="102">
        <f t="shared" ref="K824:K835" si="174">IF(I824="","",1)</f>
        <v>1</v>
      </c>
      <c r="L824" s="102" t="str">
        <f>IF(VLOOKUP(P824&amp;"_"&amp;Q824,活动关卡!$A$4:$Z$27,2+5*R824,FALSE)="","","Monster_Season1_Challenge"&amp;P824&amp;"_"&amp;Q824&amp;"_"&amp;R824)</f>
        <v>Monster_Season1_Challenge5_6_1</v>
      </c>
      <c r="M824" s="57">
        <f t="shared" ref="M824:M835" si="175">IF(I824="","",1)</f>
        <v>1</v>
      </c>
      <c r="O824" s="102">
        <f>VLOOKUP(P824&amp;"_"&amp;Q824,活动关卡!$A$4:$Z$27,6+5*MonsterWaveCallRuleCfg!R824,FALSE)</f>
        <v>5</v>
      </c>
      <c r="P824" s="110">
        <v>5</v>
      </c>
      <c r="Q824" s="110">
        <f t="shared" si="166"/>
        <v>6</v>
      </c>
      <c r="R824" s="110">
        <v>1</v>
      </c>
    </row>
    <row r="825" spans="2:18" x14ac:dyDescent="0.2">
      <c r="B825" s="57" t="str">
        <f t="shared" si="170"/>
        <v/>
      </c>
      <c r="D825" s="57" t="str">
        <f t="shared" si="171"/>
        <v/>
      </c>
      <c r="F825" s="57" t="str">
        <f t="shared" si="172"/>
        <v/>
      </c>
      <c r="G825" s="102" t="str">
        <f t="shared" si="173"/>
        <v/>
      </c>
      <c r="H825" s="57">
        <f t="shared" si="162"/>
        <v>0</v>
      </c>
      <c r="I825" s="102">
        <f>VLOOKUP(P825&amp;"_"&amp;Q825,活动关卡!$A$4:$Z$27,3+5*MonsterWaveCallRuleCfg!R825,FALSE)</f>
        <v>11</v>
      </c>
      <c r="J825" s="102">
        <f>VLOOKUP(P825&amp;"_"&amp;Q825,活动关卡!$A$4:$Z$27,4+5*MonsterWaveCallRuleCfg!R825,FALSE)</f>
        <v>2</v>
      </c>
      <c r="K825" s="102">
        <f t="shared" si="174"/>
        <v>1</v>
      </c>
      <c r="L825" s="102" t="str">
        <f>IF(VLOOKUP(P825&amp;"_"&amp;Q825,活动关卡!$A$4:$Z$27,2+5*R825,FALSE)="","","Monster_Season1_Challenge"&amp;P825&amp;"_"&amp;Q825&amp;"_"&amp;R825)</f>
        <v>Monster_Season1_Challenge5_6_2</v>
      </c>
      <c r="M825" s="57">
        <f t="shared" si="175"/>
        <v>1</v>
      </c>
      <c r="O825" s="102">
        <f>VLOOKUP(P825&amp;"_"&amp;Q825,活动关卡!$A$4:$Z$27,6+5*MonsterWaveCallRuleCfg!R825,FALSE)</f>
        <v>5</v>
      </c>
      <c r="P825" s="110">
        <v>5</v>
      </c>
      <c r="Q825" s="110">
        <f t="shared" si="166"/>
        <v>6</v>
      </c>
      <c r="R825" s="110">
        <v>2</v>
      </c>
    </row>
    <row r="826" spans="2:18" x14ac:dyDescent="0.2">
      <c r="B826" s="57" t="str">
        <f t="shared" si="170"/>
        <v/>
      </c>
      <c r="D826" s="57" t="str">
        <f t="shared" si="171"/>
        <v/>
      </c>
      <c r="F826" s="57" t="str">
        <f t="shared" si="172"/>
        <v/>
      </c>
      <c r="G826" s="102" t="str">
        <f t="shared" si="173"/>
        <v/>
      </c>
      <c r="H826" s="57">
        <f t="shared" si="162"/>
        <v>0</v>
      </c>
      <c r="I826" s="102">
        <f>VLOOKUP(P826&amp;"_"&amp;Q826,活动关卡!$A$4:$Z$27,3+5*MonsterWaveCallRuleCfg!R826,FALSE)</f>
        <v>15</v>
      </c>
      <c r="J826" s="102">
        <f>VLOOKUP(P826&amp;"_"&amp;Q826,活动关卡!$A$4:$Z$27,4+5*MonsterWaveCallRuleCfg!R826,FALSE)</f>
        <v>1.5</v>
      </c>
      <c r="K826" s="102">
        <f t="shared" si="174"/>
        <v>1</v>
      </c>
      <c r="L826" s="102" t="str">
        <f>IF(VLOOKUP(P826&amp;"_"&amp;Q826,活动关卡!$A$4:$Z$27,2+5*R826,FALSE)="","","Monster_Season1_Challenge"&amp;P826&amp;"_"&amp;Q826&amp;"_"&amp;R826)</f>
        <v>Monster_Season1_Challenge5_6_3</v>
      </c>
      <c r="M826" s="57">
        <f t="shared" si="175"/>
        <v>1</v>
      </c>
      <c r="O826" s="102">
        <f>VLOOKUP(P826&amp;"_"&amp;Q826,活动关卡!$A$4:$Z$27,6+5*MonsterWaveCallRuleCfg!R826,FALSE)</f>
        <v>3</v>
      </c>
      <c r="P826" s="110">
        <v>5</v>
      </c>
      <c r="Q826" s="110">
        <f t="shared" si="166"/>
        <v>6</v>
      </c>
      <c r="R826" s="110">
        <v>3</v>
      </c>
    </row>
    <row r="827" spans="2:18" x14ac:dyDescent="0.2">
      <c r="B827" s="57" t="str">
        <f t="shared" si="170"/>
        <v/>
      </c>
      <c r="D827" s="57" t="str">
        <f t="shared" si="171"/>
        <v/>
      </c>
      <c r="F827" s="57" t="str">
        <f t="shared" si="172"/>
        <v/>
      </c>
      <c r="G827" s="102" t="str">
        <f t="shared" si="173"/>
        <v/>
      </c>
      <c r="H827" s="57">
        <f t="shared" si="162"/>
        <v>0</v>
      </c>
      <c r="I827" s="102">
        <f>VLOOKUP(P827&amp;"_"&amp;Q827,活动关卡!$A$4:$Z$27,3+5*MonsterWaveCallRuleCfg!R827,FALSE)</f>
        <v>23</v>
      </c>
      <c r="J827" s="102">
        <f>VLOOKUP(P827&amp;"_"&amp;Q827,活动关卡!$A$4:$Z$27,4+5*MonsterWaveCallRuleCfg!R827,FALSE)</f>
        <v>1</v>
      </c>
      <c r="K827" s="102">
        <f t="shared" si="174"/>
        <v>1</v>
      </c>
      <c r="L827" s="102" t="str">
        <f>IF(VLOOKUP(P827&amp;"_"&amp;Q827,活动关卡!$A$4:$Z$27,2+5*R827,FALSE)="","","Monster_Season1_Challenge"&amp;P827&amp;"_"&amp;Q827&amp;"_"&amp;R827)</f>
        <v>Monster_Season1_Challenge5_6_4</v>
      </c>
      <c r="M827" s="57">
        <f t="shared" si="175"/>
        <v>1</v>
      </c>
      <c r="O827" s="102">
        <f>VLOOKUP(P827&amp;"_"&amp;Q827,活动关卡!$A$4:$Z$27,6+5*MonsterWaveCallRuleCfg!R827,FALSE)</f>
        <v>5</v>
      </c>
      <c r="P827" s="110">
        <v>5</v>
      </c>
      <c r="Q827" s="110">
        <f t="shared" si="166"/>
        <v>6</v>
      </c>
      <c r="R827" s="110">
        <v>4</v>
      </c>
    </row>
    <row r="828" spans="2:18" x14ac:dyDescent="0.2">
      <c r="B828" s="57" t="str">
        <f t="shared" si="170"/>
        <v>MonsterWaveCallRule_Season1_Challenge5</v>
      </c>
      <c r="C828" s="57">
        <v>7</v>
      </c>
      <c r="D828" s="57" t="str">
        <f t="shared" si="171"/>
        <v>赛季1关卡5第7波</v>
      </c>
      <c r="F828" s="57">
        <f t="shared" si="172"/>
        <v>0</v>
      </c>
      <c r="G828" s="102">
        <f t="shared" si="173"/>
        <v>180</v>
      </c>
      <c r="H828" s="57">
        <f t="shared" si="162"/>
        <v>0</v>
      </c>
      <c r="I828" s="102">
        <f>VLOOKUP(P828&amp;"_"&amp;Q828,活动关卡!$A$4:$Z$27,3+5*MonsterWaveCallRuleCfg!R828,FALSE)</f>
        <v>25</v>
      </c>
      <c r="J828" s="102">
        <f>VLOOKUP(P828&amp;"_"&amp;Q828,活动关卡!$A$4:$Z$27,4+5*MonsterWaveCallRuleCfg!R828,FALSE)</f>
        <v>1</v>
      </c>
      <c r="K828" s="102">
        <f t="shared" si="174"/>
        <v>1</v>
      </c>
      <c r="L828" s="102" t="str">
        <f>IF(VLOOKUP(P828&amp;"_"&amp;Q828,活动关卡!$A$4:$Z$27,2+5*R828,FALSE)="","","Monster_Season1_Challenge"&amp;P828&amp;"_"&amp;Q828&amp;"_"&amp;R828)</f>
        <v>Monster_Season1_Challenge5_7_1</v>
      </c>
      <c r="M828" s="57">
        <f t="shared" si="175"/>
        <v>1</v>
      </c>
      <c r="O828" s="102">
        <f>VLOOKUP(P828&amp;"_"&amp;Q828,活动关卡!$A$4:$Z$27,6+5*MonsterWaveCallRuleCfg!R828,FALSE)</f>
        <v>4</v>
      </c>
      <c r="P828" s="110">
        <v>5</v>
      </c>
      <c r="Q828" s="110">
        <f t="shared" si="166"/>
        <v>7</v>
      </c>
      <c r="R828" s="110">
        <v>1</v>
      </c>
    </row>
    <row r="829" spans="2:18" x14ac:dyDescent="0.2">
      <c r="B829" s="57" t="str">
        <f t="shared" si="170"/>
        <v/>
      </c>
      <c r="D829" s="57" t="str">
        <f t="shared" si="171"/>
        <v/>
      </c>
      <c r="F829" s="57" t="str">
        <f t="shared" si="172"/>
        <v/>
      </c>
      <c r="G829" s="102" t="str">
        <f t="shared" si="173"/>
        <v/>
      </c>
      <c r="H829" s="57">
        <f t="shared" si="162"/>
        <v>0</v>
      </c>
      <c r="I829" s="102">
        <f>VLOOKUP(P829&amp;"_"&amp;Q829,活动关卡!$A$4:$Z$27,3+5*MonsterWaveCallRuleCfg!R829,FALSE)</f>
        <v>25</v>
      </c>
      <c r="J829" s="102">
        <f>VLOOKUP(P829&amp;"_"&amp;Q829,活动关卡!$A$4:$Z$27,4+5*MonsterWaveCallRuleCfg!R829,FALSE)</f>
        <v>1</v>
      </c>
      <c r="K829" s="102">
        <f t="shared" si="174"/>
        <v>1</v>
      </c>
      <c r="L829" s="102" t="str">
        <f>IF(VLOOKUP(P829&amp;"_"&amp;Q829,活动关卡!$A$4:$Z$27,2+5*R829,FALSE)="","","Monster_Season1_Challenge"&amp;P829&amp;"_"&amp;Q829&amp;"_"&amp;R829)</f>
        <v>Monster_Season1_Challenge5_7_2</v>
      </c>
      <c r="M829" s="57">
        <f t="shared" si="175"/>
        <v>1</v>
      </c>
      <c r="O829" s="102">
        <f>VLOOKUP(P829&amp;"_"&amp;Q829,活动关卡!$A$4:$Z$27,6+5*MonsterWaveCallRuleCfg!R829,FALSE)</f>
        <v>2</v>
      </c>
      <c r="P829" s="110">
        <v>5</v>
      </c>
      <c r="Q829" s="110">
        <f t="shared" si="166"/>
        <v>7</v>
      </c>
      <c r="R829" s="110">
        <v>2</v>
      </c>
    </row>
    <row r="830" spans="2:18" x14ac:dyDescent="0.2">
      <c r="B830" s="57" t="str">
        <f t="shared" si="170"/>
        <v/>
      </c>
      <c r="D830" s="57" t="str">
        <f t="shared" si="171"/>
        <v/>
      </c>
      <c r="F830" s="57" t="str">
        <f t="shared" si="172"/>
        <v/>
      </c>
      <c r="G830" s="102" t="str">
        <f t="shared" si="173"/>
        <v/>
      </c>
      <c r="H830" s="57">
        <f t="shared" si="162"/>
        <v>0</v>
      </c>
      <c r="I830" s="102">
        <f>VLOOKUP(P830&amp;"_"&amp;Q830,活动关卡!$A$4:$Z$27,3+5*MonsterWaveCallRuleCfg!R830,FALSE)</f>
        <v>50</v>
      </c>
      <c r="J830" s="102">
        <f>VLOOKUP(P830&amp;"_"&amp;Q830,活动关卡!$A$4:$Z$27,4+5*MonsterWaveCallRuleCfg!R830,FALSE)</f>
        <v>0.5</v>
      </c>
      <c r="K830" s="102">
        <f t="shared" si="174"/>
        <v>1</v>
      </c>
      <c r="L830" s="102" t="str">
        <f>IF(VLOOKUP(P830&amp;"_"&amp;Q830,活动关卡!$A$4:$Z$27,2+5*R830,FALSE)="","","Monster_Season1_Challenge"&amp;P830&amp;"_"&amp;Q830&amp;"_"&amp;R830)</f>
        <v>Monster_Season1_Challenge5_7_3</v>
      </c>
      <c r="M830" s="57">
        <f t="shared" si="175"/>
        <v>1</v>
      </c>
      <c r="O830" s="102">
        <f>VLOOKUP(P830&amp;"_"&amp;Q830,活动关卡!$A$4:$Z$27,6+5*MonsterWaveCallRuleCfg!R830,FALSE)</f>
        <v>1</v>
      </c>
      <c r="P830" s="110">
        <v>5</v>
      </c>
      <c r="Q830" s="110">
        <f t="shared" si="166"/>
        <v>7</v>
      </c>
      <c r="R830" s="110">
        <v>3</v>
      </c>
    </row>
    <row r="831" spans="2:18" x14ac:dyDescent="0.2">
      <c r="B831" s="57" t="str">
        <f t="shared" si="170"/>
        <v/>
      </c>
      <c r="D831" s="57" t="str">
        <f t="shared" si="171"/>
        <v/>
      </c>
      <c r="F831" s="57" t="str">
        <f t="shared" si="172"/>
        <v/>
      </c>
      <c r="G831" s="102" t="str">
        <f t="shared" si="173"/>
        <v/>
      </c>
      <c r="H831" s="57">
        <f t="shared" si="162"/>
        <v>0</v>
      </c>
      <c r="I831" s="102">
        <f>VLOOKUP(P831&amp;"_"&amp;Q831,活动关卡!$A$4:$Z$27,3+5*MonsterWaveCallRuleCfg!R831,FALSE)</f>
        <v>25</v>
      </c>
      <c r="J831" s="102">
        <f>VLOOKUP(P831&amp;"_"&amp;Q831,活动关卡!$A$4:$Z$27,4+5*MonsterWaveCallRuleCfg!R831,FALSE)</f>
        <v>1</v>
      </c>
      <c r="K831" s="102">
        <f t="shared" si="174"/>
        <v>1</v>
      </c>
      <c r="L831" s="102" t="str">
        <f>IF(VLOOKUP(P831&amp;"_"&amp;Q831,活动关卡!$A$4:$Z$27,2+5*R831,FALSE)="","","Monster_Season1_Challenge"&amp;P831&amp;"_"&amp;Q831&amp;"_"&amp;R831)</f>
        <v>Monster_Season1_Challenge5_7_4</v>
      </c>
      <c r="M831" s="57">
        <f t="shared" si="175"/>
        <v>1</v>
      </c>
      <c r="O831" s="102">
        <f>VLOOKUP(P831&amp;"_"&amp;Q831,活动关卡!$A$4:$Z$27,6+5*MonsterWaveCallRuleCfg!R831,FALSE)</f>
        <v>4</v>
      </c>
      <c r="P831" s="110">
        <v>5</v>
      </c>
      <c r="Q831" s="110">
        <f t="shared" si="166"/>
        <v>7</v>
      </c>
      <c r="R831" s="110">
        <v>4</v>
      </c>
    </row>
    <row r="832" spans="2:18" x14ac:dyDescent="0.2">
      <c r="B832" s="57" t="str">
        <f t="shared" si="170"/>
        <v>MonsterWaveCallRule_Season1_Challenge5</v>
      </c>
      <c r="C832" s="57">
        <v>8</v>
      </c>
      <c r="D832" s="57" t="str">
        <f t="shared" si="171"/>
        <v>赛季1关卡5第8波</v>
      </c>
      <c r="F832" s="57">
        <f t="shared" si="172"/>
        <v>0</v>
      </c>
      <c r="G832" s="102">
        <f t="shared" si="173"/>
        <v>180</v>
      </c>
      <c r="H832" s="57">
        <f t="shared" si="162"/>
        <v>0</v>
      </c>
      <c r="I832" s="102">
        <f>VLOOKUP(P832&amp;"_"&amp;Q832,活动关卡!$A$4:$Z$27,3+5*MonsterWaveCallRuleCfg!R832,FALSE)</f>
        <v>1</v>
      </c>
      <c r="J832" s="102">
        <f>VLOOKUP(P832&amp;"_"&amp;Q832,活动关卡!$A$4:$Z$27,4+5*MonsterWaveCallRuleCfg!R832,FALSE)</f>
        <v>0</v>
      </c>
      <c r="K832" s="102">
        <f t="shared" si="174"/>
        <v>1</v>
      </c>
      <c r="L832" s="102" t="str">
        <f>IF(VLOOKUP(P832&amp;"_"&amp;Q832,活动关卡!$A$4:$Z$27,2+5*R832,FALSE)="","","Monster_Season1_Challenge"&amp;P832&amp;"_"&amp;Q832&amp;"_"&amp;R832)</f>
        <v>Monster_Season1_Challenge5_8_1</v>
      </c>
      <c r="M832" s="57">
        <f t="shared" si="175"/>
        <v>1</v>
      </c>
      <c r="O832" s="102">
        <f>VLOOKUP(P832&amp;"_"&amp;Q832,活动关卡!$A$4:$Z$27,6+5*MonsterWaveCallRuleCfg!R832,FALSE)</f>
        <v>85</v>
      </c>
      <c r="P832" s="110">
        <v>5</v>
      </c>
      <c r="Q832" s="110">
        <f t="shared" si="166"/>
        <v>8</v>
      </c>
      <c r="R832" s="110">
        <v>1</v>
      </c>
    </row>
    <row r="833" spans="2:18" x14ac:dyDescent="0.2">
      <c r="G833" s="102" t="str">
        <f t="shared" si="173"/>
        <v/>
      </c>
      <c r="H833" s="57">
        <f t="shared" si="162"/>
        <v>0</v>
      </c>
      <c r="I833" s="102">
        <f>VLOOKUP(P833&amp;"_"&amp;Q833,活动关卡!$A$4:$Z$27,3+5*MonsterWaveCallRuleCfg!R833,FALSE)</f>
        <v>55</v>
      </c>
      <c r="J833" s="102">
        <f>VLOOKUP(P833&amp;"_"&amp;Q833,活动关卡!$A$4:$Z$27,4+5*MonsterWaveCallRuleCfg!R833,FALSE)</f>
        <v>0.5</v>
      </c>
      <c r="K833" s="102">
        <f t="shared" si="174"/>
        <v>1</v>
      </c>
      <c r="L833" s="102" t="str">
        <f>IF(VLOOKUP(P833&amp;"_"&amp;Q833,活动关卡!$A$4:$Z$27,2+5*R833,FALSE)="","","Monster_Season1_Challenge"&amp;P833&amp;"_"&amp;Q833&amp;"_"&amp;R833)</f>
        <v>Monster_Season1_Challenge5_8_2</v>
      </c>
      <c r="M833" s="57">
        <f t="shared" si="175"/>
        <v>1</v>
      </c>
      <c r="O833" s="102">
        <f>VLOOKUP(P833&amp;"_"&amp;Q833,活动关卡!$A$4:$Z$27,6+5*MonsterWaveCallRuleCfg!R833,FALSE)</f>
        <v>2</v>
      </c>
      <c r="P833" s="110">
        <v>5</v>
      </c>
      <c r="Q833" s="110">
        <f t="shared" si="166"/>
        <v>8</v>
      </c>
      <c r="R833" s="110">
        <v>2</v>
      </c>
    </row>
    <row r="834" spans="2:18" x14ac:dyDescent="0.2">
      <c r="G834" s="102" t="str">
        <f t="shared" si="173"/>
        <v/>
      </c>
      <c r="H834" s="57">
        <f t="shared" si="162"/>
        <v>0</v>
      </c>
      <c r="I834" s="102">
        <f>VLOOKUP(P834&amp;"_"&amp;Q834,活动关卡!$A$4:$Z$27,3+5*MonsterWaveCallRuleCfg!R834,FALSE)</f>
        <v>14</v>
      </c>
      <c r="J834" s="102">
        <f>VLOOKUP(P834&amp;"_"&amp;Q834,活动关卡!$A$4:$Z$27,4+5*MonsterWaveCallRuleCfg!R834,FALSE)</f>
        <v>2</v>
      </c>
      <c r="K834" s="102">
        <f t="shared" si="174"/>
        <v>1</v>
      </c>
      <c r="L834" s="102" t="str">
        <f>IF(VLOOKUP(P834&amp;"_"&amp;Q834,活动关卡!$A$4:$Z$27,2+5*R834,FALSE)="","","Monster_Season1_Challenge"&amp;P834&amp;"_"&amp;Q834&amp;"_"&amp;R834)</f>
        <v>Monster_Season1_Challenge5_8_3</v>
      </c>
      <c r="M834" s="57">
        <f t="shared" si="175"/>
        <v>1</v>
      </c>
      <c r="O834" s="102">
        <f>VLOOKUP(P834&amp;"_"&amp;Q834,活动关卡!$A$4:$Z$27,6+5*MonsterWaveCallRuleCfg!R834,FALSE)</f>
        <v>4</v>
      </c>
      <c r="P834" s="110">
        <v>5</v>
      </c>
      <c r="Q834" s="110">
        <f t="shared" si="166"/>
        <v>8</v>
      </c>
      <c r="R834" s="110">
        <v>3</v>
      </c>
    </row>
    <row r="835" spans="2:18" x14ac:dyDescent="0.2">
      <c r="G835" s="102" t="str">
        <f t="shared" si="173"/>
        <v/>
      </c>
      <c r="H835" s="57">
        <f t="shared" si="162"/>
        <v>0</v>
      </c>
      <c r="I835" s="102">
        <f>VLOOKUP(P835&amp;"_"&amp;Q835,活动关卡!$A$4:$Z$27,3+5*MonsterWaveCallRuleCfg!R835,FALSE)</f>
        <v>9</v>
      </c>
      <c r="J835" s="102">
        <f>VLOOKUP(P835&amp;"_"&amp;Q835,活动关卡!$A$4:$Z$27,4+5*MonsterWaveCallRuleCfg!R835,FALSE)</f>
        <v>3</v>
      </c>
      <c r="K835" s="102">
        <f t="shared" si="174"/>
        <v>1</v>
      </c>
      <c r="L835" s="102" t="str">
        <f>IF(VLOOKUP(P835&amp;"_"&amp;Q835,活动关卡!$A$4:$Z$27,2+5*R835,FALSE)="","","Monster_Season1_Challenge"&amp;P835&amp;"_"&amp;Q835&amp;"_"&amp;R835)</f>
        <v>Monster_Season1_Challenge5_8_4</v>
      </c>
      <c r="M835" s="57">
        <f t="shared" si="175"/>
        <v>1</v>
      </c>
      <c r="O835" s="102">
        <f>VLOOKUP(P835&amp;"_"&amp;Q835,活动关卡!$A$4:$Z$27,6+5*MonsterWaveCallRuleCfg!R835,FALSE)</f>
        <v>4</v>
      </c>
      <c r="P835" s="110">
        <v>5</v>
      </c>
      <c r="Q835" s="110">
        <f t="shared" si="166"/>
        <v>8</v>
      </c>
      <c r="R835" s="110">
        <v>4</v>
      </c>
    </row>
    <row r="836" spans="2:18" s="166" customFormat="1" x14ac:dyDescent="0.2"/>
    <row r="837" spans="2:18" x14ac:dyDescent="0.2">
      <c r="B837" s="57" t="str">
        <f t="shared" ref="B837:B868" si="176">IF(C837="","","MonsterWaveCallRule_Season2_Challenge"&amp;P837)</f>
        <v>MonsterWaveCallRule_Season2_Challenge1</v>
      </c>
      <c r="C837" s="57">
        <v>1</v>
      </c>
      <c r="D837" s="57" t="str">
        <f t="shared" ref="D837:D868" si="177">IF(C837="","","赛季2关卡"&amp;P837&amp;"第"&amp;C837&amp;"波")</f>
        <v>赛季2关卡1第1波</v>
      </c>
      <c r="F837" s="57">
        <f t="shared" ref="F837:F900" si="178">IF(C837="","",0)</f>
        <v>0</v>
      </c>
      <c r="G837" s="102">
        <f>IF(C837="","",180)</f>
        <v>180</v>
      </c>
      <c r="H837" s="57">
        <f t="shared" ref="H837:H900" si="179">IF(I837="","",0)</f>
        <v>0</v>
      </c>
      <c r="I837" s="102">
        <f>VLOOKUP(P837&amp;"_"&amp;Q837,活动关卡!$A$32:$Z$55,3+5*MonsterWaveCallRuleCfg!R837,FALSE)</f>
        <v>5</v>
      </c>
      <c r="J837" s="102">
        <f>VLOOKUP(P837&amp;"_"&amp;Q837,活动关卡!$A$32:$Z$55,4+5*MonsterWaveCallRuleCfg!R837,FALSE)</f>
        <v>2</v>
      </c>
      <c r="K837" s="102">
        <f t="shared" ref="K837:K900" si="180">IF(I837="","",1)</f>
        <v>1</v>
      </c>
      <c r="L837" s="102" t="str">
        <f>IF(VLOOKUP(P837&amp;"_"&amp;Q837,活动关卡!$A$32:$Z$55,2+5*R837,FALSE)="","","Monster_Season2_Challenge"&amp;P837&amp;"_"&amp;Q837&amp;"_"&amp;R837)</f>
        <v>Monster_Season2_Challenge1_1_1</v>
      </c>
      <c r="M837" s="57">
        <f t="shared" ref="M837:M900" si="181">IF(I837="","",1)</f>
        <v>1</v>
      </c>
      <c r="O837" s="102">
        <f>VLOOKUP(P837&amp;"_"&amp;Q837,活动关卡!$A$4:$Z$27,6+5*MonsterWaveCallRuleCfg!R837,FALSE)</f>
        <v>18</v>
      </c>
      <c r="P837" s="110">
        <v>1</v>
      </c>
      <c r="Q837" s="110">
        <f>C837</f>
        <v>1</v>
      </c>
      <c r="R837" s="110">
        <v>1</v>
      </c>
    </row>
    <row r="838" spans="2:18" x14ac:dyDescent="0.2">
      <c r="B838" s="57" t="str">
        <f t="shared" si="176"/>
        <v/>
      </c>
      <c r="D838" s="57" t="str">
        <f t="shared" si="177"/>
        <v/>
      </c>
      <c r="F838" s="57" t="str">
        <f t="shared" si="178"/>
        <v/>
      </c>
      <c r="G838" s="102" t="str">
        <f t="shared" ref="G838:G901" si="182">IF(C838="","",180)</f>
        <v/>
      </c>
      <c r="H838" s="57">
        <f t="shared" si="179"/>
        <v>0</v>
      </c>
      <c r="I838" s="102">
        <f>VLOOKUP(P838&amp;"_"&amp;Q838,活动关卡!$A$32:$Z$55,3+5*MonsterWaveCallRuleCfg!R838,FALSE)</f>
        <v>2</v>
      </c>
      <c r="J838" s="102">
        <f>VLOOKUP(P838&amp;"_"&amp;Q838,活动关卡!$A$32:$Z$55,4+5*MonsterWaveCallRuleCfg!R838,FALSE)</f>
        <v>6</v>
      </c>
      <c r="K838" s="102">
        <f t="shared" si="180"/>
        <v>1</v>
      </c>
      <c r="L838" s="102" t="str">
        <f>IF(VLOOKUP(P838&amp;"_"&amp;Q838,活动关卡!$A$32:$Z$55,2+5*R838,FALSE)="","","Monster_Season2_Challenge"&amp;P838&amp;"_"&amp;Q838&amp;"_"&amp;R838)</f>
        <v>Monster_Season2_Challenge1_1_2</v>
      </c>
      <c r="M838" s="57">
        <f t="shared" si="181"/>
        <v>1</v>
      </c>
      <c r="O838" s="102">
        <f>VLOOKUP(P838&amp;"_"&amp;Q838,活动关卡!$A$4:$Z$27,6+5*MonsterWaveCallRuleCfg!R838,FALSE)</f>
        <v>71</v>
      </c>
      <c r="P838" s="110">
        <v>1</v>
      </c>
      <c r="Q838" s="110">
        <f>IF(C838="",Q837,C838)</f>
        <v>1</v>
      </c>
      <c r="R838" s="110">
        <v>2</v>
      </c>
    </row>
    <row r="839" spans="2:18" x14ac:dyDescent="0.2">
      <c r="B839" s="57" t="str">
        <f t="shared" si="176"/>
        <v/>
      </c>
      <c r="D839" s="57" t="str">
        <f t="shared" si="177"/>
        <v/>
      </c>
      <c r="F839" s="57" t="str">
        <f t="shared" si="178"/>
        <v/>
      </c>
      <c r="G839" s="102" t="str">
        <f t="shared" si="182"/>
        <v/>
      </c>
      <c r="H839" s="57" t="str">
        <f t="shared" si="179"/>
        <v/>
      </c>
      <c r="I839" s="102" t="str">
        <f>VLOOKUP(P839&amp;"_"&amp;Q839,活动关卡!$A$32:$Z$55,3+5*MonsterWaveCallRuleCfg!R839,FALSE)</f>
        <v/>
      </c>
      <c r="J839" s="102" t="str">
        <f>VLOOKUP(P839&amp;"_"&amp;Q839,活动关卡!$A$32:$Z$55,4+5*MonsterWaveCallRuleCfg!R839,FALSE)</f>
        <v/>
      </c>
      <c r="K839" s="102" t="str">
        <f t="shared" si="180"/>
        <v/>
      </c>
      <c r="L839" s="102" t="str">
        <f>IF(VLOOKUP(P839&amp;"_"&amp;Q839,活动关卡!$A$32:$Z$55,2+5*R839,FALSE)="","","Monster_Season2_Challenge"&amp;P839&amp;"_"&amp;Q839&amp;"_"&amp;R839)</f>
        <v/>
      </c>
      <c r="M839" s="57" t="str">
        <f t="shared" si="181"/>
        <v/>
      </c>
      <c r="O839" s="102" t="str">
        <f>VLOOKUP(P839&amp;"_"&amp;Q839,活动关卡!$A$4:$Z$27,6+5*MonsterWaveCallRuleCfg!R839,FALSE)</f>
        <v/>
      </c>
      <c r="P839" s="110">
        <v>1</v>
      </c>
      <c r="Q839" s="110">
        <f t="shared" ref="Q839:Q902" si="183">IF(C839="",Q838,C839)</f>
        <v>1</v>
      </c>
      <c r="R839" s="110">
        <v>3</v>
      </c>
    </row>
    <row r="840" spans="2:18" x14ac:dyDescent="0.2">
      <c r="B840" s="57" t="str">
        <f t="shared" si="176"/>
        <v/>
      </c>
      <c r="D840" s="57" t="str">
        <f t="shared" si="177"/>
        <v/>
      </c>
      <c r="F840" s="57" t="str">
        <f t="shared" si="178"/>
        <v/>
      </c>
      <c r="G840" s="102" t="str">
        <f t="shared" si="182"/>
        <v/>
      </c>
      <c r="H840" s="57" t="str">
        <f t="shared" si="179"/>
        <v/>
      </c>
      <c r="I840" s="102" t="str">
        <f>VLOOKUP(P840&amp;"_"&amp;Q840,活动关卡!$A$32:$Z$55,3+5*MonsterWaveCallRuleCfg!R840,FALSE)</f>
        <v/>
      </c>
      <c r="J840" s="102" t="str">
        <f>VLOOKUP(P840&amp;"_"&amp;Q840,活动关卡!$A$32:$Z$55,4+5*MonsterWaveCallRuleCfg!R840,FALSE)</f>
        <v/>
      </c>
      <c r="K840" s="102" t="str">
        <f t="shared" si="180"/>
        <v/>
      </c>
      <c r="L840" s="102" t="str">
        <f>IF(VLOOKUP(P840&amp;"_"&amp;Q840,活动关卡!$A$32:$Z$55,2+5*R840,FALSE)="","","Monster_Season2_Challenge"&amp;P840&amp;"_"&amp;Q840&amp;"_"&amp;R840)</f>
        <v/>
      </c>
      <c r="M840" s="57" t="str">
        <f t="shared" si="181"/>
        <v/>
      </c>
      <c r="O840" s="102" t="str">
        <f>VLOOKUP(P840&amp;"_"&amp;Q840,活动关卡!$A$4:$Z$27,6+5*MonsterWaveCallRuleCfg!R840,FALSE)</f>
        <v/>
      </c>
      <c r="P840" s="110">
        <v>1</v>
      </c>
      <c r="Q840" s="110">
        <f t="shared" si="183"/>
        <v>1</v>
      </c>
      <c r="R840" s="110">
        <v>4</v>
      </c>
    </row>
    <row r="841" spans="2:18" x14ac:dyDescent="0.2">
      <c r="B841" s="57" t="str">
        <f t="shared" si="176"/>
        <v>MonsterWaveCallRule_Season2_Challenge1</v>
      </c>
      <c r="C841" s="57">
        <v>2</v>
      </c>
      <c r="D841" s="57" t="str">
        <f t="shared" si="177"/>
        <v>赛季2关卡1第2波</v>
      </c>
      <c r="F841" s="57">
        <f t="shared" si="178"/>
        <v>0</v>
      </c>
      <c r="G841" s="102">
        <f t="shared" si="182"/>
        <v>180</v>
      </c>
      <c r="H841" s="57">
        <f t="shared" si="179"/>
        <v>0</v>
      </c>
      <c r="I841" s="102">
        <f>VLOOKUP(P841&amp;"_"&amp;Q841,活动关卡!$A$32:$Z$55,3+5*MonsterWaveCallRuleCfg!R841,FALSE)</f>
        <v>25</v>
      </c>
      <c r="J841" s="102">
        <f>VLOOKUP(P841&amp;"_"&amp;Q841,活动关卡!$A$32:$Z$55,4+5*MonsterWaveCallRuleCfg!R841,FALSE)</f>
        <v>0.5</v>
      </c>
      <c r="K841" s="102">
        <f t="shared" si="180"/>
        <v>1</v>
      </c>
      <c r="L841" s="102" t="str">
        <f>IF(VLOOKUP(P841&amp;"_"&amp;Q841,活动关卡!$A$32:$Z$55,2+5*R841,FALSE)="","","Monster_Season2_Challenge"&amp;P841&amp;"_"&amp;Q841&amp;"_"&amp;R841)</f>
        <v>Monster_Season2_Challenge1_2_1</v>
      </c>
      <c r="M841" s="57">
        <f t="shared" si="181"/>
        <v>1</v>
      </c>
      <c r="O841" s="102">
        <f>VLOOKUP(P841&amp;"_"&amp;Q841,活动关卡!$A$4:$Z$27,6+5*MonsterWaveCallRuleCfg!R841,FALSE)</f>
        <v>7</v>
      </c>
      <c r="P841" s="110">
        <v>1</v>
      </c>
      <c r="Q841" s="110">
        <f t="shared" si="183"/>
        <v>2</v>
      </c>
      <c r="R841" s="110">
        <v>1</v>
      </c>
    </row>
    <row r="842" spans="2:18" x14ac:dyDescent="0.2">
      <c r="B842" s="57" t="str">
        <f t="shared" si="176"/>
        <v/>
      </c>
      <c r="D842" s="57" t="str">
        <f t="shared" si="177"/>
        <v/>
      </c>
      <c r="F842" s="57" t="str">
        <f t="shared" si="178"/>
        <v/>
      </c>
      <c r="G842" s="102" t="str">
        <f t="shared" si="182"/>
        <v/>
      </c>
      <c r="H842" s="57">
        <f t="shared" si="179"/>
        <v>0</v>
      </c>
      <c r="I842" s="102">
        <f>VLOOKUP(P842&amp;"_"&amp;Q842,活动关卡!$A$32:$Z$55,3+5*MonsterWaveCallRuleCfg!R842,FALSE)</f>
        <v>2</v>
      </c>
      <c r="J842" s="102">
        <f>VLOOKUP(P842&amp;"_"&amp;Q842,活动关卡!$A$32:$Z$55,4+5*MonsterWaveCallRuleCfg!R842,FALSE)</f>
        <v>6</v>
      </c>
      <c r="K842" s="102">
        <f t="shared" si="180"/>
        <v>1</v>
      </c>
      <c r="L842" s="102" t="str">
        <f>IF(VLOOKUP(P842&amp;"_"&amp;Q842,活动关卡!$A$32:$Z$55,2+5*R842,FALSE)="","","Monster_Season2_Challenge"&amp;P842&amp;"_"&amp;Q842&amp;"_"&amp;R842)</f>
        <v>Monster_Season2_Challenge1_2_2</v>
      </c>
      <c r="M842" s="57">
        <f t="shared" si="181"/>
        <v>1</v>
      </c>
      <c r="O842" s="102">
        <f>VLOOKUP(P842&amp;"_"&amp;Q842,活动关卡!$A$4:$Z$27,6+5*MonsterWaveCallRuleCfg!R842,FALSE)</f>
        <v>29</v>
      </c>
      <c r="P842" s="110">
        <v>1</v>
      </c>
      <c r="Q842" s="110">
        <f t="shared" si="183"/>
        <v>2</v>
      </c>
      <c r="R842" s="110">
        <v>2</v>
      </c>
    </row>
    <row r="843" spans="2:18" x14ac:dyDescent="0.2">
      <c r="B843" s="57" t="str">
        <f t="shared" si="176"/>
        <v/>
      </c>
      <c r="D843" s="57" t="str">
        <f t="shared" si="177"/>
        <v/>
      </c>
      <c r="F843" s="57" t="str">
        <f t="shared" si="178"/>
        <v/>
      </c>
      <c r="G843" s="102" t="str">
        <f t="shared" si="182"/>
        <v/>
      </c>
      <c r="H843" s="57" t="str">
        <f t="shared" si="179"/>
        <v/>
      </c>
      <c r="I843" s="102" t="str">
        <f>VLOOKUP(P843&amp;"_"&amp;Q843,活动关卡!$A$32:$Z$55,3+5*MonsterWaveCallRuleCfg!R843,FALSE)</f>
        <v/>
      </c>
      <c r="J843" s="102" t="str">
        <f>VLOOKUP(P843&amp;"_"&amp;Q843,活动关卡!$A$32:$Z$55,4+5*MonsterWaveCallRuleCfg!R843,FALSE)</f>
        <v/>
      </c>
      <c r="K843" s="102" t="str">
        <f t="shared" si="180"/>
        <v/>
      </c>
      <c r="L843" s="102" t="str">
        <f>IF(VLOOKUP(P843&amp;"_"&amp;Q843,活动关卡!$A$32:$Z$55,2+5*R843,FALSE)="","","Monster_Season2_Challenge"&amp;P843&amp;"_"&amp;Q843&amp;"_"&amp;R843)</f>
        <v/>
      </c>
      <c r="M843" s="57" t="str">
        <f t="shared" si="181"/>
        <v/>
      </c>
      <c r="O843" s="102" t="str">
        <f>VLOOKUP(P843&amp;"_"&amp;Q843,活动关卡!$A$4:$Z$27,6+5*MonsterWaveCallRuleCfg!R843,FALSE)</f>
        <v/>
      </c>
      <c r="P843" s="110">
        <v>1</v>
      </c>
      <c r="Q843" s="110">
        <f t="shared" si="183"/>
        <v>2</v>
      </c>
      <c r="R843" s="110">
        <v>3</v>
      </c>
    </row>
    <row r="844" spans="2:18" x14ac:dyDescent="0.2">
      <c r="B844" s="57" t="str">
        <f t="shared" si="176"/>
        <v/>
      </c>
      <c r="D844" s="57" t="str">
        <f t="shared" si="177"/>
        <v/>
      </c>
      <c r="F844" s="57" t="str">
        <f t="shared" si="178"/>
        <v/>
      </c>
      <c r="G844" s="102" t="str">
        <f t="shared" si="182"/>
        <v/>
      </c>
      <c r="H844" s="57" t="str">
        <f t="shared" si="179"/>
        <v/>
      </c>
      <c r="I844" s="102" t="str">
        <f>VLOOKUP(P844&amp;"_"&amp;Q844,活动关卡!$A$32:$Z$55,3+5*MonsterWaveCallRuleCfg!R844,FALSE)</f>
        <v/>
      </c>
      <c r="J844" s="102" t="str">
        <f>VLOOKUP(P844&amp;"_"&amp;Q844,活动关卡!$A$32:$Z$55,4+5*MonsterWaveCallRuleCfg!R844,FALSE)</f>
        <v/>
      </c>
      <c r="K844" s="102" t="str">
        <f t="shared" si="180"/>
        <v/>
      </c>
      <c r="L844" s="102" t="str">
        <f>IF(VLOOKUP(P844&amp;"_"&amp;Q844,活动关卡!$A$32:$Z$55,2+5*R844,FALSE)="","","Monster_Season2_Challenge"&amp;P844&amp;"_"&amp;Q844&amp;"_"&amp;R844)</f>
        <v/>
      </c>
      <c r="M844" s="57" t="str">
        <f t="shared" si="181"/>
        <v/>
      </c>
      <c r="O844" s="102" t="str">
        <f>VLOOKUP(P844&amp;"_"&amp;Q844,活动关卡!$A$4:$Z$27,6+5*MonsterWaveCallRuleCfg!R844,FALSE)</f>
        <v/>
      </c>
      <c r="P844" s="110">
        <v>1</v>
      </c>
      <c r="Q844" s="110">
        <f t="shared" si="183"/>
        <v>2</v>
      </c>
      <c r="R844" s="110">
        <v>4</v>
      </c>
    </row>
    <row r="845" spans="2:18" x14ac:dyDescent="0.2">
      <c r="B845" s="57" t="str">
        <f t="shared" si="176"/>
        <v>MonsterWaveCallRule_Season2_Challenge1</v>
      </c>
      <c r="C845" s="57">
        <v>3</v>
      </c>
      <c r="D845" s="57" t="str">
        <f t="shared" si="177"/>
        <v>赛季2关卡1第3波</v>
      </c>
      <c r="F845" s="57">
        <f t="shared" si="178"/>
        <v>0</v>
      </c>
      <c r="G845" s="102">
        <f t="shared" si="182"/>
        <v>180</v>
      </c>
      <c r="H845" s="57">
        <f t="shared" si="179"/>
        <v>0</v>
      </c>
      <c r="I845" s="102">
        <f>VLOOKUP(P845&amp;"_"&amp;Q845,活动关卡!$A$32:$Z$55,3+5*MonsterWaveCallRuleCfg!R845,FALSE)</f>
        <v>30</v>
      </c>
      <c r="J845" s="102">
        <f>VLOOKUP(P845&amp;"_"&amp;Q845,活动关卡!$A$32:$Z$55,4+5*MonsterWaveCallRuleCfg!R845,FALSE)</f>
        <v>0.5</v>
      </c>
      <c r="K845" s="102">
        <f t="shared" si="180"/>
        <v>1</v>
      </c>
      <c r="L845" s="102" t="str">
        <f>IF(VLOOKUP(P845&amp;"_"&amp;Q845,活动关卡!$A$32:$Z$55,2+5*R845,FALSE)="","","Monster_Season2_Challenge"&amp;P845&amp;"_"&amp;Q845&amp;"_"&amp;R845)</f>
        <v>Monster_Season2_Challenge1_3_1</v>
      </c>
      <c r="M845" s="57">
        <f t="shared" si="181"/>
        <v>1</v>
      </c>
      <c r="O845" s="102">
        <f>VLOOKUP(P845&amp;"_"&amp;Q845,活动关卡!$A$4:$Z$27,6+5*MonsterWaveCallRuleCfg!R845,FALSE)</f>
        <v>3</v>
      </c>
      <c r="P845" s="110">
        <v>1</v>
      </c>
      <c r="Q845" s="110">
        <f t="shared" si="183"/>
        <v>3</v>
      </c>
      <c r="R845" s="110">
        <v>1</v>
      </c>
    </row>
    <row r="846" spans="2:18" x14ac:dyDescent="0.2">
      <c r="B846" s="57" t="str">
        <f t="shared" si="176"/>
        <v/>
      </c>
      <c r="D846" s="57" t="str">
        <f t="shared" si="177"/>
        <v/>
      </c>
      <c r="F846" s="57" t="str">
        <f t="shared" si="178"/>
        <v/>
      </c>
      <c r="G846" s="102" t="str">
        <f t="shared" si="182"/>
        <v/>
      </c>
      <c r="H846" s="57">
        <f t="shared" si="179"/>
        <v>0</v>
      </c>
      <c r="I846" s="102">
        <f>VLOOKUP(P846&amp;"_"&amp;Q846,活动关卡!$A$32:$Z$55,3+5*MonsterWaveCallRuleCfg!R846,FALSE)</f>
        <v>5</v>
      </c>
      <c r="J846" s="102">
        <f>VLOOKUP(P846&amp;"_"&amp;Q846,活动关卡!$A$32:$Z$55,4+5*MonsterWaveCallRuleCfg!R846,FALSE)</f>
        <v>3</v>
      </c>
      <c r="K846" s="102">
        <f t="shared" si="180"/>
        <v>1</v>
      </c>
      <c r="L846" s="102" t="str">
        <f>IF(VLOOKUP(P846&amp;"_"&amp;Q846,活动关卡!$A$32:$Z$55,2+5*R846,FALSE)="","","Monster_Season2_Challenge"&amp;P846&amp;"_"&amp;Q846&amp;"_"&amp;R846)</f>
        <v>Monster_Season2_Challenge1_3_2</v>
      </c>
      <c r="M846" s="57">
        <f t="shared" si="181"/>
        <v>1</v>
      </c>
      <c r="O846" s="102">
        <f>VLOOKUP(P846&amp;"_"&amp;Q846,活动关卡!$A$4:$Z$27,6+5*MonsterWaveCallRuleCfg!R846,FALSE)</f>
        <v>13</v>
      </c>
      <c r="P846" s="110">
        <v>1</v>
      </c>
      <c r="Q846" s="110">
        <f t="shared" si="183"/>
        <v>3</v>
      </c>
      <c r="R846" s="110">
        <v>2</v>
      </c>
    </row>
    <row r="847" spans="2:18" x14ac:dyDescent="0.2">
      <c r="B847" s="57" t="str">
        <f t="shared" si="176"/>
        <v/>
      </c>
      <c r="D847" s="57" t="str">
        <f t="shared" si="177"/>
        <v/>
      </c>
      <c r="F847" s="57" t="str">
        <f t="shared" si="178"/>
        <v/>
      </c>
      <c r="G847" s="102" t="str">
        <f t="shared" si="182"/>
        <v/>
      </c>
      <c r="H847" s="57">
        <f t="shared" si="179"/>
        <v>0</v>
      </c>
      <c r="I847" s="102">
        <f>VLOOKUP(P847&amp;"_"&amp;Q847,活动关卡!$A$32:$Z$55,3+5*MonsterWaveCallRuleCfg!R847,FALSE)</f>
        <v>3</v>
      </c>
      <c r="J847" s="102">
        <f>VLOOKUP(P847&amp;"_"&amp;Q847,活动关卡!$A$32:$Z$55,4+5*MonsterWaveCallRuleCfg!R847,FALSE)</f>
        <v>6</v>
      </c>
      <c r="K847" s="102">
        <f t="shared" si="180"/>
        <v>1</v>
      </c>
      <c r="L847" s="102" t="str">
        <f>IF(VLOOKUP(P847&amp;"_"&amp;Q847,活动关卡!$A$32:$Z$55,2+5*R847,FALSE)="","","Monster_Season2_Challenge"&amp;P847&amp;"_"&amp;Q847&amp;"_"&amp;R847)</f>
        <v>Monster_Season2_Challenge1_3_3</v>
      </c>
      <c r="M847" s="57">
        <f t="shared" si="181"/>
        <v>1</v>
      </c>
      <c r="O847" s="102">
        <f>VLOOKUP(P847&amp;"_"&amp;Q847,活动关卡!$A$4:$Z$27,6+5*MonsterWaveCallRuleCfg!R847,FALSE)</f>
        <v>13</v>
      </c>
      <c r="P847" s="110">
        <v>1</v>
      </c>
      <c r="Q847" s="110">
        <f t="shared" si="183"/>
        <v>3</v>
      </c>
      <c r="R847" s="110">
        <v>3</v>
      </c>
    </row>
    <row r="848" spans="2:18" x14ac:dyDescent="0.2">
      <c r="B848" s="57" t="str">
        <f t="shared" si="176"/>
        <v/>
      </c>
      <c r="D848" s="57" t="str">
        <f t="shared" si="177"/>
        <v/>
      </c>
      <c r="F848" s="57" t="str">
        <f t="shared" si="178"/>
        <v/>
      </c>
      <c r="G848" s="102" t="str">
        <f t="shared" si="182"/>
        <v/>
      </c>
      <c r="H848" s="57" t="str">
        <f t="shared" si="179"/>
        <v/>
      </c>
      <c r="I848" s="102" t="str">
        <f>VLOOKUP(P848&amp;"_"&amp;Q848,活动关卡!$A$32:$Z$55,3+5*MonsterWaveCallRuleCfg!R848,FALSE)</f>
        <v/>
      </c>
      <c r="J848" s="102" t="str">
        <f>VLOOKUP(P848&amp;"_"&amp;Q848,活动关卡!$A$32:$Z$55,4+5*MonsterWaveCallRuleCfg!R848,FALSE)</f>
        <v/>
      </c>
      <c r="K848" s="102" t="str">
        <f t="shared" si="180"/>
        <v/>
      </c>
      <c r="L848" s="102" t="str">
        <f>IF(VLOOKUP(P848&amp;"_"&amp;Q848,活动关卡!$A$32:$Z$55,2+5*R848,FALSE)="","","Monster_Season2_Challenge"&amp;P848&amp;"_"&amp;Q848&amp;"_"&amp;R848)</f>
        <v/>
      </c>
      <c r="M848" s="57" t="str">
        <f t="shared" si="181"/>
        <v/>
      </c>
      <c r="O848" s="102" t="str">
        <f>VLOOKUP(P848&amp;"_"&amp;Q848,活动关卡!$A$4:$Z$27,6+5*MonsterWaveCallRuleCfg!R848,FALSE)</f>
        <v/>
      </c>
      <c r="P848" s="110">
        <v>1</v>
      </c>
      <c r="Q848" s="110">
        <f t="shared" si="183"/>
        <v>3</v>
      </c>
      <c r="R848" s="110">
        <v>4</v>
      </c>
    </row>
    <row r="849" spans="2:18" x14ac:dyDescent="0.2">
      <c r="B849" s="57" t="str">
        <f t="shared" si="176"/>
        <v>MonsterWaveCallRule_Season2_Challenge1</v>
      </c>
      <c r="C849" s="57">
        <v>4</v>
      </c>
      <c r="D849" s="57" t="str">
        <f t="shared" si="177"/>
        <v>赛季2关卡1第4波</v>
      </c>
      <c r="F849" s="57">
        <f t="shared" si="178"/>
        <v>0</v>
      </c>
      <c r="G849" s="102">
        <f t="shared" si="182"/>
        <v>180</v>
      </c>
      <c r="H849" s="57" t="e">
        <f t="shared" si="179"/>
        <v>#N/A</v>
      </c>
      <c r="I849" s="102" t="e">
        <f>VLOOKUP(P849&amp;"_"&amp;Q849,活动关卡!$A$32:$Z$55,3+5*MonsterWaveCallRuleCfg!R849,FALSE)</f>
        <v>#N/A</v>
      </c>
      <c r="J849" s="102" t="e">
        <f>VLOOKUP(P849&amp;"_"&amp;Q849,活动关卡!$A$32:$Z$55,4+5*MonsterWaveCallRuleCfg!R849,FALSE)</f>
        <v>#N/A</v>
      </c>
      <c r="K849" s="102" t="e">
        <f t="shared" si="180"/>
        <v>#N/A</v>
      </c>
      <c r="L849" s="102" t="e">
        <f>IF(VLOOKUP(P849&amp;"_"&amp;Q849,活动关卡!$A$32:$Z$55,2+5*R849,FALSE)="","","Monster_Season2_Challenge"&amp;P849&amp;"_"&amp;Q849&amp;"_"&amp;R849)</f>
        <v>#N/A</v>
      </c>
      <c r="M849" s="57" t="e">
        <f t="shared" si="181"/>
        <v>#N/A</v>
      </c>
      <c r="O849" s="102" t="e">
        <f>VLOOKUP(P849&amp;"_"&amp;Q849,活动关卡!$A$4:$Z$27,6+5*MonsterWaveCallRuleCfg!R849,FALSE)</f>
        <v>#N/A</v>
      </c>
      <c r="P849" s="110">
        <v>1</v>
      </c>
      <c r="Q849" s="110">
        <f t="shared" si="183"/>
        <v>4</v>
      </c>
      <c r="R849" s="110">
        <v>1</v>
      </c>
    </row>
    <row r="850" spans="2:18" x14ac:dyDescent="0.2">
      <c r="B850" s="57" t="str">
        <f t="shared" si="176"/>
        <v/>
      </c>
      <c r="D850" s="57" t="str">
        <f t="shared" si="177"/>
        <v/>
      </c>
      <c r="F850" s="57" t="str">
        <f t="shared" si="178"/>
        <v/>
      </c>
      <c r="G850" s="102" t="str">
        <f t="shared" si="182"/>
        <v/>
      </c>
      <c r="H850" s="57" t="e">
        <f t="shared" si="179"/>
        <v>#N/A</v>
      </c>
      <c r="I850" s="102" t="e">
        <f>VLOOKUP(P850&amp;"_"&amp;Q850,活动关卡!$A$32:$Z$55,3+5*MonsterWaveCallRuleCfg!R850,FALSE)</f>
        <v>#N/A</v>
      </c>
      <c r="J850" s="102" t="e">
        <f>VLOOKUP(P850&amp;"_"&amp;Q850,活动关卡!$A$32:$Z$55,4+5*MonsterWaveCallRuleCfg!R850,FALSE)</f>
        <v>#N/A</v>
      </c>
      <c r="K850" s="102" t="e">
        <f t="shared" si="180"/>
        <v>#N/A</v>
      </c>
      <c r="L850" s="102" t="e">
        <f>IF(VLOOKUP(P850&amp;"_"&amp;Q850,活动关卡!$A$32:$Z$55,2+5*R850,FALSE)="","","Monster_Season2_Challenge"&amp;P850&amp;"_"&amp;Q850&amp;"_"&amp;R850)</f>
        <v>#N/A</v>
      </c>
      <c r="M850" s="57" t="e">
        <f t="shared" si="181"/>
        <v>#N/A</v>
      </c>
      <c r="O850" s="102" t="e">
        <f>VLOOKUP(P850&amp;"_"&amp;Q850,活动关卡!$A$4:$Z$27,6+5*MonsterWaveCallRuleCfg!R850,FALSE)</f>
        <v>#N/A</v>
      </c>
      <c r="P850" s="110">
        <v>1</v>
      </c>
      <c r="Q850" s="110">
        <f t="shared" si="183"/>
        <v>4</v>
      </c>
      <c r="R850" s="110">
        <v>2</v>
      </c>
    </row>
    <row r="851" spans="2:18" x14ac:dyDescent="0.2">
      <c r="B851" s="57" t="str">
        <f t="shared" si="176"/>
        <v/>
      </c>
      <c r="D851" s="57" t="str">
        <f t="shared" si="177"/>
        <v/>
      </c>
      <c r="F851" s="57" t="str">
        <f t="shared" si="178"/>
        <v/>
      </c>
      <c r="G851" s="102" t="str">
        <f t="shared" si="182"/>
        <v/>
      </c>
      <c r="H851" s="57" t="e">
        <f t="shared" si="179"/>
        <v>#N/A</v>
      </c>
      <c r="I851" s="102" t="e">
        <f>VLOOKUP(P851&amp;"_"&amp;Q851,活动关卡!$A$32:$Z$55,3+5*MonsterWaveCallRuleCfg!R851,FALSE)</f>
        <v>#N/A</v>
      </c>
      <c r="J851" s="102" t="e">
        <f>VLOOKUP(P851&amp;"_"&amp;Q851,活动关卡!$A$32:$Z$55,4+5*MonsterWaveCallRuleCfg!R851,FALSE)</f>
        <v>#N/A</v>
      </c>
      <c r="K851" s="102" t="e">
        <f t="shared" si="180"/>
        <v>#N/A</v>
      </c>
      <c r="L851" s="102" t="e">
        <f>IF(VLOOKUP(P851&amp;"_"&amp;Q851,活动关卡!$A$32:$Z$55,2+5*R851,FALSE)="","","Monster_Season2_Challenge"&amp;P851&amp;"_"&amp;Q851&amp;"_"&amp;R851)</f>
        <v>#N/A</v>
      </c>
      <c r="M851" s="57" t="e">
        <f t="shared" si="181"/>
        <v>#N/A</v>
      </c>
      <c r="O851" s="102" t="e">
        <f>VLOOKUP(P851&amp;"_"&amp;Q851,活动关卡!$A$4:$Z$27,6+5*MonsterWaveCallRuleCfg!R851,FALSE)</f>
        <v>#N/A</v>
      </c>
      <c r="P851" s="110">
        <v>1</v>
      </c>
      <c r="Q851" s="110">
        <f t="shared" si="183"/>
        <v>4</v>
      </c>
      <c r="R851" s="110">
        <v>3</v>
      </c>
    </row>
    <row r="852" spans="2:18" x14ac:dyDescent="0.2">
      <c r="B852" s="57" t="str">
        <f t="shared" si="176"/>
        <v/>
      </c>
      <c r="D852" s="57" t="str">
        <f t="shared" si="177"/>
        <v/>
      </c>
      <c r="F852" s="57" t="str">
        <f t="shared" si="178"/>
        <v/>
      </c>
      <c r="G852" s="102" t="str">
        <f t="shared" si="182"/>
        <v/>
      </c>
      <c r="H852" s="57" t="e">
        <f t="shared" si="179"/>
        <v>#N/A</v>
      </c>
      <c r="I852" s="102" t="e">
        <f>VLOOKUP(P852&amp;"_"&amp;Q852,活动关卡!$A$32:$Z$55,3+5*MonsterWaveCallRuleCfg!R852,FALSE)</f>
        <v>#N/A</v>
      </c>
      <c r="J852" s="102" t="e">
        <f>VLOOKUP(P852&amp;"_"&amp;Q852,活动关卡!$A$32:$Z$55,4+5*MonsterWaveCallRuleCfg!R852,FALSE)</f>
        <v>#N/A</v>
      </c>
      <c r="K852" s="102" t="e">
        <f t="shared" si="180"/>
        <v>#N/A</v>
      </c>
      <c r="L852" s="102" t="e">
        <f>IF(VLOOKUP(P852&amp;"_"&amp;Q852,活动关卡!$A$32:$Z$55,2+5*R852,FALSE)="","","Monster_Season2_Challenge"&amp;P852&amp;"_"&amp;Q852&amp;"_"&amp;R852)</f>
        <v>#N/A</v>
      </c>
      <c r="M852" s="57" t="e">
        <f t="shared" si="181"/>
        <v>#N/A</v>
      </c>
      <c r="O852" s="102" t="e">
        <f>VLOOKUP(P852&amp;"_"&amp;Q852,活动关卡!$A$4:$Z$27,6+5*MonsterWaveCallRuleCfg!R852,FALSE)</f>
        <v>#N/A</v>
      </c>
      <c r="P852" s="110">
        <v>1</v>
      </c>
      <c r="Q852" s="110">
        <f t="shared" si="183"/>
        <v>4</v>
      </c>
      <c r="R852" s="110">
        <v>4</v>
      </c>
    </row>
    <row r="853" spans="2:18" x14ac:dyDescent="0.2">
      <c r="B853" s="57" t="str">
        <f t="shared" si="176"/>
        <v>MonsterWaveCallRule_Season2_Challenge1</v>
      </c>
      <c r="C853" s="57">
        <v>5</v>
      </c>
      <c r="D853" s="57" t="str">
        <f t="shared" si="177"/>
        <v>赛季2关卡1第5波</v>
      </c>
      <c r="F853" s="57">
        <f t="shared" si="178"/>
        <v>0</v>
      </c>
      <c r="G853" s="102">
        <f t="shared" si="182"/>
        <v>180</v>
      </c>
      <c r="H853" s="57" t="e">
        <f t="shared" si="179"/>
        <v>#N/A</v>
      </c>
      <c r="I853" s="102" t="e">
        <f>VLOOKUP(P853&amp;"_"&amp;Q853,活动关卡!$A$32:$Z$55,3+5*MonsterWaveCallRuleCfg!R853,FALSE)</f>
        <v>#N/A</v>
      </c>
      <c r="J853" s="102" t="e">
        <f>VLOOKUP(P853&amp;"_"&amp;Q853,活动关卡!$A$32:$Z$55,4+5*MonsterWaveCallRuleCfg!R853,FALSE)</f>
        <v>#N/A</v>
      </c>
      <c r="K853" s="102" t="e">
        <f t="shared" si="180"/>
        <v>#N/A</v>
      </c>
      <c r="L853" s="102" t="e">
        <f>IF(VLOOKUP(P853&amp;"_"&amp;Q853,活动关卡!$A$32:$Z$55,2+5*R853,FALSE)="","","Monster_Season2_Challenge"&amp;P853&amp;"_"&amp;Q853&amp;"_"&amp;R853)</f>
        <v>#N/A</v>
      </c>
      <c r="M853" s="57" t="e">
        <f t="shared" si="181"/>
        <v>#N/A</v>
      </c>
      <c r="O853" s="102" t="e">
        <f>VLOOKUP(P853&amp;"_"&amp;Q853,活动关卡!$A$4:$Z$27,6+5*MonsterWaveCallRuleCfg!R853,FALSE)</f>
        <v>#N/A</v>
      </c>
      <c r="P853" s="110">
        <v>1</v>
      </c>
      <c r="Q853" s="110">
        <f t="shared" si="183"/>
        <v>5</v>
      </c>
      <c r="R853" s="110">
        <v>1</v>
      </c>
    </row>
    <row r="854" spans="2:18" x14ac:dyDescent="0.2">
      <c r="B854" s="57" t="str">
        <f t="shared" si="176"/>
        <v/>
      </c>
      <c r="D854" s="57" t="str">
        <f t="shared" si="177"/>
        <v/>
      </c>
      <c r="F854" s="57" t="str">
        <f t="shared" si="178"/>
        <v/>
      </c>
      <c r="G854" s="102" t="str">
        <f t="shared" si="182"/>
        <v/>
      </c>
      <c r="H854" s="57" t="e">
        <f t="shared" si="179"/>
        <v>#N/A</v>
      </c>
      <c r="I854" s="102" t="e">
        <f>VLOOKUP(P854&amp;"_"&amp;Q854,活动关卡!$A$32:$Z$55,3+5*MonsterWaveCallRuleCfg!R854,FALSE)</f>
        <v>#N/A</v>
      </c>
      <c r="J854" s="102" t="e">
        <f>VLOOKUP(P854&amp;"_"&amp;Q854,活动关卡!$A$32:$Z$55,4+5*MonsterWaveCallRuleCfg!R854,FALSE)</f>
        <v>#N/A</v>
      </c>
      <c r="K854" s="102" t="e">
        <f t="shared" si="180"/>
        <v>#N/A</v>
      </c>
      <c r="L854" s="102" t="e">
        <f>IF(VLOOKUP(P854&amp;"_"&amp;Q854,活动关卡!$A$32:$Z$55,2+5*R854,FALSE)="","","Monster_Season2_Challenge"&amp;P854&amp;"_"&amp;Q854&amp;"_"&amp;R854)</f>
        <v>#N/A</v>
      </c>
      <c r="M854" s="57" t="e">
        <f t="shared" si="181"/>
        <v>#N/A</v>
      </c>
      <c r="O854" s="102" t="e">
        <f>VLOOKUP(P854&amp;"_"&amp;Q854,活动关卡!$A$4:$Z$27,6+5*MonsterWaveCallRuleCfg!R854,FALSE)</f>
        <v>#N/A</v>
      </c>
      <c r="P854" s="110">
        <v>1</v>
      </c>
      <c r="Q854" s="110">
        <f t="shared" si="183"/>
        <v>5</v>
      </c>
      <c r="R854" s="110">
        <v>2</v>
      </c>
    </row>
    <row r="855" spans="2:18" x14ac:dyDescent="0.2">
      <c r="B855" s="57" t="str">
        <f t="shared" si="176"/>
        <v/>
      </c>
      <c r="D855" s="57" t="str">
        <f t="shared" si="177"/>
        <v/>
      </c>
      <c r="F855" s="57" t="str">
        <f t="shared" si="178"/>
        <v/>
      </c>
      <c r="G855" s="102" t="str">
        <f t="shared" si="182"/>
        <v/>
      </c>
      <c r="H855" s="57" t="e">
        <f t="shared" si="179"/>
        <v>#N/A</v>
      </c>
      <c r="I855" s="102" t="e">
        <f>VLOOKUP(P855&amp;"_"&amp;Q855,活动关卡!$A$32:$Z$55,3+5*MonsterWaveCallRuleCfg!R855,FALSE)</f>
        <v>#N/A</v>
      </c>
      <c r="J855" s="102" t="e">
        <f>VLOOKUP(P855&amp;"_"&amp;Q855,活动关卡!$A$32:$Z$55,4+5*MonsterWaveCallRuleCfg!R855,FALSE)</f>
        <v>#N/A</v>
      </c>
      <c r="K855" s="102" t="e">
        <f t="shared" si="180"/>
        <v>#N/A</v>
      </c>
      <c r="L855" s="102" t="e">
        <f>IF(VLOOKUP(P855&amp;"_"&amp;Q855,活动关卡!$A$32:$Z$55,2+5*R855,FALSE)="","","Monster_Season2_Challenge"&amp;P855&amp;"_"&amp;Q855&amp;"_"&amp;R855)</f>
        <v>#N/A</v>
      </c>
      <c r="M855" s="57" t="e">
        <f t="shared" si="181"/>
        <v>#N/A</v>
      </c>
      <c r="O855" s="102" t="e">
        <f>VLOOKUP(P855&amp;"_"&amp;Q855,活动关卡!$A$4:$Z$27,6+5*MonsterWaveCallRuleCfg!R855,FALSE)</f>
        <v>#N/A</v>
      </c>
      <c r="P855" s="110">
        <v>1</v>
      </c>
      <c r="Q855" s="110">
        <f t="shared" si="183"/>
        <v>5</v>
      </c>
      <c r="R855" s="110">
        <v>3</v>
      </c>
    </row>
    <row r="856" spans="2:18" x14ac:dyDescent="0.2">
      <c r="B856" s="57" t="str">
        <f t="shared" si="176"/>
        <v/>
      </c>
      <c r="D856" s="57" t="str">
        <f t="shared" si="177"/>
        <v/>
      </c>
      <c r="F856" s="57" t="str">
        <f t="shared" si="178"/>
        <v/>
      </c>
      <c r="G856" s="102" t="str">
        <f t="shared" si="182"/>
        <v/>
      </c>
      <c r="H856" s="57" t="e">
        <f t="shared" si="179"/>
        <v>#N/A</v>
      </c>
      <c r="I856" s="102" t="e">
        <f>VLOOKUP(P856&amp;"_"&amp;Q856,活动关卡!$A$32:$Z$55,3+5*MonsterWaveCallRuleCfg!R856,FALSE)</f>
        <v>#N/A</v>
      </c>
      <c r="J856" s="102" t="e">
        <f>VLOOKUP(P856&amp;"_"&amp;Q856,活动关卡!$A$32:$Z$55,4+5*MonsterWaveCallRuleCfg!R856,FALSE)</f>
        <v>#N/A</v>
      </c>
      <c r="K856" s="102" t="e">
        <f t="shared" si="180"/>
        <v>#N/A</v>
      </c>
      <c r="L856" s="102" t="e">
        <f>IF(VLOOKUP(P856&amp;"_"&amp;Q856,活动关卡!$A$32:$Z$55,2+5*R856,FALSE)="","","Monster_Season2_Challenge"&amp;P856&amp;"_"&amp;Q856&amp;"_"&amp;R856)</f>
        <v>#N/A</v>
      </c>
      <c r="M856" s="57" t="e">
        <f t="shared" si="181"/>
        <v>#N/A</v>
      </c>
      <c r="O856" s="102" t="e">
        <f>VLOOKUP(P856&amp;"_"&amp;Q856,活动关卡!$A$4:$Z$27,6+5*MonsterWaveCallRuleCfg!R856,FALSE)</f>
        <v>#N/A</v>
      </c>
      <c r="P856" s="110">
        <v>1</v>
      </c>
      <c r="Q856" s="110">
        <f t="shared" si="183"/>
        <v>5</v>
      </c>
      <c r="R856" s="110">
        <v>4</v>
      </c>
    </row>
    <row r="857" spans="2:18" x14ac:dyDescent="0.2">
      <c r="B857" s="57" t="str">
        <f t="shared" si="176"/>
        <v>MonsterWaveCallRule_Season2_Challenge2</v>
      </c>
      <c r="C857" s="57">
        <v>1</v>
      </c>
      <c r="D857" s="57" t="str">
        <f t="shared" si="177"/>
        <v>赛季2关卡2第1波</v>
      </c>
      <c r="F857" s="57">
        <f t="shared" si="178"/>
        <v>0</v>
      </c>
      <c r="G857" s="102">
        <f t="shared" si="182"/>
        <v>180</v>
      </c>
      <c r="H857" s="57">
        <f t="shared" si="179"/>
        <v>0</v>
      </c>
      <c r="I857" s="102">
        <f>VLOOKUP(P857&amp;"_"&amp;Q857,活动关卡!$A$32:$Z$55,3+5*MonsterWaveCallRuleCfg!R857,FALSE)</f>
        <v>5</v>
      </c>
      <c r="J857" s="102">
        <f>VLOOKUP(P857&amp;"_"&amp;Q857,活动关卡!$A$32:$Z$55,4+5*MonsterWaveCallRuleCfg!R857,FALSE)</f>
        <v>2</v>
      </c>
      <c r="K857" s="102">
        <f t="shared" si="180"/>
        <v>1</v>
      </c>
      <c r="L857" s="102" t="str">
        <f>IF(VLOOKUP(P857&amp;"_"&amp;Q857,活动关卡!$A$32:$Z$55,2+5*R857,FALSE)="","","Monster_Season2_Challenge"&amp;P857&amp;"_"&amp;Q857&amp;"_"&amp;R857)</f>
        <v>Monster_Season2_Challenge2_1_1</v>
      </c>
      <c r="M857" s="57">
        <f t="shared" si="181"/>
        <v>1</v>
      </c>
      <c r="O857" s="102">
        <f>VLOOKUP(P857&amp;"_"&amp;Q857,活动关卡!$A$4:$Z$27,6+5*MonsterWaveCallRuleCfg!R857,FALSE)</f>
        <v>20</v>
      </c>
      <c r="P857" s="110">
        <v>2</v>
      </c>
      <c r="Q857" s="110">
        <f t="shared" si="183"/>
        <v>1</v>
      </c>
      <c r="R857" s="110">
        <v>1</v>
      </c>
    </row>
    <row r="858" spans="2:18" x14ac:dyDescent="0.2">
      <c r="B858" s="57" t="str">
        <f t="shared" si="176"/>
        <v/>
      </c>
      <c r="D858" s="57" t="str">
        <f t="shared" si="177"/>
        <v/>
      </c>
      <c r="F858" s="57" t="str">
        <f t="shared" si="178"/>
        <v/>
      </c>
      <c r="G858" s="102" t="str">
        <f t="shared" si="182"/>
        <v/>
      </c>
      <c r="H858" s="57">
        <f t="shared" si="179"/>
        <v>0</v>
      </c>
      <c r="I858" s="102">
        <f>VLOOKUP(P858&amp;"_"&amp;Q858,活动关卡!$A$32:$Z$55,3+5*MonsterWaveCallRuleCfg!R858,FALSE)</f>
        <v>2</v>
      </c>
      <c r="J858" s="102">
        <f>VLOOKUP(P858&amp;"_"&amp;Q858,活动关卡!$A$32:$Z$55,4+5*MonsterWaveCallRuleCfg!R858,FALSE)</f>
        <v>6</v>
      </c>
      <c r="K858" s="102">
        <f t="shared" si="180"/>
        <v>1</v>
      </c>
      <c r="L858" s="102" t="str">
        <f>IF(VLOOKUP(P858&amp;"_"&amp;Q858,活动关卡!$A$32:$Z$55,2+5*R858,FALSE)="","","Monster_Season2_Challenge"&amp;P858&amp;"_"&amp;Q858&amp;"_"&amp;R858)</f>
        <v>Monster_Season2_Challenge2_1_2</v>
      </c>
      <c r="M858" s="57">
        <f t="shared" si="181"/>
        <v>1</v>
      </c>
      <c r="O858" s="102">
        <f>VLOOKUP(P858&amp;"_"&amp;Q858,活动关卡!$A$4:$Z$27,6+5*MonsterWaveCallRuleCfg!R858,FALSE)</f>
        <v>40</v>
      </c>
      <c r="P858" s="110">
        <v>2</v>
      </c>
      <c r="Q858" s="110">
        <f t="shared" si="183"/>
        <v>1</v>
      </c>
      <c r="R858" s="110">
        <v>2</v>
      </c>
    </row>
    <row r="859" spans="2:18" x14ac:dyDescent="0.2">
      <c r="B859" s="57" t="str">
        <f t="shared" si="176"/>
        <v/>
      </c>
      <c r="D859" s="57" t="str">
        <f t="shared" si="177"/>
        <v/>
      </c>
      <c r="F859" s="57" t="str">
        <f t="shared" si="178"/>
        <v/>
      </c>
      <c r="G859" s="102" t="str">
        <f t="shared" si="182"/>
        <v/>
      </c>
      <c r="H859" s="57" t="str">
        <f t="shared" si="179"/>
        <v/>
      </c>
      <c r="I859" s="102" t="str">
        <f>VLOOKUP(P859&amp;"_"&amp;Q859,活动关卡!$A$32:$Z$55,3+5*MonsterWaveCallRuleCfg!R859,FALSE)</f>
        <v/>
      </c>
      <c r="J859" s="102" t="str">
        <f>VLOOKUP(P859&amp;"_"&amp;Q859,活动关卡!$A$32:$Z$55,4+5*MonsterWaveCallRuleCfg!R859,FALSE)</f>
        <v/>
      </c>
      <c r="K859" s="102" t="str">
        <f t="shared" si="180"/>
        <v/>
      </c>
      <c r="L859" s="102" t="str">
        <f>IF(VLOOKUP(P859&amp;"_"&amp;Q859,活动关卡!$A$32:$Z$55,2+5*R859,FALSE)="","","Monster_Season2_Challenge"&amp;P859&amp;"_"&amp;Q859&amp;"_"&amp;R859)</f>
        <v/>
      </c>
      <c r="M859" s="57" t="str">
        <f t="shared" si="181"/>
        <v/>
      </c>
      <c r="O859" s="102" t="str">
        <f>VLOOKUP(P859&amp;"_"&amp;Q859,活动关卡!$A$4:$Z$27,6+5*MonsterWaveCallRuleCfg!R859,FALSE)</f>
        <v/>
      </c>
      <c r="P859" s="110">
        <v>2</v>
      </c>
      <c r="Q859" s="110">
        <f t="shared" si="183"/>
        <v>1</v>
      </c>
      <c r="R859" s="110">
        <v>3</v>
      </c>
    </row>
    <row r="860" spans="2:18" x14ac:dyDescent="0.2">
      <c r="B860" s="57" t="str">
        <f t="shared" si="176"/>
        <v/>
      </c>
      <c r="D860" s="57" t="str">
        <f t="shared" si="177"/>
        <v/>
      </c>
      <c r="F860" s="57" t="str">
        <f t="shared" si="178"/>
        <v/>
      </c>
      <c r="G860" s="102" t="str">
        <f t="shared" si="182"/>
        <v/>
      </c>
      <c r="H860" s="57" t="str">
        <f t="shared" si="179"/>
        <v/>
      </c>
      <c r="I860" s="102" t="str">
        <f>VLOOKUP(P860&amp;"_"&amp;Q860,活动关卡!$A$32:$Z$55,3+5*MonsterWaveCallRuleCfg!R860,FALSE)</f>
        <v/>
      </c>
      <c r="J860" s="102" t="str">
        <f>VLOOKUP(P860&amp;"_"&amp;Q860,活动关卡!$A$32:$Z$55,4+5*MonsterWaveCallRuleCfg!R860,FALSE)</f>
        <v/>
      </c>
      <c r="K860" s="102" t="str">
        <f t="shared" si="180"/>
        <v/>
      </c>
      <c r="L860" s="102" t="str">
        <f>IF(VLOOKUP(P860&amp;"_"&amp;Q860,活动关卡!$A$32:$Z$55,2+5*R860,FALSE)="","","Monster_Season2_Challenge"&amp;P860&amp;"_"&amp;Q860&amp;"_"&amp;R860)</f>
        <v/>
      </c>
      <c r="M860" s="57" t="str">
        <f t="shared" si="181"/>
        <v/>
      </c>
      <c r="O860" s="102" t="str">
        <f>VLOOKUP(P860&amp;"_"&amp;Q860,活动关卡!$A$4:$Z$27,6+5*MonsterWaveCallRuleCfg!R860,FALSE)</f>
        <v/>
      </c>
      <c r="P860" s="110">
        <v>2</v>
      </c>
      <c r="Q860" s="110">
        <f t="shared" si="183"/>
        <v>1</v>
      </c>
      <c r="R860" s="110">
        <v>4</v>
      </c>
    </row>
    <row r="861" spans="2:18" x14ac:dyDescent="0.2">
      <c r="B861" s="57" t="str">
        <f t="shared" si="176"/>
        <v>MonsterWaveCallRule_Season2_Challenge2</v>
      </c>
      <c r="C861" s="57">
        <v>2</v>
      </c>
      <c r="D861" s="57" t="str">
        <f t="shared" si="177"/>
        <v>赛季2关卡2第2波</v>
      </c>
      <c r="F861" s="57">
        <f t="shared" si="178"/>
        <v>0</v>
      </c>
      <c r="G861" s="102">
        <f t="shared" si="182"/>
        <v>180</v>
      </c>
      <c r="H861" s="57">
        <f t="shared" si="179"/>
        <v>0</v>
      </c>
      <c r="I861" s="102">
        <f>VLOOKUP(P861&amp;"_"&amp;Q861,活动关卡!$A$32:$Z$55,3+5*MonsterWaveCallRuleCfg!R861,FALSE)</f>
        <v>6</v>
      </c>
      <c r="J861" s="102">
        <f>VLOOKUP(P861&amp;"_"&amp;Q861,活动关卡!$A$32:$Z$55,4+5*MonsterWaveCallRuleCfg!R861,FALSE)</f>
        <v>2</v>
      </c>
      <c r="K861" s="102">
        <f t="shared" si="180"/>
        <v>1</v>
      </c>
      <c r="L861" s="102" t="str">
        <f>IF(VLOOKUP(P861&amp;"_"&amp;Q861,活动关卡!$A$32:$Z$55,2+5*R861,FALSE)="","","Monster_Season2_Challenge"&amp;P861&amp;"_"&amp;Q861&amp;"_"&amp;R861)</f>
        <v>Monster_Season2_Challenge2_2_1</v>
      </c>
      <c r="M861" s="57">
        <f t="shared" si="181"/>
        <v>1</v>
      </c>
      <c r="O861" s="102">
        <f>VLOOKUP(P861&amp;"_"&amp;Q861,活动关卡!$A$4:$Z$27,6+5*MonsterWaveCallRuleCfg!R861,FALSE)</f>
        <v>10</v>
      </c>
      <c r="P861" s="110">
        <v>2</v>
      </c>
      <c r="Q861" s="110">
        <f t="shared" si="183"/>
        <v>2</v>
      </c>
      <c r="R861" s="110">
        <v>1</v>
      </c>
    </row>
    <row r="862" spans="2:18" x14ac:dyDescent="0.2">
      <c r="B862" s="57" t="str">
        <f t="shared" si="176"/>
        <v/>
      </c>
      <c r="D862" s="57" t="str">
        <f t="shared" si="177"/>
        <v/>
      </c>
      <c r="F862" s="57" t="str">
        <f t="shared" si="178"/>
        <v/>
      </c>
      <c r="G862" s="102" t="str">
        <f t="shared" si="182"/>
        <v/>
      </c>
      <c r="H862" s="57">
        <f t="shared" si="179"/>
        <v>0</v>
      </c>
      <c r="I862" s="102">
        <f>VLOOKUP(P862&amp;"_"&amp;Q862,活动关卡!$A$32:$Z$55,3+5*MonsterWaveCallRuleCfg!R862,FALSE)</f>
        <v>6</v>
      </c>
      <c r="J862" s="102">
        <f>VLOOKUP(P862&amp;"_"&amp;Q862,活动关卡!$A$32:$Z$55,4+5*MonsterWaveCallRuleCfg!R862,FALSE)</f>
        <v>2</v>
      </c>
      <c r="K862" s="102">
        <f t="shared" si="180"/>
        <v>1</v>
      </c>
      <c r="L862" s="102" t="str">
        <f>IF(VLOOKUP(P862&amp;"_"&amp;Q862,活动关卡!$A$32:$Z$55,2+5*R862,FALSE)="","","Monster_Season2_Challenge"&amp;P862&amp;"_"&amp;Q862&amp;"_"&amp;R862)</f>
        <v>Monster_Season2_Challenge2_2_2</v>
      </c>
      <c r="M862" s="57">
        <f t="shared" si="181"/>
        <v>1</v>
      </c>
      <c r="O862" s="102">
        <f>VLOOKUP(P862&amp;"_"&amp;Q862,活动关卡!$A$4:$Z$27,6+5*MonsterWaveCallRuleCfg!R862,FALSE)</f>
        <v>20</v>
      </c>
      <c r="P862" s="110">
        <v>2</v>
      </c>
      <c r="Q862" s="110">
        <f t="shared" si="183"/>
        <v>2</v>
      </c>
      <c r="R862" s="110">
        <v>2</v>
      </c>
    </row>
    <row r="863" spans="2:18" x14ac:dyDescent="0.2">
      <c r="B863" s="57" t="str">
        <f t="shared" si="176"/>
        <v/>
      </c>
      <c r="D863" s="57" t="str">
        <f t="shared" si="177"/>
        <v/>
      </c>
      <c r="F863" s="57" t="str">
        <f t="shared" si="178"/>
        <v/>
      </c>
      <c r="G863" s="102" t="str">
        <f t="shared" si="182"/>
        <v/>
      </c>
      <c r="H863" s="57">
        <f t="shared" si="179"/>
        <v>0</v>
      </c>
      <c r="I863" s="102">
        <f>VLOOKUP(P863&amp;"_"&amp;Q863,活动关卡!$A$32:$Z$55,3+5*MonsterWaveCallRuleCfg!R863,FALSE)</f>
        <v>2</v>
      </c>
      <c r="J863" s="102">
        <f>VLOOKUP(P863&amp;"_"&amp;Q863,活动关卡!$A$32:$Z$55,4+5*MonsterWaveCallRuleCfg!R863,FALSE)</f>
        <v>6</v>
      </c>
      <c r="K863" s="102">
        <f t="shared" si="180"/>
        <v>1</v>
      </c>
      <c r="L863" s="102" t="str">
        <f>IF(VLOOKUP(P863&amp;"_"&amp;Q863,活动关卡!$A$32:$Z$55,2+5*R863,FALSE)="","","Monster_Season2_Challenge"&amp;P863&amp;"_"&amp;Q863&amp;"_"&amp;R863)</f>
        <v>Monster_Season2_Challenge2_2_3</v>
      </c>
      <c r="M863" s="57">
        <f t="shared" si="181"/>
        <v>1</v>
      </c>
      <c r="O863" s="102">
        <f>VLOOKUP(P863&amp;"_"&amp;Q863,活动关卡!$A$4:$Z$27,6+5*MonsterWaveCallRuleCfg!R863,FALSE)</f>
        <v>20</v>
      </c>
      <c r="P863" s="110">
        <v>2</v>
      </c>
      <c r="Q863" s="110">
        <f t="shared" si="183"/>
        <v>2</v>
      </c>
      <c r="R863" s="110">
        <v>3</v>
      </c>
    </row>
    <row r="864" spans="2:18" x14ac:dyDescent="0.2">
      <c r="B864" s="57" t="str">
        <f t="shared" si="176"/>
        <v/>
      </c>
      <c r="D864" s="57" t="str">
        <f t="shared" si="177"/>
        <v/>
      </c>
      <c r="F864" s="57" t="str">
        <f t="shared" si="178"/>
        <v/>
      </c>
      <c r="G864" s="102" t="str">
        <f t="shared" si="182"/>
        <v/>
      </c>
      <c r="H864" s="57" t="str">
        <f t="shared" si="179"/>
        <v/>
      </c>
      <c r="I864" s="102" t="str">
        <f>VLOOKUP(P864&amp;"_"&amp;Q864,活动关卡!$A$32:$Z$55,3+5*MonsterWaveCallRuleCfg!R864,FALSE)</f>
        <v/>
      </c>
      <c r="J864" s="102" t="str">
        <f>VLOOKUP(P864&amp;"_"&amp;Q864,活动关卡!$A$32:$Z$55,4+5*MonsterWaveCallRuleCfg!R864,FALSE)</f>
        <v/>
      </c>
      <c r="K864" s="102" t="str">
        <f t="shared" si="180"/>
        <v/>
      </c>
      <c r="L864" s="102" t="str">
        <f>IF(VLOOKUP(P864&amp;"_"&amp;Q864,活动关卡!$A$32:$Z$55,2+5*R864,FALSE)="","","Monster_Season2_Challenge"&amp;P864&amp;"_"&amp;Q864&amp;"_"&amp;R864)</f>
        <v/>
      </c>
      <c r="M864" s="57" t="str">
        <f t="shared" si="181"/>
        <v/>
      </c>
      <c r="O864" s="102" t="str">
        <f>VLOOKUP(P864&amp;"_"&amp;Q864,活动关卡!$A$4:$Z$27,6+5*MonsterWaveCallRuleCfg!R864,FALSE)</f>
        <v/>
      </c>
      <c r="P864" s="110">
        <v>2</v>
      </c>
      <c r="Q864" s="110">
        <f t="shared" si="183"/>
        <v>2</v>
      </c>
      <c r="R864" s="110">
        <v>4</v>
      </c>
    </row>
    <row r="865" spans="2:18" x14ac:dyDescent="0.2">
      <c r="B865" s="57" t="str">
        <f t="shared" si="176"/>
        <v>MonsterWaveCallRule_Season2_Challenge2</v>
      </c>
      <c r="C865" s="57">
        <v>3</v>
      </c>
      <c r="D865" s="57" t="str">
        <f t="shared" si="177"/>
        <v>赛季2关卡2第3波</v>
      </c>
      <c r="F865" s="57">
        <f t="shared" si="178"/>
        <v>0</v>
      </c>
      <c r="G865" s="102">
        <f t="shared" si="182"/>
        <v>180</v>
      </c>
      <c r="H865" s="57">
        <f t="shared" si="179"/>
        <v>0</v>
      </c>
      <c r="I865" s="102">
        <f>VLOOKUP(P865&amp;"_"&amp;Q865,活动关卡!$A$32:$Z$55,3+5*MonsterWaveCallRuleCfg!R865,FALSE)</f>
        <v>15</v>
      </c>
      <c r="J865" s="102">
        <f>VLOOKUP(P865&amp;"_"&amp;Q865,活动关卡!$A$32:$Z$55,4+5*MonsterWaveCallRuleCfg!R865,FALSE)</f>
        <v>1</v>
      </c>
      <c r="K865" s="102">
        <f t="shared" si="180"/>
        <v>1</v>
      </c>
      <c r="L865" s="102" t="str">
        <f>IF(VLOOKUP(P865&amp;"_"&amp;Q865,活动关卡!$A$32:$Z$55,2+5*R865,FALSE)="","","Monster_Season2_Challenge"&amp;P865&amp;"_"&amp;Q865&amp;"_"&amp;R865)</f>
        <v>Monster_Season2_Challenge2_3_1</v>
      </c>
      <c r="M865" s="57">
        <f t="shared" si="181"/>
        <v>1</v>
      </c>
      <c r="O865" s="102">
        <f>VLOOKUP(P865&amp;"_"&amp;Q865,活动关卡!$A$4:$Z$27,6+5*MonsterWaveCallRuleCfg!R865,FALSE)</f>
        <v>6</v>
      </c>
      <c r="P865" s="110">
        <v>2</v>
      </c>
      <c r="Q865" s="110">
        <f t="shared" si="183"/>
        <v>3</v>
      </c>
      <c r="R865" s="110">
        <v>1</v>
      </c>
    </row>
    <row r="866" spans="2:18" x14ac:dyDescent="0.2">
      <c r="B866" s="57" t="str">
        <f t="shared" si="176"/>
        <v/>
      </c>
      <c r="D866" s="57" t="str">
        <f t="shared" si="177"/>
        <v/>
      </c>
      <c r="F866" s="57" t="str">
        <f t="shared" si="178"/>
        <v/>
      </c>
      <c r="G866" s="102" t="str">
        <f t="shared" si="182"/>
        <v/>
      </c>
      <c r="H866" s="57">
        <f t="shared" si="179"/>
        <v>0</v>
      </c>
      <c r="I866" s="102">
        <f>VLOOKUP(P866&amp;"_"&amp;Q866,活动关卡!$A$32:$Z$55,3+5*MonsterWaveCallRuleCfg!R866,FALSE)</f>
        <v>15</v>
      </c>
      <c r="J866" s="102">
        <f>VLOOKUP(P866&amp;"_"&amp;Q866,活动关卡!$A$32:$Z$55,4+5*MonsterWaveCallRuleCfg!R866,FALSE)</f>
        <v>1</v>
      </c>
      <c r="K866" s="102">
        <f t="shared" si="180"/>
        <v>1</v>
      </c>
      <c r="L866" s="102" t="str">
        <f>IF(VLOOKUP(P866&amp;"_"&amp;Q866,活动关卡!$A$32:$Z$55,2+5*R866,FALSE)="","","Monster_Season2_Challenge"&amp;P866&amp;"_"&amp;Q866&amp;"_"&amp;R866)</f>
        <v>Monster_Season2_Challenge2_3_2</v>
      </c>
      <c r="M866" s="57">
        <f t="shared" si="181"/>
        <v>1</v>
      </c>
      <c r="O866" s="102">
        <f>VLOOKUP(P866&amp;"_"&amp;Q866,活动关卡!$A$4:$Z$27,6+5*MonsterWaveCallRuleCfg!R866,FALSE)</f>
        <v>3</v>
      </c>
      <c r="P866" s="110">
        <v>2</v>
      </c>
      <c r="Q866" s="110">
        <f t="shared" si="183"/>
        <v>3</v>
      </c>
      <c r="R866" s="110">
        <v>2</v>
      </c>
    </row>
    <row r="867" spans="2:18" x14ac:dyDescent="0.2">
      <c r="B867" s="57" t="str">
        <f t="shared" si="176"/>
        <v/>
      </c>
      <c r="D867" s="57" t="str">
        <f t="shared" si="177"/>
        <v/>
      </c>
      <c r="F867" s="57" t="str">
        <f t="shared" si="178"/>
        <v/>
      </c>
      <c r="G867" s="102" t="str">
        <f t="shared" si="182"/>
        <v/>
      </c>
      <c r="H867" s="57">
        <f t="shared" si="179"/>
        <v>0</v>
      </c>
      <c r="I867" s="102">
        <f>VLOOKUP(P867&amp;"_"&amp;Q867,活动关卡!$A$32:$Z$55,3+5*MonsterWaveCallRuleCfg!R867,FALSE)</f>
        <v>3</v>
      </c>
      <c r="J867" s="102">
        <f>VLOOKUP(P867&amp;"_"&amp;Q867,活动关卡!$A$32:$Z$55,4+5*MonsterWaveCallRuleCfg!R867,FALSE)</f>
        <v>6</v>
      </c>
      <c r="K867" s="102">
        <f t="shared" si="180"/>
        <v>1</v>
      </c>
      <c r="L867" s="102" t="str">
        <f>IF(VLOOKUP(P867&amp;"_"&amp;Q867,活动关卡!$A$32:$Z$55,2+5*R867,FALSE)="","","Monster_Season2_Challenge"&amp;P867&amp;"_"&amp;Q867&amp;"_"&amp;R867)</f>
        <v>Monster_Season2_Challenge2_3_3</v>
      </c>
      <c r="M867" s="57">
        <f t="shared" si="181"/>
        <v>1</v>
      </c>
      <c r="O867" s="102">
        <f>VLOOKUP(P867&amp;"_"&amp;Q867,活动关卡!$A$4:$Z$27,6+5*MonsterWaveCallRuleCfg!R867,FALSE)</f>
        <v>11</v>
      </c>
      <c r="P867" s="110">
        <v>2</v>
      </c>
      <c r="Q867" s="110">
        <f t="shared" si="183"/>
        <v>3</v>
      </c>
      <c r="R867" s="110">
        <v>3</v>
      </c>
    </row>
    <row r="868" spans="2:18" x14ac:dyDescent="0.2">
      <c r="B868" s="57" t="str">
        <f t="shared" si="176"/>
        <v/>
      </c>
      <c r="D868" s="57" t="str">
        <f t="shared" si="177"/>
        <v/>
      </c>
      <c r="F868" s="57" t="str">
        <f t="shared" si="178"/>
        <v/>
      </c>
      <c r="G868" s="102" t="str">
        <f t="shared" si="182"/>
        <v/>
      </c>
      <c r="H868" s="57" t="str">
        <f t="shared" si="179"/>
        <v/>
      </c>
      <c r="I868" s="102" t="str">
        <f>VLOOKUP(P868&amp;"_"&amp;Q868,活动关卡!$A$32:$Z$55,3+5*MonsterWaveCallRuleCfg!R868,FALSE)</f>
        <v/>
      </c>
      <c r="J868" s="102" t="str">
        <f>VLOOKUP(P868&amp;"_"&amp;Q868,活动关卡!$A$32:$Z$55,4+5*MonsterWaveCallRuleCfg!R868,FALSE)</f>
        <v/>
      </c>
      <c r="K868" s="102" t="str">
        <f t="shared" si="180"/>
        <v/>
      </c>
      <c r="L868" s="102" t="str">
        <f>IF(VLOOKUP(P868&amp;"_"&amp;Q868,活动关卡!$A$32:$Z$55,2+5*R868,FALSE)="","","Monster_Season2_Challenge"&amp;P868&amp;"_"&amp;Q868&amp;"_"&amp;R868)</f>
        <v/>
      </c>
      <c r="M868" s="57" t="str">
        <f t="shared" si="181"/>
        <v/>
      </c>
      <c r="O868" s="102" t="str">
        <f>VLOOKUP(P868&amp;"_"&amp;Q868,活动关卡!$A$4:$Z$27,6+5*MonsterWaveCallRuleCfg!R868,FALSE)</f>
        <v/>
      </c>
      <c r="P868" s="110">
        <v>2</v>
      </c>
      <c r="Q868" s="110">
        <f t="shared" si="183"/>
        <v>3</v>
      </c>
      <c r="R868" s="110">
        <v>4</v>
      </c>
    </row>
    <row r="869" spans="2:18" x14ac:dyDescent="0.2">
      <c r="B869" s="57" t="str">
        <f t="shared" ref="B869:B900" si="184">IF(C869="","","MonsterWaveCallRule_Season2_Challenge"&amp;P869)</f>
        <v>MonsterWaveCallRule_Season2_Challenge2</v>
      </c>
      <c r="C869" s="57">
        <v>4</v>
      </c>
      <c r="D869" s="57" t="str">
        <f t="shared" ref="D869:D900" si="185">IF(C869="","","赛季2关卡"&amp;P869&amp;"第"&amp;C869&amp;"波")</f>
        <v>赛季2关卡2第4波</v>
      </c>
      <c r="F869" s="57">
        <f t="shared" si="178"/>
        <v>0</v>
      </c>
      <c r="G869" s="102">
        <f t="shared" si="182"/>
        <v>180</v>
      </c>
      <c r="H869" s="57">
        <f t="shared" si="179"/>
        <v>0</v>
      </c>
      <c r="I869" s="102">
        <f>VLOOKUP(P869&amp;"_"&amp;Q869,活动关卡!$A$32:$Z$55,3+5*MonsterWaveCallRuleCfg!R869,FALSE)</f>
        <v>18</v>
      </c>
      <c r="J869" s="102">
        <f>VLOOKUP(P869&amp;"_"&amp;Q869,活动关卡!$A$32:$Z$55,4+5*MonsterWaveCallRuleCfg!R869,FALSE)</f>
        <v>1</v>
      </c>
      <c r="K869" s="102">
        <f t="shared" si="180"/>
        <v>1</v>
      </c>
      <c r="L869" s="102" t="str">
        <f>IF(VLOOKUP(P869&amp;"_"&amp;Q869,活动关卡!$A$32:$Z$55,2+5*R869,FALSE)="","","Monster_Season2_Challenge"&amp;P869&amp;"_"&amp;Q869&amp;"_"&amp;R869)</f>
        <v>Monster_Season2_Challenge2_4_1</v>
      </c>
      <c r="M869" s="57">
        <f t="shared" si="181"/>
        <v>1</v>
      </c>
      <c r="O869" s="102">
        <f>VLOOKUP(P869&amp;"_"&amp;Q869,活动关卡!$A$4:$Z$27,6+5*MonsterWaveCallRuleCfg!R869,FALSE)</f>
        <v>4</v>
      </c>
      <c r="P869" s="110">
        <v>2</v>
      </c>
      <c r="Q869" s="110">
        <f t="shared" si="183"/>
        <v>4</v>
      </c>
      <c r="R869" s="110">
        <v>1</v>
      </c>
    </row>
    <row r="870" spans="2:18" x14ac:dyDescent="0.2">
      <c r="B870" s="57" t="str">
        <f t="shared" si="184"/>
        <v/>
      </c>
      <c r="D870" s="57" t="str">
        <f t="shared" si="185"/>
        <v/>
      </c>
      <c r="F870" s="57" t="str">
        <f t="shared" si="178"/>
        <v/>
      </c>
      <c r="G870" s="102" t="str">
        <f t="shared" si="182"/>
        <v/>
      </c>
      <c r="H870" s="57">
        <f t="shared" si="179"/>
        <v>0</v>
      </c>
      <c r="I870" s="102">
        <f>VLOOKUP(P870&amp;"_"&amp;Q870,活动关卡!$A$32:$Z$55,3+5*MonsterWaveCallRuleCfg!R870,FALSE)</f>
        <v>18</v>
      </c>
      <c r="J870" s="102">
        <f>VLOOKUP(P870&amp;"_"&amp;Q870,活动关卡!$A$32:$Z$55,4+5*MonsterWaveCallRuleCfg!R870,FALSE)</f>
        <v>1</v>
      </c>
      <c r="K870" s="102">
        <f t="shared" si="180"/>
        <v>1</v>
      </c>
      <c r="L870" s="102" t="str">
        <f>IF(VLOOKUP(P870&amp;"_"&amp;Q870,活动关卡!$A$32:$Z$55,2+5*R870,FALSE)="","","Monster_Season2_Challenge"&amp;P870&amp;"_"&amp;Q870&amp;"_"&amp;R870)</f>
        <v>Monster_Season2_Challenge2_4_2</v>
      </c>
      <c r="M870" s="57">
        <f t="shared" si="181"/>
        <v>1</v>
      </c>
      <c r="O870" s="102">
        <f>VLOOKUP(P870&amp;"_"&amp;Q870,活动关卡!$A$4:$Z$27,6+5*MonsterWaveCallRuleCfg!R870,FALSE)</f>
        <v>2</v>
      </c>
      <c r="P870" s="110">
        <v>2</v>
      </c>
      <c r="Q870" s="110">
        <f t="shared" si="183"/>
        <v>4</v>
      </c>
      <c r="R870" s="110">
        <v>2</v>
      </c>
    </row>
    <row r="871" spans="2:18" x14ac:dyDescent="0.2">
      <c r="B871" s="57" t="str">
        <f t="shared" si="184"/>
        <v/>
      </c>
      <c r="D871" s="57" t="str">
        <f t="shared" si="185"/>
        <v/>
      </c>
      <c r="F871" s="57" t="str">
        <f t="shared" si="178"/>
        <v/>
      </c>
      <c r="G871" s="102" t="str">
        <f t="shared" si="182"/>
        <v/>
      </c>
      <c r="H871" s="57">
        <f t="shared" si="179"/>
        <v>0</v>
      </c>
      <c r="I871" s="102">
        <f>VLOOKUP(P871&amp;"_"&amp;Q871,活动关卡!$A$32:$Z$55,3+5*MonsterWaveCallRuleCfg!R871,FALSE)</f>
        <v>9</v>
      </c>
      <c r="J871" s="102">
        <f>VLOOKUP(P871&amp;"_"&amp;Q871,活动关卡!$A$32:$Z$55,4+5*MonsterWaveCallRuleCfg!R871,FALSE)</f>
        <v>2</v>
      </c>
      <c r="K871" s="102">
        <f t="shared" si="180"/>
        <v>1</v>
      </c>
      <c r="L871" s="102" t="str">
        <f>IF(VLOOKUP(P871&amp;"_"&amp;Q871,活动关卡!$A$32:$Z$55,2+5*R871,FALSE)="","","Monster_Season2_Challenge"&amp;P871&amp;"_"&amp;Q871&amp;"_"&amp;R871)</f>
        <v>Monster_Season2_Challenge2_4_3</v>
      </c>
      <c r="M871" s="57">
        <f t="shared" si="181"/>
        <v>1</v>
      </c>
      <c r="O871" s="102">
        <f>VLOOKUP(P871&amp;"_"&amp;Q871,活动关卡!$A$4:$Z$27,6+5*MonsterWaveCallRuleCfg!R871,FALSE)</f>
        <v>7</v>
      </c>
      <c r="P871" s="110">
        <v>2</v>
      </c>
      <c r="Q871" s="110">
        <f t="shared" si="183"/>
        <v>4</v>
      </c>
      <c r="R871" s="110">
        <v>3</v>
      </c>
    </row>
    <row r="872" spans="2:18" x14ac:dyDescent="0.2">
      <c r="B872" s="57" t="str">
        <f t="shared" si="184"/>
        <v/>
      </c>
      <c r="D872" s="57" t="str">
        <f t="shared" si="185"/>
        <v/>
      </c>
      <c r="F872" s="57" t="str">
        <f t="shared" si="178"/>
        <v/>
      </c>
      <c r="G872" s="102" t="str">
        <f t="shared" si="182"/>
        <v/>
      </c>
      <c r="H872" s="57">
        <f t="shared" si="179"/>
        <v>0</v>
      </c>
      <c r="I872" s="102">
        <f>VLOOKUP(P872&amp;"_"&amp;Q872,活动关卡!$A$32:$Z$55,3+5*MonsterWaveCallRuleCfg!R872,FALSE)</f>
        <v>4</v>
      </c>
      <c r="J872" s="102">
        <f>VLOOKUP(P872&amp;"_"&amp;Q872,活动关卡!$A$32:$Z$55,4+5*MonsterWaveCallRuleCfg!R872,FALSE)</f>
        <v>4</v>
      </c>
      <c r="K872" s="102">
        <f t="shared" si="180"/>
        <v>1</v>
      </c>
      <c r="L872" s="102" t="str">
        <f>IF(VLOOKUP(P872&amp;"_"&amp;Q872,活动关卡!$A$32:$Z$55,2+5*R872,FALSE)="","","Monster_Season2_Challenge"&amp;P872&amp;"_"&amp;Q872&amp;"_"&amp;R872)</f>
        <v>Monster_Season2_Challenge2_4_4</v>
      </c>
      <c r="M872" s="57">
        <f t="shared" si="181"/>
        <v>1</v>
      </c>
      <c r="O872" s="102">
        <f>VLOOKUP(P872&amp;"_"&amp;Q872,活动关卡!$A$4:$Z$27,6+5*MonsterWaveCallRuleCfg!R872,FALSE)</f>
        <v>7</v>
      </c>
      <c r="P872" s="110">
        <v>2</v>
      </c>
      <c r="Q872" s="110">
        <f t="shared" si="183"/>
        <v>4</v>
      </c>
      <c r="R872" s="110">
        <v>4</v>
      </c>
    </row>
    <row r="873" spans="2:18" x14ac:dyDescent="0.2">
      <c r="B873" s="57" t="str">
        <f t="shared" si="184"/>
        <v>MonsterWaveCallRule_Season2_Challenge2</v>
      </c>
      <c r="C873" s="57">
        <v>5</v>
      </c>
      <c r="D873" s="57" t="str">
        <f t="shared" si="185"/>
        <v>赛季2关卡2第5波</v>
      </c>
      <c r="F873" s="57">
        <f t="shared" si="178"/>
        <v>0</v>
      </c>
      <c r="G873" s="102">
        <f t="shared" si="182"/>
        <v>180</v>
      </c>
      <c r="H873" s="57">
        <f t="shared" si="179"/>
        <v>0</v>
      </c>
      <c r="I873" s="102">
        <f>VLOOKUP(P873&amp;"_"&amp;Q873,活动关卡!$A$32:$Z$55,3+5*MonsterWaveCallRuleCfg!R873,FALSE)</f>
        <v>20</v>
      </c>
      <c r="J873" s="102">
        <f>VLOOKUP(P873&amp;"_"&amp;Q873,活动关卡!$A$32:$Z$55,4+5*MonsterWaveCallRuleCfg!R873,FALSE)</f>
        <v>1</v>
      </c>
      <c r="K873" s="102">
        <f t="shared" si="180"/>
        <v>1</v>
      </c>
      <c r="L873" s="102" t="str">
        <f>IF(VLOOKUP(P873&amp;"_"&amp;Q873,活动关卡!$A$32:$Z$55,2+5*R873,FALSE)="","","Monster_Season2_Challenge"&amp;P873&amp;"_"&amp;Q873&amp;"_"&amp;R873)</f>
        <v>Monster_Season2_Challenge2_5_1</v>
      </c>
      <c r="M873" s="57">
        <f t="shared" si="181"/>
        <v>1</v>
      </c>
      <c r="O873" s="102">
        <f>VLOOKUP(P873&amp;"_"&amp;Q873,活动关卡!$A$4:$Z$27,6+5*MonsterWaveCallRuleCfg!R873,FALSE)</f>
        <v>3</v>
      </c>
      <c r="P873" s="110">
        <v>2</v>
      </c>
      <c r="Q873" s="110">
        <f t="shared" si="183"/>
        <v>5</v>
      </c>
      <c r="R873" s="110">
        <v>1</v>
      </c>
    </row>
    <row r="874" spans="2:18" x14ac:dyDescent="0.2">
      <c r="B874" s="57" t="str">
        <f t="shared" si="184"/>
        <v/>
      </c>
      <c r="D874" s="57" t="str">
        <f t="shared" si="185"/>
        <v/>
      </c>
      <c r="F874" s="57" t="str">
        <f t="shared" si="178"/>
        <v/>
      </c>
      <c r="G874" s="102" t="str">
        <f t="shared" si="182"/>
        <v/>
      </c>
      <c r="H874" s="57">
        <f t="shared" si="179"/>
        <v>0</v>
      </c>
      <c r="I874" s="102">
        <f>VLOOKUP(P874&amp;"_"&amp;Q874,活动关卡!$A$32:$Z$55,3+5*MonsterWaveCallRuleCfg!R874,FALSE)</f>
        <v>40</v>
      </c>
      <c r="J874" s="102">
        <f>VLOOKUP(P874&amp;"_"&amp;Q874,活动关卡!$A$32:$Z$55,4+5*MonsterWaveCallRuleCfg!R874,FALSE)</f>
        <v>0.5</v>
      </c>
      <c r="K874" s="102">
        <f t="shared" si="180"/>
        <v>1</v>
      </c>
      <c r="L874" s="102" t="str">
        <f>IF(VLOOKUP(P874&amp;"_"&amp;Q874,活动关卡!$A$32:$Z$55,2+5*R874,FALSE)="","","Monster_Season2_Challenge"&amp;P874&amp;"_"&amp;Q874&amp;"_"&amp;R874)</f>
        <v>Monster_Season2_Challenge2_5_2</v>
      </c>
      <c r="M874" s="57">
        <f t="shared" si="181"/>
        <v>1</v>
      </c>
      <c r="O874" s="102">
        <f>VLOOKUP(P874&amp;"_"&amp;Q874,活动关卡!$A$4:$Z$27,6+5*MonsterWaveCallRuleCfg!R874,FALSE)</f>
        <v>1</v>
      </c>
      <c r="P874" s="110">
        <v>2</v>
      </c>
      <c r="Q874" s="110">
        <f t="shared" si="183"/>
        <v>5</v>
      </c>
      <c r="R874" s="110">
        <v>2</v>
      </c>
    </row>
    <row r="875" spans="2:18" x14ac:dyDescent="0.2">
      <c r="B875" s="57" t="str">
        <f t="shared" si="184"/>
        <v/>
      </c>
      <c r="D875" s="57" t="str">
        <f t="shared" si="185"/>
        <v/>
      </c>
      <c r="F875" s="57" t="str">
        <f t="shared" si="178"/>
        <v/>
      </c>
      <c r="G875" s="102" t="str">
        <f t="shared" si="182"/>
        <v/>
      </c>
      <c r="H875" s="57">
        <f t="shared" si="179"/>
        <v>0</v>
      </c>
      <c r="I875" s="102">
        <f>VLOOKUP(P875&amp;"_"&amp;Q875,活动关卡!$A$32:$Z$55,3+5*MonsterWaveCallRuleCfg!R875,FALSE)</f>
        <v>20</v>
      </c>
      <c r="J875" s="102">
        <f>VLOOKUP(P875&amp;"_"&amp;Q875,活动关卡!$A$32:$Z$55,4+5*MonsterWaveCallRuleCfg!R875,FALSE)</f>
        <v>1</v>
      </c>
      <c r="K875" s="102">
        <f t="shared" si="180"/>
        <v>1</v>
      </c>
      <c r="L875" s="102" t="str">
        <f>IF(VLOOKUP(P875&amp;"_"&amp;Q875,活动关卡!$A$32:$Z$55,2+5*R875,FALSE)="","","Monster_Season2_Challenge"&amp;P875&amp;"_"&amp;Q875&amp;"_"&amp;R875)</f>
        <v>Monster_Season2_Challenge2_5_3</v>
      </c>
      <c r="M875" s="57">
        <f t="shared" si="181"/>
        <v>1</v>
      </c>
      <c r="O875" s="102">
        <f>VLOOKUP(P875&amp;"_"&amp;Q875,活动关卡!$A$4:$Z$27,6+5*MonsterWaveCallRuleCfg!R875,FALSE)</f>
        <v>5</v>
      </c>
      <c r="P875" s="110">
        <v>2</v>
      </c>
      <c r="Q875" s="110">
        <f t="shared" si="183"/>
        <v>5</v>
      </c>
      <c r="R875" s="110">
        <v>3</v>
      </c>
    </row>
    <row r="876" spans="2:18" x14ac:dyDescent="0.2">
      <c r="B876" s="57" t="str">
        <f t="shared" si="184"/>
        <v/>
      </c>
      <c r="D876" s="57" t="str">
        <f t="shared" si="185"/>
        <v/>
      </c>
      <c r="F876" s="57" t="str">
        <f t="shared" si="178"/>
        <v/>
      </c>
      <c r="G876" s="102" t="str">
        <f t="shared" si="182"/>
        <v/>
      </c>
      <c r="H876" s="57">
        <f t="shared" si="179"/>
        <v>0</v>
      </c>
      <c r="I876" s="102">
        <f>VLOOKUP(P876&amp;"_"&amp;Q876,活动关卡!$A$32:$Z$55,3+5*MonsterWaveCallRuleCfg!R876,FALSE)</f>
        <v>5</v>
      </c>
      <c r="J876" s="102">
        <f>VLOOKUP(P876&amp;"_"&amp;Q876,活动关卡!$A$32:$Z$55,4+5*MonsterWaveCallRuleCfg!R876,FALSE)</f>
        <v>4</v>
      </c>
      <c r="K876" s="102">
        <f t="shared" si="180"/>
        <v>1</v>
      </c>
      <c r="L876" s="102" t="str">
        <f>IF(VLOOKUP(P876&amp;"_"&amp;Q876,活动关卡!$A$32:$Z$55,2+5*R876,FALSE)="","","Monster_Season2_Challenge"&amp;P876&amp;"_"&amp;Q876&amp;"_"&amp;R876)</f>
        <v>Monster_Season2_Challenge2_5_4</v>
      </c>
      <c r="M876" s="57">
        <f t="shared" si="181"/>
        <v>1</v>
      </c>
      <c r="O876" s="102">
        <f>VLOOKUP(P876&amp;"_"&amp;Q876,活动关卡!$A$4:$Z$27,6+5*MonsterWaveCallRuleCfg!R876,FALSE)</f>
        <v>5</v>
      </c>
      <c r="P876" s="110">
        <v>2</v>
      </c>
      <c r="Q876" s="110">
        <f t="shared" si="183"/>
        <v>5</v>
      </c>
      <c r="R876" s="110">
        <v>4</v>
      </c>
    </row>
    <row r="877" spans="2:18" x14ac:dyDescent="0.2">
      <c r="B877" s="57" t="str">
        <f t="shared" si="184"/>
        <v>MonsterWaveCallRule_Season2_Challenge3</v>
      </c>
      <c r="C877" s="57">
        <v>1</v>
      </c>
      <c r="D877" s="57" t="str">
        <f t="shared" si="185"/>
        <v>赛季2关卡3第1波</v>
      </c>
      <c r="F877" s="57">
        <f t="shared" si="178"/>
        <v>0</v>
      </c>
      <c r="G877" s="102">
        <f t="shared" si="182"/>
        <v>180</v>
      </c>
      <c r="H877" s="57">
        <f t="shared" si="179"/>
        <v>0</v>
      </c>
      <c r="I877" s="102">
        <f>VLOOKUP(P877&amp;"_"&amp;Q877,活动关卡!$A$32:$Z$55,3+5*MonsterWaveCallRuleCfg!R877,FALSE)</f>
        <v>5</v>
      </c>
      <c r="J877" s="102">
        <f>VLOOKUP(P877&amp;"_"&amp;Q877,活动关卡!$A$32:$Z$55,4+5*MonsterWaveCallRuleCfg!R877,FALSE)</f>
        <v>2</v>
      </c>
      <c r="K877" s="102">
        <f t="shared" si="180"/>
        <v>1</v>
      </c>
      <c r="L877" s="102" t="str">
        <f>IF(VLOOKUP(P877&amp;"_"&amp;Q877,活动关卡!$A$32:$Z$55,2+5*R877,FALSE)="","","Monster_Season2_Challenge"&amp;P877&amp;"_"&amp;Q877&amp;"_"&amp;R877)</f>
        <v>Monster_Season2_Challenge3_1_1</v>
      </c>
      <c r="M877" s="57">
        <f t="shared" si="181"/>
        <v>1</v>
      </c>
      <c r="O877" s="102">
        <f>VLOOKUP(P877&amp;"_"&amp;Q877,活动关卡!$A$4:$Z$27,6+5*MonsterWaveCallRuleCfg!R877,FALSE)</f>
        <v>30</v>
      </c>
      <c r="P877" s="110">
        <v>3</v>
      </c>
      <c r="Q877" s="110">
        <f t="shared" si="183"/>
        <v>1</v>
      </c>
      <c r="R877" s="110">
        <v>1</v>
      </c>
    </row>
    <row r="878" spans="2:18" x14ac:dyDescent="0.2">
      <c r="B878" s="57" t="str">
        <f t="shared" si="184"/>
        <v/>
      </c>
      <c r="D878" s="57" t="str">
        <f t="shared" si="185"/>
        <v/>
      </c>
      <c r="F878" s="57" t="str">
        <f t="shared" si="178"/>
        <v/>
      </c>
      <c r="G878" s="102" t="str">
        <f t="shared" si="182"/>
        <v/>
      </c>
      <c r="H878" s="57">
        <f t="shared" si="179"/>
        <v>0</v>
      </c>
      <c r="I878" s="102">
        <f>VLOOKUP(P878&amp;"_"&amp;Q878,活动关卡!$A$32:$Z$55,3+5*MonsterWaveCallRuleCfg!R878,FALSE)</f>
        <v>2</v>
      </c>
      <c r="J878" s="102">
        <f>VLOOKUP(P878&amp;"_"&amp;Q878,活动关卡!$A$32:$Z$55,4+5*MonsterWaveCallRuleCfg!R878,FALSE)</f>
        <v>6</v>
      </c>
      <c r="K878" s="102">
        <f t="shared" si="180"/>
        <v>1</v>
      </c>
      <c r="L878" s="102" t="str">
        <f>IF(VLOOKUP(P878&amp;"_"&amp;Q878,活动关卡!$A$32:$Z$55,2+5*R878,FALSE)="","","Monster_Season2_Challenge"&amp;P878&amp;"_"&amp;Q878&amp;"_"&amp;R878)</f>
        <v>Monster_Season2_Challenge3_1_2</v>
      </c>
      <c r="M878" s="57">
        <f t="shared" si="181"/>
        <v>1</v>
      </c>
      <c r="O878" s="102">
        <f>VLOOKUP(P878&amp;"_"&amp;Q878,活动关卡!$A$4:$Z$27,6+5*MonsterWaveCallRuleCfg!R878,FALSE)</f>
        <v>30</v>
      </c>
      <c r="P878" s="110">
        <v>3</v>
      </c>
      <c r="Q878" s="110">
        <f t="shared" si="183"/>
        <v>1</v>
      </c>
      <c r="R878" s="110">
        <v>2</v>
      </c>
    </row>
    <row r="879" spans="2:18" x14ac:dyDescent="0.2">
      <c r="B879" s="57" t="str">
        <f t="shared" si="184"/>
        <v/>
      </c>
      <c r="D879" s="57" t="str">
        <f t="shared" si="185"/>
        <v/>
      </c>
      <c r="F879" s="57" t="str">
        <f t="shared" si="178"/>
        <v/>
      </c>
      <c r="G879" s="102" t="str">
        <f t="shared" si="182"/>
        <v/>
      </c>
      <c r="H879" s="57" t="str">
        <f t="shared" si="179"/>
        <v/>
      </c>
      <c r="I879" s="102" t="str">
        <f>VLOOKUP(P879&amp;"_"&amp;Q879,活动关卡!$A$32:$Z$55,3+5*MonsterWaveCallRuleCfg!R879,FALSE)</f>
        <v/>
      </c>
      <c r="J879" s="102" t="str">
        <f>VLOOKUP(P879&amp;"_"&amp;Q879,活动关卡!$A$32:$Z$55,4+5*MonsterWaveCallRuleCfg!R879,FALSE)</f>
        <v/>
      </c>
      <c r="K879" s="102" t="str">
        <f t="shared" si="180"/>
        <v/>
      </c>
      <c r="L879" s="102" t="str">
        <f>IF(VLOOKUP(P879&amp;"_"&amp;Q879,活动关卡!$A$32:$Z$55,2+5*R879,FALSE)="","","Monster_Season2_Challenge"&amp;P879&amp;"_"&amp;Q879&amp;"_"&amp;R879)</f>
        <v/>
      </c>
      <c r="M879" s="57" t="str">
        <f t="shared" si="181"/>
        <v/>
      </c>
      <c r="O879" s="102" t="str">
        <f>VLOOKUP(P879&amp;"_"&amp;Q879,活动关卡!$A$4:$Z$27,6+5*MonsterWaveCallRuleCfg!R879,FALSE)</f>
        <v/>
      </c>
      <c r="P879" s="110">
        <v>3</v>
      </c>
      <c r="Q879" s="110">
        <f t="shared" si="183"/>
        <v>1</v>
      </c>
      <c r="R879" s="110">
        <v>3</v>
      </c>
    </row>
    <row r="880" spans="2:18" x14ac:dyDescent="0.2">
      <c r="B880" s="57" t="str">
        <f t="shared" si="184"/>
        <v/>
      </c>
      <c r="D880" s="57" t="str">
        <f t="shared" si="185"/>
        <v/>
      </c>
      <c r="F880" s="57" t="str">
        <f t="shared" si="178"/>
        <v/>
      </c>
      <c r="G880" s="102" t="str">
        <f t="shared" si="182"/>
        <v/>
      </c>
      <c r="H880" s="57" t="str">
        <f t="shared" si="179"/>
        <v/>
      </c>
      <c r="I880" s="102" t="str">
        <f>VLOOKUP(P880&amp;"_"&amp;Q880,活动关卡!$A$32:$Z$55,3+5*MonsterWaveCallRuleCfg!R880,FALSE)</f>
        <v/>
      </c>
      <c r="J880" s="102" t="str">
        <f>VLOOKUP(P880&amp;"_"&amp;Q880,活动关卡!$A$32:$Z$55,4+5*MonsterWaveCallRuleCfg!R880,FALSE)</f>
        <v/>
      </c>
      <c r="K880" s="102" t="str">
        <f t="shared" si="180"/>
        <v/>
      </c>
      <c r="L880" s="102" t="str">
        <f>IF(VLOOKUP(P880&amp;"_"&amp;Q880,活动关卡!$A$32:$Z$55,2+5*R880,FALSE)="","","Monster_Season2_Challenge"&amp;P880&amp;"_"&amp;Q880&amp;"_"&amp;R880)</f>
        <v/>
      </c>
      <c r="M880" s="57" t="str">
        <f t="shared" si="181"/>
        <v/>
      </c>
      <c r="O880" s="102" t="str">
        <f>VLOOKUP(P880&amp;"_"&amp;Q880,活动关卡!$A$4:$Z$27,6+5*MonsterWaveCallRuleCfg!R880,FALSE)</f>
        <v/>
      </c>
      <c r="P880" s="110">
        <v>3</v>
      </c>
      <c r="Q880" s="110">
        <f t="shared" si="183"/>
        <v>1</v>
      </c>
      <c r="R880" s="110">
        <v>4</v>
      </c>
    </row>
    <row r="881" spans="2:18" x14ac:dyDescent="0.2">
      <c r="B881" s="57" t="str">
        <f t="shared" si="184"/>
        <v>MonsterWaveCallRule_Season2_Challenge3</v>
      </c>
      <c r="C881" s="57">
        <v>2</v>
      </c>
      <c r="D881" s="57" t="str">
        <f t="shared" si="185"/>
        <v>赛季2关卡3第2波</v>
      </c>
      <c r="F881" s="57">
        <f t="shared" si="178"/>
        <v>0</v>
      </c>
      <c r="G881" s="102">
        <f t="shared" si="182"/>
        <v>180</v>
      </c>
      <c r="H881" s="57">
        <f t="shared" si="179"/>
        <v>0</v>
      </c>
      <c r="I881" s="102">
        <f>VLOOKUP(P881&amp;"_"&amp;Q881,活动关卡!$A$32:$Z$55,3+5*MonsterWaveCallRuleCfg!R881,FALSE)</f>
        <v>6</v>
      </c>
      <c r="J881" s="102">
        <f>VLOOKUP(P881&amp;"_"&amp;Q881,活动关卡!$A$32:$Z$55,4+5*MonsterWaveCallRuleCfg!R881,FALSE)</f>
        <v>2</v>
      </c>
      <c r="K881" s="102">
        <f t="shared" si="180"/>
        <v>1</v>
      </c>
      <c r="L881" s="102" t="str">
        <f>IF(VLOOKUP(P881&amp;"_"&amp;Q881,活动关卡!$A$32:$Z$55,2+5*R881,FALSE)="","","Monster_Season2_Challenge"&amp;P881&amp;"_"&amp;Q881&amp;"_"&amp;R881)</f>
        <v>Monster_Season2_Challenge3_2_1</v>
      </c>
      <c r="M881" s="57">
        <f t="shared" si="181"/>
        <v>1</v>
      </c>
      <c r="O881" s="102">
        <f>VLOOKUP(P881&amp;"_"&amp;Q881,活动关卡!$A$4:$Z$27,6+5*MonsterWaveCallRuleCfg!R881,FALSE)</f>
        <v>17</v>
      </c>
      <c r="P881" s="110">
        <v>3</v>
      </c>
      <c r="Q881" s="110">
        <f t="shared" si="183"/>
        <v>2</v>
      </c>
      <c r="R881" s="110">
        <v>1</v>
      </c>
    </row>
    <row r="882" spans="2:18" x14ac:dyDescent="0.2">
      <c r="B882" s="57" t="str">
        <f t="shared" si="184"/>
        <v/>
      </c>
      <c r="D882" s="57" t="str">
        <f t="shared" si="185"/>
        <v/>
      </c>
      <c r="F882" s="57" t="str">
        <f t="shared" si="178"/>
        <v/>
      </c>
      <c r="G882" s="102" t="str">
        <f t="shared" si="182"/>
        <v/>
      </c>
      <c r="H882" s="57">
        <f t="shared" si="179"/>
        <v>0</v>
      </c>
      <c r="I882" s="102">
        <f>VLOOKUP(P882&amp;"_"&amp;Q882,活动关卡!$A$32:$Z$55,3+5*MonsterWaveCallRuleCfg!R882,FALSE)</f>
        <v>6</v>
      </c>
      <c r="J882" s="102">
        <f>VLOOKUP(P882&amp;"_"&amp;Q882,活动关卡!$A$32:$Z$55,4+5*MonsterWaveCallRuleCfg!R882,FALSE)</f>
        <v>2</v>
      </c>
      <c r="K882" s="102">
        <f t="shared" si="180"/>
        <v>1</v>
      </c>
      <c r="L882" s="102" t="str">
        <f>IF(VLOOKUP(P882&amp;"_"&amp;Q882,活动关卡!$A$32:$Z$55,2+5*R882,FALSE)="","","Monster_Season2_Challenge"&amp;P882&amp;"_"&amp;Q882&amp;"_"&amp;R882)</f>
        <v>Monster_Season2_Challenge3_2_2</v>
      </c>
      <c r="M882" s="57">
        <f t="shared" si="181"/>
        <v>1</v>
      </c>
      <c r="O882" s="102">
        <f>VLOOKUP(P882&amp;"_"&amp;Q882,活动关卡!$A$4:$Z$27,6+5*MonsterWaveCallRuleCfg!R882,FALSE)</f>
        <v>17</v>
      </c>
      <c r="P882" s="110">
        <v>3</v>
      </c>
      <c r="Q882" s="110">
        <f t="shared" si="183"/>
        <v>2</v>
      </c>
      <c r="R882" s="110">
        <v>2</v>
      </c>
    </row>
    <row r="883" spans="2:18" x14ac:dyDescent="0.2">
      <c r="B883" s="57" t="str">
        <f t="shared" si="184"/>
        <v/>
      </c>
      <c r="D883" s="57" t="str">
        <f t="shared" si="185"/>
        <v/>
      </c>
      <c r="F883" s="57" t="str">
        <f t="shared" si="178"/>
        <v/>
      </c>
      <c r="G883" s="102" t="str">
        <f t="shared" si="182"/>
        <v/>
      </c>
      <c r="H883" s="57">
        <f t="shared" si="179"/>
        <v>0</v>
      </c>
      <c r="I883" s="102">
        <f>VLOOKUP(P883&amp;"_"&amp;Q883,活动关卡!$A$32:$Z$55,3+5*MonsterWaveCallRuleCfg!R883,FALSE)</f>
        <v>2</v>
      </c>
      <c r="J883" s="102">
        <f>VLOOKUP(P883&amp;"_"&amp;Q883,活动关卡!$A$32:$Z$55,4+5*MonsterWaveCallRuleCfg!R883,FALSE)</f>
        <v>6</v>
      </c>
      <c r="K883" s="102">
        <f t="shared" si="180"/>
        <v>1</v>
      </c>
      <c r="L883" s="102" t="str">
        <f>IF(VLOOKUP(P883&amp;"_"&amp;Q883,活动关卡!$A$32:$Z$55,2+5*R883,FALSE)="","","Monster_Season2_Challenge"&amp;P883&amp;"_"&amp;Q883&amp;"_"&amp;R883)</f>
        <v>Monster_Season2_Challenge3_2_3</v>
      </c>
      <c r="M883" s="57">
        <f t="shared" si="181"/>
        <v>1</v>
      </c>
      <c r="O883" s="102">
        <f>VLOOKUP(P883&amp;"_"&amp;Q883,活动关卡!$A$4:$Z$27,6+5*MonsterWaveCallRuleCfg!R883,FALSE)</f>
        <v>17</v>
      </c>
      <c r="P883" s="110">
        <v>3</v>
      </c>
      <c r="Q883" s="110">
        <f t="shared" si="183"/>
        <v>2</v>
      </c>
      <c r="R883" s="110">
        <v>3</v>
      </c>
    </row>
    <row r="884" spans="2:18" x14ac:dyDescent="0.2">
      <c r="B884" s="57" t="str">
        <f t="shared" si="184"/>
        <v/>
      </c>
      <c r="D884" s="57" t="str">
        <f t="shared" si="185"/>
        <v/>
      </c>
      <c r="F884" s="57" t="str">
        <f t="shared" si="178"/>
        <v/>
      </c>
      <c r="G884" s="102" t="str">
        <f t="shared" si="182"/>
        <v/>
      </c>
      <c r="H884" s="57" t="str">
        <f t="shared" si="179"/>
        <v/>
      </c>
      <c r="I884" s="102" t="str">
        <f>VLOOKUP(P884&amp;"_"&amp;Q884,活动关卡!$A$32:$Z$55,3+5*MonsterWaveCallRuleCfg!R884,FALSE)</f>
        <v/>
      </c>
      <c r="J884" s="102" t="str">
        <f>VLOOKUP(P884&amp;"_"&amp;Q884,活动关卡!$A$32:$Z$55,4+5*MonsterWaveCallRuleCfg!R884,FALSE)</f>
        <v/>
      </c>
      <c r="K884" s="102" t="str">
        <f t="shared" si="180"/>
        <v/>
      </c>
      <c r="L884" s="102" t="str">
        <f>IF(VLOOKUP(P884&amp;"_"&amp;Q884,活动关卡!$A$32:$Z$55,2+5*R884,FALSE)="","","Monster_Season2_Challenge"&amp;P884&amp;"_"&amp;Q884&amp;"_"&amp;R884)</f>
        <v/>
      </c>
      <c r="M884" s="57" t="str">
        <f t="shared" si="181"/>
        <v/>
      </c>
      <c r="O884" s="102" t="str">
        <f>VLOOKUP(P884&amp;"_"&amp;Q884,活动关卡!$A$4:$Z$27,6+5*MonsterWaveCallRuleCfg!R884,FALSE)</f>
        <v/>
      </c>
      <c r="P884" s="110">
        <v>3</v>
      </c>
      <c r="Q884" s="110">
        <f t="shared" si="183"/>
        <v>2</v>
      </c>
      <c r="R884" s="110">
        <v>4</v>
      </c>
    </row>
    <row r="885" spans="2:18" x14ac:dyDescent="0.2">
      <c r="B885" s="57" t="str">
        <f t="shared" si="184"/>
        <v>MonsterWaveCallRule_Season2_Challenge3</v>
      </c>
      <c r="C885" s="57">
        <v>3</v>
      </c>
      <c r="D885" s="57" t="str">
        <f t="shared" si="185"/>
        <v>赛季2关卡3第3波</v>
      </c>
      <c r="F885" s="57">
        <f t="shared" si="178"/>
        <v>0</v>
      </c>
      <c r="G885" s="102">
        <f t="shared" si="182"/>
        <v>180</v>
      </c>
      <c r="H885" s="57">
        <f t="shared" si="179"/>
        <v>0</v>
      </c>
      <c r="I885" s="102">
        <f>VLOOKUP(P885&amp;"_"&amp;Q885,活动关卡!$A$32:$Z$55,3+5*MonsterWaveCallRuleCfg!R885,FALSE)</f>
        <v>8</v>
      </c>
      <c r="J885" s="102">
        <f>VLOOKUP(P885&amp;"_"&amp;Q885,活动关卡!$A$32:$Z$55,4+5*MonsterWaveCallRuleCfg!R885,FALSE)</f>
        <v>2</v>
      </c>
      <c r="K885" s="102">
        <f t="shared" si="180"/>
        <v>1</v>
      </c>
      <c r="L885" s="102" t="str">
        <f>IF(VLOOKUP(P885&amp;"_"&amp;Q885,活动关卡!$A$32:$Z$55,2+5*R885,FALSE)="","","Monster_Season2_Challenge"&amp;P885&amp;"_"&amp;Q885&amp;"_"&amp;R885)</f>
        <v>Monster_Season2_Challenge3_3_1</v>
      </c>
      <c r="M885" s="57">
        <f t="shared" si="181"/>
        <v>1</v>
      </c>
      <c r="O885" s="102">
        <f>VLOOKUP(P885&amp;"_"&amp;Q885,活动关卡!$A$4:$Z$27,6+5*MonsterWaveCallRuleCfg!R885,FALSE)</f>
        <v>15</v>
      </c>
      <c r="P885" s="110">
        <v>3</v>
      </c>
      <c r="Q885" s="110">
        <f t="shared" si="183"/>
        <v>3</v>
      </c>
      <c r="R885" s="110">
        <v>1</v>
      </c>
    </row>
    <row r="886" spans="2:18" x14ac:dyDescent="0.2">
      <c r="B886" s="57" t="str">
        <f t="shared" si="184"/>
        <v/>
      </c>
      <c r="D886" s="57" t="str">
        <f t="shared" si="185"/>
        <v/>
      </c>
      <c r="F886" s="57" t="str">
        <f t="shared" si="178"/>
        <v/>
      </c>
      <c r="G886" s="102" t="str">
        <f t="shared" si="182"/>
        <v/>
      </c>
      <c r="H886" s="57">
        <f t="shared" si="179"/>
        <v>0</v>
      </c>
      <c r="I886" s="102">
        <f>VLOOKUP(P886&amp;"_"&amp;Q886,活动关卡!$A$32:$Z$55,3+5*MonsterWaveCallRuleCfg!R886,FALSE)</f>
        <v>15</v>
      </c>
      <c r="J886" s="102">
        <f>VLOOKUP(P886&amp;"_"&amp;Q886,活动关卡!$A$32:$Z$55,4+5*MonsterWaveCallRuleCfg!R886,FALSE)</f>
        <v>1</v>
      </c>
      <c r="K886" s="102">
        <f t="shared" si="180"/>
        <v>1</v>
      </c>
      <c r="L886" s="102" t="str">
        <f>IF(VLOOKUP(P886&amp;"_"&amp;Q886,活动关卡!$A$32:$Z$55,2+5*R886,FALSE)="","","Monster_Season2_Challenge"&amp;P886&amp;"_"&amp;Q886&amp;"_"&amp;R886)</f>
        <v>Monster_Season2_Challenge3_3_2</v>
      </c>
      <c r="M886" s="57">
        <f t="shared" si="181"/>
        <v>1</v>
      </c>
      <c r="O886" s="102">
        <f>VLOOKUP(P886&amp;"_"&amp;Q886,活动关卡!$A$4:$Z$27,6+5*MonsterWaveCallRuleCfg!R886,FALSE)</f>
        <v>4</v>
      </c>
      <c r="P886" s="110">
        <v>3</v>
      </c>
      <c r="Q886" s="110">
        <f t="shared" si="183"/>
        <v>3</v>
      </c>
      <c r="R886" s="110">
        <v>2</v>
      </c>
    </row>
    <row r="887" spans="2:18" x14ac:dyDescent="0.2">
      <c r="B887" s="57" t="str">
        <f t="shared" si="184"/>
        <v/>
      </c>
      <c r="D887" s="57" t="str">
        <f t="shared" si="185"/>
        <v/>
      </c>
      <c r="F887" s="57" t="str">
        <f t="shared" si="178"/>
        <v/>
      </c>
      <c r="G887" s="102" t="str">
        <f t="shared" si="182"/>
        <v/>
      </c>
      <c r="H887" s="57">
        <f t="shared" si="179"/>
        <v>0</v>
      </c>
      <c r="I887" s="102">
        <f>VLOOKUP(P887&amp;"_"&amp;Q887,活动关卡!$A$32:$Z$55,3+5*MonsterWaveCallRuleCfg!R887,FALSE)</f>
        <v>4</v>
      </c>
      <c r="J887" s="102">
        <f>VLOOKUP(P887&amp;"_"&amp;Q887,活动关卡!$A$32:$Z$55,4+5*MonsterWaveCallRuleCfg!R887,FALSE)</f>
        <v>4</v>
      </c>
      <c r="K887" s="102">
        <f t="shared" si="180"/>
        <v>1</v>
      </c>
      <c r="L887" s="102" t="str">
        <f>IF(VLOOKUP(P887&amp;"_"&amp;Q887,活动关卡!$A$32:$Z$55,2+5*R887,FALSE)="","","Monster_Season2_Challenge"&amp;P887&amp;"_"&amp;Q887&amp;"_"&amp;R887)</f>
        <v>Monster_Season2_Challenge3_3_3</v>
      </c>
      <c r="M887" s="57">
        <f t="shared" si="181"/>
        <v>1</v>
      </c>
      <c r="O887" s="102">
        <f>VLOOKUP(P887&amp;"_"&amp;Q887,活动关卡!$A$4:$Z$27,6+5*MonsterWaveCallRuleCfg!R887,FALSE)</f>
        <v>15</v>
      </c>
      <c r="P887" s="110">
        <v>3</v>
      </c>
      <c r="Q887" s="110">
        <f t="shared" si="183"/>
        <v>3</v>
      </c>
      <c r="R887" s="110">
        <v>3</v>
      </c>
    </row>
    <row r="888" spans="2:18" x14ac:dyDescent="0.2">
      <c r="B888" s="57" t="str">
        <f t="shared" si="184"/>
        <v/>
      </c>
      <c r="D888" s="57" t="str">
        <f t="shared" si="185"/>
        <v/>
      </c>
      <c r="F888" s="57" t="str">
        <f t="shared" si="178"/>
        <v/>
      </c>
      <c r="G888" s="102" t="str">
        <f t="shared" si="182"/>
        <v/>
      </c>
      <c r="H888" s="57" t="str">
        <f t="shared" si="179"/>
        <v/>
      </c>
      <c r="I888" s="102" t="str">
        <f>VLOOKUP(P888&amp;"_"&amp;Q888,活动关卡!$A$32:$Z$55,3+5*MonsterWaveCallRuleCfg!R888,FALSE)</f>
        <v/>
      </c>
      <c r="J888" s="102" t="str">
        <f>VLOOKUP(P888&amp;"_"&amp;Q888,活动关卡!$A$32:$Z$55,4+5*MonsterWaveCallRuleCfg!R888,FALSE)</f>
        <v/>
      </c>
      <c r="K888" s="102" t="str">
        <f t="shared" si="180"/>
        <v/>
      </c>
      <c r="L888" s="102" t="str">
        <f>IF(VLOOKUP(P888&amp;"_"&amp;Q888,活动关卡!$A$32:$Z$55,2+5*R888,FALSE)="","","Monster_Season2_Challenge"&amp;P888&amp;"_"&amp;Q888&amp;"_"&amp;R888)</f>
        <v/>
      </c>
      <c r="M888" s="57" t="str">
        <f t="shared" si="181"/>
        <v/>
      </c>
      <c r="O888" s="102" t="str">
        <f>VLOOKUP(P888&amp;"_"&amp;Q888,活动关卡!$A$4:$Z$27,6+5*MonsterWaveCallRuleCfg!R888,FALSE)</f>
        <v/>
      </c>
      <c r="P888" s="110">
        <v>3</v>
      </c>
      <c r="Q888" s="110">
        <f t="shared" si="183"/>
        <v>3</v>
      </c>
      <c r="R888" s="110">
        <v>4</v>
      </c>
    </row>
    <row r="889" spans="2:18" x14ac:dyDescent="0.2">
      <c r="B889" s="57" t="str">
        <f t="shared" si="184"/>
        <v>MonsterWaveCallRule_Season2_Challenge3</v>
      </c>
      <c r="C889" s="57">
        <v>4</v>
      </c>
      <c r="D889" s="57" t="str">
        <f t="shared" si="185"/>
        <v>赛季2关卡3第4波</v>
      </c>
      <c r="F889" s="57">
        <f t="shared" si="178"/>
        <v>0</v>
      </c>
      <c r="G889" s="102">
        <f t="shared" si="182"/>
        <v>180</v>
      </c>
      <c r="H889" s="57" t="e">
        <f t="shared" si="179"/>
        <v>#N/A</v>
      </c>
      <c r="I889" s="102" t="e">
        <f>VLOOKUP(P889&amp;"_"&amp;Q889,活动关卡!$A$32:$Z$55,3+5*MonsterWaveCallRuleCfg!R889,FALSE)</f>
        <v>#N/A</v>
      </c>
      <c r="J889" s="102" t="e">
        <f>VLOOKUP(P889&amp;"_"&amp;Q889,活动关卡!$A$32:$Z$55,4+5*MonsterWaveCallRuleCfg!R889,FALSE)</f>
        <v>#N/A</v>
      </c>
      <c r="K889" s="102" t="e">
        <f t="shared" si="180"/>
        <v>#N/A</v>
      </c>
      <c r="L889" s="102" t="e">
        <f>IF(VLOOKUP(P889&amp;"_"&amp;Q889,活动关卡!$A$32:$Z$55,2+5*R889,FALSE)="","","Monster_Season2_Challenge"&amp;P889&amp;"_"&amp;Q889&amp;"_"&amp;R889)</f>
        <v>#N/A</v>
      </c>
      <c r="M889" s="57" t="e">
        <f t="shared" si="181"/>
        <v>#N/A</v>
      </c>
      <c r="O889" s="102" t="e">
        <f>VLOOKUP(P889&amp;"_"&amp;Q889,活动关卡!$A$4:$Z$27,6+5*MonsterWaveCallRuleCfg!R889,FALSE)</f>
        <v>#N/A</v>
      </c>
      <c r="P889" s="110">
        <v>3</v>
      </c>
      <c r="Q889" s="110">
        <f t="shared" si="183"/>
        <v>4</v>
      </c>
      <c r="R889" s="110">
        <v>1</v>
      </c>
    </row>
    <row r="890" spans="2:18" x14ac:dyDescent="0.2">
      <c r="B890" s="57" t="str">
        <f t="shared" si="184"/>
        <v/>
      </c>
      <c r="D890" s="57" t="str">
        <f t="shared" si="185"/>
        <v/>
      </c>
      <c r="F890" s="57" t="str">
        <f t="shared" si="178"/>
        <v/>
      </c>
      <c r="G890" s="102" t="str">
        <f t="shared" si="182"/>
        <v/>
      </c>
      <c r="H890" s="57" t="e">
        <f t="shared" si="179"/>
        <v>#N/A</v>
      </c>
      <c r="I890" s="102" t="e">
        <f>VLOOKUP(P890&amp;"_"&amp;Q890,活动关卡!$A$32:$Z$55,3+5*MonsterWaveCallRuleCfg!R890,FALSE)</f>
        <v>#N/A</v>
      </c>
      <c r="J890" s="102" t="e">
        <f>VLOOKUP(P890&amp;"_"&amp;Q890,活动关卡!$A$32:$Z$55,4+5*MonsterWaveCallRuleCfg!R890,FALSE)</f>
        <v>#N/A</v>
      </c>
      <c r="K890" s="102" t="e">
        <f t="shared" si="180"/>
        <v>#N/A</v>
      </c>
      <c r="L890" s="102" t="e">
        <f>IF(VLOOKUP(P890&amp;"_"&amp;Q890,活动关卡!$A$32:$Z$55,2+5*R890,FALSE)="","","Monster_Season2_Challenge"&amp;P890&amp;"_"&amp;Q890&amp;"_"&amp;R890)</f>
        <v>#N/A</v>
      </c>
      <c r="M890" s="57" t="e">
        <f t="shared" si="181"/>
        <v>#N/A</v>
      </c>
      <c r="O890" s="102" t="e">
        <f>VLOOKUP(P890&amp;"_"&amp;Q890,活动关卡!$A$4:$Z$27,6+5*MonsterWaveCallRuleCfg!R890,FALSE)</f>
        <v>#N/A</v>
      </c>
      <c r="P890" s="110">
        <v>3</v>
      </c>
      <c r="Q890" s="110">
        <f t="shared" si="183"/>
        <v>4</v>
      </c>
      <c r="R890" s="110">
        <v>2</v>
      </c>
    </row>
    <row r="891" spans="2:18" x14ac:dyDescent="0.2">
      <c r="B891" s="57" t="str">
        <f t="shared" si="184"/>
        <v/>
      </c>
      <c r="D891" s="57" t="str">
        <f t="shared" si="185"/>
        <v/>
      </c>
      <c r="F891" s="57" t="str">
        <f t="shared" si="178"/>
        <v/>
      </c>
      <c r="G891" s="102" t="str">
        <f t="shared" si="182"/>
        <v/>
      </c>
      <c r="H891" s="57" t="e">
        <f t="shared" si="179"/>
        <v>#N/A</v>
      </c>
      <c r="I891" s="102" t="e">
        <f>VLOOKUP(P891&amp;"_"&amp;Q891,活动关卡!$A$32:$Z$55,3+5*MonsterWaveCallRuleCfg!R891,FALSE)</f>
        <v>#N/A</v>
      </c>
      <c r="J891" s="102" t="e">
        <f>VLOOKUP(P891&amp;"_"&amp;Q891,活动关卡!$A$32:$Z$55,4+5*MonsterWaveCallRuleCfg!R891,FALSE)</f>
        <v>#N/A</v>
      </c>
      <c r="K891" s="102" t="e">
        <f t="shared" si="180"/>
        <v>#N/A</v>
      </c>
      <c r="L891" s="102" t="e">
        <f>IF(VLOOKUP(P891&amp;"_"&amp;Q891,活动关卡!$A$32:$Z$55,2+5*R891,FALSE)="","","Monster_Season2_Challenge"&amp;P891&amp;"_"&amp;Q891&amp;"_"&amp;R891)</f>
        <v>#N/A</v>
      </c>
      <c r="M891" s="57" t="e">
        <f t="shared" si="181"/>
        <v>#N/A</v>
      </c>
      <c r="O891" s="102" t="e">
        <f>VLOOKUP(P891&amp;"_"&amp;Q891,活动关卡!$A$4:$Z$27,6+5*MonsterWaveCallRuleCfg!R891,FALSE)</f>
        <v>#N/A</v>
      </c>
      <c r="P891" s="110">
        <v>3</v>
      </c>
      <c r="Q891" s="110">
        <f t="shared" si="183"/>
        <v>4</v>
      </c>
      <c r="R891" s="110">
        <v>3</v>
      </c>
    </row>
    <row r="892" spans="2:18" x14ac:dyDescent="0.2">
      <c r="B892" s="57" t="str">
        <f t="shared" si="184"/>
        <v/>
      </c>
      <c r="D892" s="57" t="str">
        <f t="shared" si="185"/>
        <v/>
      </c>
      <c r="F892" s="57" t="str">
        <f t="shared" si="178"/>
        <v/>
      </c>
      <c r="G892" s="102" t="str">
        <f t="shared" si="182"/>
        <v/>
      </c>
      <c r="H892" s="57" t="e">
        <f t="shared" si="179"/>
        <v>#N/A</v>
      </c>
      <c r="I892" s="102" t="e">
        <f>VLOOKUP(P892&amp;"_"&amp;Q892,活动关卡!$A$32:$Z$55,3+5*MonsterWaveCallRuleCfg!R892,FALSE)</f>
        <v>#N/A</v>
      </c>
      <c r="J892" s="102" t="e">
        <f>VLOOKUP(P892&amp;"_"&amp;Q892,活动关卡!$A$32:$Z$55,4+5*MonsterWaveCallRuleCfg!R892,FALSE)</f>
        <v>#N/A</v>
      </c>
      <c r="K892" s="102" t="e">
        <f t="shared" si="180"/>
        <v>#N/A</v>
      </c>
      <c r="L892" s="102" t="e">
        <f>IF(VLOOKUP(P892&amp;"_"&amp;Q892,活动关卡!$A$32:$Z$55,2+5*R892,FALSE)="","","Monster_Season2_Challenge"&amp;P892&amp;"_"&amp;Q892&amp;"_"&amp;R892)</f>
        <v>#N/A</v>
      </c>
      <c r="M892" s="57" t="e">
        <f t="shared" si="181"/>
        <v>#N/A</v>
      </c>
      <c r="O892" s="102" t="e">
        <f>VLOOKUP(P892&amp;"_"&amp;Q892,活动关卡!$A$4:$Z$27,6+5*MonsterWaveCallRuleCfg!R892,FALSE)</f>
        <v>#N/A</v>
      </c>
      <c r="P892" s="110">
        <v>3</v>
      </c>
      <c r="Q892" s="110">
        <f t="shared" si="183"/>
        <v>4</v>
      </c>
      <c r="R892" s="110">
        <v>4</v>
      </c>
    </row>
    <row r="893" spans="2:18" x14ac:dyDescent="0.2">
      <c r="B893" s="57" t="str">
        <f t="shared" si="184"/>
        <v>MonsterWaveCallRule_Season2_Challenge3</v>
      </c>
      <c r="C893" s="57">
        <v>5</v>
      </c>
      <c r="D893" s="57" t="str">
        <f t="shared" si="185"/>
        <v>赛季2关卡3第5波</v>
      </c>
      <c r="F893" s="57">
        <f t="shared" si="178"/>
        <v>0</v>
      </c>
      <c r="G893" s="102">
        <f t="shared" si="182"/>
        <v>180</v>
      </c>
      <c r="H893" s="57" t="e">
        <f t="shared" si="179"/>
        <v>#N/A</v>
      </c>
      <c r="I893" s="102" t="e">
        <f>VLOOKUP(P893&amp;"_"&amp;Q893,活动关卡!$A$32:$Z$55,3+5*MonsterWaveCallRuleCfg!R893,FALSE)</f>
        <v>#N/A</v>
      </c>
      <c r="J893" s="102" t="e">
        <f>VLOOKUP(P893&amp;"_"&amp;Q893,活动关卡!$A$32:$Z$55,4+5*MonsterWaveCallRuleCfg!R893,FALSE)</f>
        <v>#N/A</v>
      </c>
      <c r="K893" s="102" t="e">
        <f t="shared" si="180"/>
        <v>#N/A</v>
      </c>
      <c r="L893" s="102" t="e">
        <f>IF(VLOOKUP(P893&amp;"_"&amp;Q893,活动关卡!$A$32:$Z$55,2+5*R893,FALSE)="","","Monster_Season2_Challenge"&amp;P893&amp;"_"&amp;Q893&amp;"_"&amp;R893)</f>
        <v>#N/A</v>
      </c>
      <c r="M893" s="57" t="e">
        <f t="shared" si="181"/>
        <v>#N/A</v>
      </c>
      <c r="O893" s="102" t="e">
        <f>VLOOKUP(P893&amp;"_"&amp;Q893,活动关卡!$A$4:$Z$27,6+5*MonsterWaveCallRuleCfg!R893,FALSE)</f>
        <v>#N/A</v>
      </c>
      <c r="P893" s="110">
        <v>3</v>
      </c>
      <c r="Q893" s="110">
        <f t="shared" si="183"/>
        <v>5</v>
      </c>
      <c r="R893" s="110">
        <v>1</v>
      </c>
    </row>
    <row r="894" spans="2:18" x14ac:dyDescent="0.2">
      <c r="B894" s="57" t="str">
        <f t="shared" si="184"/>
        <v/>
      </c>
      <c r="D894" s="57" t="str">
        <f t="shared" si="185"/>
        <v/>
      </c>
      <c r="F894" s="57" t="str">
        <f t="shared" si="178"/>
        <v/>
      </c>
      <c r="G894" s="102" t="str">
        <f t="shared" si="182"/>
        <v/>
      </c>
      <c r="H894" s="57" t="e">
        <f t="shared" si="179"/>
        <v>#N/A</v>
      </c>
      <c r="I894" s="102" t="e">
        <f>VLOOKUP(P894&amp;"_"&amp;Q894,活动关卡!$A$32:$Z$55,3+5*MonsterWaveCallRuleCfg!R894,FALSE)</f>
        <v>#N/A</v>
      </c>
      <c r="J894" s="102" t="e">
        <f>VLOOKUP(P894&amp;"_"&amp;Q894,活动关卡!$A$32:$Z$55,4+5*MonsterWaveCallRuleCfg!R894,FALSE)</f>
        <v>#N/A</v>
      </c>
      <c r="K894" s="102" t="e">
        <f t="shared" si="180"/>
        <v>#N/A</v>
      </c>
      <c r="L894" s="102" t="e">
        <f>IF(VLOOKUP(P894&amp;"_"&amp;Q894,活动关卡!$A$32:$Z$55,2+5*R894,FALSE)="","","Monster_Season2_Challenge"&amp;P894&amp;"_"&amp;Q894&amp;"_"&amp;R894)</f>
        <v>#N/A</v>
      </c>
      <c r="M894" s="57" t="e">
        <f t="shared" si="181"/>
        <v>#N/A</v>
      </c>
      <c r="O894" s="102" t="e">
        <f>VLOOKUP(P894&amp;"_"&amp;Q894,活动关卡!$A$4:$Z$27,6+5*MonsterWaveCallRuleCfg!R894,FALSE)</f>
        <v>#N/A</v>
      </c>
      <c r="P894" s="110">
        <v>3</v>
      </c>
      <c r="Q894" s="110">
        <f t="shared" si="183"/>
        <v>5</v>
      </c>
      <c r="R894" s="110">
        <v>2</v>
      </c>
    </row>
    <row r="895" spans="2:18" x14ac:dyDescent="0.2">
      <c r="B895" s="57" t="str">
        <f t="shared" si="184"/>
        <v/>
      </c>
      <c r="D895" s="57" t="str">
        <f t="shared" si="185"/>
        <v/>
      </c>
      <c r="F895" s="57" t="str">
        <f t="shared" si="178"/>
        <v/>
      </c>
      <c r="G895" s="102" t="str">
        <f t="shared" si="182"/>
        <v/>
      </c>
      <c r="H895" s="57" t="e">
        <f t="shared" si="179"/>
        <v>#N/A</v>
      </c>
      <c r="I895" s="102" t="e">
        <f>VLOOKUP(P895&amp;"_"&amp;Q895,活动关卡!$A$32:$Z$55,3+5*MonsterWaveCallRuleCfg!R895,FALSE)</f>
        <v>#N/A</v>
      </c>
      <c r="J895" s="102" t="e">
        <f>VLOOKUP(P895&amp;"_"&amp;Q895,活动关卡!$A$32:$Z$55,4+5*MonsterWaveCallRuleCfg!R895,FALSE)</f>
        <v>#N/A</v>
      </c>
      <c r="K895" s="102" t="e">
        <f t="shared" si="180"/>
        <v>#N/A</v>
      </c>
      <c r="L895" s="102" t="e">
        <f>IF(VLOOKUP(P895&amp;"_"&amp;Q895,活动关卡!$A$32:$Z$55,2+5*R895,FALSE)="","","Monster_Season2_Challenge"&amp;P895&amp;"_"&amp;Q895&amp;"_"&amp;R895)</f>
        <v>#N/A</v>
      </c>
      <c r="M895" s="57" t="e">
        <f t="shared" si="181"/>
        <v>#N/A</v>
      </c>
      <c r="O895" s="102" t="e">
        <f>VLOOKUP(P895&amp;"_"&amp;Q895,活动关卡!$A$4:$Z$27,6+5*MonsterWaveCallRuleCfg!R895,FALSE)</f>
        <v>#N/A</v>
      </c>
      <c r="P895" s="110">
        <v>3</v>
      </c>
      <c r="Q895" s="110">
        <f t="shared" si="183"/>
        <v>5</v>
      </c>
      <c r="R895" s="110">
        <v>3</v>
      </c>
    </row>
    <row r="896" spans="2:18" x14ac:dyDescent="0.2">
      <c r="B896" s="57" t="str">
        <f t="shared" si="184"/>
        <v/>
      </c>
      <c r="D896" s="57" t="str">
        <f t="shared" si="185"/>
        <v/>
      </c>
      <c r="F896" s="57" t="str">
        <f t="shared" si="178"/>
        <v/>
      </c>
      <c r="G896" s="102" t="str">
        <f t="shared" si="182"/>
        <v/>
      </c>
      <c r="H896" s="57" t="e">
        <f t="shared" si="179"/>
        <v>#N/A</v>
      </c>
      <c r="I896" s="102" t="e">
        <f>VLOOKUP(P896&amp;"_"&amp;Q896,活动关卡!$A$32:$Z$55,3+5*MonsterWaveCallRuleCfg!R896,FALSE)</f>
        <v>#N/A</v>
      </c>
      <c r="J896" s="102" t="e">
        <f>VLOOKUP(P896&amp;"_"&amp;Q896,活动关卡!$A$32:$Z$55,4+5*MonsterWaveCallRuleCfg!R896,FALSE)</f>
        <v>#N/A</v>
      </c>
      <c r="K896" s="102" t="e">
        <f t="shared" si="180"/>
        <v>#N/A</v>
      </c>
      <c r="L896" s="102" t="e">
        <f>IF(VLOOKUP(P896&amp;"_"&amp;Q896,活动关卡!$A$32:$Z$55,2+5*R896,FALSE)="","","Monster_Season2_Challenge"&amp;P896&amp;"_"&amp;Q896&amp;"_"&amp;R896)</f>
        <v>#N/A</v>
      </c>
      <c r="M896" s="57" t="e">
        <f t="shared" si="181"/>
        <v>#N/A</v>
      </c>
      <c r="O896" s="102" t="e">
        <f>VLOOKUP(P896&amp;"_"&amp;Q896,活动关卡!$A$4:$Z$27,6+5*MonsterWaveCallRuleCfg!R896,FALSE)</f>
        <v>#N/A</v>
      </c>
      <c r="P896" s="110">
        <v>3</v>
      </c>
      <c r="Q896" s="110">
        <f t="shared" si="183"/>
        <v>5</v>
      </c>
      <c r="R896" s="110">
        <v>4</v>
      </c>
    </row>
    <row r="897" spans="2:18" x14ac:dyDescent="0.2">
      <c r="B897" s="57" t="str">
        <f t="shared" si="184"/>
        <v>MonsterWaveCallRule_Season2_Challenge4</v>
      </c>
      <c r="C897" s="57">
        <v>1</v>
      </c>
      <c r="D897" s="57" t="str">
        <f t="shared" si="185"/>
        <v>赛季2关卡4第1波</v>
      </c>
      <c r="F897" s="57">
        <f t="shared" si="178"/>
        <v>0</v>
      </c>
      <c r="G897" s="102">
        <f t="shared" si="182"/>
        <v>180</v>
      </c>
      <c r="H897" s="57">
        <f t="shared" si="179"/>
        <v>0</v>
      </c>
      <c r="I897" s="102">
        <f>VLOOKUP(P897&amp;"_"&amp;Q897,活动关卡!$A$32:$Z$55,3+5*MonsterWaveCallRuleCfg!R897,FALSE)</f>
        <v>7</v>
      </c>
      <c r="J897" s="102">
        <f>VLOOKUP(P897&amp;"_"&amp;Q897,活动关卡!$A$32:$Z$55,4+5*MonsterWaveCallRuleCfg!R897,FALSE)</f>
        <v>1.5</v>
      </c>
      <c r="K897" s="102">
        <f t="shared" si="180"/>
        <v>1</v>
      </c>
      <c r="L897" s="102" t="str">
        <f>IF(VLOOKUP(P897&amp;"_"&amp;Q897,活动关卡!$A$32:$Z$55,2+5*R897,FALSE)="","","Monster_Season2_Challenge"&amp;P897&amp;"_"&amp;Q897&amp;"_"&amp;R897)</f>
        <v>Monster_Season2_Challenge4_1_1</v>
      </c>
      <c r="M897" s="57">
        <f t="shared" si="181"/>
        <v>1</v>
      </c>
      <c r="O897" s="102">
        <f>VLOOKUP(P897&amp;"_"&amp;Q897,活动关卡!$A$4:$Z$27,6+5*MonsterWaveCallRuleCfg!R897,FALSE)</f>
        <v>18</v>
      </c>
      <c r="P897" s="110">
        <v>4</v>
      </c>
      <c r="Q897" s="110">
        <f t="shared" si="183"/>
        <v>1</v>
      </c>
      <c r="R897" s="110">
        <v>1</v>
      </c>
    </row>
    <row r="898" spans="2:18" x14ac:dyDescent="0.2">
      <c r="B898" s="57" t="str">
        <f t="shared" si="184"/>
        <v/>
      </c>
      <c r="D898" s="57" t="str">
        <f t="shared" si="185"/>
        <v/>
      </c>
      <c r="F898" s="57" t="str">
        <f t="shared" si="178"/>
        <v/>
      </c>
      <c r="G898" s="102" t="str">
        <f t="shared" si="182"/>
        <v/>
      </c>
      <c r="H898" s="57">
        <f t="shared" si="179"/>
        <v>0</v>
      </c>
      <c r="I898" s="102">
        <f>VLOOKUP(P898&amp;"_"&amp;Q898,活动关卡!$A$32:$Z$55,3+5*MonsterWaveCallRuleCfg!R898,FALSE)</f>
        <v>2</v>
      </c>
      <c r="J898" s="102">
        <f>VLOOKUP(P898&amp;"_"&amp;Q898,活动关卡!$A$32:$Z$55,4+5*MonsterWaveCallRuleCfg!R898,FALSE)</f>
        <v>6</v>
      </c>
      <c r="K898" s="102">
        <f t="shared" si="180"/>
        <v>1</v>
      </c>
      <c r="L898" s="102" t="str">
        <f>IF(VLOOKUP(P898&amp;"_"&amp;Q898,活动关卡!$A$32:$Z$55,2+5*R898,FALSE)="","","Monster_Season2_Challenge"&amp;P898&amp;"_"&amp;Q898&amp;"_"&amp;R898)</f>
        <v>Monster_Season2_Challenge4_1_2</v>
      </c>
      <c r="M898" s="57">
        <f t="shared" si="181"/>
        <v>1</v>
      </c>
      <c r="O898" s="102">
        <f>VLOOKUP(P898&amp;"_"&amp;Q898,活动关卡!$A$4:$Z$27,6+5*MonsterWaveCallRuleCfg!R898,FALSE)</f>
        <v>35</v>
      </c>
      <c r="P898" s="110">
        <v>4</v>
      </c>
      <c r="Q898" s="110">
        <f t="shared" si="183"/>
        <v>1</v>
      </c>
      <c r="R898" s="110">
        <v>2</v>
      </c>
    </row>
    <row r="899" spans="2:18" x14ac:dyDescent="0.2">
      <c r="B899" s="57" t="str">
        <f t="shared" si="184"/>
        <v/>
      </c>
      <c r="D899" s="57" t="str">
        <f t="shared" si="185"/>
        <v/>
      </c>
      <c r="F899" s="57" t="str">
        <f t="shared" si="178"/>
        <v/>
      </c>
      <c r="G899" s="102" t="str">
        <f t="shared" si="182"/>
        <v/>
      </c>
      <c r="H899" s="57" t="str">
        <f t="shared" si="179"/>
        <v/>
      </c>
      <c r="I899" s="102" t="str">
        <f>VLOOKUP(P899&amp;"_"&amp;Q899,活动关卡!$A$32:$Z$55,3+5*MonsterWaveCallRuleCfg!R899,FALSE)</f>
        <v/>
      </c>
      <c r="J899" s="102" t="str">
        <f>VLOOKUP(P899&amp;"_"&amp;Q899,活动关卡!$A$32:$Z$55,4+5*MonsterWaveCallRuleCfg!R899,FALSE)</f>
        <v/>
      </c>
      <c r="K899" s="102" t="str">
        <f t="shared" si="180"/>
        <v/>
      </c>
      <c r="L899" s="102" t="str">
        <f>IF(VLOOKUP(P899&amp;"_"&amp;Q899,活动关卡!$A$32:$Z$55,2+5*R899,FALSE)="","","Monster_Season2_Challenge"&amp;P899&amp;"_"&amp;Q899&amp;"_"&amp;R899)</f>
        <v/>
      </c>
      <c r="M899" s="57" t="str">
        <f t="shared" si="181"/>
        <v/>
      </c>
      <c r="O899" s="102" t="str">
        <f>VLOOKUP(P899&amp;"_"&amp;Q899,活动关卡!$A$4:$Z$27,6+5*MonsterWaveCallRuleCfg!R899,FALSE)</f>
        <v/>
      </c>
      <c r="P899" s="110">
        <v>4</v>
      </c>
      <c r="Q899" s="110">
        <f t="shared" si="183"/>
        <v>1</v>
      </c>
      <c r="R899" s="110">
        <v>3</v>
      </c>
    </row>
    <row r="900" spans="2:18" x14ac:dyDescent="0.2">
      <c r="B900" s="57" t="str">
        <f t="shared" si="184"/>
        <v/>
      </c>
      <c r="D900" s="57" t="str">
        <f t="shared" si="185"/>
        <v/>
      </c>
      <c r="F900" s="57" t="str">
        <f t="shared" si="178"/>
        <v/>
      </c>
      <c r="G900" s="102" t="str">
        <f t="shared" si="182"/>
        <v/>
      </c>
      <c r="H900" s="57" t="str">
        <f t="shared" si="179"/>
        <v/>
      </c>
      <c r="I900" s="102" t="str">
        <f>VLOOKUP(P900&amp;"_"&amp;Q900,活动关卡!$A$32:$Z$55,3+5*MonsterWaveCallRuleCfg!R900,FALSE)</f>
        <v/>
      </c>
      <c r="J900" s="102" t="str">
        <f>VLOOKUP(P900&amp;"_"&amp;Q900,活动关卡!$A$32:$Z$55,4+5*MonsterWaveCallRuleCfg!R900,FALSE)</f>
        <v/>
      </c>
      <c r="K900" s="102" t="str">
        <f t="shared" si="180"/>
        <v/>
      </c>
      <c r="L900" s="102" t="str">
        <f>IF(VLOOKUP(P900&amp;"_"&amp;Q900,活动关卡!$A$32:$Z$55,2+5*R900,FALSE)="","","Monster_Season2_Challenge"&amp;P900&amp;"_"&amp;Q900&amp;"_"&amp;R900)</f>
        <v/>
      </c>
      <c r="M900" s="57" t="str">
        <f t="shared" si="181"/>
        <v/>
      </c>
      <c r="O900" s="102" t="str">
        <f>VLOOKUP(P900&amp;"_"&amp;Q900,活动关卡!$A$4:$Z$27,6+5*MonsterWaveCallRuleCfg!R900,FALSE)</f>
        <v/>
      </c>
      <c r="P900" s="110">
        <v>4</v>
      </c>
      <c r="Q900" s="110">
        <f t="shared" si="183"/>
        <v>1</v>
      </c>
      <c r="R900" s="110">
        <v>4</v>
      </c>
    </row>
    <row r="901" spans="2:18" x14ac:dyDescent="0.2">
      <c r="B901" s="57" t="str">
        <f t="shared" ref="B901:B932" si="186">IF(C901="","","MonsterWaveCallRule_Season2_Challenge"&amp;P901)</f>
        <v>MonsterWaveCallRule_Season2_Challenge4</v>
      </c>
      <c r="C901" s="57">
        <v>2</v>
      </c>
      <c r="D901" s="57" t="str">
        <f t="shared" ref="D901:D932" si="187">IF(C901="","","赛季2关卡"&amp;P901&amp;"第"&amp;C901&amp;"波")</f>
        <v>赛季2关卡4第2波</v>
      </c>
      <c r="F901" s="57">
        <f t="shared" ref="F901:F945" si="188">IF(C901="","",0)</f>
        <v>0</v>
      </c>
      <c r="G901" s="102">
        <f t="shared" si="182"/>
        <v>180</v>
      </c>
      <c r="H901" s="57">
        <f t="shared" ref="H901:H948" si="189">IF(I901="","",0)</f>
        <v>0</v>
      </c>
      <c r="I901" s="102">
        <f>VLOOKUP(P901&amp;"_"&amp;Q901,活动关卡!$A$32:$Z$55,3+5*MonsterWaveCallRuleCfg!R901,FALSE)</f>
        <v>8</v>
      </c>
      <c r="J901" s="102">
        <f>VLOOKUP(P901&amp;"_"&amp;Q901,活动关卡!$A$32:$Z$55,4+5*MonsterWaveCallRuleCfg!R901,FALSE)</f>
        <v>1.5</v>
      </c>
      <c r="K901" s="102">
        <f t="shared" ref="K901:K948" si="190">IF(I901="","",1)</f>
        <v>1</v>
      </c>
      <c r="L901" s="102" t="str">
        <f>IF(VLOOKUP(P901&amp;"_"&amp;Q901,活动关卡!$A$32:$Z$55,2+5*R901,FALSE)="","","Monster_Season2_Challenge"&amp;P901&amp;"_"&amp;Q901&amp;"_"&amp;R901)</f>
        <v>Monster_Season2_Challenge4_2_1</v>
      </c>
      <c r="M901" s="57">
        <f t="shared" ref="M901:M948" si="191">IF(I901="","",1)</f>
        <v>1</v>
      </c>
      <c r="O901" s="102">
        <f>VLOOKUP(P901&amp;"_"&amp;Q901,活动关卡!$A$4:$Z$27,6+5*MonsterWaveCallRuleCfg!R901,FALSE)</f>
        <v>4</v>
      </c>
      <c r="P901" s="110">
        <v>4</v>
      </c>
      <c r="Q901" s="110">
        <f t="shared" si="183"/>
        <v>2</v>
      </c>
      <c r="R901" s="110">
        <v>1</v>
      </c>
    </row>
    <row r="902" spans="2:18" x14ac:dyDescent="0.2">
      <c r="B902" s="57" t="str">
        <f t="shared" si="186"/>
        <v/>
      </c>
      <c r="D902" s="57" t="str">
        <f t="shared" si="187"/>
        <v/>
      </c>
      <c r="F902" s="57" t="str">
        <f t="shared" si="188"/>
        <v/>
      </c>
      <c r="G902" s="102" t="str">
        <f t="shared" ref="G902:G916" si="192">IF(C902="","",180)</f>
        <v/>
      </c>
      <c r="H902" s="57">
        <f t="shared" si="189"/>
        <v>0</v>
      </c>
      <c r="I902" s="102">
        <f>VLOOKUP(P902&amp;"_"&amp;Q902,活动关卡!$A$32:$Z$55,3+5*MonsterWaveCallRuleCfg!R902,FALSE)</f>
        <v>25</v>
      </c>
      <c r="J902" s="102">
        <f>VLOOKUP(P902&amp;"_"&amp;Q902,活动关卡!$A$32:$Z$55,4+5*MonsterWaveCallRuleCfg!R902,FALSE)</f>
        <v>0.5</v>
      </c>
      <c r="K902" s="102">
        <f t="shared" si="190"/>
        <v>1</v>
      </c>
      <c r="L902" s="102" t="str">
        <f>IF(VLOOKUP(P902&amp;"_"&amp;Q902,活动关卡!$A$32:$Z$55,2+5*R902,FALSE)="","","Monster_Season2_Challenge"&amp;P902&amp;"_"&amp;Q902&amp;"_"&amp;R902)</f>
        <v>Monster_Season2_Challenge4_2_2</v>
      </c>
      <c r="M902" s="57">
        <f t="shared" si="191"/>
        <v>1</v>
      </c>
      <c r="O902" s="102">
        <f>VLOOKUP(P902&amp;"_"&amp;Q902,活动关卡!$A$4:$Z$27,6+5*MonsterWaveCallRuleCfg!R902,FALSE)</f>
        <v>9</v>
      </c>
      <c r="P902" s="110">
        <v>4</v>
      </c>
      <c r="Q902" s="110">
        <f t="shared" si="183"/>
        <v>2</v>
      </c>
      <c r="R902" s="110">
        <v>2</v>
      </c>
    </row>
    <row r="903" spans="2:18" x14ac:dyDescent="0.2">
      <c r="B903" s="57" t="str">
        <f t="shared" si="186"/>
        <v/>
      </c>
      <c r="D903" s="57" t="str">
        <f t="shared" si="187"/>
        <v/>
      </c>
      <c r="F903" s="57" t="str">
        <f t="shared" si="188"/>
        <v/>
      </c>
      <c r="G903" s="102" t="str">
        <f t="shared" si="192"/>
        <v/>
      </c>
      <c r="H903" s="57">
        <f t="shared" si="189"/>
        <v>0</v>
      </c>
      <c r="I903" s="102">
        <f>VLOOKUP(P903&amp;"_"&amp;Q903,活动关卡!$A$32:$Z$55,3+5*MonsterWaveCallRuleCfg!R903,FALSE)</f>
        <v>2</v>
      </c>
      <c r="J903" s="102">
        <f>VLOOKUP(P903&amp;"_"&amp;Q903,活动关卡!$A$32:$Z$55,4+5*MonsterWaveCallRuleCfg!R903,FALSE)</f>
        <v>6</v>
      </c>
      <c r="K903" s="102">
        <f t="shared" si="190"/>
        <v>1</v>
      </c>
      <c r="L903" s="102" t="str">
        <f>IF(VLOOKUP(P903&amp;"_"&amp;Q903,活动关卡!$A$32:$Z$55,2+5*R903,FALSE)="","","Monster_Season2_Challenge"&amp;P903&amp;"_"&amp;Q903&amp;"_"&amp;R903)</f>
        <v>Monster_Season2_Challenge4_2_3</v>
      </c>
      <c r="M903" s="57">
        <f t="shared" si="191"/>
        <v>1</v>
      </c>
      <c r="O903" s="102">
        <f>VLOOKUP(P903&amp;"_"&amp;Q903,活动关卡!$A$4:$Z$27,6+5*MonsterWaveCallRuleCfg!R903,FALSE)</f>
        <v>9</v>
      </c>
      <c r="P903" s="110">
        <v>4</v>
      </c>
      <c r="Q903" s="110">
        <f t="shared" ref="Q903:Q948" si="193">IF(C903="",Q902,C903)</f>
        <v>2</v>
      </c>
      <c r="R903" s="110">
        <v>3</v>
      </c>
    </row>
    <row r="904" spans="2:18" x14ac:dyDescent="0.2">
      <c r="B904" s="57" t="str">
        <f t="shared" si="186"/>
        <v/>
      </c>
      <c r="D904" s="57" t="str">
        <f t="shared" si="187"/>
        <v/>
      </c>
      <c r="F904" s="57" t="str">
        <f t="shared" si="188"/>
        <v/>
      </c>
      <c r="G904" s="102" t="str">
        <f t="shared" si="192"/>
        <v/>
      </c>
      <c r="H904" s="57" t="str">
        <f t="shared" si="189"/>
        <v/>
      </c>
      <c r="I904" s="102" t="str">
        <f>VLOOKUP(P904&amp;"_"&amp;Q904,活动关卡!$A$32:$Z$55,3+5*MonsterWaveCallRuleCfg!R904,FALSE)</f>
        <v/>
      </c>
      <c r="J904" s="102" t="str">
        <f>VLOOKUP(P904&amp;"_"&amp;Q904,活动关卡!$A$32:$Z$55,4+5*MonsterWaveCallRuleCfg!R904,FALSE)</f>
        <v/>
      </c>
      <c r="K904" s="102" t="str">
        <f t="shared" si="190"/>
        <v/>
      </c>
      <c r="L904" s="102" t="str">
        <f>IF(VLOOKUP(P904&amp;"_"&amp;Q904,活动关卡!$A$32:$Z$55,2+5*R904,FALSE)="","","Monster_Season2_Challenge"&amp;P904&amp;"_"&amp;Q904&amp;"_"&amp;R904)</f>
        <v/>
      </c>
      <c r="M904" s="57" t="str">
        <f t="shared" si="191"/>
        <v/>
      </c>
      <c r="O904" s="102" t="str">
        <f>VLOOKUP(P904&amp;"_"&amp;Q904,活动关卡!$A$4:$Z$27,6+5*MonsterWaveCallRuleCfg!R904,FALSE)</f>
        <v/>
      </c>
      <c r="P904" s="110">
        <v>4</v>
      </c>
      <c r="Q904" s="110">
        <f t="shared" si="193"/>
        <v>2</v>
      </c>
      <c r="R904" s="110">
        <v>4</v>
      </c>
    </row>
    <row r="905" spans="2:18" x14ac:dyDescent="0.2">
      <c r="B905" s="57" t="str">
        <f t="shared" si="186"/>
        <v>MonsterWaveCallRule_Season2_Challenge4</v>
      </c>
      <c r="C905" s="57">
        <v>3</v>
      </c>
      <c r="D905" s="57" t="str">
        <f t="shared" si="187"/>
        <v>赛季2关卡4第3波</v>
      </c>
      <c r="F905" s="57">
        <f t="shared" si="188"/>
        <v>0</v>
      </c>
      <c r="G905" s="102">
        <f t="shared" si="192"/>
        <v>180</v>
      </c>
      <c r="H905" s="57">
        <f t="shared" si="189"/>
        <v>0</v>
      </c>
      <c r="I905" s="102">
        <f>VLOOKUP(P905&amp;"_"&amp;Q905,活动关卡!$A$32:$Z$55,3+5*MonsterWaveCallRuleCfg!R905,FALSE)</f>
        <v>10</v>
      </c>
      <c r="J905" s="102">
        <f>VLOOKUP(P905&amp;"_"&amp;Q905,活动关卡!$A$32:$Z$55,4+5*MonsterWaveCallRuleCfg!R905,FALSE)</f>
        <v>1.5</v>
      </c>
      <c r="K905" s="102">
        <f t="shared" si="190"/>
        <v>1</v>
      </c>
      <c r="L905" s="102" t="str">
        <f>IF(VLOOKUP(P905&amp;"_"&amp;Q905,活动关卡!$A$32:$Z$55,2+5*R905,FALSE)="","","Monster_Season2_Challenge"&amp;P905&amp;"_"&amp;Q905&amp;"_"&amp;R905)</f>
        <v>Monster_Season2_Challenge4_3_1</v>
      </c>
      <c r="M905" s="57">
        <f t="shared" si="191"/>
        <v>1</v>
      </c>
      <c r="O905" s="102">
        <f>VLOOKUP(P905&amp;"_"&amp;Q905,活动关卡!$A$4:$Z$27,6+5*MonsterWaveCallRuleCfg!R905,FALSE)</f>
        <v>7</v>
      </c>
      <c r="P905" s="110">
        <v>4</v>
      </c>
      <c r="Q905" s="110">
        <f t="shared" si="193"/>
        <v>3</v>
      </c>
      <c r="R905" s="110">
        <v>1</v>
      </c>
    </row>
    <row r="906" spans="2:18" x14ac:dyDescent="0.2">
      <c r="B906" s="57" t="str">
        <f t="shared" si="186"/>
        <v/>
      </c>
      <c r="D906" s="57" t="str">
        <f t="shared" si="187"/>
        <v/>
      </c>
      <c r="F906" s="57" t="str">
        <f t="shared" si="188"/>
        <v/>
      </c>
      <c r="G906" s="102" t="str">
        <f t="shared" si="192"/>
        <v/>
      </c>
      <c r="H906" s="57">
        <f t="shared" si="189"/>
        <v>0</v>
      </c>
      <c r="I906" s="102">
        <f>VLOOKUP(P906&amp;"_"&amp;Q906,活动关卡!$A$32:$Z$55,3+5*MonsterWaveCallRuleCfg!R906,FALSE)</f>
        <v>30</v>
      </c>
      <c r="J906" s="102">
        <f>VLOOKUP(P906&amp;"_"&amp;Q906,活动关卡!$A$32:$Z$55,4+5*MonsterWaveCallRuleCfg!R906,FALSE)</f>
        <v>0.5</v>
      </c>
      <c r="K906" s="102">
        <f t="shared" si="190"/>
        <v>1</v>
      </c>
      <c r="L906" s="102" t="str">
        <f>IF(VLOOKUP(P906&amp;"_"&amp;Q906,活动关卡!$A$32:$Z$55,2+5*R906,FALSE)="","","Monster_Season2_Challenge"&amp;P906&amp;"_"&amp;Q906&amp;"_"&amp;R906)</f>
        <v>Monster_Season2_Challenge4_3_2</v>
      </c>
      <c r="M906" s="57">
        <f t="shared" si="191"/>
        <v>1</v>
      </c>
      <c r="O906" s="102">
        <f>VLOOKUP(P906&amp;"_"&amp;Q906,活动关卡!$A$4:$Z$27,6+5*MonsterWaveCallRuleCfg!R906,FALSE)</f>
        <v>4</v>
      </c>
      <c r="P906" s="110">
        <v>4</v>
      </c>
      <c r="Q906" s="110">
        <f t="shared" si="193"/>
        <v>3</v>
      </c>
      <c r="R906" s="110">
        <v>2</v>
      </c>
    </row>
    <row r="907" spans="2:18" x14ac:dyDescent="0.2">
      <c r="B907" s="57" t="str">
        <f t="shared" si="186"/>
        <v/>
      </c>
      <c r="D907" s="57" t="str">
        <f t="shared" si="187"/>
        <v/>
      </c>
      <c r="F907" s="57" t="str">
        <f t="shared" si="188"/>
        <v/>
      </c>
      <c r="G907" s="102" t="str">
        <f t="shared" si="192"/>
        <v/>
      </c>
      <c r="H907" s="57">
        <f t="shared" si="189"/>
        <v>0</v>
      </c>
      <c r="I907" s="102">
        <f>VLOOKUP(P907&amp;"_"&amp;Q907,活动关卡!$A$32:$Z$55,3+5*MonsterWaveCallRuleCfg!R907,FALSE)</f>
        <v>3</v>
      </c>
      <c r="J907" s="102">
        <f>VLOOKUP(P907&amp;"_"&amp;Q907,活动关卡!$A$32:$Z$55,4+5*MonsterWaveCallRuleCfg!R907,FALSE)</f>
        <v>6</v>
      </c>
      <c r="K907" s="102">
        <f t="shared" si="190"/>
        <v>1</v>
      </c>
      <c r="L907" s="102" t="str">
        <f>IF(VLOOKUP(P907&amp;"_"&amp;Q907,活动关卡!$A$32:$Z$55,2+5*R907,FALSE)="","","Monster_Season2_Challenge"&amp;P907&amp;"_"&amp;Q907&amp;"_"&amp;R907)</f>
        <v>Monster_Season2_Challenge4_3_3</v>
      </c>
      <c r="M907" s="57">
        <f t="shared" si="191"/>
        <v>1</v>
      </c>
      <c r="O907" s="102">
        <f>VLOOKUP(P907&amp;"_"&amp;Q907,活动关卡!$A$4:$Z$27,6+5*MonsterWaveCallRuleCfg!R907,FALSE)</f>
        <v>15</v>
      </c>
      <c r="P907" s="110">
        <v>4</v>
      </c>
      <c r="Q907" s="110">
        <f t="shared" si="193"/>
        <v>3</v>
      </c>
      <c r="R907" s="110">
        <v>3</v>
      </c>
    </row>
    <row r="908" spans="2:18" x14ac:dyDescent="0.2">
      <c r="B908" s="57" t="str">
        <f t="shared" si="186"/>
        <v/>
      </c>
      <c r="D908" s="57" t="str">
        <f t="shared" si="187"/>
        <v/>
      </c>
      <c r="F908" s="57" t="str">
        <f t="shared" si="188"/>
        <v/>
      </c>
      <c r="G908" s="102" t="str">
        <f t="shared" si="192"/>
        <v/>
      </c>
      <c r="H908" s="57" t="str">
        <f t="shared" si="189"/>
        <v/>
      </c>
      <c r="I908" s="102" t="str">
        <f>VLOOKUP(P908&amp;"_"&amp;Q908,活动关卡!$A$32:$Z$55,3+5*MonsterWaveCallRuleCfg!R908,FALSE)</f>
        <v/>
      </c>
      <c r="J908" s="102" t="str">
        <f>VLOOKUP(P908&amp;"_"&amp;Q908,活动关卡!$A$32:$Z$55,4+5*MonsterWaveCallRuleCfg!R908,FALSE)</f>
        <v/>
      </c>
      <c r="K908" s="102" t="str">
        <f t="shared" si="190"/>
        <v/>
      </c>
      <c r="L908" s="102" t="str">
        <f>IF(VLOOKUP(P908&amp;"_"&amp;Q908,活动关卡!$A$32:$Z$55,2+5*R908,FALSE)="","","Monster_Season2_Challenge"&amp;P908&amp;"_"&amp;Q908&amp;"_"&amp;R908)</f>
        <v/>
      </c>
      <c r="M908" s="57" t="str">
        <f t="shared" si="191"/>
        <v/>
      </c>
      <c r="O908" s="102" t="str">
        <f>VLOOKUP(P908&amp;"_"&amp;Q908,活动关卡!$A$4:$Z$27,6+5*MonsterWaveCallRuleCfg!R908,FALSE)</f>
        <v/>
      </c>
      <c r="P908" s="110">
        <v>4</v>
      </c>
      <c r="Q908" s="110">
        <f t="shared" si="193"/>
        <v>3</v>
      </c>
      <c r="R908" s="110">
        <v>4</v>
      </c>
    </row>
    <row r="909" spans="2:18" x14ac:dyDescent="0.2">
      <c r="B909" s="57" t="str">
        <f t="shared" si="186"/>
        <v>MonsterWaveCallRule_Season2_Challenge4</v>
      </c>
      <c r="C909" s="57">
        <v>4</v>
      </c>
      <c r="D909" s="57" t="str">
        <f t="shared" si="187"/>
        <v>赛季2关卡4第4波</v>
      </c>
      <c r="F909" s="57">
        <f t="shared" si="188"/>
        <v>0</v>
      </c>
      <c r="G909" s="102">
        <f t="shared" si="192"/>
        <v>180</v>
      </c>
      <c r="H909" s="57">
        <f t="shared" si="189"/>
        <v>0</v>
      </c>
      <c r="I909" s="102">
        <f>VLOOKUP(P909&amp;"_"&amp;Q909,活动关卡!$A$32:$Z$55,3+5*MonsterWaveCallRuleCfg!R909,FALSE)</f>
        <v>12</v>
      </c>
      <c r="J909" s="102">
        <f>VLOOKUP(P909&amp;"_"&amp;Q909,活动关卡!$A$32:$Z$55,4+5*MonsterWaveCallRuleCfg!R909,FALSE)</f>
        <v>1.5</v>
      </c>
      <c r="K909" s="102">
        <f t="shared" si="190"/>
        <v>1</v>
      </c>
      <c r="L909" s="102" t="str">
        <f>IF(VLOOKUP(P909&amp;"_"&amp;Q909,活动关卡!$A$32:$Z$55,2+5*R909,FALSE)="","","Monster_Season2_Challenge"&amp;P909&amp;"_"&amp;Q909&amp;"_"&amp;R909)</f>
        <v>Monster_Season2_Challenge4_4_1</v>
      </c>
      <c r="M909" s="57">
        <f t="shared" si="191"/>
        <v>1</v>
      </c>
      <c r="O909" s="102">
        <f>VLOOKUP(P909&amp;"_"&amp;Q909,活动关卡!$A$4:$Z$27,6+5*MonsterWaveCallRuleCfg!R909,FALSE)</f>
        <v>3</v>
      </c>
      <c r="P909" s="110">
        <v>4</v>
      </c>
      <c r="Q909" s="110">
        <f t="shared" si="193"/>
        <v>4</v>
      </c>
      <c r="R909" s="110">
        <v>1</v>
      </c>
    </row>
    <row r="910" spans="2:18" x14ac:dyDescent="0.2">
      <c r="B910" s="57" t="str">
        <f t="shared" si="186"/>
        <v/>
      </c>
      <c r="D910" s="57" t="str">
        <f t="shared" si="187"/>
        <v/>
      </c>
      <c r="F910" s="57" t="str">
        <f t="shared" si="188"/>
        <v/>
      </c>
      <c r="G910" s="102" t="str">
        <f t="shared" si="192"/>
        <v/>
      </c>
      <c r="H910" s="57">
        <f t="shared" si="189"/>
        <v>0</v>
      </c>
      <c r="I910" s="102">
        <f>VLOOKUP(P910&amp;"_"&amp;Q910,活动关卡!$A$32:$Z$55,3+5*MonsterWaveCallRuleCfg!R910,FALSE)</f>
        <v>44</v>
      </c>
      <c r="J910" s="102">
        <f>VLOOKUP(P910&amp;"_"&amp;Q910,活动关卡!$A$32:$Z$55,4+5*MonsterWaveCallRuleCfg!R910,FALSE)</f>
        <v>0.4</v>
      </c>
      <c r="K910" s="102">
        <f t="shared" si="190"/>
        <v>1</v>
      </c>
      <c r="L910" s="102" t="str">
        <f>IF(VLOOKUP(P910&amp;"_"&amp;Q910,活动关卡!$A$32:$Z$55,2+5*R910,FALSE)="","","Monster_Season2_Challenge"&amp;P910&amp;"_"&amp;Q910&amp;"_"&amp;R910)</f>
        <v>Monster_Season2_Challenge4_4_2</v>
      </c>
      <c r="M910" s="57">
        <f t="shared" si="191"/>
        <v>1</v>
      </c>
      <c r="O910" s="102">
        <f>VLOOKUP(P910&amp;"_"&amp;Q910,活动关卡!$A$4:$Z$27,6+5*MonsterWaveCallRuleCfg!R910,FALSE)</f>
        <v>3</v>
      </c>
      <c r="P910" s="110">
        <v>4</v>
      </c>
      <c r="Q910" s="110">
        <f t="shared" si="193"/>
        <v>4</v>
      </c>
      <c r="R910" s="110">
        <v>2</v>
      </c>
    </row>
    <row r="911" spans="2:18" x14ac:dyDescent="0.2">
      <c r="B911" s="57" t="str">
        <f t="shared" si="186"/>
        <v/>
      </c>
      <c r="D911" s="57" t="str">
        <f t="shared" si="187"/>
        <v/>
      </c>
      <c r="F911" s="57" t="str">
        <f t="shared" si="188"/>
        <v/>
      </c>
      <c r="G911" s="102" t="str">
        <f t="shared" si="192"/>
        <v/>
      </c>
      <c r="H911" s="57">
        <f t="shared" si="189"/>
        <v>0</v>
      </c>
      <c r="I911" s="102">
        <f>VLOOKUP(P911&amp;"_"&amp;Q911,活动关卡!$A$32:$Z$55,3+5*MonsterWaveCallRuleCfg!R911,FALSE)</f>
        <v>4</v>
      </c>
      <c r="J911" s="102">
        <f>VLOOKUP(P911&amp;"_"&amp;Q911,活动关卡!$A$32:$Z$55,4+5*MonsterWaveCallRuleCfg!R911,FALSE)</f>
        <v>4</v>
      </c>
      <c r="K911" s="102">
        <f t="shared" si="190"/>
        <v>1</v>
      </c>
      <c r="L911" s="102" t="str">
        <f>IF(VLOOKUP(P911&amp;"_"&amp;Q911,活动关卡!$A$32:$Z$55,2+5*R911,FALSE)="","","Monster_Season2_Challenge"&amp;P911&amp;"_"&amp;Q911&amp;"_"&amp;R911)</f>
        <v>Monster_Season2_Challenge4_4_3</v>
      </c>
      <c r="M911" s="57">
        <f t="shared" si="191"/>
        <v>1</v>
      </c>
      <c r="O911" s="102">
        <f>VLOOKUP(P911&amp;"_"&amp;Q911,活动关卡!$A$4:$Z$27,6+5*MonsterWaveCallRuleCfg!R911,FALSE)</f>
        <v>7</v>
      </c>
      <c r="P911" s="110">
        <v>4</v>
      </c>
      <c r="Q911" s="110">
        <f t="shared" si="193"/>
        <v>4</v>
      </c>
      <c r="R911" s="110">
        <v>3</v>
      </c>
    </row>
    <row r="912" spans="2:18" x14ac:dyDescent="0.2">
      <c r="B912" s="57" t="str">
        <f t="shared" si="186"/>
        <v/>
      </c>
      <c r="D912" s="57" t="str">
        <f t="shared" si="187"/>
        <v/>
      </c>
      <c r="F912" s="57" t="str">
        <f t="shared" si="188"/>
        <v/>
      </c>
      <c r="G912" s="102" t="str">
        <f t="shared" si="192"/>
        <v/>
      </c>
      <c r="H912" s="57" t="str">
        <f t="shared" si="189"/>
        <v/>
      </c>
      <c r="I912" s="102" t="str">
        <f>VLOOKUP(P912&amp;"_"&amp;Q912,活动关卡!$A$32:$Z$55,3+5*MonsterWaveCallRuleCfg!R912,FALSE)</f>
        <v/>
      </c>
      <c r="J912" s="102" t="str">
        <f>VLOOKUP(P912&amp;"_"&amp;Q912,活动关卡!$A$32:$Z$55,4+5*MonsterWaveCallRuleCfg!R912,FALSE)</f>
        <v/>
      </c>
      <c r="K912" s="102" t="str">
        <f t="shared" si="190"/>
        <v/>
      </c>
      <c r="L912" s="102" t="str">
        <f>IF(VLOOKUP(P912&amp;"_"&amp;Q912,活动关卡!$A$32:$Z$55,2+5*R912,FALSE)="","","Monster_Season2_Challenge"&amp;P912&amp;"_"&amp;Q912&amp;"_"&amp;R912)</f>
        <v/>
      </c>
      <c r="M912" s="57" t="str">
        <f t="shared" si="191"/>
        <v/>
      </c>
      <c r="O912" s="102" t="str">
        <f>VLOOKUP(P912&amp;"_"&amp;Q912,活动关卡!$A$4:$Z$27,6+5*MonsterWaveCallRuleCfg!R912,FALSE)</f>
        <v/>
      </c>
      <c r="P912" s="110">
        <v>4</v>
      </c>
      <c r="Q912" s="110">
        <f t="shared" si="193"/>
        <v>4</v>
      </c>
      <c r="R912" s="110">
        <v>4</v>
      </c>
    </row>
    <row r="913" spans="2:18" x14ac:dyDescent="0.2">
      <c r="B913" s="57" t="str">
        <f t="shared" si="186"/>
        <v>MonsterWaveCallRule_Season2_Challenge4</v>
      </c>
      <c r="C913" s="57">
        <v>5</v>
      </c>
      <c r="D913" s="57" t="str">
        <f t="shared" si="187"/>
        <v>赛季2关卡4第5波</v>
      </c>
      <c r="F913" s="57">
        <f t="shared" si="188"/>
        <v>0</v>
      </c>
      <c r="G913" s="102">
        <f t="shared" si="192"/>
        <v>180</v>
      </c>
      <c r="H913" s="57">
        <f t="shared" si="189"/>
        <v>0</v>
      </c>
      <c r="I913" s="102">
        <f>VLOOKUP(P913&amp;"_"&amp;Q913,活动关卡!$A$32:$Z$55,3+5*MonsterWaveCallRuleCfg!R913,FALSE)</f>
        <v>40</v>
      </c>
      <c r="J913" s="102">
        <f>VLOOKUP(P913&amp;"_"&amp;Q913,活动关卡!$A$32:$Z$55,4+5*MonsterWaveCallRuleCfg!R913,FALSE)</f>
        <v>0.5</v>
      </c>
      <c r="K913" s="102">
        <f t="shared" si="190"/>
        <v>1</v>
      </c>
      <c r="L913" s="102" t="str">
        <f>IF(VLOOKUP(P913&amp;"_"&amp;Q913,活动关卡!$A$32:$Z$55,2+5*R913,FALSE)="","","Monster_Season2_Challenge"&amp;P913&amp;"_"&amp;Q913&amp;"_"&amp;R913)</f>
        <v>Monster_Season2_Challenge4_5_1</v>
      </c>
      <c r="M913" s="57">
        <f t="shared" si="191"/>
        <v>1</v>
      </c>
      <c r="O913" s="102">
        <f>VLOOKUP(P913&amp;"_"&amp;Q913,活动关卡!$A$4:$Z$27,6+5*MonsterWaveCallRuleCfg!R913,FALSE)</f>
        <v>3</v>
      </c>
      <c r="P913" s="110">
        <v>4</v>
      </c>
      <c r="Q913" s="110">
        <f t="shared" si="193"/>
        <v>5</v>
      </c>
      <c r="R913" s="110">
        <v>1</v>
      </c>
    </row>
    <row r="914" spans="2:18" x14ac:dyDescent="0.2">
      <c r="B914" s="57" t="str">
        <f t="shared" si="186"/>
        <v/>
      </c>
      <c r="D914" s="57" t="str">
        <f t="shared" si="187"/>
        <v/>
      </c>
      <c r="F914" s="57" t="str">
        <f t="shared" si="188"/>
        <v/>
      </c>
      <c r="G914" s="102" t="str">
        <f t="shared" si="192"/>
        <v/>
      </c>
      <c r="H914" s="57">
        <f t="shared" si="189"/>
        <v>0</v>
      </c>
      <c r="I914" s="102">
        <f>VLOOKUP(P914&amp;"_"&amp;Q914,活动关卡!$A$32:$Z$55,3+5*MonsterWaveCallRuleCfg!R914,FALSE)</f>
        <v>10</v>
      </c>
      <c r="J914" s="102">
        <f>VLOOKUP(P914&amp;"_"&amp;Q914,活动关卡!$A$32:$Z$55,4+5*MonsterWaveCallRuleCfg!R914,FALSE)</f>
        <v>2</v>
      </c>
      <c r="K914" s="102">
        <f t="shared" si="190"/>
        <v>1</v>
      </c>
      <c r="L914" s="102" t="str">
        <f>IF(VLOOKUP(P914&amp;"_"&amp;Q914,活动关卡!$A$32:$Z$55,2+5*R914,FALSE)="","","Monster_Season2_Challenge"&amp;P914&amp;"_"&amp;Q914&amp;"_"&amp;R914)</f>
        <v>Monster_Season2_Challenge4_5_2</v>
      </c>
      <c r="M914" s="57">
        <f t="shared" si="191"/>
        <v>1</v>
      </c>
      <c r="O914" s="102">
        <f>VLOOKUP(P914&amp;"_"&amp;Q914,活动关卡!$A$4:$Z$27,6+5*MonsterWaveCallRuleCfg!R914,FALSE)</f>
        <v>6</v>
      </c>
      <c r="P914" s="110">
        <v>4</v>
      </c>
      <c r="Q914" s="110">
        <f t="shared" si="193"/>
        <v>5</v>
      </c>
      <c r="R914" s="110">
        <v>2</v>
      </c>
    </row>
    <row r="915" spans="2:18" x14ac:dyDescent="0.2">
      <c r="B915" s="57" t="str">
        <f t="shared" si="186"/>
        <v/>
      </c>
      <c r="D915" s="57" t="str">
        <f t="shared" si="187"/>
        <v/>
      </c>
      <c r="F915" s="57" t="str">
        <f t="shared" si="188"/>
        <v/>
      </c>
      <c r="G915" s="102" t="str">
        <f t="shared" si="192"/>
        <v/>
      </c>
      <c r="H915" s="57">
        <f t="shared" si="189"/>
        <v>0</v>
      </c>
      <c r="I915" s="102">
        <f>VLOOKUP(P915&amp;"_"&amp;Q915,活动关卡!$A$32:$Z$55,3+5*MonsterWaveCallRuleCfg!R915,FALSE)</f>
        <v>5</v>
      </c>
      <c r="J915" s="102">
        <f>VLOOKUP(P915&amp;"_"&amp;Q915,活动关卡!$A$32:$Z$55,4+5*MonsterWaveCallRuleCfg!R915,FALSE)</f>
        <v>4</v>
      </c>
      <c r="K915" s="102">
        <f t="shared" si="190"/>
        <v>1</v>
      </c>
      <c r="L915" s="102" t="str">
        <f>IF(VLOOKUP(P915&amp;"_"&amp;Q915,活动关卡!$A$32:$Z$55,2+5*R915,FALSE)="","","Monster_Season2_Challenge"&amp;P915&amp;"_"&amp;Q915&amp;"_"&amp;R915)</f>
        <v>Monster_Season2_Challenge4_5_3</v>
      </c>
      <c r="M915" s="57">
        <f t="shared" si="191"/>
        <v>1</v>
      </c>
      <c r="O915" s="102">
        <f>VLOOKUP(P915&amp;"_"&amp;Q915,活动关卡!$A$4:$Z$27,6+5*MonsterWaveCallRuleCfg!R915,FALSE)</f>
        <v>6</v>
      </c>
      <c r="P915" s="110">
        <v>4</v>
      </c>
      <c r="Q915" s="110">
        <f t="shared" si="193"/>
        <v>5</v>
      </c>
      <c r="R915" s="110">
        <v>3</v>
      </c>
    </row>
    <row r="916" spans="2:18" x14ac:dyDescent="0.2">
      <c r="B916" s="57" t="str">
        <f t="shared" si="186"/>
        <v/>
      </c>
      <c r="D916" s="57" t="str">
        <f t="shared" si="187"/>
        <v/>
      </c>
      <c r="F916" s="57" t="str">
        <f t="shared" si="188"/>
        <v/>
      </c>
      <c r="G916" s="102" t="str">
        <f t="shared" si="192"/>
        <v/>
      </c>
      <c r="H916" s="57" t="str">
        <f t="shared" si="189"/>
        <v/>
      </c>
      <c r="I916" s="102" t="str">
        <f>VLOOKUP(P916&amp;"_"&amp;Q916,活动关卡!$A$32:$Z$55,3+5*MonsterWaveCallRuleCfg!R916,FALSE)</f>
        <v/>
      </c>
      <c r="J916" s="102" t="str">
        <f>VLOOKUP(P916&amp;"_"&amp;Q916,活动关卡!$A$32:$Z$55,4+5*MonsterWaveCallRuleCfg!R916,FALSE)</f>
        <v/>
      </c>
      <c r="K916" s="102" t="str">
        <f t="shared" si="190"/>
        <v/>
      </c>
      <c r="L916" s="102" t="str">
        <f>IF(VLOOKUP(P916&amp;"_"&amp;Q916,活动关卡!$A$32:$Z$55,2+5*R916,FALSE)="","","Monster_Season2_Challenge"&amp;P916&amp;"_"&amp;Q916&amp;"_"&amp;R916)</f>
        <v/>
      </c>
      <c r="M916" s="57" t="str">
        <f t="shared" si="191"/>
        <v/>
      </c>
      <c r="O916" s="102" t="str">
        <f>VLOOKUP(P916&amp;"_"&amp;Q916,活动关卡!$A$4:$Z$27,6+5*MonsterWaveCallRuleCfg!R916,FALSE)</f>
        <v/>
      </c>
      <c r="P916" s="110">
        <v>4</v>
      </c>
      <c r="Q916" s="110">
        <f t="shared" si="193"/>
        <v>5</v>
      </c>
      <c r="R916" s="110">
        <v>4</v>
      </c>
    </row>
    <row r="917" spans="2:18" x14ac:dyDescent="0.2">
      <c r="B917" s="57" t="str">
        <f t="shared" si="186"/>
        <v>MonsterWaveCallRule_Season2_Challenge5</v>
      </c>
      <c r="C917" s="57">
        <v>1</v>
      </c>
      <c r="D917" s="57" t="str">
        <f t="shared" si="187"/>
        <v>赛季2关卡5第1波</v>
      </c>
      <c r="F917" s="57">
        <f t="shared" si="188"/>
        <v>0</v>
      </c>
      <c r="G917" s="102">
        <f>IF(C917="","",180)</f>
        <v>180</v>
      </c>
      <c r="H917" s="57">
        <f t="shared" si="189"/>
        <v>0</v>
      </c>
      <c r="I917" s="102">
        <f>VLOOKUP(P917&amp;"_"&amp;Q917,活动关卡!$A$32:$Z$55,3+5*MonsterWaveCallRuleCfg!R917,FALSE)</f>
        <v>7</v>
      </c>
      <c r="J917" s="102">
        <f>VLOOKUP(P917&amp;"_"&amp;Q917,活动关卡!$A$32:$Z$55,4+5*MonsterWaveCallRuleCfg!R917,FALSE)</f>
        <v>1.5</v>
      </c>
      <c r="K917" s="102">
        <f t="shared" si="190"/>
        <v>1</v>
      </c>
      <c r="L917" s="102" t="str">
        <f>IF(VLOOKUP(P917&amp;"_"&amp;Q917,活动关卡!$A$32:$Z$55,2+5*R917,FALSE)="","","Monster_Season2_Challenge"&amp;P917&amp;"_"&amp;Q917&amp;"_"&amp;R917)</f>
        <v>Monster_Season2_Challenge5_1_1</v>
      </c>
      <c r="M917" s="57">
        <f t="shared" si="191"/>
        <v>1</v>
      </c>
      <c r="O917" s="102">
        <f>VLOOKUP(P917&amp;"_"&amp;Q917,活动关卡!$A$4:$Z$27,6+5*MonsterWaveCallRuleCfg!R917,FALSE)</f>
        <v>25</v>
      </c>
      <c r="P917" s="110">
        <v>5</v>
      </c>
      <c r="Q917" s="110">
        <f t="shared" si="193"/>
        <v>1</v>
      </c>
      <c r="R917" s="110">
        <v>1</v>
      </c>
    </row>
    <row r="918" spans="2:18" x14ac:dyDescent="0.2">
      <c r="B918" s="57" t="str">
        <f t="shared" si="186"/>
        <v/>
      </c>
      <c r="D918" s="57" t="str">
        <f t="shared" si="187"/>
        <v/>
      </c>
      <c r="F918" s="57" t="str">
        <f t="shared" si="188"/>
        <v/>
      </c>
      <c r="G918" s="102" t="str">
        <f t="shared" ref="G918:G948" si="194">IF(C918="","",180)</f>
        <v/>
      </c>
      <c r="H918" s="57">
        <f t="shared" si="189"/>
        <v>0</v>
      </c>
      <c r="I918" s="102">
        <f>VLOOKUP(P918&amp;"_"&amp;Q918,活动关卡!$A$32:$Z$55,3+5*MonsterWaveCallRuleCfg!R918,FALSE)</f>
        <v>2</v>
      </c>
      <c r="J918" s="102">
        <f>VLOOKUP(P918&amp;"_"&amp;Q918,活动关卡!$A$32:$Z$55,4+5*MonsterWaveCallRuleCfg!R918,FALSE)</f>
        <v>6</v>
      </c>
      <c r="K918" s="102">
        <f t="shared" si="190"/>
        <v>1</v>
      </c>
      <c r="L918" s="102" t="str">
        <f>IF(VLOOKUP(P918&amp;"_"&amp;Q918,活动关卡!$A$32:$Z$55,2+5*R918,FALSE)="","","Monster_Season2_Challenge"&amp;P918&amp;"_"&amp;Q918&amp;"_"&amp;R918)</f>
        <v>Monster_Season2_Challenge5_1_2</v>
      </c>
      <c r="M918" s="57">
        <f t="shared" si="191"/>
        <v>1</v>
      </c>
      <c r="O918" s="102">
        <f>VLOOKUP(P918&amp;"_"&amp;Q918,活动关卡!$A$4:$Z$27,6+5*MonsterWaveCallRuleCfg!R918,FALSE)</f>
        <v>25</v>
      </c>
      <c r="P918" s="110">
        <v>5</v>
      </c>
      <c r="Q918" s="110">
        <f t="shared" si="193"/>
        <v>1</v>
      </c>
      <c r="R918" s="110">
        <v>2</v>
      </c>
    </row>
    <row r="919" spans="2:18" x14ac:dyDescent="0.2">
      <c r="B919" s="57" t="str">
        <f t="shared" si="186"/>
        <v/>
      </c>
      <c r="D919" s="57" t="str">
        <f t="shared" si="187"/>
        <v/>
      </c>
      <c r="F919" s="57" t="str">
        <f t="shared" si="188"/>
        <v/>
      </c>
      <c r="G919" s="102" t="str">
        <f t="shared" si="194"/>
        <v/>
      </c>
      <c r="H919" s="57" t="str">
        <f t="shared" si="189"/>
        <v/>
      </c>
      <c r="I919" s="102" t="str">
        <f>VLOOKUP(P919&amp;"_"&amp;Q919,活动关卡!$A$32:$Z$55,3+5*MonsterWaveCallRuleCfg!R919,FALSE)</f>
        <v/>
      </c>
      <c r="J919" s="102" t="str">
        <f>VLOOKUP(P919&amp;"_"&amp;Q919,活动关卡!$A$32:$Z$55,4+5*MonsterWaveCallRuleCfg!R919,FALSE)</f>
        <v/>
      </c>
      <c r="K919" s="102" t="str">
        <f t="shared" si="190"/>
        <v/>
      </c>
      <c r="L919" s="102" t="str">
        <f>IF(VLOOKUP(P919&amp;"_"&amp;Q919,活动关卡!$A$32:$Z$55,2+5*R919,FALSE)="","","Monster_Season2_Challenge"&amp;P919&amp;"_"&amp;Q919&amp;"_"&amp;R919)</f>
        <v/>
      </c>
      <c r="M919" s="57" t="str">
        <f t="shared" si="191"/>
        <v/>
      </c>
      <c r="O919" s="102" t="str">
        <f>VLOOKUP(P919&amp;"_"&amp;Q919,活动关卡!$A$4:$Z$27,6+5*MonsterWaveCallRuleCfg!R919,FALSE)</f>
        <v/>
      </c>
      <c r="P919" s="110">
        <v>5</v>
      </c>
      <c r="Q919" s="110">
        <f t="shared" si="193"/>
        <v>1</v>
      </c>
      <c r="R919" s="110">
        <v>3</v>
      </c>
    </row>
    <row r="920" spans="2:18" x14ac:dyDescent="0.2">
      <c r="B920" s="57" t="str">
        <f t="shared" si="186"/>
        <v/>
      </c>
      <c r="D920" s="57" t="str">
        <f t="shared" si="187"/>
        <v/>
      </c>
      <c r="F920" s="57" t="str">
        <f t="shared" si="188"/>
        <v/>
      </c>
      <c r="G920" s="102" t="str">
        <f t="shared" si="194"/>
        <v/>
      </c>
      <c r="H920" s="57" t="str">
        <f t="shared" si="189"/>
        <v/>
      </c>
      <c r="I920" s="102" t="str">
        <f>VLOOKUP(P920&amp;"_"&amp;Q920,活动关卡!$A$32:$Z$55,3+5*MonsterWaveCallRuleCfg!R920,FALSE)</f>
        <v/>
      </c>
      <c r="J920" s="102" t="str">
        <f>VLOOKUP(P920&amp;"_"&amp;Q920,活动关卡!$A$32:$Z$55,4+5*MonsterWaveCallRuleCfg!R920,FALSE)</f>
        <v/>
      </c>
      <c r="K920" s="102" t="str">
        <f t="shared" si="190"/>
        <v/>
      </c>
      <c r="L920" s="102" t="str">
        <f>IF(VLOOKUP(P920&amp;"_"&amp;Q920,活动关卡!$A$32:$Z$55,2+5*R920,FALSE)="","","Monster_Season2_Challenge"&amp;P920&amp;"_"&amp;Q920&amp;"_"&amp;R920)</f>
        <v/>
      </c>
      <c r="M920" s="57" t="str">
        <f t="shared" si="191"/>
        <v/>
      </c>
      <c r="O920" s="102" t="str">
        <f>VLOOKUP(P920&amp;"_"&amp;Q920,活动关卡!$A$4:$Z$27,6+5*MonsterWaveCallRuleCfg!R920,FALSE)</f>
        <v/>
      </c>
      <c r="P920" s="110">
        <v>5</v>
      </c>
      <c r="Q920" s="110">
        <f t="shared" si="193"/>
        <v>1</v>
      </c>
      <c r="R920" s="110">
        <v>4</v>
      </c>
    </row>
    <row r="921" spans="2:18" x14ac:dyDescent="0.2">
      <c r="B921" s="57" t="str">
        <f t="shared" si="186"/>
        <v>MonsterWaveCallRule_Season2_Challenge5</v>
      </c>
      <c r="C921" s="57">
        <v>2</v>
      </c>
      <c r="D921" s="57" t="str">
        <f t="shared" si="187"/>
        <v>赛季2关卡5第2波</v>
      </c>
      <c r="F921" s="57">
        <f t="shared" si="188"/>
        <v>0</v>
      </c>
      <c r="G921" s="102">
        <f t="shared" si="194"/>
        <v>180</v>
      </c>
      <c r="H921" s="57">
        <f t="shared" si="189"/>
        <v>0</v>
      </c>
      <c r="I921" s="102">
        <f>VLOOKUP(P921&amp;"_"&amp;Q921,活动关卡!$A$32:$Z$55,3+5*MonsterWaveCallRuleCfg!R921,FALSE)</f>
        <v>8</v>
      </c>
      <c r="J921" s="102">
        <f>VLOOKUP(P921&amp;"_"&amp;Q921,活动关卡!$A$32:$Z$55,4+5*MonsterWaveCallRuleCfg!R921,FALSE)</f>
        <v>1.5</v>
      </c>
      <c r="K921" s="102">
        <f t="shared" si="190"/>
        <v>1</v>
      </c>
      <c r="L921" s="102" t="str">
        <f>IF(VLOOKUP(P921&amp;"_"&amp;Q921,活动关卡!$A$32:$Z$55,2+5*R921,FALSE)="","","Monster_Season2_Challenge"&amp;P921&amp;"_"&amp;Q921&amp;"_"&amp;R921)</f>
        <v>Monster_Season2_Challenge5_2_1</v>
      </c>
      <c r="M921" s="57">
        <f t="shared" si="191"/>
        <v>1</v>
      </c>
      <c r="O921" s="102">
        <f>VLOOKUP(P921&amp;"_"&amp;Q921,活动关卡!$A$4:$Z$27,6+5*MonsterWaveCallRuleCfg!R921,FALSE)</f>
        <v>15</v>
      </c>
      <c r="P921" s="110">
        <v>5</v>
      </c>
      <c r="Q921" s="110">
        <f t="shared" si="193"/>
        <v>2</v>
      </c>
      <c r="R921" s="110">
        <v>1</v>
      </c>
    </row>
    <row r="922" spans="2:18" x14ac:dyDescent="0.2">
      <c r="B922" s="57" t="str">
        <f t="shared" si="186"/>
        <v/>
      </c>
      <c r="D922" s="57" t="str">
        <f t="shared" si="187"/>
        <v/>
      </c>
      <c r="F922" s="57" t="str">
        <f t="shared" si="188"/>
        <v/>
      </c>
      <c r="G922" s="102" t="str">
        <f t="shared" si="194"/>
        <v/>
      </c>
      <c r="H922" s="57">
        <f t="shared" si="189"/>
        <v>0</v>
      </c>
      <c r="I922" s="102">
        <f>VLOOKUP(P922&amp;"_"&amp;Q922,活动关卡!$A$32:$Z$55,3+5*MonsterWaveCallRuleCfg!R922,FALSE)</f>
        <v>25</v>
      </c>
      <c r="J922" s="102">
        <f>VLOOKUP(P922&amp;"_"&amp;Q922,活动关卡!$A$32:$Z$55,4+5*MonsterWaveCallRuleCfg!R922,FALSE)</f>
        <v>0.5</v>
      </c>
      <c r="K922" s="102">
        <f t="shared" si="190"/>
        <v>1</v>
      </c>
      <c r="L922" s="102" t="str">
        <f>IF(VLOOKUP(P922&amp;"_"&amp;Q922,活动关卡!$A$32:$Z$55,2+5*R922,FALSE)="","","Monster_Season2_Challenge"&amp;P922&amp;"_"&amp;Q922&amp;"_"&amp;R922)</f>
        <v>Monster_Season2_Challenge5_2_2</v>
      </c>
      <c r="M922" s="57">
        <f t="shared" si="191"/>
        <v>1</v>
      </c>
      <c r="O922" s="102">
        <f>VLOOKUP(P922&amp;"_"&amp;Q922,活动关卡!$A$4:$Z$27,6+5*MonsterWaveCallRuleCfg!R922,FALSE)</f>
        <v>4</v>
      </c>
      <c r="P922" s="110">
        <v>5</v>
      </c>
      <c r="Q922" s="110">
        <f t="shared" si="193"/>
        <v>2</v>
      </c>
      <c r="R922" s="110">
        <v>2</v>
      </c>
    </row>
    <row r="923" spans="2:18" x14ac:dyDescent="0.2">
      <c r="B923" s="57" t="str">
        <f t="shared" si="186"/>
        <v/>
      </c>
      <c r="D923" s="57" t="str">
        <f t="shared" si="187"/>
        <v/>
      </c>
      <c r="F923" s="57" t="str">
        <f t="shared" si="188"/>
        <v/>
      </c>
      <c r="G923" s="102" t="str">
        <f t="shared" si="194"/>
        <v/>
      </c>
      <c r="H923" s="57">
        <f t="shared" si="189"/>
        <v>0</v>
      </c>
      <c r="I923" s="102">
        <f>VLOOKUP(P923&amp;"_"&amp;Q923,活动关卡!$A$32:$Z$55,3+5*MonsterWaveCallRuleCfg!R923,FALSE)</f>
        <v>2</v>
      </c>
      <c r="J923" s="102">
        <f>VLOOKUP(P923&amp;"_"&amp;Q923,活动关卡!$A$32:$Z$55,4+5*MonsterWaveCallRuleCfg!R923,FALSE)</f>
        <v>6</v>
      </c>
      <c r="K923" s="102">
        <f t="shared" si="190"/>
        <v>1</v>
      </c>
      <c r="L923" s="102" t="str">
        <f>IF(VLOOKUP(P923&amp;"_"&amp;Q923,活动关卡!$A$32:$Z$55,2+5*R923,FALSE)="","","Monster_Season2_Challenge"&amp;P923&amp;"_"&amp;Q923&amp;"_"&amp;R923)</f>
        <v>Monster_Season2_Challenge5_2_3</v>
      </c>
      <c r="M923" s="57">
        <f t="shared" si="191"/>
        <v>1</v>
      </c>
      <c r="O923" s="102">
        <f>VLOOKUP(P923&amp;"_"&amp;Q923,活动关卡!$A$4:$Z$27,6+5*MonsterWaveCallRuleCfg!R923,FALSE)</f>
        <v>15</v>
      </c>
      <c r="P923" s="110">
        <v>5</v>
      </c>
      <c r="Q923" s="110">
        <f t="shared" si="193"/>
        <v>2</v>
      </c>
      <c r="R923" s="110">
        <v>3</v>
      </c>
    </row>
    <row r="924" spans="2:18" x14ac:dyDescent="0.2">
      <c r="B924" s="57" t="str">
        <f t="shared" si="186"/>
        <v/>
      </c>
      <c r="D924" s="57" t="str">
        <f t="shared" si="187"/>
        <v/>
      </c>
      <c r="F924" s="57" t="str">
        <f t="shared" si="188"/>
        <v/>
      </c>
      <c r="G924" s="102" t="str">
        <f t="shared" si="194"/>
        <v/>
      </c>
      <c r="H924" s="57" t="str">
        <f t="shared" si="189"/>
        <v/>
      </c>
      <c r="I924" s="102" t="str">
        <f>VLOOKUP(P924&amp;"_"&amp;Q924,活动关卡!$A$32:$Z$55,3+5*MonsterWaveCallRuleCfg!R924,FALSE)</f>
        <v/>
      </c>
      <c r="J924" s="102" t="str">
        <f>VLOOKUP(P924&amp;"_"&amp;Q924,活动关卡!$A$32:$Z$55,4+5*MonsterWaveCallRuleCfg!R924,FALSE)</f>
        <v/>
      </c>
      <c r="K924" s="102" t="str">
        <f t="shared" si="190"/>
        <v/>
      </c>
      <c r="L924" s="102" t="str">
        <f>IF(VLOOKUP(P924&amp;"_"&amp;Q924,活动关卡!$A$32:$Z$55,2+5*R924,FALSE)="","","Monster_Season2_Challenge"&amp;P924&amp;"_"&amp;Q924&amp;"_"&amp;R924)</f>
        <v/>
      </c>
      <c r="M924" s="57" t="str">
        <f t="shared" si="191"/>
        <v/>
      </c>
      <c r="O924" s="102" t="str">
        <f>VLOOKUP(P924&amp;"_"&amp;Q924,活动关卡!$A$4:$Z$27,6+5*MonsterWaveCallRuleCfg!R924,FALSE)</f>
        <v/>
      </c>
      <c r="P924" s="110">
        <v>5</v>
      </c>
      <c r="Q924" s="110">
        <f t="shared" si="193"/>
        <v>2</v>
      </c>
      <c r="R924" s="110">
        <v>4</v>
      </c>
    </row>
    <row r="925" spans="2:18" x14ac:dyDescent="0.2">
      <c r="B925" s="57" t="str">
        <f t="shared" si="186"/>
        <v>MonsterWaveCallRule_Season2_Challenge5</v>
      </c>
      <c r="C925" s="57">
        <v>3</v>
      </c>
      <c r="D925" s="57" t="str">
        <f t="shared" si="187"/>
        <v>赛季2关卡5第3波</v>
      </c>
      <c r="F925" s="57">
        <f t="shared" si="188"/>
        <v>0</v>
      </c>
      <c r="G925" s="102">
        <f t="shared" si="194"/>
        <v>180</v>
      </c>
      <c r="H925" s="57">
        <f t="shared" si="189"/>
        <v>0</v>
      </c>
      <c r="I925" s="102">
        <f>VLOOKUP(P925&amp;"_"&amp;Q925,活动关卡!$A$32:$Z$55,3+5*MonsterWaveCallRuleCfg!R925,FALSE)</f>
        <v>10</v>
      </c>
      <c r="J925" s="102">
        <f>VLOOKUP(P925&amp;"_"&amp;Q925,活动关卡!$A$32:$Z$55,4+5*MonsterWaveCallRuleCfg!R925,FALSE)</f>
        <v>1.5</v>
      </c>
      <c r="K925" s="102">
        <f t="shared" si="190"/>
        <v>1</v>
      </c>
      <c r="L925" s="102" t="str">
        <f>IF(VLOOKUP(P925&amp;"_"&amp;Q925,活动关卡!$A$32:$Z$55,2+5*R925,FALSE)="","","Monster_Season2_Challenge"&amp;P925&amp;"_"&amp;Q925&amp;"_"&amp;R925)</f>
        <v>Monster_Season2_Challenge5_3_1</v>
      </c>
      <c r="M925" s="57">
        <f t="shared" si="191"/>
        <v>1</v>
      </c>
      <c r="O925" s="102">
        <f>VLOOKUP(P925&amp;"_"&amp;Q925,活动关卡!$A$4:$Z$27,6+5*MonsterWaveCallRuleCfg!R925,FALSE)</f>
        <v>7</v>
      </c>
      <c r="P925" s="110">
        <v>5</v>
      </c>
      <c r="Q925" s="110">
        <f t="shared" si="193"/>
        <v>3</v>
      </c>
      <c r="R925" s="110">
        <v>1</v>
      </c>
    </row>
    <row r="926" spans="2:18" x14ac:dyDescent="0.2">
      <c r="B926" s="57" t="str">
        <f t="shared" si="186"/>
        <v/>
      </c>
      <c r="D926" s="57" t="str">
        <f t="shared" si="187"/>
        <v/>
      </c>
      <c r="F926" s="57" t="str">
        <f t="shared" si="188"/>
        <v/>
      </c>
      <c r="G926" s="102" t="str">
        <f t="shared" si="194"/>
        <v/>
      </c>
      <c r="H926" s="57">
        <f t="shared" si="189"/>
        <v>0</v>
      </c>
      <c r="I926" s="102">
        <f>VLOOKUP(P926&amp;"_"&amp;Q926,活动关卡!$A$32:$Z$55,3+5*MonsterWaveCallRuleCfg!R926,FALSE)</f>
        <v>38</v>
      </c>
      <c r="J926" s="102">
        <f>VLOOKUP(P926&amp;"_"&amp;Q926,活动关卡!$A$32:$Z$55,4+5*MonsterWaveCallRuleCfg!R926,FALSE)</f>
        <v>0.4</v>
      </c>
      <c r="K926" s="102">
        <f t="shared" si="190"/>
        <v>1</v>
      </c>
      <c r="L926" s="102" t="str">
        <f>IF(VLOOKUP(P926&amp;"_"&amp;Q926,活动关卡!$A$32:$Z$55,2+5*R926,FALSE)="","","Monster_Season2_Challenge"&amp;P926&amp;"_"&amp;Q926&amp;"_"&amp;R926)</f>
        <v>Monster_Season2_Challenge5_3_2</v>
      </c>
      <c r="M926" s="57">
        <f t="shared" si="191"/>
        <v>1</v>
      </c>
      <c r="O926" s="102">
        <f>VLOOKUP(P926&amp;"_"&amp;Q926,活动关卡!$A$4:$Z$27,6+5*MonsterWaveCallRuleCfg!R926,FALSE)</f>
        <v>4</v>
      </c>
      <c r="P926" s="110">
        <v>5</v>
      </c>
      <c r="Q926" s="110">
        <f t="shared" si="193"/>
        <v>3</v>
      </c>
      <c r="R926" s="110">
        <v>2</v>
      </c>
    </row>
    <row r="927" spans="2:18" x14ac:dyDescent="0.2">
      <c r="B927" s="57" t="str">
        <f t="shared" si="186"/>
        <v/>
      </c>
      <c r="D927" s="57" t="str">
        <f t="shared" si="187"/>
        <v/>
      </c>
      <c r="F927" s="57" t="str">
        <f t="shared" si="188"/>
        <v/>
      </c>
      <c r="G927" s="102" t="str">
        <f t="shared" si="194"/>
        <v/>
      </c>
      <c r="H927" s="57">
        <f t="shared" si="189"/>
        <v>0</v>
      </c>
      <c r="I927" s="102">
        <f>VLOOKUP(P927&amp;"_"&amp;Q927,活动关卡!$A$32:$Z$55,3+5*MonsterWaveCallRuleCfg!R927,FALSE)</f>
        <v>10</v>
      </c>
      <c r="J927" s="102">
        <f>VLOOKUP(P927&amp;"_"&amp;Q927,活动关卡!$A$32:$Z$55,4+5*MonsterWaveCallRuleCfg!R927,FALSE)</f>
        <v>1.5</v>
      </c>
      <c r="K927" s="102">
        <f t="shared" si="190"/>
        <v>1</v>
      </c>
      <c r="L927" s="102" t="str">
        <f>IF(VLOOKUP(P927&amp;"_"&amp;Q927,活动关卡!$A$32:$Z$55,2+5*R927,FALSE)="","","Monster_Season2_Challenge"&amp;P927&amp;"_"&amp;Q927&amp;"_"&amp;R927)</f>
        <v>Monster_Season2_Challenge5_3_3</v>
      </c>
      <c r="M927" s="57">
        <f t="shared" si="191"/>
        <v>1</v>
      </c>
      <c r="O927" s="102">
        <f>VLOOKUP(P927&amp;"_"&amp;Q927,活动关卡!$A$4:$Z$27,6+5*MonsterWaveCallRuleCfg!R927,FALSE)</f>
        <v>4</v>
      </c>
      <c r="P927" s="110">
        <v>5</v>
      </c>
      <c r="Q927" s="110">
        <f t="shared" si="193"/>
        <v>3</v>
      </c>
      <c r="R927" s="110">
        <v>3</v>
      </c>
    </row>
    <row r="928" spans="2:18" x14ac:dyDescent="0.2">
      <c r="B928" s="57" t="str">
        <f t="shared" si="186"/>
        <v/>
      </c>
      <c r="D928" s="57" t="str">
        <f t="shared" si="187"/>
        <v/>
      </c>
      <c r="F928" s="57" t="str">
        <f t="shared" si="188"/>
        <v/>
      </c>
      <c r="G928" s="102" t="str">
        <f t="shared" si="194"/>
        <v/>
      </c>
      <c r="H928" s="57">
        <f t="shared" si="189"/>
        <v>0</v>
      </c>
      <c r="I928" s="102">
        <f>VLOOKUP(P928&amp;"_"&amp;Q928,活动关卡!$A$32:$Z$55,3+5*MonsterWaveCallRuleCfg!R928,FALSE)</f>
        <v>3</v>
      </c>
      <c r="J928" s="102">
        <f>VLOOKUP(P928&amp;"_"&amp;Q928,活动关卡!$A$32:$Z$55,4+5*MonsterWaveCallRuleCfg!R928,FALSE)</f>
        <v>6</v>
      </c>
      <c r="K928" s="102">
        <f t="shared" si="190"/>
        <v>1</v>
      </c>
      <c r="L928" s="102" t="str">
        <f>IF(VLOOKUP(P928&amp;"_"&amp;Q928,活动关卡!$A$32:$Z$55,2+5*R928,FALSE)="","","Monster_Season2_Challenge"&amp;P928&amp;"_"&amp;Q928&amp;"_"&amp;R928)</f>
        <v>Monster_Season2_Challenge5_3_4</v>
      </c>
      <c r="M928" s="57">
        <f t="shared" si="191"/>
        <v>1</v>
      </c>
      <c r="O928" s="102">
        <f>VLOOKUP(P928&amp;"_"&amp;Q928,活动关卡!$A$4:$Z$27,6+5*MonsterWaveCallRuleCfg!R928,FALSE)</f>
        <v>7</v>
      </c>
      <c r="P928" s="110">
        <v>5</v>
      </c>
      <c r="Q928" s="110">
        <f t="shared" si="193"/>
        <v>3</v>
      </c>
      <c r="R928" s="110">
        <v>4</v>
      </c>
    </row>
    <row r="929" spans="2:18" x14ac:dyDescent="0.2">
      <c r="B929" s="57" t="str">
        <f t="shared" si="186"/>
        <v>MonsterWaveCallRule_Season2_Challenge5</v>
      </c>
      <c r="C929" s="57">
        <v>4</v>
      </c>
      <c r="D929" s="57" t="str">
        <f t="shared" si="187"/>
        <v>赛季2关卡5第4波</v>
      </c>
      <c r="F929" s="57">
        <f t="shared" si="188"/>
        <v>0</v>
      </c>
      <c r="G929" s="102">
        <f t="shared" si="194"/>
        <v>180</v>
      </c>
      <c r="H929" s="57">
        <f t="shared" si="189"/>
        <v>0</v>
      </c>
      <c r="I929" s="102">
        <f>VLOOKUP(P929&amp;"_"&amp;Q929,活动关卡!$A$32:$Z$55,3+5*MonsterWaveCallRuleCfg!R929,FALSE)</f>
        <v>12</v>
      </c>
      <c r="J929" s="102">
        <f>VLOOKUP(P929&amp;"_"&amp;Q929,活动关卡!$A$32:$Z$55,4+5*MonsterWaveCallRuleCfg!R929,FALSE)</f>
        <v>1.5</v>
      </c>
      <c r="K929" s="102">
        <f t="shared" si="190"/>
        <v>1</v>
      </c>
      <c r="L929" s="102" t="str">
        <f>IF(VLOOKUP(P929&amp;"_"&amp;Q929,活动关卡!$A$32:$Z$55,2+5*R929,FALSE)="","","Monster_Season2_Challenge"&amp;P929&amp;"_"&amp;Q929&amp;"_"&amp;R929)</f>
        <v>Monster_Season2_Challenge5_4_1</v>
      </c>
      <c r="M929" s="57">
        <f t="shared" si="191"/>
        <v>1</v>
      </c>
      <c r="O929" s="102">
        <f>VLOOKUP(P929&amp;"_"&amp;Q929,活动关卡!$A$4:$Z$27,6+5*MonsterWaveCallRuleCfg!R929,FALSE)</f>
        <v>8</v>
      </c>
      <c r="P929" s="110">
        <v>5</v>
      </c>
      <c r="Q929" s="110">
        <f t="shared" si="193"/>
        <v>4</v>
      </c>
      <c r="R929" s="110">
        <v>1</v>
      </c>
    </row>
    <row r="930" spans="2:18" x14ac:dyDescent="0.2">
      <c r="B930" s="57" t="str">
        <f t="shared" si="186"/>
        <v/>
      </c>
      <c r="D930" s="57" t="str">
        <f t="shared" si="187"/>
        <v/>
      </c>
      <c r="F930" s="57" t="str">
        <f t="shared" si="188"/>
        <v/>
      </c>
      <c r="G930" s="102" t="str">
        <f t="shared" si="194"/>
        <v/>
      </c>
      <c r="H930" s="57">
        <f t="shared" si="189"/>
        <v>0</v>
      </c>
      <c r="I930" s="102">
        <f>VLOOKUP(P930&amp;"_"&amp;Q930,活动关卡!$A$32:$Z$55,3+5*MonsterWaveCallRuleCfg!R930,FALSE)</f>
        <v>35</v>
      </c>
      <c r="J930" s="102">
        <f>VLOOKUP(P930&amp;"_"&amp;Q930,活动关卡!$A$32:$Z$55,4+5*MonsterWaveCallRuleCfg!R930,FALSE)</f>
        <v>0.5</v>
      </c>
      <c r="K930" s="102">
        <f t="shared" si="190"/>
        <v>1</v>
      </c>
      <c r="L930" s="102" t="str">
        <f>IF(VLOOKUP(P930&amp;"_"&amp;Q930,活动关卡!$A$32:$Z$55,2+5*R930,FALSE)="","","Monster_Season2_Challenge"&amp;P930&amp;"_"&amp;Q930&amp;"_"&amp;R930)</f>
        <v>Monster_Season2_Challenge5_4_2</v>
      </c>
      <c r="M930" s="57">
        <f t="shared" si="191"/>
        <v>1</v>
      </c>
      <c r="O930" s="102">
        <f>VLOOKUP(P930&amp;"_"&amp;Q930,活动关卡!$A$4:$Z$27,6+5*MonsterWaveCallRuleCfg!R930,FALSE)</f>
        <v>4</v>
      </c>
      <c r="P930" s="110">
        <v>5</v>
      </c>
      <c r="Q930" s="110">
        <f t="shared" si="193"/>
        <v>4</v>
      </c>
      <c r="R930" s="110">
        <v>2</v>
      </c>
    </row>
    <row r="931" spans="2:18" x14ac:dyDescent="0.2">
      <c r="B931" s="57" t="str">
        <f t="shared" si="186"/>
        <v/>
      </c>
      <c r="D931" s="57" t="str">
        <f t="shared" si="187"/>
        <v/>
      </c>
      <c r="F931" s="57" t="str">
        <f t="shared" si="188"/>
        <v/>
      </c>
      <c r="G931" s="102" t="str">
        <f t="shared" si="194"/>
        <v/>
      </c>
      <c r="H931" s="57">
        <f t="shared" si="189"/>
        <v>0</v>
      </c>
      <c r="I931" s="102">
        <f>VLOOKUP(P931&amp;"_"&amp;Q931,活动关卡!$A$32:$Z$55,3+5*MonsterWaveCallRuleCfg!R931,FALSE)</f>
        <v>3</v>
      </c>
      <c r="J931" s="102">
        <f>VLOOKUP(P931&amp;"_"&amp;Q931,活动关卡!$A$32:$Z$55,4+5*MonsterWaveCallRuleCfg!R931,FALSE)</f>
        <v>6</v>
      </c>
      <c r="K931" s="102">
        <f t="shared" si="190"/>
        <v>1</v>
      </c>
      <c r="L931" s="102" t="str">
        <f>IF(VLOOKUP(P931&amp;"_"&amp;Q931,活动关卡!$A$32:$Z$55,2+5*R931,FALSE)="","","Monster_Season2_Challenge"&amp;P931&amp;"_"&amp;Q931&amp;"_"&amp;R931)</f>
        <v>Monster_Season2_Challenge5_4_3</v>
      </c>
      <c r="M931" s="57">
        <f t="shared" si="191"/>
        <v>1</v>
      </c>
      <c r="O931" s="102">
        <f>VLOOKUP(P931&amp;"_"&amp;Q931,活动关卡!$A$4:$Z$27,6+5*MonsterWaveCallRuleCfg!R931,FALSE)</f>
        <v>8</v>
      </c>
      <c r="P931" s="110">
        <v>5</v>
      </c>
      <c r="Q931" s="110">
        <f t="shared" si="193"/>
        <v>4</v>
      </c>
      <c r="R931" s="110">
        <v>3</v>
      </c>
    </row>
    <row r="932" spans="2:18" x14ac:dyDescent="0.2">
      <c r="B932" s="57" t="str">
        <f t="shared" si="186"/>
        <v/>
      </c>
      <c r="D932" s="57" t="str">
        <f t="shared" si="187"/>
        <v/>
      </c>
      <c r="F932" s="57" t="str">
        <f t="shared" si="188"/>
        <v/>
      </c>
      <c r="G932" s="102" t="str">
        <f t="shared" si="194"/>
        <v/>
      </c>
      <c r="H932" s="57" t="str">
        <f t="shared" si="189"/>
        <v/>
      </c>
      <c r="I932" s="102" t="str">
        <f>VLOOKUP(P932&amp;"_"&amp;Q932,活动关卡!$A$32:$Z$55,3+5*MonsterWaveCallRuleCfg!R932,FALSE)</f>
        <v/>
      </c>
      <c r="J932" s="102" t="str">
        <f>VLOOKUP(P932&amp;"_"&amp;Q932,活动关卡!$A$32:$Z$55,4+5*MonsterWaveCallRuleCfg!R932,FALSE)</f>
        <v/>
      </c>
      <c r="K932" s="102" t="str">
        <f t="shared" si="190"/>
        <v/>
      </c>
      <c r="L932" s="102" t="str">
        <f>IF(VLOOKUP(P932&amp;"_"&amp;Q932,活动关卡!$A$32:$Z$55,2+5*R932,FALSE)="","","Monster_Season2_Challenge"&amp;P932&amp;"_"&amp;Q932&amp;"_"&amp;R932)</f>
        <v/>
      </c>
      <c r="M932" s="57" t="str">
        <f t="shared" si="191"/>
        <v/>
      </c>
      <c r="O932" s="102" t="str">
        <f>VLOOKUP(P932&amp;"_"&amp;Q932,活动关卡!$A$4:$Z$27,6+5*MonsterWaveCallRuleCfg!R932,FALSE)</f>
        <v/>
      </c>
      <c r="P932" s="110">
        <v>5</v>
      </c>
      <c r="Q932" s="110">
        <f t="shared" si="193"/>
        <v>4</v>
      </c>
      <c r="R932" s="110">
        <v>4</v>
      </c>
    </row>
    <row r="933" spans="2:18" x14ac:dyDescent="0.2">
      <c r="B933" s="57" t="str">
        <f t="shared" ref="B933:B945" si="195">IF(C933="","","MonsterWaveCallRule_Season2_Challenge"&amp;P933)</f>
        <v>MonsterWaveCallRule_Season2_Challenge5</v>
      </c>
      <c r="C933" s="57">
        <v>5</v>
      </c>
      <c r="D933" s="57" t="str">
        <f t="shared" ref="D933:D945" si="196">IF(C933="","","赛季2关卡"&amp;P933&amp;"第"&amp;C933&amp;"波")</f>
        <v>赛季2关卡5第5波</v>
      </c>
      <c r="F933" s="57">
        <f t="shared" si="188"/>
        <v>0</v>
      </c>
      <c r="G933" s="102">
        <f t="shared" si="194"/>
        <v>180</v>
      </c>
      <c r="H933" s="57">
        <f t="shared" si="189"/>
        <v>0</v>
      </c>
      <c r="I933" s="102">
        <f>VLOOKUP(P933&amp;"_"&amp;Q933,活动关卡!$A$32:$Z$55,3+5*MonsterWaveCallRuleCfg!R933,FALSE)</f>
        <v>13</v>
      </c>
      <c r="J933" s="102">
        <f>VLOOKUP(P933&amp;"_"&amp;Q933,活动关卡!$A$32:$Z$55,4+5*MonsterWaveCallRuleCfg!R933,FALSE)</f>
        <v>1.5</v>
      </c>
      <c r="K933" s="102">
        <f t="shared" si="190"/>
        <v>1</v>
      </c>
      <c r="L933" s="102" t="str">
        <f>IF(VLOOKUP(P933&amp;"_"&amp;Q933,活动关卡!$A$32:$Z$55,2+5*R933,FALSE)="","","Monster_Season2_Challenge"&amp;P933&amp;"_"&amp;Q933&amp;"_"&amp;R933)</f>
        <v>Monster_Season2_Challenge5_5_1</v>
      </c>
      <c r="M933" s="57">
        <f t="shared" si="191"/>
        <v>1</v>
      </c>
      <c r="O933" s="102">
        <f>VLOOKUP(P933&amp;"_"&amp;Q933,活动关卡!$A$4:$Z$27,6+5*MonsterWaveCallRuleCfg!R933,FALSE)</f>
        <v>5</v>
      </c>
      <c r="P933" s="110">
        <v>5</v>
      </c>
      <c r="Q933" s="110">
        <f t="shared" si="193"/>
        <v>5</v>
      </c>
      <c r="R933" s="110">
        <v>1</v>
      </c>
    </row>
    <row r="934" spans="2:18" x14ac:dyDescent="0.2">
      <c r="B934" s="57" t="str">
        <f t="shared" si="195"/>
        <v/>
      </c>
      <c r="D934" s="57" t="str">
        <f t="shared" si="196"/>
        <v/>
      </c>
      <c r="F934" s="57" t="str">
        <f t="shared" si="188"/>
        <v/>
      </c>
      <c r="G934" s="102" t="str">
        <f t="shared" si="194"/>
        <v/>
      </c>
      <c r="H934" s="57">
        <f t="shared" si="189"/>
        <v>0</v>
      </c>
      <c r="I934" s="102">
        <f>VLOOKUP(P934&amp;"_"&amp;Q934,活动关卡!$A$32:$Z$55,3+5*MonsterWaveCallRuleCfg!R934,FALSE)</f>
        <v>40</v>
      </c>
      <c r="J934" s="102">
        <f>VLOOKUP(P934&amp;"_"&amp;Q934,活动关卡!$A$32:$Z$55,4+5*MonsterWaveCallRuleCfg!R934,FALSE)</f>
        <v>0.5</v>
      </c>
      <c r="K934" s="102">
        <f t="shared" si="190"/>
        <v>1</v>
      </c>
      <c r="L934" s="102" t="str">
        <f>IF(VLOOKUP(P934&amp;"_"&amp;Q934,活动关卡!$A$32:$Z$55,2+5*R934,FALSE)="","","Monster_Season2_Challenge"&amp;P934&amp;"_"&amp;Q934&amp;"_"&amp;R934)</f>
        <v>Monster_Season2_Challenge5_5_2</v>
      </c>
      <c r="M934" s="57">
        <f t="shared" si="191"/>
        <v>1</v>
      </c>
      <c r="O934" s="102">
        <f>VLOOKUP(P934&amp;"_"&amp;Q934,活动关卡!$A$4:$Z$27,6+5*MonsterWaveCallRuleCfg!R934,FALSE)</f>
        <v>2</v>
      </c>
      <c r="P934" s="110">
        <v>5</v>
      </c>
      <c r="Q934" s="110">
        <f t="shared" si="193"/>
        <v>5</v>
      </c>
      <c r="R934" s="110">
        <v>2</v>
      </c>
    </row>
    <row r="935" spans="2:18" x14ac:dyDescent="0.2">
      <c r="B935" s="57" t="str">
        <f t="shared" si="195"/>
        <v/>
      </c>
      <c r="D935" s="57" t="str">
        <f t="shared" si="196"/>
        <v/>
      </c>
      <c r="F935" s="57" t="str">
        <f t="shared" si="188"/>
        <v/>
      </c>
      <c r="G935" s="102" t="str">
        <f t="shared" si="194"/>
        <v/>
      </c>
      <c r="H935" s="57">
        <f t="shared" si="189"/>
        <v>0</v>
      </c>
      <c r="I935" s="102">
        <f>VLOOKUP(P935&amp;"_"&amp;Q935,活动关卡!$A$32:$Z$55,3+5*MonsterWaveCallRuleCfg!R935,FALSE)</f>
        <v>10</v>
      </c>
      <c r="J935" s="102">
        <f>VLOOKUP(P935&amp;"_"&amp;Q935,活动关卡!$A$32:$Z$55,4+5*MonsterWaveCallRuleCfg!R935,FALSE)</f>
        <v>2</v>
      </c>
      <c r="K935" s="102">
        <f t="shared" si="190"/>
        <v>1</v>
      </c>
      <c r="L935" s="102" t="str">
        <f>IF(VLOOKUP(P935&amp;"_"&amp;Q935,活动关卡!$A$32:$Z$55,2+5*R935,FALSE)="","","Monster_Season2_Challenge"&amp;P935&amp;"_"&amp;Q935&amp;"_"&amp;R935)</f>
        <v>Monster_Season2_Challenge5_5_3</v>
      </c>
      <c r="M935" s="57">
        <f t="shared" si="191"/>
        <v>1</v>
      </c>
      <c r="O935" s="102">
        <f>VLOOKUP(P935&amp;"_"&amp;Q935,活动关卡!$A$4:$Z$27,6+5*MonsterWaveCallRuleCfg!R935,FALSE)</f>
        <v>5</v>
      </c>
      <c r="P935" s="110">
        <v>5</v>
      </c>
      <c r="Q935" s="110">
        <f t="shared" si="193"/>
        <v>5</v>
      </c>
      <c r="R935" s="110">
        <v>3</v>
      </c>
    </row>
    <row r="936" spans="2:18" x14ac:dyDescent="0.2">
      <c r="B936" s="57" t="str">
        <f t="shared" si="195"/>
        <v/>
      </c>
      <c r="D936" s="57" t="str">
        <f t="shared" si="196"/>
        <v/>
      </c>
      <c r="F936" s="57" t="str">
        <f t="shared" si="188"/>
        <v/>
      </c>
      <c r="G936" s="102" t="str">
        <f t="shared" si="194"/>
        <v/>
      </c>
      <c r="H936" s="57">
        <f t="shared" si="189"/>
        <v>0</v>
      </c>
      <c r="I936" s="102">
        <f>VLOOKUP(P936&amp;"_"&amp;Q936,活动关卡!$A$32:$Z$55,3+5*MonsterWaveCallRuleCfg!R936,FALSE)</f>
        <v>5</v>
      </c>
      <c r="J936" s="102">
        <f>VLOOKUP(P936&amp;"_"&amp;Q936,活动关卡!$A$32:$Z$55,4+5*MonsterWaveCallRuleCfg!R936,FALSE)</f>
        <v>4</v>
      </c>
      <c r="K936" s="102">
        <f t="shared" si="190"/>
        <v>1</v>
      </c>
      <c r="L936" s="102" t="str">
        <f>IF(VLOOKUP(P936&amp;"_"&amp;Q936,活动关卡!$A$32:$Z$55,2+5*R936,FALSE)="","","Monster_Season2_Challenge"&amp;P936&amp;"_"&amp;Q936&amp;"_"&amp;R936)</f>
        <v>Monster_Season2_Challenge5_5_4</v>
      </c>
      <c r="M936" s="57">
        <f t="shared" si="191"/>
        <v>1</v>
      </c>
      <c r="O936" s="102">
        <f>VLOOKUP(P936&amp;"_"&amp;Q936,活动关卡!$A$4:$Z$27,6+5*MonsterWaveCallRuleCfg!R936,FALSE)</f>
        <v>5</v>
      </c>
      <c r="P936" s="110">
        <v>5</v>
      </c>
      <c r="Q936" s="110">
        <f t="shared" si="193"/>
        <v>5</v>
      </c>
      <c r="R936" s="110">
        <v>4</v>
      </c>
    </row>
    <row r="937" spans="2:18" x14ac:dyDescent="0.2">
      <c r="B937" s="57" t="str">
        <f t="shared" si="195"/>
        <v>MonsterWaveCallRule_Season2_Challenge5</v>
      </c>
      <c r="C937" s="57">
        <v>6</v>
      </c>
      <c r="D937" s="57" t="str">
        <f t="shared" si="196"/>
        <v>赛季2关卡5第6波</v>
      </c>
      <c r="F937" s="57">
        <f t="shared" si="188"/>
        <v>0</v>
      </c>
      <c r="G937" s="102">
        <f t="shared" si="194"/>
        <v>180</v>
      </c>
      <c r="H937" s="57">
        <f t="shared" si="189"/>
        <v>0</v>
      </c>
      <c r="I937" s="102">
        <f>VLOOKUP(P937&amp;"_"&amp;Q937,活动关卡!$A$32:$Z$55,3+5*MonsterWaveCallRuleCfg!R937,FALSE)</f>
        <v>15</v>
      </c>
      <c r="J937" s="102">
        <f>VLOOKUP(P937&amp;"_"&amp;Q937,活动关卡!$A$32:$Z$55,4+5*MonsterWaveCallRuleCfg!R937,FALSE)</f>
        <v>1.5</v>
      </c>
      <c r="K937" s="102">
        <f t="shared" si="190"/>
        <v>1</v>
      </c>
      <c r="L937" s="102" t="str">
        <f>IF(VLOOKUP(P937&amp;"_"&amp;Q937,活动关卡!$A$32:$Z$55,2+5*R937,FALSE)="","","Monster_Season2_Challenge"&amp;P937&amp;"_"&amp;Q937&amp;"_"&amp;R937)</f>
        <v>Monster_Season2_Challenge5_6_1</v>
      </c>
      <c r="M937" s="57">
        <f t="shared" si="191"/>
        <v>1</v>
      </c>
      <c r="O937" s="102">
        <f>VLOOKUP(P937&amp;"_"&amp;Q937,活动关卡!$A$4:$Z$27,6+5*MonsterWaveCallRuleCfg!R937,FALSE)</f>
        <v>5</v>
      </c>
      <c r="P937" s="110">
        <v>5</v>
      </c>
      <c r="Q937" s="110">
        <f t="shared" si="193"/>
        <v>6</v>
      </c>
      <c r="R937" s="110">
        <v>1</v>
      </c>
    </row>
    <row r="938" spans="2:18" x14ac:dyDescent="0.2">
      <c r="B938" s="57" t="str">
        <f t="shared" si="195"/>
        <v/>
      </c>
      <c r="D938" s="57" t="str">
        <f t="shared" si="196"/>
        <v/>
      </c>
      <c r="F938" s="57" t="str">
        <f t="shared" si="188"/>
        <v/>
      </c>
      <c r="G938" s="102" t="str">
        <f t="shared" si="194"/>
        <v/>
      </c>
      <c r="H938" s="57">
        <f t="shared" si="189"/>
        <v>0</v>
      </c>
      <c r="I938" s="102">
        <f>VLOOKUP(P938&amp;"_"&amp;Q938,活动关卡!$A$32:$Z$55,3+5*MonsterWaveCallRuleCfg!R938,FALSE)</f>
        <v>11</v>
      </c>
      <c r="J938" s="102">
        <f>VLOOKUP(P938&amp;"_"&amp;Q938,活动关卡!$A$32:$Z$55,4+5*MonsterWaveCallRuleCfg!R938,FALSE)</f>
        <v>2</v>
      </c>
      <c r="K938" s="102">
        <f t="shared" si="190"/>
        <v>1</v>
      </c>
      <c r="L938" s="102" t="str">
        <f>IF(VLOOKUP(P938&amp;"_"&amp;Q938,活动关卡!$A$32:$Z$55,2+5*R938,FALSE)="","","Monster_Season2_Challenge"&amp;P938&amp;"_"&amp;Q938&amp;"_"&amp;R938)</f>
        <v>Monster_Season2_Challenge5_6_2</v>
      </c>
      <c r="M938" s="57">
        <f t="shared" si="191"/>
        <v>1</v>
      </c>
      <c r="O938" s="102">
        <f>VLOOKUP(P938&amp;"_"&amp;Q938,活动关卡!$A$4:$Z$27,6+5*MonsterWaveCallRuleCfg!R938,FALSE)</f>
        <v>5</v>
      </c>
      <c r="P938" s="110">
        <v>5</v>
      </c>
      <c r="Q938" s="110">
        <f t="shared" si="193"/>
        <v>6</v>
      </c>
      <c r="R938" s="110">
        <v>2</v>
      </c>
    </row>
    <row r="939" spans="2:18" x14ac:dyDescent="0.2">
      <c r="B939" s="57" t="str">
        <f t="shared" si="195"/>
        <v/>
      </c>
      <c r="D939" s="57" t="str">
        <f t="shared" si="196"/>
        <v/>
      </c>
      <c r="F939" s="57" t="str">
        <f t="shared" si="188"/>
        <v/>
      </c>
      <c r="G939" s="102" t="str">
        <f t="shared" si="194"/>
        <v/>
      </c>
      <c r="H939" s="57">
        <f t="shared" si="189"/>
        <v>0</v>
      </c>
      <c r="I939" s="102">
        <f>VLOOKUP(P939&amp;"_"&amp;Q939,活动关卡!$A$32:$Z$55,3+5*MonsterWaveCallRuleCfg!R939,FALSE)</f>
        <v>15</v>
      </c>
      <c r="J939" s="102">
        <f>VLOOKUP(P939&amp;"_"&amp;Q939,活动关卡!$A$32:$Z$55,4+5*MonsterWaveCallRuleCfg!R939,FALSE)</f>
        <v>1.5</v>
      </c>
      <c r="K939" s="102">
        <f t="shared" si="190"/>
        <v>1</v>
      </c>
      <c r="L939" s="102" t="str">
        <f>IF(VLOOKUP(P939&amp;"_"&amp;Q939,活动关卡!$A$32:$Z$55,2+5*R939,FALSE)="","","Monster_Season2_Challenge"&amp;P939&amp;"_"&amp;Q939&amp;"_"&amp;R939)</f>
        <v>Monster_Season2_Challenge5_6_3</v>
      </c>
      <c r="M939" s="57">
        <f t="shared" si="191"/>
        <v>1</v>
      </c>
      <c r="O939" s="102">
        <f>VLOOKUP(P939&amp;"_"&amp;Q939,活动关卡!$A$4:$Z$27,6+5*MonsterWaveCallRuleCfg!R939,FALSE)</f>
        <v>3</v>
      </c>
      <c r="P939" s="110">
        <v>5</v>
      </c>
      <c r="Q939" s="110">
        <f t="shared" si="193"/>
        <v>6</v>
      </c>
      <c r="R939" s="110">
        <v>3</v>
      </c>
    </row>
    <row r="940" spans="2:18" x14ac:dyDescent="0.2">
      <c r="B940" s="57" t="str">
        <f t="shared" si="195"/>
        <v/>
      </c>
      <c r="D940" s="57" t="str">
        <f t="shared" si="196"/>
        <v/>
      </c>
      <c r="F940" s="57" t="str">
        <f t="shared" si="188"/>
        <v/>
      </c>
      <c r="G940" s="102" t="str">
        <f t="shared" si="194"/>
        <v/>
      </c>
      <c r="H940" s="57">
        <f t="shared" si="189"/>
        <v>0</v>
      </c>
      <c r="I940" s="102">
        <f>VLOOKUP(P940&amp;"_"&amp;Q940,活动关卡!$A$32:$Z$55,3+5*MonsterWaveCallRuleCfg!R940,FALSE)</f>
        <v>6</v>
      </c>
      <c r="J940" s="102">
        <f>VLOOKUP(P940&amp;"_"&amp;Q940,活动关卡!$A$32:$Z$55,4+5*MonsterWaveCallRuleCfg!R940,FALSE)</f>
        <v>4</v>
      </c>
      <c r="K940" s="102">
        <f t="shared" si="190"/>
        <v>1</v>
      </c>
      <c r="L940" s="102" t="str">
        <f>IF(VLOOKUP(P940&amp;"_"&amp;Q940,活动关卡!$A$32:$Z$55,2+5*R940,FALSE)="","","Monster_Season2_Challenge"&amp;P940&amp;"_"&amp;Q940&amp;"_"&amp;R940)</f>
        <v>Monster_Season2_Challenge5_6_4</v>
      </c>
      <c r="M940" s="57">
        <f t="shared" si="191"/>
        <v>1</v>
      </c>
      <c r="O940" s="102">
        <f>VLOOKUP(P940&amp;"_"&amp;Q940,活动关卡!$A$4:$Z$27,6+5*MonsterWaveCallRuleCfg!R940,FALSE)</f>
        <v>5</v>
      </c>
      <c r="P940" s="110">
        <v>5</v>
      </c>
      <c r="Q940" s="110">
        <f t="shared" si="193"/>
        <v>6</v>
      </c>
      <c r="R940" s="110">
        <v>4</v>
      </c>
    </row>
    <row r="941" spans="2:18" x14ac:dyDescent="0.2">
      <c r="B941" s="57" t="str">
        <f t="shared" si="195"/>
        <v>MonsterWaveCallRule_Season2_Challenge5</v>
      </c>
      <c r="C941" s="57">
        <v>7</v>
      </c>
      <c r="D941" s="57" t="str">
        <f t="shared" si="196"/>
        <v>赛季2关卡5第7波</v>
      </c>
      <c r="F941" s="57">
        <f t="shared" si="188"/>
        <v>0</v>
      </c>
      <c r="G941" s="102">
        <f t="shared" si="194"/>
        <v>180</v>
      </c>
      <c r="H941" s="57">
        <f t="shared" si="189"/>
        <v>0</v>
      </c>
      <c r="I941" s="102">
        <f>VLOOKUP(P941&amp;"_"&amp;Q941,活动关卡!$A$32:$Z$55,3+5*MonsterWaveCallRuleCfg!R941,FALSE)</f>
        <v>25</v>
      </c>
      <c r="J941" s="102">
        <f>VLOOKUP(P941&amp;"_"&amp;Q941,活动关卡!$A$32:$Z$55,4+5*MonsterWaveCallRuleCfg!R941,FALSE)</f>
        <v>1</v>
      </c>
      <c r="K941" s="102">
        <f t="shared" si="190"/>
        <v>1</v>
      </c>
      <c r="L941" s="102" t="str">
        <f>IF(VLOOKUP(P941&amp;"_"&amp;Q941,活动关卡!$A$32:$Z$55,2+5*R941,FALSE)="","","Monster_Season2_Challenge"&amp;P941&amp;"_"&amp;Q941&amp;"_"&amp;R941)</f>
        <v>Monster_Season2_Challenge5_7_1</v>
      </c>
      <c r="M941" s="57">
        <f t="shared" si="191"/>
        <v>1</v>
      </c>
      <c r="O941" s="102">
        <f>VLOOKUP(P941&amp;"_"&amp;Q941,活动关卡!$A$4:$Z$27,6+5*MonsterWaveCallRuleCfg!R941,FALSE)</f>
        <v>4</v>
      </c>
      <c r="P941" s="110">
        <v>5</v>
      </c>
      <c r="Q941" s="110">
        <f t="shared" si="193"/>
        <v>7</v>
      </c>
      <c r="R941" s="110">
        <v>1</v>
      </c>
    </row>
    <row r="942" spans="2:18" x14ac:dyDescent="0.2">
      <c r="B942" s="57" t="str">
        <f t="shared" si="195"/>
        <v/>
      </c>
      <c r="D942" s="57" t="str">
        <f t="shared" si="196"/>
        <v/>
      </c>
      <c r="F942" s="57" t="str">
        <f t="shared" si="188"/>
        <v/>
      </c>
      <c r="G942" s="102" t="str">
        <f t="shared" si="194"/>
        <v/>
      </c>
      <c r="H942" s="57">
        <f t="shared" si="189"/>
        <v>0</v>
      </c>
      <c r="I942" s="102">
        <f>VLOOKUP(P942&amp;"_"&amp;Q942,活动关卡!$A$32:$Z$55,3+5*MonsterWaveCallRuleCfg!R942,FALSE)</f>
        <v>25</v>
      </c>
      <c r="J942" s="102">
        <f>VLOOKUP(P942&amp;"_"&amp;Q942,活动关卡!$A$32:$Z$55,4+5*MonsterWaveCallRuleCfg!R942,FALSE)</f>
        <v>1</v>
      </c>
      <c r="K942" s="102">
        <f t="shared" si="190"/>
        <v>1</v>
      </c>
      <c r="L942" s="102" t="str">
        <f>IF(VLOOKUP(P942&amp;"_"&amp;Q942,活动关卡!$A$32:$Z$55,2+5*R942,FALSE)="","","Monster_Season2_Challenge"&amp;P942&amp;"_"&amp;Q942&amp;"_"&amp;R942)</f>
        <v>Monster_Season2_Challenge5_7_2</v>
      </c>
      <c r="M942" s="57">
        <f t="shared" si="191"/>
        <v>1</v>
      </c>
      <c r="O942" s="102">
        <f>VLOOKUP(P942&amp;"_"&amp;Q942,活动关卡!$A$4:$Z$27,6+5*MonsterWaveCallRuleCfg!R942,FALSE)</f>
        <v>2</v>
      </c>
      <c r="P942" s="110">
        <v>5</v>
      </c>
      <c r="Q942" s="110">
        <f t="shared" si="193"/>
        <v>7</v>
      </c>
      <c r="R942" s="110">
        <v>2</v>
      </c>
    </row>
    <row r="943" spans="2:18" x14ac:dyDescent="0.2">
      <c r="B943" s="57" t="str">
        <f t="shared" si="195"/>
        <v/>
      </c>
      <c r="D943" s="57" t="str">
        <f t="shared" si="196"/>
        <v/>
      </c>
      <c r="F943" s="57" t="str">
        <f t="shared" si="188"/>
        <v/>
      </c>
      <c r="G943" s="102" t="str">
        <f t="shared" si="194"/>
        <v/>
      </c>
      <c r="H943" s="57">
        <f t="shared" si="189"/>
        <v>0</v>
      </c>
      <c r="I943" s="102">
        <f>VLOOKUP(P943&amp;"_"&amp;Q943,活动关卡!$A$32:$Z$55,3+5*MonsterWaveCallRuleCfg!R943,FALSE)</f>
        <v>50</v>
      </c>
      <c r="J943" s="102">
        <f>VLOOKUP(P943&amp;"_"&amp;Q943,活动关卡!$A$32:$Z$55,4+5*MonsterWaveCallRuleCfg!R943,FALSE)</f>
        <v>0.5</v>
      </c>
      <c r="K943" s="102">
        <f t="shared" si="190"/>
        <v>1</v>
      </c>
      <c r="L943" s="102" t="str">
        <f>IF(VLOOKUP(P943&amp;"_"&amp;Q943,活动关卡!$A$32:$Z$55,2+5*R943,FALSE)="","","Monster_Season2_Challenge"&amp;P943&amp;"_"&amp;Q943&amp;"_"&amp;R943)</f>
        <v>Monster_Season2_Challenge5_7_3</v>
      </c>
      <c r="M943" s="57">
        <f t="shared" si="191"/>
        <v>1</v>
      </c>
      <c r="O943" s="102">
        <f>VLOOKUP(P943&amp;"_"&amp;Q943,活动关卡!$A$4:$Z$27,6+5*MonsterWaveCallRuleCfg!R943,FALSE)</f>
        <v>1</v>
      </c>
      <c r="P943" s="110">
        <v>5</v>
      </c>
      <c r="Q943" s="110">
        <f t="shared" si="193"/>
        <v>7</v>
      </c>
      <c r="R943" s="110">
        <v>3</v>
      </c>
    </row>
    <row r="944" spans="2:18" x14ac:dyDescent="0.2">
      <c r="B944" s="57" t="str">
        <f t="shared" si="195"/>
        <v/>
      </c>
      <c r="D944" s="57" t="str">
        <f t="shared" si="196"/>
        <v/>
      </c>
      <c r="F944" s="57" t="str">
        <f t="shared" si="188"/>
        <v/>
      </c>
      <c r="G944" s="102" t="str">
        <f t="shared" si="194"/>
        <v/>
      </c>
      <c r="H944" s="57">
        <f t="shared" si="189"/>
        <v>0</v>
      </c>
      <c r="I944" s="102">
        <f>VLOOKUP(P944&amp;"_"&amp;Q944,活动关卡!$A$32:$Z$55,3+5*MonsterWaveCallRuleCfg!R944,FALSE)</f>
        <v>6</v>
      </c>
      <c r="J944" s="102">
        <f>VLOOKUP(P944&amp;"_"&amp;Q944,活动关卡!$A$32:$Z$55,4+5*MonsterWaveCallRuleCfg!R944,FALSE)</f>
        <v>4</v>
      </c>
      <c r="K944" s="102">
        <f t="shared" si="190"/>
        <v>1</v>
      </c>
      <c r="L944" s="102" t="str">
        <f>IF(VLOOKUP(P944&amp;"_"&amp;Q944,活动关卡!$A$32:$Z$55,2+5*R944,FALSE)="","","Monster_Season2_Challenge"&amp;P944&amp;"_"&amp;Q944&amp;"_"&amp;R944)</f>
        <v>Monster_Season2_Challenge5_7_4</v>
      </c>
      <c r="M944" s="57">
        <f t="shared" si="191"/>
        <v>1</v>
      </c>
      <c r="O944" s="102">
        <f>VLOOKUP(P944&amp;"_"&amp;Q944,活动关卡!$A$4:$Z$27,6+5*MonsterWaveCallRuleCfg!R944,FALSE)</f>
        <v>4</v>
      </c>
      <c r="P944" s="110">
        <v>5</v>
      </c>
      <c r="Q944" s="110">
        <f t="shared" si="193"/>
        <v>7</v>
      </c>
      <c r="R944" s="110">
        <v>4</v>
      </c>
    </row>
    <row r="945" spans="2:18" x14ac:dyDescent="0.2">
      <c r="B945" s="57" t="str">
        <f t="shared" si="195"/>
        <v>MonsterWaveCallRule_Season2_Challenge5</v>
      </c>
      <c r="C945" s="57">
        <v>8</v>
      </c>
      <c r="D945" s="57" t="str">
        <f t="shared" si="196"/>
        <v>赛季2关卡5第8波</v>
      </c>
      <c r="F945" s="57">
        <f t="shared" si="188"/>
        <v>0</v>
      </c>
      <c r="G945" s="102">
        <f t="shared" si="194"/>
        <v>180</v>
      </c>
      <c r="H945" s="57">
        <f t="shared" si="189"/>
        <v>0</v>
      </c>
      <c r="I945" s="102">
        <f>VLOOKUP(P945&amp;"_"&amp;Q945,活动关卡!$A$32:$Z$55,3+5*MonsterWaveCallRuleCfg!R945,FALSE)</f>
        <v>1</v>
      </c>
      <c r="J945" s="102">
        <f>VLOOKUP(P945&amp;"_"&amp;Q945,活动关卡!$A$32:$Z$55,4+5*MonsterWaveCallRuleCfg!R945,FALSE)</f>
        <v>0</v>
      </c>
      <c r="K945" s="102">
        <f t="shared" si="190"/>
        <v>1</v>
      </c>
      <c r="L945" s="102" t="str">
        <f>IF(VLOOKUP(P945&amp;"_"&amp;Q945,活动关卡!$A$32:$Z$55,2+5*R945,FALSE)="","","Monster_Season2_Challenge"&amp;P945&amp;"_"&amp;Q945&amp;"_"&amp;R945)</f>
        <v>Monster_Season2_Challenge5_8_1</v>
      </c>
      <c r="M945" s="57">
        <f t="shared" si="191"/>
        <v>1</v>
      </c>
      <c r="O945" s="102">
        <f>VLOOKUP(P945&amp;"_"&amp;Q945,活动关卡!$A$4:$Z$27,6+5*MonsterWaveCallRuleCfg!R945,FALSE)</f>
        <v>85</v>
      </c>
      <c r="P945" s="110">
        <v>5</v>
      </c>
      <c r="Q945" s="110">
        <f t="shared" si="193"/>
        <v>8</v>
      </c>
      <c r="R945" s="110">
        <v>1</v>
      </c>
    </row>
    <row r="946" spans="2:18" x14ac:dyDescent="0.2">
      <c r="G946" s="102" t="str">
        <f t="shared" si="194"/>
        <v/>
      </c>
      <c r="H946" s="57">
        <f t="shared" si="189"/>
        <v>0</v>
      </c>
      <c r="I946" s="102">
        <f>VLOOKUP(P946&amp;"_"&amp;Q946,活动关卡!$A$32:$Z$55,3+5*MonsterWaveCallRuleCfg!R946,FALSE)</f>
        <v>55</v>
      </c>
      <c r="J946" s="102">
        <f>VLOOKUP(P946&amp;"_"&amp;Q946,活动关卡!$A$32:$Z$55,4+5*MonsterWaveCallRuleCfg!R946,FALSE)</f>
        <v>0.5</v>
      </c>
      <c r="K946" s="102">
        <f t="shared" si="190"/>
        <v>1</v>
      </c>
      <c r="L946" s="102" t="str">
        <f>IF(VLOOKUP(P946&amp;"_"&amp;Q946,活动关卡!$A$32:$Z$55,2+5*R946,FALSE)="","","Monster_Season2_Challenge"&amp;P946&amp;"_"&amp;Q946&amp;"_"&amp;R946)</f>
        <v>Monster_Season2_Challenge5_8_2</v>
      </c>
      <c r="M946" s="57">
        <f t="shared" si="191"/>
        <v>1</v>
      </c>
      <c r="O946" s="102">
        <f>VLOOKUP(P946&amp;"_"&amp;Q946,活动关卡!$A$4:$Z$27,6+5*MonsterWaveCallRuleCfg!R946,FALSE)</f>
        <v>2</v>
      </c>
      <c r="P946" s="110">
        <v>5</v>
      </c>
      <c r="Q946" s="110">
        <f t="shared" si="193"/>
        <v>8</v>
      </c>
      <c r="R946" s="110">
        <v>2</v>
      </c>
    </row>
    <row r="947" spans="2:18" x14ac:dyDescent="0.2">
      <c r="G947" s="102" t="str">
        <f t="shared" si="194"/>
        <v/>
      </c>
      <c r="H947" s="57">
        <f t="shared" si="189"/>
        <v>0</v>
      </c>
      <c r="I947" s="102">
        <f>VLOOKUP(P947&amp;"_"&amp;Q947,活动关卡!$A$32:$Z$55,3+5*MonsterWaveCallRuleCfg!R947,FALSE)</f>
        <v>14</v>
      </c>
      <c r="J947" s="102">
        <f>VLOOKUP(P947&amp;"_"&amp;Q947,活动关卡!$A$32:$Z$55,4+5*MonsterWaveCallRuleCfg!R947,FALSE)</f>
        <v>2</v>
      </c>
      <c r="K947" s="102">
        <f t="shared" si="190"/>
        <v>1</v>
      </c>
      <c r="L947" s="102" t="str">
        <f>IF(VLOOKUP(P947&amp;"_"&amp;Q947,活动关卡!$A$32:$Z$55,2+5*R947,FALSE)="","","Monster_Season2_Challenge"&amp;P947&amp;"_"&amp;Q947&amp;"_"&amp;R947)</f>
        <v>Monster_Season2_Challenge5_8_3</v>
      </c>
      <c r="M947" s="57">
        <f t="shared" si="191"/>
        <v>1</v>
      </c>
      <c r="O947" s="102">
        <f>VLOOKUP(P947&amp;"_"&amp;Q947,活动关卡!$A$4:$Z$27,6+5*MonsterWaveCallRuleCfg!R947,FALSE)</f>
        <v>4</v>
      </c>
      <c r="P947" s="110">
        <v>5</v>
      </c>
      <c r="Q947" s="110">
        <f t="shared" si="193"/>
        <v>8</v>
      </c>
      <c r="R947" s="110">
        <v>3</v>
      </c>
    </row>
    <row r="948" spans="2:18" x14ac:dyDescent="0.2">
      <c r="G948" s="102" t="str">
        <f t="shared" si="194"/>
        <v/>
      </c>
      <c r="H948" s="57">
        <f t="shared" si="189"/>
        <v>0</v>
      </c>
      <c r="I948" s="102">
        <f>VLOOKUP(P948&amp;"_"&amp;Q948,活动关卡!$A$32:$Z$55,3+5*MonsterWaveCallRuleCfg!R948,FALSE)</f>
        <v>3</v>
      </c>
      <c r="J948" s="102">
        <f>VLOOKUP(P948&amp;"_"&amp;Q948,活动关卡!$A$32:$Z$55,4+5*MonsterWaveCallRuleCfg!R948,FALSE)</f>
        <v>8</v>
      </c>
      <c r="K948" s="102">
        <f t="shared" si="190"/>
        <v>1</v>
      </c>
      <c r="L948" s="102" t="str">
        <f>IF(VLOOKUP(P948&amp;"_"&amp;Q948,活动关卡!$A$32:$Z$55,2+5*R948,FALSE)="","","Monster_Season2_Challenge"&amp;P948&amp;"_"&amp;Q948&amp;"_"&amp;R948)</f>
        <v>Monster_Season2_Challenge5_8_4</v>
      </c>
      <c r="M948" s="57">
        <f t="shared" si="191"/>
        <v>1</v>
      </c>
      <c r="O948" s="102">
        <f>VLOOKUP(P948&amp;"_"&amp;Q948,活动关卡!$A$4:$Z$27,6+5*MonsterWaveCallRuleCfg!R948,FALSE)</f>
        <v>4</v>
      </c>
      <c r="P948" s="110">
        <v>5</v>
      </c>
      <c r="Q948" s="110">
        <f t="shared" si="193"/>
        <v>8</v>
      </c>
      <c r="R948" s="110">
        <v>4</v>
      </c>
    </row>
    <row r="949" spans="2:18" s="166" customFormat="1" x14ac:dyDescent="0.2"/>
    <row r="950" spans="2:18" x14ac:dyDescent="0.2">
      <c r="B950" s="57" t="str">
        <f t="shared" ref="B950:B981" si="197">IF(C950="","","MonsterWaveCallRule_Season3_Challenge"&amp;P950)</f>
        <v>MonsterWaveCallRule_Season3_Challenge1</v>
      </c>
      <c r="C950" s="57">
        <v>1</v>
      </c>
      <c r="D950" s="57" t="str">
        <f t="shared" ref="D950:D981" si="198">IF(C950="","","赛季3关卡"&amp;P950&amp;"第"&amp;C950&amp;"波")</f>
        <v>赛季3关卡1第1波</v>
      </c>
      <c r="F950" s="57">
        <f t="shared" ref="F950:F1013" si="199">IF(C950="","",0)</f>
        <v>0</v>
      </c>
      <c r="G950" s="102">
        <f>IF(C950="","",180)</f>
        <v>180</v>
      </c>
      <c r="H950" s="57">
        <f t="shared" ref="H950:H1013" si="200">IF(I950="","",0)</f>
        <v>0</v>
      </c>
      <c r="I950" s="102">
        <f>VLOOKUP(P950&amp;"_"&amp;Q950,活动关卡!$A$60:$Z$83,3+5*MonsterWaveCallRuleCfg!R950,FALSE)</f>
        <v>5</v>
      </c>
      <c r="J950" s="102">
        <f>VLOOKUP(P950&amp;"_"&amp;Q950,活动关卡!$A$60:$Z$83,4+5*MonsterWaveCallRuleCfg!R950,FALSE)</f>
        <v>2</v>
      </c>
      <c r="K950" s="102">
        <f t="shared" ref="K950:K1013" si="201">IF(I950="","",1)</f>
        <v>1</v>
      </c>
      <c r="L950" s="102" t="str">
        <f>IF(VLOOKUP(P950&amp;"_"&amp;Q950,活动关卡!$A$60:$Z$83,2+5*R950,FALSE)="","","Monster_Season3_Challenge"&amp;P950&amp;"_"&amp;Q950&amp;"_"&amp;R950)</f>
        <v>Monster_Season3_Challenge1_1_1</v>
      </c>
      <c r="M950" s="57">
        <f t="shared" ref="M950:M1013" si="202">IF(I950="","",1)</f>
        <v>1</v>
      </c>
      <c r="O950" s="102">
        <f>VLOOKUP(P950&amp;"_"&amp;Q950,活动关卡!$A$4:$Z$27,6+5*MonsterWaveCallRuleCfg!R950,FALSE)</f>
        <v>18</v>
      </c>
      <c r="P950" s="110">
        <v>1</v>
      </c>
      <c r="Q950" s="110">
        <f>C950</f>
        <v>1</v>
      </c>
      <c r="R950" s="110">
        <v>1</v>
      </c>
    </row>
    <row r="951" spans="2:18" x14ac:dyDescent="0.2">
      <c r="B951" s="57" t="str">
        <f t="shared" si="197"/>
        <v/>
      </c>
      <c r="D951" s="57" t="str">
        <f t="shared" si="198"/>
        <v/>
      </c>
      <c r="F951" s="57" t="str">
        <f t="shared" si="199"/>
        <v/>
      </c>
      <c r="G951" s="102" t="str">
        <f t="shared" ref="G951:G1014" si="203">IF(C951="","",180)</f>
        <v/>
      </c>
      <c r="H951" s="57">
        <f t="shared" si="200"/>
        <v>0</v>
      </c>
      <c r="I951" s="102">
        <f>VLOOKUP(P951&amp;"_"&amp;Q951,活动关卡!$A$60:$Z$83,3+5*MonsterWaveCallRuleCfg!R951,FALSE)</f>
        <v>3</v>
      </c>
      <c r="J951" s="102">
        <f>VLOOKUP(P951&amp;"_"&amp;Q951,活动关卡!$A$60:$Z$83,4+5*MonsterWaveCallRuleCfg!R951,FALSE)</f>
        <v>3</v>
      </c>
      <c r="K951" s="102">
        <f t="shared" si="201"/>
        <v>1</v>
      </c>
      <c r="L951" s="102" t="str">
        <f>IF(VLOOKUP(P951&amp;"_"&amp;Q951,活动关卡!$A$60:$Z$83,2+5*R951,FALSE)="","","Monster_Season3_Challenge"&amp;P951&amp;"_"&amp;Q951&amp;"_"&amp;R951)</f>
        <v>Monster_Season3_Challenge1_1_2</v>
      </c>
      <c r="M951" s="57">
        <f t="shared" si="202"/>
        <v>1</v>
      </c>
      <c r="O951" s="102">
        <f>VLOOKUP(P951&amp;"_"&amp;Q951,活动关卡!$A$4:$Z$27,6+5*MonsterWaveCallRuleCfg!R951,FALSE)</f>
        <v>71</v>
      </c>
      <c r="P951" s="110">
        <v>1</v>
      </c>
      <c r="Q951" s="110">
        <f>IF(C951="",Q950,C951)</f>
        <v>1</v>
      </c>
      <c r="R951" s="110">
        <v>2</v>
      </c>
    </row>
    <row r="952" spans="2:18" x14ac:dyDescent="0.2">
      <c r="B952" s="57" t="str">
        <f t="shared" si="197"/>
        <v/>
      </c>
      <c r="D952" s="57" t="str">
        <f t="shared" si="198"/>
        <v/>
      </c>
      <c r="F952" s="57" t="str">
        <f t="shared" si="199"/>
        <v/>
      </c>
      <c r="G952" s="102" t="str">
        <f t="shared" si="203"/>
        <v/>
      </c>
      <c r="H952" s="57" t="str">
        <f t="shared" si="200"/>
        <v/>
      </c>
      <c r="I952" s="102" t="str">
        <f>VLOOKUP(P952&amp;"_"&amp;Q952,活动关卡!$A$60:$Z$83,3+5*MonsterWaveCallRuleCfg!R952,FALSE)</f>
        <v/>
      </c>
      <c r="J952" s="102" t="str">
        <f>VLOOKUP(P952&amp;"_"&amp;Q952,活动关卡!$A$60:$Z$83,4+5*MonsterWaveCallRuleCfg!R952,FALSE)</f>
        <v/>
      </c>
      <c r="K952" s="102" t="str">
        <f t="shared" si="201"/>
        <v/>
      </c>
      <c r="L952" s="102" t="str">
        <f>IF(VLOOKUP(P952&amp;"_"&amp;Q952,活动关卡!$A$60:$Z$83,2+5*R952,FALSE)="","","Monster_Season3_Challenge"&amp;P952&amp;"_"&amp;Q952&amp;"_"&amp;R952)</f>
        <v/>
      </c>
      <c r="M952" s="57" t="str">
        <f t="shared" si="202"/>
        <v/>
      </c>
      <c r="O952" s="102" t="str">
        <f>VLOOKUP(P952&amp;"_"&amp;Q952,活动关卡!$A$4:$Z$27,6+5*MonsterWaveCallRuleCfg!R952,FALSE)</f>
        <v/>
      </c>
      <c r="P952" s="110">
        <v>1</v>
      </c>
      <c r="Q952" s="110">
        <f t="shared" ref="Q952:Q1015" si="204">IF(C952="",Q951,C952)</f>
        <v>1</v>
      </c>
      <c r="R952" s="110">
        <v>3</v>
      </c>
    </row>
    <row r="953" spans="2:18" x14ac:dyDescent="0.2">
      <c r="B953" s="57" t="str">
        <f t="shared" si="197"/>
        <v/>
      </c>
      <c r="D953" s="57" t="str">
        <f t="shared" si="198"/>
        <v/>
      </c>
      <c r="F953" s="57" t="str">
        <f t="shared" si="199"/>
        <v/>
      </c>
      <c r="G953" s="102" t="str">
        <f t="shared" si="203"/>
        <v/>
      </c>
      <c r="H953" s="57" t="str">
        <f t="shared" si="200"/>
        <v/>
      </c>
      <c r="I953" s="102" t="str">
        <f>VLOOKUP(P953&amp;"_"&amp;Q953,活动关卡!$A$60:$Z$83,3+5*MonsterWaveCallRuleCfg!R953,FALSE)</f>
        <v/>
      </c>
      <c r="J953" s="102" t="str">
        <f>VLOOKUP(P953&amp;"_"&amp;Q953,活动关卡!$A$60:$Z$83,4+5*MonsterWaveCallRuleCfg!R953,FALSE)</f>
        <v/>
      </c>
      <c r="K953" s="102" t="str">
        <f t="shared" si="201"/>
        <v/>
      </c>
      <c r="L953" s="102" t="str">
        <f>IF(VLOOKUP(P953&amp;"_"&amp;Q953,活动关卡!$A$60:$Z$83,2+5*R953,FALSE)="","","Monster_Season3_Challenge"&amp;P953&amp;"_"&amp;Q953&amp;"_"&amp;R953)</f>
        <v/>
      </c>
      <c r="M953" s="57" t="str">
        <f t="shared" si="202"/>
        <v/>
      </c>
      <c r="O953" s="102" t="str">
        <f>VLOOKUP(P953&amp;"_"&amp;Q953,活动关卡!$A$4:$Z$27,6+5*MonsterWaveCallRuleCfg!R953,FALSE)</f>
        <v/>
      </c>
      <c r="P953" s="110">
        <v>1</v>
      </c>
      <c r="Q953" s="110">
        <f t="shared" si="204"/>
        <v>1</v>
      </c>
      <c r="R953" s="110">
        <v>4</v>
      </c>
    </row>
    <row r="954" spans="2:18" x14ac:dyDescent="0.2">
      <c r="B954" s="57" t="str">
        <f t="shared" si="197"/>
        <v>MonsterWaveCallRule_Season3_Challenge1</v>
      </c>
      <c r="C954" s="57">
        <v>2</v>
      </c>
      <c r="D954" s="57" t="str">
        <f t="shared" si="198"/>
        <v>赛季3关卡1第2波</v>
      </c>
      <c r="F954" s="57">
        <f t="shared" si="199"/>
        <v>0</v>
      </c>
      <c r="G954" s="102">
        <f t="shared" si="203"/>
        <v>180</v>
      </c>
      <c r="H954" s="57">
        <f t="shared" si="200"/>
        <v>0</v>
      </c>
      <c r="I954" s="102">
        <f>VLOOKUP(P954&amp;"_"&amp;Q954,活动关卡!$A$60:$Z$83,3+5*MonsterWaveCallRuleCfg!R954,FALSE)</f>
        <v>25</v>
      </c>
      <c r="J954" s="102">
        <f>VLOOKUP(P954&amp;"_"&amp;Q954,活动关卡!$A$60:$Z$83,4+5*MonsterWaveCallRuleCfg!R954,FALSE)</f>
        <v>0.5</v>
      </c>
      <c r="K954" s="102">
        <f t="shared" si="201"/>
        <v>1</v>
      </c>
      <c r="L954" s="102" t="str">
        <f>IF(VLOOKUP(P954&amp;"_"&amp;Q954,活动关卡!$A$60:$Z$83,2+5*R954,FALSE)="","","Monster_Season3_Challenge"&amp;P954&amp;"_"&amp;Q954&amp;"_"&amp;R954)</f>
        <v>Monster_Season3_Challenge1_2_1</v>
      </c>
      <c r="M954" s="57">
        <f t="shared" si="202"/>
        <v>1</v>
      </c>
      <c r="O954" s="102">
        <f>VLOOKUP(P954&amp;"_"&amp;Q954,活动关卡!$A$4:$Z$27,6+5*MonsterWaveCallRuleCfg!R954,FALSE)</f>
        <v>7</v>
      </c>
      <c r="P954" s="110">
        <v>1</v>
      </c>
      <c r="Q954" s="110">
        <f t="shared" si="204"/>
        <v>2</v>
      </c>
      <c r="R954" s="110">
        <v>1</v>
      </c>
    </row>
    <row r="955" spans="2:18" x14ac:dyDescent="0.2">
      <c r="B955" s="57" t="str">
        <f t="shared" si="197"/>
        <v/>
      </c>
      <c r="D955" s="57" t="str">
        <f t="shared" si="198"/>
        <v/>
      </c>
      <c r="F955" s="57" t="str">
        <f t="shared" si="199"/>
        <v/>
      </c>
      <c r="G955" s="102" t="str">
        <f t="shared" si="203"/>
        <v/>
      </c>
      <c r="H955" s="57">
        <f t="shared" si="200"/>
        <v>0</v>
      </c>
      <c r="I955" s="102">
        <f>VLOOKUP(P955&amp;"_"&amp;Q955,活动关卡!$A$60:$Z$83,3+5*MonsterWaveCallRuleCfg!R955,FALSE)</f>
        <v>4</v>
      </c>
      <c r="J955" s="102">
        <f>VLOOKUP(P955&amp;"_"&amp;Q955,活动关卡!$A$60:$Z$83,4+5*MonsterWaveCallRuleCfg!R955,FALSE)</f>
        <v>3</v>
      </c>
      <c r="K955" s="102">
        <f t="shared" si="201"/>
        <v>1</v>
      </c>
      <c r="L955" s="102" t="str">
        <f>IF(VLOOKUP(P955&amp;"_"&amp;Q955,活动关卡!$A$60:$Z$83,2+5*R955,FALSE)="","","Monster_Season3_Challenge"&amp;P955&amp;"_"&amp;Q955&amp;"_"&amp;R955)</f>
        <v>Monster_Season3_Challenge1_2_2</v>
      </c>
      <c r="M955" s="57">
        <f t="shared" si="202"/>
        <v>1</v>
      </c>
      <c r="O955" s="102">
        <f>VLOOKUP(P955&amp;"_"&amp;Q955,活动关卡!$A$4:$Z$27,6+5*MonsterWaveCallRuleCfg!R955,FALSE)</f>
        <v>29</v>
      </c>
      <c r="P955" s="110">
        <v>1</v>
      </c>
      <c r="Q955" s="110">
        <f t="shared" si="204"/>
        <v>2</v>
      </c>
      <c r="R955" s="110">
        <v>2</v>
      </c>
    </row>
    <row r="956" spans="2:18" x14ac:dyDescent="0.2">
      <c r="B956" s="57" t="str">
        <f t="shared" si="197"/>
        <v/>
      </c>
      <c r="D956" s="57" t="str">
        <f t="shared" si="198"/>
        <v/>
      </c>
      <c r="F956" s="57" t="str">
        <f t="shared" si="199"/>
        <v/>
      </c>
      <c r="G956" s="102" t="str">
        <f t="shared" si="203"/>
        <v/>
      </c>
      <c r="H956" s="57" t="str">
        <f t="shared" si="200"/>
        <v/>
      </c>
      <c r="I956" s="102" t="str">
        <f>VLOOKUP(P956&amp;"_"&amp;Q956,活动关卡!$A$60:$Z$83,3+5*MonsterWaveCallRuleCfg!R956,FALSE)</f>
        <v/>
      </c>
      <c r="J956" s="102" t="str">
        <f>VLOOKUP(P956&amp;"_"&amp;Q956,活动关卡!$A$60:$Z$83,4+5*MonsterWaveCallRuleCfg!R956,FALSE)</f>
        <v/>
      </c>
      <c r="K956" s="102" t="str">
        <f t="shared" si="201"/>
        <v/>
      </c>
      <c r="L956" s="102" t="str">
        <f>IF(VLOOKUP(P956&amp;"_"&amp;Q956,活动关卡!$A$60:$Z$83,2+5*R956,FALSE)="","","Monster_Season3_Challenge"&amp;P956&amp;"_"&amp;Q956&amp;"_"&amp;R956)</f>
        <v/>
      </c>
      <c r="M956" s="57" t="str">
        <f t="shared" si="202"/>
        <v/>
      </c>
      <c r="O956" s="102" t="str">
        <f>VLOOKUP(P956&amp;"_"&amp;Q956,活动关卡!$A$4:$Z$27,6+5*MonsterWaveCallRuleCfg!R956,FALSE)</f>
        <v/>
      </c>
      <c r="P956" s="110">
        <v>1</v>
      </c>
      <c r="Q956" s="110">
        <f t="shared" si="204"/>
        <v>2</v>
      </c>
      <c r="R956" s="110">
        <v>3</v>
      </c>
    </row>
    <row r="957" spans="2:18" x14ac:dyDescent="0.2">
      <c r="B957" s="57" t="str">
        <f t="shared" si="197"/>
        <v/>
      </c>
      <c r="D957" s="57" t="str">
        <f t="shared" si="198"/>
        <v/>
      </c>
      <c r="F957" s="57" t="str">
        <f t="shared" si="199"/>
        <v/>
      </c>
      <c r="G957" s="102" t="str">
        <f t="shared" si="203"/>
        <v/>
      </c>
      <c r="H957" s="57" t="str">
        <f t="shared" si="200"/>
        <v/>
      </c>
      <c r="I957" s="102" t="str">
        <f>VLOOKUP(P957&amp;"_"&amp;Q957,活动关卡!$A$60:$Z$83,3+5*MonsterWaveCallRuleCfg!R957,FALSE)</f>
        <v/>
      </c>
      <c r="J957" s="102" t="str">
        <f>VLOOKUP(P957&amp;"_"&amp;Q957,活动关卡!$A$60:$Z$83,4+5*MonsterWaveCallRuleCfg!R957,FALSE)</f>
        <v/>
      </c>
      <c r="K957" s="102" t="str">
        <f t="shared" si="201"/>
        <v/>
      </c>
      <c r="L957" s="102" t="str">
        <f>IF(VLOOKUP(P957&amp;"_"&amp;Q957,活动关卡!$A$60:$Z$83,2+5*R957,FALSE)="","","Monster_Season3_Challenge"&amp;P957&amp;"_"&amp;Q957&amp;"_"&amp;R957)</f>
        <v/>
      </c>
      <c r="M957" s="57" t="str">
        <f t="shared" si="202"/>
        <v/>
      </c>
      <c r="O957" s="102" t="str">
        <f>VLOOKUP(P957&amp;"_"&amp;Q957,活动关卡!$A$4:$Z$27,6+5*MonsterWaveCallRuleCfg!R957,FALSE)</f>
        <v/>
      </c>
      <c r="P957" s="110">
        <v>1</v>
      </c>
      <c r="Q957" s="110">
        <f t="shared" si="204"/>
        <v>2</v>
      </c>
      <c r="R957" s="110">
        <v>4</v>
      </c>
    </row>
    <row r="958" spans="2:18" x14ac:dyDescent="0.2">
      <c r="B958" s="57" t="str">
        <f t="shared" si="197"/>
        <v>MonsterWaveCallRule_Season3_Challenge1</v>
      </c>
      <c r="C958" s="57">
        <v>3</v>
      </c>
      <c r="D958" s="57" t="str">
        <f t="shared" si="198"/>
        <v>赛季3关卡1第3波</v>
      </c>
      <c r="F958" s="57">
        <f t="shared" si="199"/>
        <v>0</v>
      </c>
      <c r="G958" s="102">
        <f t="shared" si="203"/>
        <v>180</v>
      </c>
      <c r="H958" s="57">
        <f t="shared" si="200"/>
        <v>0</v>
      </c>
      <c r="I958" s="102">
        <f>VLOOKUP(P958&amp;"_"&amp;Q958,活动关卡!$A$60:$Z$83,3+5*MonsterWaveCallRuleCfg!R958,FALSE)</f>
        <v>30</v>
      </c>
      <c r="J958" s="102">
        <f>VLOOKUP(P958&amp;"_"&amp;Q958,活动关卡!$A$60:$Z$83,4+5*MonsterWaveCallRuleCfg!R958,FALSE)</f>
        <v>0.5</v>
      </c>
      <c r="K958" s="102">
        <f t="shared" si="201"/>
        <v>1</v>
      </c>
      <c r="L958" s="102" t="str">
        <f>IF(VLOOKUP(P958&amp;"_"&amp;Q958,活动关卡!$A$60:$Z$83,2+5*R958,FALSE)="","","Monster_Season3_Challenge"&amp;P958&amp;"_"&amp;Q958&amp;"_"&amp;R958)</f>
        <v>Monster_Season3_Challenge1_3_1</v>
      </c>
      <c r="M958" s="57">
        <f t="shared" si="202"/>
        <v>1</v>
      </c>
      <c r="O958" s="102">
        <f>VLOOKUP(P958&amp;"_"&amp;Q958,活动关卡!$A$4:$Z$27,6+5*MonsterWaveCallRuleCfg!R958,FALSE)</f>
        <v>3</v>
      </c>
      <c r="P958" s="110">
        <v>1</v>
      </c>
      <c r="Q958" s="110">
        <f t="shared" si="204"/>
        <v>3</v>
      </c>
      <c r="R958" s="110">
        <v>1</v>
      </c>
    </row>
    <row r="959" spans="2:18" x14ac:dyDescent="0.2">
      <c r="B959" s="57" t="str">
        <f t="shared" si="197"/>
        <v/>
      </c>
      <c r="D959" s="57" t="str">
        <f t="shared" si="198"/>
        <v/>
      </c>
      <c r="F959" s="57" t="str">
        <f t="shared" si="199"/>
        <v/>
      </c>
      <c r="G959" s="102" t="str">
        <f t="shared" si="203"/>
        <v/>
      </c>
      <c r="H959" s="57">
        <f t="shared" si="200"/>
        <v>0</v>
      </c>
      <c r="I959" s="102">
        <f>VLOOKUP(P959&amp;"_"&amp;Q959,活动关卡!$A$60:$Z$83,3+5*MonsterWaveCallRuleCfg!R959,FALSE)</f>
        <v>5</v>
      </c>
      <c r="J959" s="102">
        <f>VLOOKUP(P959&amp;"_"&amp;Q959,活动关卡!$A$60:$Z$83,4+5*MonsterWaveCallRuleCfg!R959,FALSE)</f>
        <v>3</v>
      </c>
      <c r="K959" s="102">
        <f t="shared" si="201"/>
        <v>1</v>
      </c>
      <c r="L959" s="102" t="str">
        <f>IF(VLOOKUP(P959&amp;"_"&amp;Q959,活动关卡!$A$60:$Z$83,2+5*R959,FALSE)="","","Monster_Season3_Challenge"&amp;P959&amp;"_"&amp;Q959&amp;"_"&amp;R959)</f>
        <v>Monster_Season3_Challenge1_3_2</v>
      </c>
      <c r="M959" s="57">
        <f t="shared" si="202"/>
        <v>1</v>
      </c>
      <c r="O959" s="102">
        <f>VLOOKUP(P959&amp;"_"&amp;Q959,活动关卡!$A$4:$Z$27,6+5*MonsterWaveCallRuleCfg!R959,FALSE)</f>
        <v>13</v>
      </c>
      <c r="P959" s="110">
        <v>1</v>
      </c>
      <c r="Q959" s="110">
        <f t="shared" si="204"/>
        <v>3</v>
      </c>
      <c r="R959" s="110">
        <v>2</v>
      </c>
    </row>
    <row r="960" spans="2:18" x14ac:dyDescent="0.2">
      <c r="B960" s="57" t="str">
        <f t="shared" si="197"/>
        <v/>
      </c>
      <c r="D960" s="57" t="str">
        <f t="shared" si="198"/>
        <v/>
      </c>
      <c r="F960" s="57" t="str">
        <f t="shared" si="199"/>
        <v/>
      </c>
      <c r="G960" s="102" t="str">
        <f t="shared" si="203"/>
        <v/>
      </c>
      <c r="H960" s="57">
        <f t="shared" si="200"/>
        <v>0</v>
      </c>
      <c r="I960" s="102">
        <f>VLOOKUP(P960&amp;"_"&amp;Q960,活动关卡!$A$60:$Z$83,3+5*MonsterWaveCallRuleCfg!R960,FALSE)</f>
        <v>10</v>
      </c>
      <c r="J960" s="102">
        <f>VLOOKUP(P960&amp;"_"&amp;Q960,活动关卡!$A$60:$Z$83,4+5*MonsterWaveCallRuleCfg!R960,FALSE)</f>
        <v>1.5</v>
      </c>
      <c r="K960" s="102">
        <f t="shared" si="201"/>
        <v>1</v>
      </c>
      <c r="L960" s="102" t="str">
        <f>IF(VLOOKUP(P960&amp;"_"&amp;Q960,活动关卡!$A$60:$Z$83,2+5*R960,FALSE)="","","Monster_Season3_Challenge"&amp;P960&amp;"_"&amp;Q960&amp;"_"&amp;R960)</f>
        <v>Monster_Season3_Challenge1_3_3</v>
      </c>
      <c r="M960" s="57">
        <f t="shared" si="202"/>
        <v>1</v>
      </c>
      <c r="O960" s="102">
        <f>VLOOKUP(P960&amp;"_"&amp;Q960,活动关卡!$A$4:$Z$27,6+5*MonsterWaveCallRuleCfg!R960,FALSE)</f>
        <v>13</v>
      </c>
      <c r="P960" s="110">
        <v>1</v>
      </c>
      <c r="Q960" s="110">
        <f t="shared" si="204"/>
        <v>3</v>
      </c>
      <c r="R960" s="110">
        <v>3</v>
      </c>
    </row>
    <row r="961" spans="2:18" x14ac:dyDescent="0.2">
      <c r="B961" s="57" t="str">
        <f t="shared" si="197"/>
        <v/>
      </c>
      <c r="D961" s="57" t="str">
        <f t="shared" si="198"/>
        <v/>
      </c>
      <c r="F961" s="57" t="str">
        <f t="shared" si="199"/>
        <v/>
      </c>
      <c r="G961" s="102" t="str">
        <f t="shared" si="203"/>
        <v/>
      </c>
      <c r="H961" s="57" t="str">
        <f t="shared" si="200"/>
        <v/>
      </c>
      <c r="I961" s="102" t="str">
        <f>VLOOKUP(P961&amp;"_"&amp;Q961,活动关卡!$A$60:$Z$83,3+5*MonsterWaveCallRuleCfg!R961,FALSE)</f>
        <v/>
      </c>
      <c r="J961" s="102" t="str">
        <f>VLOOKUP(P961&amp;"_"&amp;Q961,活动关卡!$A$60:$Z$83,4+5*MonsterWaveCallRuleCfg!R961,FALSE)</f>
        <v/>
      </c>
      <c r="K961" s="102" t="str">
        <f t="shared" si="201"/>
        <v/>
      </c>
      <c r="L961" s="102" t="str">
        <f>IF(VLOOKUP(P961&amp;"_"&amp;Q961,活动关卡!$A$60:$Z$83,2+5*R961,FALSE)="","","Monster_Season3_Challenge"&amp;P961&amp;"_"&amp;Q961&amp;"_"&amp;R961)</f>
        <v/>
      </c>
      <c r="M961" s="57" t="str">
        <f t="shared" si="202"/>
        <v/>
      </c>
      <c r="O961" s="102" t="str">
        <f>VLOOKUP(P961&amp;"_"&amp;Q961,活动关卡!$A$4:$Z$27,6+5*MonsterWaveCallRuleCfg!R961,FALSE)</f>
        <v/>
      </c>
      <c r="P961" s="110">
        <v>1</v>
      </c>
      <c r="Q961" s="110">
        <f t="shared" si="204"/>
        <v>3</v>
      </c>
      <c r="R961" s="110">
        <v>4</v>
      </c>
    </row>
    <row r="962" spans="2:18" x14ac:dyDescent="0.2">
      <c r="B962" s="57" t="str">
        <f t="shared" si="197"/>
        <v>MonsterWaveCallRule_Season3_Challenge1</v>
      </c>
      <c r="C962" s="57">
        <v>4</v>
      </c>
      <c r="D962" s="57" t="str">
        <f t="shared" si="198"/>
        <v>赛季3关卡1第4波</v>
      </c>
      <c r="F962" s="57">
        <f t="shared" si="199"/>
        <v>0</v>
      </c>
      <c r="G962" s="102">
        <f t="shared" si="203"/>
        <v>180</v>
      </c>
      <c r="H962" s="57" t="e">
        <f t="shared" si="200"/>
        <v>#N/A</v>
      </c>
      <c r="I962" s="102" t="e">
        <f>VLOOKUP(P962&amp;"_"&amp;Q962,活动关卡!$A$60:$Z$83,3+5*MonsterWaveCallRuleCfg!R962,FALSE)</f>
        <v>#N/A</v>
      </c>
      <c r="J962" s="102" t="e">
        <f>VLOOKUP(P962&amp;"_"&amp;Q962,活动关卡!$A$60:$Z$83,4+5*MonsterWaveCallRuleCfg!R962,FALSE)</f>
        <v>#N/A</v>
      </c>
      <c r="K962" s="102" t="e">
        <f t="shared" si="201"/>
        <v>#N/A</v>
      </c>
      <c r="L962" s="102" t="e">
        <f>IF(VLOOKUP(P962&amp;"_"&amp;Q962,活动关卡!$A$60:$Z$83,2+5*R962,FALSE)="","","Monster_Season3_Challenge"&amp;P962&amp;"_"&amp;Q962&amp;"_"&amp;R962)</f>
        <v>#N/A</v>
      </c>
      <c r="M962" s="57" t="e">
        <f t="shared" si="202"/>
        <v>#N/A</v>
      </c>
      <c r="O962" s="102" t="e">
        <f>VLOOKUP(P962&amp;"_"&amp;Q962,活动关卡!$A$4:$Z$27,6+5*MonsterWaveCallRuleCfg!R962,FALSE)</f>
        <v>#N/A</v>
      </c>
      <c r="P962" s="110">
        <v>1</v>
      </c>
      <c r="Q962" s="110">
        <f t="shared" si="204"/>
        <v>4</v>
      </c>
      <c r="R962" s="110">
        <v>1</v>
      </c>
    </row>
    <row r="963" spans="2:18" x14ac:dyDescent="0.2">
      <c r="B963" s="57" t="str">
        <f t="shared" si="197"/>
        <v/>
      </c>
      <c r="D963" s="57" t="str">
        <f t="shared" si="198"/>
        <v/>
      </c>
      <c r="F963" s="57" t="str">
        <f t="shared" si="199"/>
        <v/>
      </c>
      <c r="G963" s="102" t="str">
        <f t="shared" si="203"/>
        <v/>
      </c>
      <c r="H963" s="57" t="e">
        <f t="shared" si="200"/>
        <v>#N/A</v>
      </c>
      <c r="I963" s="102" t="e">
        <f>VLOOKUP(P963&amp;"_"&amp;Q963,活动关卡!$A$60:$Z$83,3+5*MonsterWaveCallRuleCfg!R963,FALSE)</f>
        <v>#N/A</v>
      </c>
      <c r="J963" s="102" t="e">
        <f>VLOOKUP(P963&amp;"_"&amp;Q963,活动关卡!$A$60:$Z$83,4+5*MonsterWaveCallRuleCfg!R963,FALSE)</f>
        <v>#N/A</v>
      </c>
      <c r="K963" s="102" t="e">
        <f t="shared" si="201"/>
        <v>#N/A</v>
      </c>
      <c r="L963" s="102" t="e">
        <f>IF(VLOOKUP(P963&amp;"_"&amp;Q963,活动关卡!$A$60:$Z$83,2+5*R963,FALSE)="","","Monster_Season3_Challenge"&amp;P963&amp;"_"&amp;Q963&amp;"_"&amp;R963)</f>
        <v>#N/A</v>
      </c>
      <c r="M963" s="57" t="e">
        <f t="shared" si="202"/>
        <v>#N/A</v>
      </c>
      <c r="O963" s="102" t="e">
        <f>VLOOKUP(P963&amp;"_"&amp;Q963,活动关卡!$A$4:$Z$27,6+5*MonsterWaveCallRuleCfg!R963,FALSE)</f>
        <v>#N/A</v>
      </c>
      <c r="P963" s="110">
        <v>1</v>
      </c>
      <c r="Q963" s="110">
        <f t="shared" si="204"/>
        <v>4</v>
      </c>
      <c r="R963" s="110">
        <v>2</v>
      </c>
    </row>
    <row r="964" spans="2:18" x14ac:dyDescent="0.2">
      <c r="B964" s="57" t="str">
        <f t="shared" si="197"/>
        <v/>
      </c>
      <c r="D964" s="57" t="str">
        <f t="shared" si="198"/>
        <v/>
      </c>
      <c r="F964" s="57" t="str">
        <f t="shared" si="199"/>
        <v/>
      </c>
      <c r="G964" s="102" t="str">
        <f t="shared" si="203"/>
        <v/>
      </c>
      <c r="H964" s="57" t="e">
        <f t="shared" si="200"/>
        <v>#N/A</v>
      </c>
      <c r="I964" s="102" t="e">
        <f>VLOOKUP(P964&amp;"_"&amp;Q964,活动关卡!$A$60:$Z$83,3+5*MonsterWaveCallRuleCfg!R964,FALSE)</f>
        <v>#N/A</v>
      </c>
      <c r="J964" s="102" t="e">
        <f>VLOOKUP(P964&amp;"_"&amp;Q964,活动关卡!$A$60:$Z$83,4+5*MonsterWaveCallRuleCfg!R964,FALSE)</f>
        <v>#N/A</v>
      </c>
      <c r="K964" s="102" t="e">
        <f t="shared" si="201"/>
        <v>#N/A</v>
      </c>
      <c r="L964" s="102" t="e">
        <f>IF(VLOOKUP(P964&amp;"_"&amp;Q964,活动关卡!$A$60:$Z$83,2+5*R964,FALSE)="","","Monster_Season3_Challenge"&amp;P964&amp;"_"&amp;Q964&amp;"_"&amp;R964)</f>
        <v>#N/A</v>
      </c>
      <c r="M964" s="57" t="e">
        <f t="shared" si="202"/>
        <v>#N/A</v>
      </c>
      <c r="O964" s="102" t="e">
        <f>VLOOKUP(P964&amp;"_"&amp;Q964,活动关卡!$A$4:$Z$27,6+5*MonsterWaveCallRuleCfg!R964,FALSE)</f>
        <v>#N/A</v>
      </c>
      <c r="P964" s="110">
        <v>1</v>
      </c>
      <c r="Q964" s="110">
        <f t="shared" si="204"/>
        <v>4</v>
      </c>
      <c r="R964" s="110">
        <v>3</v>
      </c>
    </row>
    <row r="965" spans="2:18" x14ac:dyDescent="0.2">
      <c r="B965" s="57" t="str">
        <f t="shared" si="197"/>
        <v/>
      </c>
      <c r="D965" s="57" t="str">
        <f t="shared" si="198"/>
        <v/>
      </c>
      <c r="F965" s="57" t="str">
        <f t="shared" si="199"/>
        <v/>
      </c>
      <c r="G965" s="102" t="str">
        <f t="shared" si="203"/>
        <v/>
      </c>
      <c r="H965" s="57" t="e">
        <f t="shared" si="200"/>
        <v>#N/A</v>
      </c>
      <c r="I965" s="102" t="e">
        <f>VLOOKUP(P965&amp;"_"&amp;Q965,活动关卡!$A$60:$Z$83,3+5*MonsterWaveCallRuleCfg!R965,FALSE)</f>
        <v>#N/A</v>
      </c>
      <c r="J965" s="102" t="e">
        <f>VLOOKUP(P965&amp;"_"&amp;Q965,活动关卡!$A$60:$Z$83,4+5*MonsterWaveCallRuleCfg!R965,FALSE)</f>
        <v>#N/A</v>
      </c>
      <c r="K965" s="102" t="e">
        <f t="shared" si="201"/>
        <v>#N/A</v>
      </c>
      <c r="L965" s="102" t="e">
        <f>IF(VLOOKUP(P965&amp;"_"&amp;Q965,活动关卡!$A$60:$Z$83,2+5*R965,FALSE)="","","Monster_Season3_Challenge"&amp;P965&amp;"_"&amp;Q965&amp;"_"&amp;R965)</f>
        <v>#N/A</v>
      </c>
      <c r="M965" s="57" t="e">
        <f t="shared" si="202"/>
        <v>#N/A</v>
      </c>
      <c r="O965" s="102" t="e">
        <f>VLOOKUP(P965&amp;"_"&amp;Q965,活动关卡!$A$4:$Z$27,6+5*MonsterWaveCallRuleCfg!R965,FALSE)</f>
        <v>#N/A</v>
      </c>
      <c r="P965" s="110">
        <v>1</v>
      </c>
      <c r="Q965" s="110">
        <f t="shared" si="204"/>
        <v>4</v>
      </c>
      <c r="R965" s="110">
        <v>4</v>
      </c>
    </row>
    <row r="966" spans="2:18" x14ac:dyDescent="0.2">
      <c r="B966" s="57" t="str">
        <f t="shared" si="197"/>
        <v>MonsterWaveCallRule_Season3_Challenge1</v>
      </c>
      <c r="C966" s="57">
        <v>5</v>
      </c>
      <c r="D966" s="57" t="str">
        <f t="shared" si="198"/>
        <v>赛季3关卡1第5波</v>
      </c>
      <c r="F966" s="57">
        <f t="shared" si="199"/>
        <v>0</v>
      </c>
      <c r="G966" s="102">
        <f t="shared" si="203"/>
        <v>180</v>
      </c>
      <c r="H966" s="57" t="e">
        <f t="shared" si="200"/>
        <v>#N/A</v>
      </c>
      <c r="I966" s="102" t="e">
        <f>VLOOKUP(P966&amp;"_"&amp;Q966,活动关卡!$A$60:$Z$83,3+5*MonsterWaveCallRuleCfg!R966,FALSE)</f>
        <v>#N/A</v>
      </c>
      <c r="J966" s="102" t="e">
        <f>VLOOKUP(P966&amp;"_"&amp;Q966,活动关卡!$A$60:$Z$83,4+5*MonsterWaveCallRuleCfg!R966,FALSE)</f>
        <v>#N/A</v>
      </c>
      <c r="K966" s="102" t="e">
        <f t="shared" si="201"/>
        <v>#N/A</v>
      </c>
      <c r="L966" s="102" t="e">
        <f>IF(VLOOKUP(P966&amp;"_"&amp;Q966,活动关卡!$A$60:$Z$83,2+5*R966,FALSE)="","","Monster_Season3_Challenge"&amp;P966&amp;"_"&amp;Q966&amp;"_"&amp;R966)</f>
        <v>#N/A</v>
      </c>
      <c r="M966" s="57" t="e">
        <f t="shared" si="202"/>
        <v>#N/A</v>
      </c>
      <c r="O966" s="102" t="e">
        <f>VLOOKUP(P966&amp;"_"&amp;Q966,活动关卡!$A$4:$Z$27,6+5*MonsterWaveCallRuleCfg!R966,FALSE)</f>
        <v>#N/A</v>
      </c>
      <c r="P966" s="110">
        <v>1</v>
      </c>
      <c r="Q966" s="110">
        <f t="shared" si="204"/>
        <v>5</v>
      </c>
      <c r="R966" s="110">
        <v>1</v>
      </c>
    </row>
    <row r="967" spans="2:18" x14ac:dyDescent="0.2">
      <c r="B967" s="57" t="str">
        <f t="shared" si="197"/>
        <v/>
      </c>
      <c r="D967" s="57" t="str">
        <f t="shared" si="198"/>
        <v/>
      </c>
      <c r="F967" s="57" t="str">
        <f t="shared" si="199"/>
        <v/>
      </c>
      <c r="G967" s="102" t="str">
        <f t="shared" si="203"/>
        <v/>
      </c>
      <c r="H967" s="57" t="e">
        <f t="shared" si="200"/>
        <v>#N/A</v>
      </c>
      <c r="I967" s="102" t="e">
        <f>VLOOKUP(P967&amp;"_"&amp;Q967,活动关卡!$A$60:$Z$83,3+5*MonsterWaveCallRuleCfg!R967,FALSE)</f>
        <v>#N/A</v>
      </c>
      <c r="J967" s="102" t="e">
        <f>VLOOKUP(P967&amp;"_"&amp;Q967,活动关卡!$A$60:$Z$83,4+5*MonsterWaveCallRuleCfg!R967,FALSE)</f>
        <v>#N/A</v>
      </c>
      <c r="K967" s="102" t="e">
        <f t="shared" si="201"/>
        <v>#N/A</v>
      </c>
      <c r="L967" s="102" t="e">
        <f>IF(VLOOKUP(P967&amp;"_"&amp;Q967,活动关卡!$A$60:$Z$83,2+5*R967,FALSE)="","","Monster_Season3_Challenge"&amp;P967&amp;"_"&amp;Q967&amp;"_"&amp;R967)</f>
        <v>#N/A</v>
      </c>
      <c r="M967" s="57" t="e">
        <f t="shared" si="202"/>
        <v>#N/A</v>
      </c>
      <c r="O967" s="102" t="e">
        <f>VLOOKUP(P967&amp;"_"&amp;Q967,活动关卡!$A$4:$Z$27,6+5*MonsterWaveCallRuleCfg!R967,FALSE)</f>
        <v>#N/A</v>
      </c>
      <c r="P967" s="110">
        <v>1</v>
      </c>
      <c r="Q967" s="110">
        <f t="shared" si="204"/>
        <v>5</v>
      </c>
      <c r="R967" s="110">
        <v>2</v>
      </c>
    </row>
    <row r="968" spans="2:18" x14ac:dyDescent="0.2">
      <c r="B968" s="57" t="str">
        <f t="shared" si="197"/>
        <v/>
      </c>
      <c r="D968" s="57" t="str">
        <f t="shared" si="198"/>
        <v/>
      </c>
      <c r="F968" s="57" t="str">
        <f t="shared" si="199"/>
        <v/>
      </c>
      <c r="G968" s="102" t="str">
        <f t="shared" si="203"/>
        <v/>
      </c>
      <c r="H968" s="57" t="e">
        <f t="shared" si="200"/>
        <v>#N/A</v>
      </c>
      <c r="I968" s="102" t="e">
        <f>VLOOKUP(P968&amp;"_"&amp;Q968,活动关卡!$A$60:$Z$83,3+5*MonsterWaveCallRuleCfg!R968,FALSE)</f>
        <v>#N/A</v>
      </c>
      <c r="J968" s="102" t="e">
        <f>VLOOKUP(P968&amp;"_"&amp;Q968,活动关卡!$A$60:$Z$83,4+5*MonsterWaveCallRuleCfg!R968,FALSE)</f>
        <v>#N/A</v>
      </c>
      <c r="K968" s="102" t="e">
        <f t="shared" si="201"/>
        <v>#N/A</v>
      </c>
      <c r="L968" s="102" t="e">
        <f>IF(VLOOKUP(P968&amp;"_"&amp;Q968,活动关卡!$A$60:$Z$83,2+5*R968,FALSE)="","","Monster_Season3_Challenge"&amp;P968&amp;"_"&amp;Q968&amp;"_"&amp;R968)</f>
        <v>#N/A</v>
      </c>
      <c r="M968" s="57" t="e">
        <f t="shared" si="202"/>
        <v>#N/A</v>
      </c>
      <c r="O968" s="102" t="e">
        <f>VLOOKUP(P968&amp;"_"&amp;Q968,活动关卡!$A$4:$Z$27,6+5*MonsterWaveCallRuleCfg!R968,FALSE)</f>
        <v>#N/A</v>
      </c>
      <c r="P968" s="110">
        <v>1</v>
      </c>
      <c r="Q968" s="110">
        <f t="shared" si="204"/>
        <v>5</v>
      </c>
      <c r="R968" s="110">
        <v>3</v>
      </c>
    </row>
    <row r="969" spans="2:18" x14ac:dyDescent="0.2">
      <c r="B969" s="57" t="str">
        <f t="shared" si="197"/>
        <v/>
      </c>
      <c r="D969" s="57" t="str">
        <f t="shared" si="198"/>
        <v/>
      </c>
      <c r="F969" s="57" t="str">
        <f t="shared" si="199"/>
        <v/>
      </c>
      <c r="G969" s="102" t="str">
        <f t="shared" si="203"/>
        <v/>
      </c>
      <c r="H969" s="57" t="e">
        <f t="shared" si="200"/>
        <v>#N/A</v>
      </c>
      <c r="I969" s="102" t="e">
        <f>VLOOKUP(P969&amp;"_"&amp;Q969,活动关卡!$A$60:$Z$83,3+5*MonsterWaveCallRuleCfg!R969,FALSE)</f>
        <v>#N/A</v>
      </c>
      <c r="J969" s="102" t="e">
        <f>VLOOKUP(P969&amp;"_"&amp;Q969,活动关卡!$A$60:$Z$83,4+5*MonsterWaveCallRuleCfg!R969,FALSE)</f>
        <v>#N/A</v>
      </c>
      <c r="K969" s="102" t="e">
        <f t="shared" si="201"/>
        <v>#N/A</v>
      </c>
      <c r="L969" s="102" t="e">
        <f>IF(VLOOKUP(P969&amp;"_"&amp;Q969,活动关卡!$A$60:$Z$83,2+5*R969,FALSE)="","","Monster_Season3_Challenge"&amp;P969&amp;"_"&amp;Q969&amp;"_"&amp;R969)</f>
        <v>#N/A</v>
      </c>
      <c r="M969" s="57" t="e">
        <f t="shared" si="202"/>
        <v>#N/A</v>
      </c>
      <c r="O969" s="102" t="e">
        <f>VLOOKUP(P969&amp;"_"&amp;Q969,活动关卡!$A$4:$Z$27,6+5*MonsterWaveCallRuleCfg!R969,FALSE)</f>
        <v>#N/A</v>
      </c>
      <c r="P969" s="110">
        <v>1</v>
      </c>
      <c r="Q969" s="110">
        <f t="shared" si="204"/>
        <v>5</v>
      </c>
      <c r="R969" s="110">
        <v>4</v>
      </c>
    </row>
    <row r="970" spans="2:18" x14ac:dyDescent="0.2">
      <c r="B970" s="57" t="str">
        <f t="shared" si="197"/>
        <v>MonsterWaveCallRule_Season3_Challenge2</v>
      </c>
      <c r="C970" s="57">
        <v>1</v>
      </c>
      <c r="D970" s="57" t="str">
        <f t="shared" si="198"/>
        <v>赛季3关卡2第1波</v>
      </c>
      <c r="F970" s="57">
        <f t="shared" si="199"/>
        <v>0</v>
      </c>
      <c r="G970" s="102">
        <f t="shared" si="203"/>
        <v>180</v>
      </c>
      <c r="H970" s="57">
        <f t="shared" si="200"/>
        <v>0</v>
      </c>
      <c r="I970" s="102">
        <f>VLOOKUP(P970&amp;"_"&amp;Q970,活动关卡!$A$60:$Z$83,3+5*MonsterWaveCallRuleCfg!R970,FALSE)</f>
        <v>5</v>
      </c>
      <c r="J970" s="102">
        <f>VLOOKUP(P970&amp;"_"&amp;Q970,活动关卡!$A$60:$Z$83,4+5*MonsterWaveCallRuleCfg!R970,FALSE)</f>
        <v>2</v>
      </c>
      <c r="K970" s="102">
        <f t="shared" si="201"/>
        <v>1</v>
      </c>
      <c r="L970" s="102" t="str">
        <f>IF(VLOOKUP(P970&amp;"_"&amp;Q970,活动关卡!$A$60:$Z$83,2+5*R970,FALSE)="","","Monster_Season3_Challenge"&amp;P970&amp;"_"&amp;Q970&amp;"_"&amp;R970)</f>
        <v>Monster_Season3_Challenge2_1_1</v>
      </c>
      <c r="M970" s="57">
        <f t="shared" si="202"/>
        <v>1</v>
      </c>
      <c r="O970" s="102">
        <f>VLOOKUP(P970&amp;"_"&amp;Q970,活动关卡!$A$4:$Z$27,6+5*MonsterWaveCallRuleCfg!R970,FALSE)</f>
        <v>20</v>
      </c>
      <c r="P970" s="110">
        <v>2</v>
      </c>
      <c r="Q970" s="110">
        <f t="shared" si="204"/>
        <v>1</v>
      </c>
      <c r="R970" s="110">
        <v>1</v>
      </c>
    </row>
    <row r="971" spans="2:18" x14ac:dyDescent="0.2">
      <c r="B971" s="57" t="str">
        <f t="shared" si="197"/>
        <v/>
      </c>
      <c r="D971" s="57" t="str">
        <f t="shared" si="198"/>
        <v/>
      </c>
      <c r="F971" s="57" t="str">
        <f t="shared" si="199"/>
        <v/>
      </c>
      <c r="G971" s="102" t="str">
        <f t="shared" si="203"/>
        <v/>
      </c>
      <c r="H971" s="57">
        <f t="shared" si="200"/>
        <v>0</v>
      </c>
      <c r="I971" s="102">
        <f>VLOOKUP(P971&amp;"_"&amp;Q971,活动关卡!$A$60:$Z$83,3+5*MonsterWaveCallRuleCfg!R971,FALSE)</f>
        <v>5</v>
      </c>
      <c r="J971" s="102">
        <f>VLOOKUP(P971&amp;"_"&amp;Q971,活动关卡!$A$60:$Z$83,4+5*MonsterWaveCallRuleCfg!R971,FALSE)</f>
        <v>2</v>
      </c>
      <c r="K971" s="102">
        <f t="shared" si="201"/>
        <v>1</v>
      </c>
      <c r="L971" s="102" t="str">
        <f>IF(VLOOKUP(P971&amp;"_"&amp;Q971,活动关卡!$A$60:$Z$83,2+5*R971,FALSE)="","","Monster_Season3_Challenge"&amp;P971&amp;"_"&amp;Q971&amp;"_"&amp;R971)</f>
        <v>Monster_Season3_Challenge2_1_2</v>
      </c>
      <c r="M971" s="57">
        <f t="shared" si="202"/>
        <v>1</v>
      </c>
      <c r="O971" s="102">
        <f>VLOOKUP(P971&amp;"_"&amp;Q971,活动关卡!$A$4:$Z$27,6+5*MonsterWaveCallRuleCfg!R971,FALSE)</f>
        <v>40</v>
      </c>
      <c r="P971" s="110">
        <v>2</v>
      </c>
      <c r="Q971" s="110">
        <f t="shared" si="204"/>
        <v>1</v>
      </c>
      <c r="R971" s="110">
        <v>2</v>
      </c>
    </row>
    <row r="972" spans="2:18" x14ac:dyDescent="0.2">
      <c r="B972" s="57" t="str">
        <f t="shared" si="197"/>
        <v/>
      </c>
      <c r="D972" s="57" t="str">
        <f t="shared" si="198"/>
        <v/>
      </c>
      <c r="F972" s="57" t="str">
        <f t="shared" si="199"/>
        <v/>
      </c>
      <c r="G972" s="102" t="str">
        <f t="shared" si="203"/>
        <v/>
      </c>
      <c r="H972" s="57" t="str">
        <f t="shared" si="200"/>
        <v/>
      </c>
      <c r="I972" s="102" t="str">
        <f>VLOOKUP(P972&amp;"_"&amp;Q972,活动关卡!$A$60:$Z$83,3+5*MonsterWaveCallRuleCfg!R972,FALSE)</f>
        <v/>
      </c>
      <c r="J972" s="102" t="str">
        <f>VLOOKUP(P972&amp;"_"&amp;Q972,活动关卡!$A$60:$Z$83,4+5*MonsterWaveCallRuleCfg!R972,FALSE)</f>
        <v/>
      </c>
      <c r="K972" s="102" t="str">
        <f t="shared" si="201"/>
        <v/>
      </c>
      <c r="L972" s="102" t="str">
        <f>IF(VLOOKUP(P972&amp;"_"&amp;Q972,活动关卡!$A$60:$Z$83,2+5*R972,FALSE)="","","Monster_Season3_Challenge"&amp;P972&amp;"_"&amp;Q972&amp;"_"&amp;R972)</f>
        <v/>
      </c>
      <c r="M972" s="57" t="str">
        <f t="shared" si="202"/>
        <v/>
      </c>
      <c r="O972" s="102" t="str">
        <f>VLOOKUP(P972&amp;"_"&amp;Q972,活动关卡!$A$4:$Z$27,6+5*MonsterWaveCallRuleCfg!R972,FALSE)</f>
        <v/>
      </c>
      <c r="P972" s="110">
        <v>2</v>
      </c>
      <c r="Q972" s="110">
        <f t="shared" si="204"/>
        <v>1</v>
      </c>
      <c r="R972" s="110">
        <v>3</v>
      </c>
    </row>
    <row r="973" spans="2:18" x14ac:dyDescent="0.2">
      <c r="B973" s="57" t="str">
        <f t="shared" si="197"/>
        <v/>
      </c>
      <c r="D973" s="57" t="str">
        <f t="shared" si="198"/>
        <v/>
      </c>
      <c r="F973" s="57" t="str">
        <f t="shared" si="199"/>
        <v/>
      </c>
      <c r="G973" s="102" t="str">
        <f t="shared" si="203"/>
        <v/>
      </c>
      <c r="H973" s="57" t="str">
        <f t="shared" si="200"/>
        <v/>
      </c>
      <c r="I973" s="102" t="str">
        <f>VLOOKUP(P973&amp;"_"&amp;Q973,活动关卡!$A$60:$Z$83,3+5*MonsterWaveCallRuleCfg!R973,FALSE)</f>
        <v/>
      </c>
      <c r="J973" s="102" t="str">
        <f>VLOOKUP(P973&amp;"_"&amp;Q973,活动关卡!$A$60:$Z$83,4+5*MonsterWaveCallRuleCfg!R973,FALSE)</f>
        <v/>
      </c>
      <c r="K973" s="102" t="str">
        <f t="shared" si="201"/>
        <v/>
      </c>
      <c r="L973" s="102" t="str">
        <f>IF(VLOOKUP(P973&amp;"_"&amp;Q973,活动关卡!$A$60:$Z$83,2+5*R973,FALSE)="","","Monster_Season3_Challenge"&amp;P973&amp;"_"&amp;Q973&amp;"_"&amp;R973)</f>
        <v/>
      </c>
      <c r="M973" s="57" t="str">
        <f t="shared" si="202"/>
        <v/>
      </c>
      <c r="O973" s="102" t="str">
        <f>VLOOKUP(P973&amp;"_"&amp;Q973,活动关卡!$A$4:$Z$27,6+5*MonsterWaveCallRuleCfg!R973,FALSE)</f>
        <v/>
      </c>
      <c r="P973" s="110">
        <v>2</v>
      </c>
      <c r="Q973" s="110">
        <f t="shared" si="204"/>
        <v>1</v>
      </c>
      <c r="R973" s="110">
        <v>4</v>
      </c>
    </row>
    <row r="974" spans="2:18" x14ac:dyDescent="0.2">
      <c r="B974" s="57" t="str">
        <f t="shared" si="197"/>
        <v>MonsterWaveCallRule_Season3_Challenge2</v>
      </c>
      <c r="C974" s="57">
        <v>2</v>
      </c>
      <c r="D974" s="57" t="str">
        <f t="shared" si="198"/>
        <v>赛季3关卡2第2波</v>
      </c>
      <c r="F974" s="57">
        <f t="shared" si="199"/>
        <v>0</v>
      </c>
      <c r="G974" s="102">
        <f t="shared" si="203"/>
        <v>180</v>
      </c>
      <c r="H974" s="57">
        <f t="shared" si="200"/>
        <v>0</v>
      </c>
      <c r="I974" s="102">
        <f>VLOOKUP(P974&amp;"_"&amp;Q974,活动关卡!$A$60:$Z$83,3+5*MonsterWaveCallRuleCfg!R974,FALSE)</f>
        <v>6</v>
      </c>
      <c r="J974" s="102">
        <f>VLOOKUP(P974&amp;"_"&amp;Q974,活动关卡!$A$60:$Z$83,4+5*MonsterWaveCallRuleCfg!R974,FALSE)</f>
        <v>2</v>
      </c>
      <c r="K974" s="102">
        <f t="shared" si="201"/>
        <v>1</v>
      </c>
      <c r="L974" s="102" t="str">
        <f>IF(VLOOKUP(P974&amp;"_"&amp;Q974,活动关卡!$A$60:$Z$83,2+5*R974,FALSE)="","","Monster_Season3_Challenge"&amp;P974&amp;"_"&amp;Q974&amp;"_"&amp;R974)</f>
        <v>Monster_Season3_Challenge2_2_1</v>
      </c>
      <c r="M974" s="57">
        <f t="shared" si="202"/>
        <v>1</v>
      </c>
      <c r="O974" s="102">
        <f>VLOOKUP(P974&amp;"_"&amp;Q974,活动关卡!$A$4:$Z$27,6+5*MonsterWaveCallRuleCfg!R974,FALSE)</f>
        <v>10</v>
      </c>
      <c r="P974" s="110">
        <v>2</v>
      </c>
      <c r="Q974" s="110">
        <f t="shared" si="204"/>
        <v>2</v>
      </c>
      <c r="R974" s="110">
        <v>1</v>
      </c>
    </row>
    <row r="975" spans="2:18" x14ac:dyDescent="0.2">
      <c r="B975" s="57" t="str">
        <f t="shared" si="197"/>
        <v/>
      </c>
      <c r="D975" s="57" t="str">
        <f t="shared" si="198"/>
        <v/>
      </c>
      <c r="F975" s="57" t="str">
        <f t="shared" si="199"/>
        <v/>
      </c>
      <c r="G975" s="102" t="str">
        <f t="shared" si="203"/>
        <v/>
      </c>
      <c r="H975" s="57">
        <f t="shared" si="200"/>
        <v>0</v>
      </c>
      <c r="I975" s="102">
        <f>VLOOKUP(P975&amp;"_"&amp;Q975,活动关卡!$A$60:$Z$83,3+5*MonsterWaveCallRuleCfg!R975,FALSE)</f>
        <v>6</v>
      </c>
      <c r="J975" s="102">
        <f>VLOOKUP(P975&amp;"_"&amp;Q975,活动关卡!$A$60:$Z$83,4+5*MonsterWaveCallRuleCfg!R975,FALSE)</f>
        <v>2</v>
      </c>
      <c r="K975" s="102">
        <f t="shared" si="201"/>
        <v>1</v>
      </c>
      <c r="L975" s="102" t="str">
        <f>IF(VLOOKUP(P975&amp;"_"&amp;Q975,活动关卡!$A$60:$Z$83,2+5*R975,FALSE)="","","Monster_Season3_Challenge"&amp;P975&amp;"_"&amp;Q975&amp;"_"&amp;R975)</f>
        <v>Monster_Season3_Challenge2_2_2</v>
      </c>
      <c r="M975" s="57">
        <f t="shared" si="202"/>
        <v>1</v>
      </c>
      <c r="O975" s="102">
        <f>VLOOKUP(P975&amp;"_"&amp;Q975,活动关卡!$A$4:$Z$27,6+5*MonsterWaveCallRuleCfg!R975,FALSE)</f>
        <v>20</v>
      </c>
      <c r="P975" s="110">
        <v>2</v>
      </c>
      <c r="Q975" s="110">
        <f t="shared" si="204"/>
        <v>2</v>
      </c>
      <c r="R975" s="110">
        <v>2</v>
      </c>
    </row>
    <row r="976" spans="2:18" x14ac:dyDescent="0.2">
      <c r="B976" s="57" t="str">
        <f t="shared" si="197"/>
        <v/>
      </c>
      <c r="D976" s="57" t="str">
        <f t="shared" si="198"/>
        <v/>
      </c>
      <c r="F976" s="57" t="str">
        <f t="shared" si="199"/>
        <v/>
      </c>
      <c r="G976" s="102" t="str">
        <f t="shared" si="203"/>
        <v/>
      </c>
      <c r="H976" s="57">
        <f t="shared" si="200"/>
        <v>0</v>
      </c>
      <c r="I976" s="102">
        <f>VLOOKUP(P976&amp;"_"&amp;Q976,活动关卡!$A$60:$Z$83,3+5*MonsterWaveCallRuleCfg!R976,FALSE)</f>
        <v>6</v>
      </c>
      <c r="J976" s="102">
        <f>VLOOKUP(P976&amp;"_"&amp;Q976,活动关卡!$A$60:$Z$83,4+5*MonsterWaveCallRuleCfg!R976,FALSE)</f>
        <v>2</v>
      </c>
      <c r="K976" s="102">
        <f t="shared" si="201"/>
        <v>1</v>
      </c>
      <c r="L976" s="102" t="str">
        <f>IF(VLOOKUP(P976&amp;"_"&amp;Q976,活动关卡!$A$60:$Z$83,2+5*R976,FALSE)="","","Monster_Season3_Challenge"&amp;P976&amp;"_"&amp;Q976&amp;"_"&amp;R976)</f>
        <v>Monster_Season3_Challenge2_2_3</v>
      </c>
      <c r="M976" s="57">
        <f t="shared" si="202"/>
        <v>1</v>
      </c>
      <c r="O976" s="102">
        <f>VLOOKUP(P976&amp;"_"&amp;Q976,活动关卡!$A$4:$Z$27,6+5*MonsterWaveCallRuleCfg!R976,FALSE)</f>
        <v>20</v>
      </c>
      <c r="P976" s="110">
        <v>2</v>
      </c>
      <c r="Q976" s="110">
        <f t="shared" si="204"/>
        <v>2</v>
      </c>
      <c r="R976" s="110">
        <v>3</v>
      </c>
    </row>
    <row r="977" spans="2:18" x14ac:dyDescent="0.2">
      <c r="B977" s="57" t="str">
        <f t="shared" si="197"/>
        <v/>
      </c>
      <c r="D977" s="57" t="str">
        <f t="shared" si="198"/>
        <v/>
      </c>
      <c r="F977" s="57" t="str">
        <f t="shared" si="199"/>
        <v/>
      </c>
      <c r="G977" s="102" t="str">
        <f t="shared" si="203"/>
        <v/>
      </c>
      <c r="H977" s="57" t="str">
        <f t="shared" si="200"/>
        <v/>
      </c>
      <c r="I977" s="102" t="str">
        <f>VLOOKUP(P977&amp;"_"&amp;Q977,活动关卡!$A$60:$Z$83,3+5*MonsterWaveCallRuleCfg!R977,FALSE)</f>
        <v/>
      </c>
      <c r="J977" s="102" t="str">
        <f>VLOOKUP(P977&amp;"_"&amp;Q977,活动关卡!$A$60:$Z$83,4+5*MonsterWaveCallRuleCfg!R977,FALSE)</f>
        <v/>
      </c>
      <c r="K977" s="102" t="str">
        <f t="shared" si="201"/>
        <v/>
      </c>
      <c r="L977" s="102" t="str">
        <f>IF(VLOOKUP(P977&amp;"_"&amp;Q977,活动关卡!$A$60:$Z$83,2+5*R977,FALSE)="","","Monster_Season3_Challenge"&amp;P977&amp;"_"&amp;Q977&amp;"_"&amp;R977)</f>
        <v/>
      </c>
      <c r="M977" s="57" t="str">
        <f t="shared" si="202"/>
        <v/>
      </c>
      <c r="O977" s="102" t="str">
        <f>VLOOKUP(P977&amp;"_"&amp;Q977,活动关卡!$A$4:$Z$27,6+5*MonsterWaveCallRuleCfg!R977,FALSE)</f>
        <v/>
      </c>
      <c r="P977" s="110">
        <v>2</v>
      </c>
      <c r="Q977" s="110">
        <f t="shared" si="204"/>
        <v>2</v>
      </c>
      <c r="R977" s="110">
        <v>4</v>
      </c>
    </row>
    <row r="978" spans="2:18" x14ac:dyDescent="0.2">
      <c r="B978" s="57" t="str">
        <f t="shared" si="197"/>
        <v>MonsterWaveCallRule_Season3_Challenge2</v>
      </c>
      <c r="C978" s="57">
        <v>3</v>
      </c>
      <c r="D978" s="57" t="str">
        <f t="shared" si="198"/>
        <v>赛季3关卡2第3波</v>
      </c>
      <c r="F978" s="57">
        <f t="shared" si="199"/>
        <v>0</v>
      </c>
      <c r="G978" s="102">
        <f t="shared" si="203"/>
        <v>180</v>
      </c>
      <c r="H978" s="57">
        <f t="shared" si="200"/>
        <v>0</v>
      </c>
      <c r="I978" s="102">
        <f>VLOOKUP(P978&amp;"_"&amp;Q978,活动关卡!$A$60:$Z$83,3+5*MonsterWaveCallRuleCfg!R978,FALSE)</f>
        <v>15</v>
      </c>
      <c r="J978" s="102">
        <f>VLOOKUP(P978&amp;"_"&amp;Q978,活动关卡!$A$60:$Z$83,4+5*MonsterWaveCallRuleCfg!R978,FALSE)</f>
        <v>1</v>
      </c>
      <c r="K978" s="102">
        <f t="shared" si="201"/>
        <v>1</v>
      </c>
      <c r="L978" s="102" t="str">
        <f>IF(VLOOKUP(P978&amp;"_"&amp;Q978,活动关卡!$A$60:$Z$83,2+5*R978,FALSE)="","","Monster_Season3_Challenge"&amp;P978&amp;"_"&amp;Q978&amp;"_"&amp;R978)</f>
        <v>Monster_Season3_Challenge2_3_1</v>
      </c>
      <c r="M978" s="57">
        <f t="shared" si="202"/>
        <v>1</v>
      </c>
      <c r="O978" s="102">
        <f>VLOOKUP(P978&amp;"_"&amp;Q978,活动关卡!$A$4:$Z$27,6+5*MonsterWaveCallRuleCfg!R978,FALSE)</f>
        <v>6</v>
      </c>
      <c r="P978" s="110">
        <v>2</v>
      </c>
      <c r="Q978" s="110">
        <f t="shared" si="204"/>
        <v>3</v>
      </c>
      <c r="R978" s="110">
        <v>1</v>
      </c>
    </row>
    <row r="979" spans="2:18" x14ac:dyDescent="0.2">
      <c r="B979" s="57" t="str">
        <f t="shared" si="197"/>
        <v/>
      </c>
      <c r="D979" s="57" t="str">
        <f t="shared" si="198"/>
        <v/>
      </c>
      <c r="F979" s="57" t="str">
        <f t="shared" si="199"/>
        <v/>
      </c>
      <c r="G979" s="102" t="str">
        <f t="shared" si="203"/>
        <v/>
      </c>
      <c r="H979" s="57">
        <f t="shared" si="200"/>
        <v>0</v>
      </c>
      <c r="I979" s="102">
        <f>VLOOKUP(P979&amp;"_"&amp;Q979,活动关卡!$A$60:$Z$83,3+5*MonsterWaveCallRuleCfg!R979,FALSE)</f>
        <v>15</v>
      </c>
      <c r="J979" s="102">
        <f>VLOOKUP(P979&amp;"_"&amp;Q979,活动关卡!$A$60:$Z$83,4+5*MonsterWaveCallRuleCfg!R979,FALSE)</f>
        <v>1</v>
      </c>
      <c r="K979" s="102">
        <f t="shared" si="201"/>
        <v>1</v>
      </c>
      <c r="L979" s="102" t="str">
        <f>IF(VLOOKUP(P979&amp;"_"&amp;Q979,活动关卡!$A$60:$Z$83,2+5*R979,FALSE)="","","Monster_Season3_Challenge"&amp;P979&amp;"_"&amp;Q979&amp;"_"&amp;R979)</f>
        <v>Monster_Season3_Challenge2_3_2</v>
      </c>
      <c r="M979" s="57">
        <f t="shared" si="202"/>
        <v>1</v>
      </c>
      <c r="O979" s="102">
        <f>VLOOKUP(P979&amp;"_"&amp;Q979,活动关卡!$A$4:$Z$27,6+5*MonsterWaveCallRuleCfg!R979,FALSE)</f>
        <v>3</v>
      </c>
      <c r="P979" s="110">
        <v>2</v>
      </c>
      <c r="Q979" s="110">
        <f t="shared" si="204"/>
        <v>3</v>
      </c>
      <c r="R979" s="110">
        <v>2</v>
      </c>
    </row>
    <row r="980" spans="2:18" x14ac:dyDescent="0.2">
      <c r="B980" s="57" t="str">
        <f t="shared" si="197"/>
        <v/>
      </c>
      <c r="D980" s="57" t="str">
        <f t="shared" si="198"/>
        <v/>
      </c>
      <c r="F980" s="57" t="str">
        <f t="shared" si="199"/>
        <v/>
      </c>
      <c r="G980" s="102" t="str">
        <f t="shared" si="203"/>
        <v/>
      </c>
      <c r="H980" s="57">
        <f t="shared" si="200"/>
        <v>0</v>
      </c>
      <c r="I980" s="102">
        <f>VLOOKUP(P980&amp;"_"&amp;Q980,活动关卡!$A$60:$Z$83,3+5*MonsterWaveCallRuleCfg!R980,FALSE)</f>
        <v>15</v>
      </c>
      <c r="J980" s="102">
        <f>VLOOKUP(P980&amp;"_"&amp;Q980,活动关卡!$A$60:$Z$83,4+5*MonsterWaveCallRuleCfg!R980,FALSE)</f>
        <v>1</v>
      </c>
      <c r="K980" s="102">
        <f t="shared" si="201"/>
        <v>1</v>
      </c>
      <c r="L980" s="102" t="str">
        <f>IF(VLOOKUP(P980&amp;"_"&amp;Q980,活动关卡!$A$60:$Z$83,2+5*R980,FALSE)="","","Monster_Season3_Challenge"&amp;P980&amp;"_"&amp;Q980&amp;"_"&amp;R980)</f>
        <v>Monster_Season3_Challenge2_3_3</v>
      </c>
      <c r="M980" s="57">
        <f t="shared" si="202"/>
        <v>1</v>
      </c>
      <c r="O980" s="102">
        <f>VLOOKUP(P980&amp;"_"&amp;Q980,活动关卡!$A$4:$Z$27,6+5*MonsterWaveCallRuleCfg!R980,FALSE)</f>
        <v>11</v>
      </c>
      <c r="P980" s="110">
        <v>2</v>
      </c>
      <c r="Q980" s="110">
        <f t="shared" si="204"/>
        <v>3</v>
      </c>
      <c r="R980" s="110">
        <v>3</v>
      </c>
    </row>
    <row r="981" spans="2:18" x14ac:dyDescent="0.2">
      <c r="B981" s="57" t="str">
        <f t="shared" si="197"/>
        <v/>
      </c>
      <c r="D981" s="57" t="str">
        <f t="shared" si="198"/>
        <v/>
      </c>
      <c r="F981" s="57" t="str">
        <f t="shared" si="199"/>
        <v/>
      </c>
      <c r="G981" s="102" t="str">
        <f t="shared" si="203"/>
        <v/>
      </c>
      <c r="H981" s="57" t="str">
        <f t="shared" si="200"/>
        <v/>
      </c>
      <c r="I981" s="102" t="str">
        <f>VLOOKUP(P981&amp;"_"&amp;Q981,活动关卡!$A$60:$Z$83,3+5*MonsterWaveCallRuleCfg!R981,FALSE)</f>
        <v/>
      </c>
      <c r="J981" s="102" t="str">
        <f>VLOOKUP(P981&amp;"_"&amp;Q981,活动关卡!$A$60:$Z$83,4+5*MonsterWaveCallRuleCfg!R981,FALSE)</f>
        <v/>
      </c>
      <c r="K981" s="102" t="str">
        <f t="shared" si="201"/>
        <v/>
      </c>
      <c r="L981" s="102" t="str">
        <f>IF(VLOOKUP(P981&amp;"_"&amp;Q981,活动关卡!$A$60:$Z$83,2+5*R981,FALSE)="","","Monster_Season3_Challenge"&amp;P981&amp;"_"&amp;Q981&amp;"_"&amp;R981)</f>
        <v/>
      </c>
      <c r="M981" s="57" t="str">
        <f t="shared" si="202"/>
        <v/>
      </c>
      <c r="O981" s="102" t="str">
        <f>VLOOKUP(P981&amp;"_"&amp;Q981,活动关卡!$A$4:$Z$27,6+5*MonsterWaveCallRuleCfg!R981,FALSE)</f>
        <v/>
      </c>
      <c r="P981" s="110">
        <v>2</v>
      </c>
      <c r="Q981" s="110">
        <f t="shared" si="204"/>
        <v>3</v>
      </c>
      <c r="R981" s="110">
        <v>4</v>
      </c>
    </row>
    <row r="982" spans="2:18" x14ac:dyDescent="0.2">
      <c r="B982" s="57" t="str">
        <f t="shared" ref="B982:B1013" si="205">IF(C982="","","MonsterWaveCallRule_Season3_Challenge"&amp;P982)</f>
        <v>MonsterWaveCallRule_Season3_Challenge2</v>
      </c>
      <c r="C982" s="57">
        <v>4</v>
      </c>
      <c r="D982" s="57" t="str">
        <f t="shared" ref="D982:D1013" si="206">IF(C982="","","赛季3关卡"&amp;P982&amp;"第"&amp;C982&amp;"波")</f>
        <v>赛季3关卡2第4波</v>
      </c>
      <c r="F982" s="57">
        <f t="shared" si="199"/>
        <v>0</v>
      </c>
      <c r="G982" s="102">
        <f t="shared" si="203"/>
        <v>180</v>
      </c>
      <c r="H982" s="57">
        <f t="shared" si="200"/>
        <v>0</v>
      </c>
      <c r="I982" s="102">
        <f>VLOOKUP(P982&amp;"_"&amp;Q982,活动关卡!$A$60:$Z$83,3+5*MonsterWaveCallRuleCfg!R982,FALSE)</f>
        <v>18</v>
      </c>
      <c r="J982" s="102">
        <f>VLOOKUP(P982&amp;"_"&amp;Q982,活动关卡!$A$60:$Z$83,4+5*MonsterWaveCallRuleCfg!R982,FALSE)</f>
        <v>1</v>
      </c>
      <c r="K982" s="102">
        <f t="shared" si="201"/>
        <v>1</v>
      </c>
      <c r="L982" s="102" t="str">
        <f>IF(VLOOKUP(P982&amp;"_"&amp;Q982,活动关卡!$A$60:$Z$83,2+5*R982,FALSE)="","","Monster_Season3_Challenge"&amp;P982&amp;"_"&amp;Q982&amp;"_"&amp;R982)</f>
        <v>Monster_Season3_Challenge2_4_1</v>
      </c>
      <c r="M982" s="57">
        <f t="shared" si="202"/>
        <v>1</v>
      </c>
      <c r="O982" s="102">
        <f>VLOOKUP(P982&amp;"_"&amp;Q982,活动关卡!$A$4:$Z$27,6+5*MonsterWaveCallRuleCfg!R982,FALSE)</f>
        <v>4</v>
      </c>
      <c r="P982" s="110">
        <v>2</v>
      </c>
      <c r="Q982" s="110">
        <f t="shared" si="204"/>
        <v>4</v>
      </c>
      <c r="R982" s="110">
        <v>1</v>
      </c>
    </row>
    <row r="983" spans="2:18" x14ac:dyDescent="0.2">
      <c r="B983" s="57" t="str">
        <f t="shared" si="205"/>
        <v/>
      </c>
      <c r="D983" s="57" t="str">
        <f t="shared" si="206"/>
        <v/>
      </c>
      <c r="F983" s="57" t="str">
        <f t="shared" si="199"/>
        <v/>
      </c>
      <c r="G983" s="102" t="str">
        <f t="shared" si="203"/>
        <v/>
      </c>
      <c r="H983" s="57">
        <f t="shared" si="200"/>
        <v>0</v>
      </c>
      <c r="I983" s="102">
        <f>VLOOKUP(P983&amp;"_"&amp;Q983,活动关卡!$A$60:$Z$83,3+5*MonsterWaveCallRuleCfg!R983,FALSE)</f>
        <v>18</v>
      </c>
      <c r="J983" s="102">
        <f>VLOOKUP(P983&amp;"_"&amp;Q983,活动关卡!$A$60:$Z$83,4+5*MonsterWaveCallRuleCfg!R983,FALSE)</f>
        <v>1</v>
      </c>
      <c r="K983" s="102">
        <f t="shared" si="201"/>
        <v>1</v>
      </c>
      <c r="L983" s="102" t="str">
        <f>IF(VLOOKUP(P983&amp;"_"&amp;Q983,活动关卡!$A$60:$Z$83,2+5*R983,FALSE)="","","Monster_Season3_Challenge"&amp;P983&amp;"_"&amp;Q983&amp;"_"&amp;R983)</f>
        <v>Monster_Season3_Challenge2_4_2</v>
      </c>
      <c r="M983" s="57">
        <f t="shared" si="202"/>
        <v>1</v>
      </c>
      <c r="O983" s="102">
        <f>VLOOKUP(P983&amp;"_"&amp;Q983,活动关卡!$A$4:$Z$27,6+5*MonsterWaveCallRuleCfg!R983,FALSE)</f>
        <v>2</v>
      </c>
      <c r="P983" s="110">
        <v>2</v>
      </c>
      <c r="Q983" s="110">
        <f t="shared" si="204"/>
        <v>4</v>
      </c>
      <c r="R983" s="110">
        <v>2</v>
      </c>
    </row>
    <row r="984" spans="2:18" x14ac:dyDescent="0.2">
      <c r="B984" s="57" t="str">
        <f t="shared" si="205"/>
        <v/>
      </c>
      <c r="D984" s="57" t="str">
        <f t="shared" si="206"/>
        <v/>
      </c>
      <c r="F984" s="57" t="str">
        <f t="shared" si="199"/>
        <v/>
      </c>
      <c r="G984" s="102" t="str">
        <f t="shared" si="203"/>
        <v/>
      </c>
      <c r="H984" s="57">
        <f t="shared" si="200"/>
        <v>0</v>
      </c>
      <c r="I984" s="102">
        <f>VLOOKUP(P984&amp;"_"&amp;Q984,活动关卡!$A$60:$Z$83,3+5*MonsterWaveCallRuleCfg!R984,FALSE)</f>
        <v>9</v>
      </c>
      <c r="J984" s="102">
        <f>VLOOKUP(P984&amp;"_"&amp;Q984,活动关卡!$A$60:$Z$83,4+5*MonsterWaveCallRuleCfg!R984,FALSE)</f>
        <v>2</v>
      </c>
      <c r="K984" s="102">
        <f t="shared" si="201"/>
        <v>1</v>
      </c>
      <c r="L984" s="102" t="str">
        <f>IF(VLOOKUP(P984&amp;"_"&amp;Q984,活动关卡!$A$60:$Z$83,2+5*R984,FALSE)="","","Monster_Season3_Challenge"&amp;P984&amp;"_"&amp;Q984&amp;"_"&amp;R984)</f>
        <v>Monster_Season3_Challenge2_4_3</v>
      </c>
      <c r="M984" s="57">
        <f t="shared" si="202"/>
        <v>1</v>
      </c>
      <c r="O984" s="102">
        <f>VLOOKUP(P984&amp;"_"&amp;Q984,活动关卡!$A$4:$Z$27,6+5*MonsterWaveCallRuleCfg!R984,FALSE)</f>
        <v>7</v>
      </c>
      <c r="P984" s="110">
        <v>2</v>
      </c>
      <c r="Q984" s="110">
        <f t="shared" si="204"/>
        <v>4</v>
      </c>
      <c r="R984" s="110">
        <v>3</v>
      </c>
    </row>
    <row r="985" spans="2:18" x14ac:dyDescent="0.2">
      <c r="B985" s="57" t="str">
        <f t="shared" si="205"/>
        <v/>
      </c>
      <c r="D985" s="57" t="str">
        <f t="shared" si="206"/>
        <v/>
      </c>
      <c r="F985" s="57" t="str">
        <f t="shared" si="199"/>
        <v/>
      </c>
      <c r="G985" s="102" t="str">
        <f t="shared" si="203"/>
        <v/>
      </c>
      <c r="H985" s="57">
        <f t="shared" si="200"/>
        <v>0</v>
      </c>
      <c r="I985" s="102">
        <f>VLOOKUP(P985&amp;"_"&amp;Q985,活动关卡!$A$60:$Z$83,3+5*MonsterWaveCallRuleCfg!R985,FALSE)</f>
        <v>18</v>
      </c>
      <c r="J985" s="102">
        <f>VLOOKUP(P985&amp;"_"&amp;Q985,活动关卡!$A$60:$Z$83,4+5*MonsterWaveCallRuleCfg!R985,FALSE)</f>
        <v>1</v>
      </c>
      <c r="K985" s="102">
        <f t="shared" si="201"/>
        <v>1</v>
      </c>
      <c r="L985" s="102" t="str">
        <f>IF(VLOOKUP(P985&amp;"_"&amp;Q985,活动关卡!$A$60:$Z$83,2+5*R985,FALSE)="","","Monster_Season3_Challenge"&amp;P985&amp;"_"&amp;Q985&amp;"_"&amp;R985)</f>
        <v>Monster_Season3_Challenge2_4_4</v>
      </c>
      <c r="M985" s="57">
        <f t="shared" si="202"/>
        <v>1</v>
      </c>
      <c r="O985" s="102">
        <f>VLOOKUP(P985&amp;"_"&amp;Q985,活动关卡!$A$4:$Z$27,6+5*MonsterWaveCallRuleCfg!R985,FALSE)</f>
        <v>7</v>
      </c>
      <c r="P985" s="110">
        <v>2</v>
      </c>
      <c r="Q985" s="110">
        <f t="shared" si="204"/>
        <v>4</v>
      </c>
      <c r="R985" s="110">
        <v>4</v>
      </c>
    </row>
    <row r="986" spans="2:18" x14ac:dyDescent="0.2">
      <c r="B986" s="57" t="str">
        <f t="shared" si="205"/>
        <v>MonsterWaveCallRule_Season3_Challenge2</v>
      </c>
      <c r="C986" s="57">
        <v>5</v>
      </c>
      <c r="D986" s="57" t="str">
        <f t="shared" si="206"/>
        <v>赛季3关卡2第5波</v>
      </c>
      <c r="F986" s="57">
        <f t="shared" si="199"/>
        <v>0</v>
      </c>
      <c r="G986" s="102">
        <f t="shared" si="203"/>
        <v>180</v>
      </c>
      <c r="H986" s="57">
        <f t="shared" si="200"/>
        <v>0</v>
      </c>
      <c r="I986" s="102">
        <f>VLOOKUP(P986&amp;"_"&amp;Q986,活动关卡!$A$60:$Z$83,3+5*MonsterWaveCallRuleCfg!R986,FALSE)</f>
        <v>20</v>
      </c>
      <c r="J986" s="102">
        <f>VLOOKUP(P986&amp;"_"&amp;Q986,活动关卡!$A$60:$Z$83,4+5*MonsterWaveCallRuleCfg!R986,FALSE)</f>
        <v>1</v>
      </c>
      <c r="K986" s="102">
        <f t="shared" si="201"/>
        <v>1</v>
      </c>
      <c r="L986" s="102" t="str">
        <f>IF(VLOOKUP(P986&amp;"_"&amp;Q986,活动关卡!$A$60:$Z$83,2+5*R986,FALSE)="","","Monster_Season3_Challenge"&amp;P986&amp;"_"&amp;Q986&amp;"_"&amp;R986)</f>
        <v>Monster_Season3_Challenge2_5_1</v>
      </c>
      <c r="M986" s="57">
        <f t="shared" si="202"/>
        <v>1</v>
      </c>
      <c r="O986" s="102">
        <f>VLOOKUP(P986&amp;"_"&amp;Q986,活动关卡!$A$4:$Z$27,6+5*MonsterWaveCallRuleCfg!R986,FALSE)</f>
        <v>3</v>
      </c>
      <c r="P986" s="110">
        <v>2</v>
      </c>
      <c r="Q986" s="110">
        <f t="shared" si="204"/>
        <v>5</v>
      </c>
      <c r="R986" s="110">
        <v>1</v>
      </c>
    </row>
    <row r="987" spans="2:18" x14ac:dyDescent="0.2">
      <c r="B987" s="57" t="str">
        <f t="shared" si="205"/>
        <v/>
      </c>
      <c r="D987" s="57" t="str">
        <f t="shared" si="206"/>
        <v/>
      </c>
      <c r="F987" s="57" t="str">
        <f t="shared" si="199"/>
        <v/>
      </c>
      <c r="G987" s="102" t="str">
        <f t="shared" si="203"/>
        <v/>
      </c>
      <c r="H987" s="57">
        <f t="shared" si="200"/>
        <v>0</v>
      </c>
      <c r="I987" s="102">
        <f>VLOOKUP(P987&amp;"_"&amp;Q987,活动关卡!$A$60:$Z$83,3+5*MonsterWaveCallRuleCfg!R987,FALSE)</f>
        <v>40</v>
      </c>
      <c r="J987" s="102">
        <f>VLOOKUP(P987&amp;"_"&amp;Q987,活动关卡!$A$60:$Z$83,4+5*MonsterWaveCallRuleCfg!R987,FALSE)</f>
        <v>0.5</v>
      </c>
      <c r="K987" s="102">
        <f t="shared" si="201"/>
        <v>1</v>
      </c>
      <c r="L987" s="102" t="str">
        <f>IF(VLOOKUP(P987&amp;"_"&amp;Q987,活动关卡!$A$60:$Z$83,2+5*R987,FALSE)="","","Monster_Season3_Challenge"&amp;P987&amp;"_"&amp;Q987&amp;"_"&amp;R987)</f>
        <v>Monster_Season3_Challenge2_5_2</v>
      </c>
      <c r="M987" s="57">
        <f t="shared" si="202"/>
        <v>1</v>
      </c>
      <c r="O987" s="102">
        <f>VLOOKUP(P987&amp;"_"&amp;Q987,活动关卡!$A$4:$Z$27,6+5*MonsterWaveCallRuleCfg!R987,FALSE)</f>
        <v>1</v>
      </c>
      <c r="P987" s="110">
        <v>2</v>
      </c>
      <c r="Q987" s="110">
        <f t="shared" si="204"/>
        <v>5</v>
      </c>
      <c r="R987" s="110">
        <v>2</v>
      </c>
    </row>
    <row r="988" spans="2:18" x14ac:dyDescent="0.2">
      <c r="B988" s="57" t="str">
        <f t="shared" si="205"/>
        <v/>
      </c>
      <c r="D988" s="57" t="str">
        <f t="shared" si="206"/>
        <v/>
      </c>
      <c r="F988" s="57" t="str">
        <f t="shared" si="199"/>
        <v/>
      </c>
      <c r="G988" s="102" t="str">
        <f t="shared" si="203"/>
        <v/>
      </c>
      <c r="H988" s="57">
        <f t="shared" si="200"/>
        <v>0</v>
      </c>
      <c r="I988" s="102">
        <f>VLOOKUP(P988&amp;"_"&amp;Q988,活动关卡!$A$60:$Z$83,3+5*MonsterWaveCallRuleCfg!R988,FALSE)</f>
        <v>20</v>
      </c>
      <c r="J988" s="102">
        <f>VLOOKUP(P988&amp;"_"&amp;Q988,活动关卡!$A$60:$Z$83,4+5*MonsterWaveCallRuleCfg!R988,FALSE)</f>
        <v>1</v>
      </c>
      <c r="K988" s="102">
        <f t="shared" si="201"/>
        <v>1</v>
      </c>
      <c r="L988" s="102" t="str">
        <f>IF(VLOOKUP(P988&amp;"_"&amp;Q988,活动关卡!$A$60:$Z$83,2+5*R988,FALSE)="","","Monster_Season3_Challenge"&amp;P988&amp;"_"&amp;Q988&amp;"_"&amp;R988)</f>
        <v>Monster_Season3_Challenge2_5_3</v>
      </c>
      <c r="M988" s="57">
        <f t="shared" si="202"/>
        <v>1</v>
      </c>
      <c r="O988" s="102">
        <f>VLOOKUP(P988&amp;"_"&amp;Q988,活动关卡!$A$4:$Z$27,6+5*MonsterWaveCallRuleCfg!R988,FALSE)</f>
        <v>5</v>
      </c>
      <c r="P988" s="110">
        <v>2</v>
      </c>
      <c r="Q988" s="110">
        <f t="shared" si="204"/>
        <v>5</v>
      </c>
      <c r="R988" s="110">
        <v>3</v>
      </c>
    </row>
    <row r="989" spans="2:18" x14ac:dyDescent="0.2">
      <c r="B989" s="57" t="str">
        <f t="shared" si="205"/>
        <v/>
      </c>
      <c r="D989" s="57" t="str">
        <f t="shared" si="206"/>
        <v/>
      </c>
      <c r="F989" s="57" t="str">
        <f t="shared" si="199"/>
        <v/>
      </c>
      <c r="G989" s="102" t="str">
        <f t="shared" si="203"/>
        <v/>
      </c>
      <c r="H989" s="57">
        <f t="shared" si="200"/>
        <v>0</v>
      </c>
      <c r="I989" s="102">
        <f>VLOOKUP(P989&amp;"_"&amp;Q989,活动关卡!$A$60:$Z$83,3+5*MonsterWaveCallRuleCfg!R989,FALSE)</f>
        <v>20</v>
      </c>
      <c r="J989" s="102">
        <f>VLOOKUP(P989&amp;"_"&amp;Q989,活动关卡!$A$60:$Z$83,4+5*MonsterWaveCallRuleCfg!R989,FALSE)</f>
        <v>1</v>
      </c>
      <c r="K989" s="102">
        <f t="shared" si="201"/>
        <v>1</v>
      </c>
      <c r="L989" s="102" t="str">
        <f>IF(VLOOKUP(P989&amp;"_"&amp;Q989,活动关卡!$A$60:$Z$83,2+5*R989,FALSE)="","","Monster_Season3_Challenge"&amp;P989&amp;"_"&amp;Q989&amp;"_"&amp;R989)</f>
        <v>Monster_Season3_Challenge2_5_4</v>
      </c>
      <c r="M989" s="57">
        <f t="shared" si="202"/>
        <v>1</v>
      </c>
      <c r="O989" s="102">
        <f>VLOOKUP(P989&amp;"_"&amp;Q989,活动关卡!$A$4:$Z$27,6+5*MonsterWaveCallRuleCfg!R989,FALSE)</f>
        <v>5</v>
      </c>
      <c r="P989" s="110">
        <v>2</v>
      </c>
      <c r="Q989" s="110">
        <f t="shared" si="204"/>
        <v>5</v>
      </c>
      <c r="R989" s="110">
        <v>4</v>
      </c>
    </row>
    <row r="990" spans="2:18" x14ac:dyDescent="0.2">
      <c r="B990" s="57" t="str">
        <f t="shared" si="205"/>
        <v>MonsterWaveCallRule_Season3_Challenge3</v>
      </c>
      <c r="C990" s="57">
        <v>1</v>
      </c>
      <c r="D990" s="57" t="str">
        <f t="shared" si="206"/>
        <v>赛季3关卡3第1波</v>
      </c>
      <c r="F990" s="57">
        <f t="shared" si="199"/>
        <v>0</v>
      </c>
      <c r="G990" s="102">
        <f t="shared" si="203"/>
        <v>180</v>
      </c>
      <c r="H990" s="57">
        <f t="shared" si="200"/>
        <v>0</v>
      </c>
      <c r="I990" s="102">
        <f>VLOOKUP(P990&amp;"_"&amp;Q990,活动关卡!$A$60:$Z$83,3+5*MonsterWaveCallRuleCfg!R990,FALSE)</f>
        <v>5</v>
      </c>
      <c r="J990" s="102">
        <f>VLOOKUP(P990&amp;"_"&amp;Q990,活动关卡!$A$60:$Z$83,4+5*MonsterWaveCallRuleCfg!R990,FALSE)</f>
        <v>2</v>
      </c>
      <c r="K990" s="102">
        <f t="shared" si="201"/>
        <v>1</v>
      </c>
      <c r="L990" s="102" t="str">
        <f>IF(VLOOKUP(P990&amp;"_"&amp;Q990,活动关卡!$A$60:$Z$83,2+5*R990,FALSE)="","","Monster_Season3_Challenge"&amp;P990&amp;"_"&amp;Q990&amp;"_"&amp;R990)</f>
        <v>Monster_Season3_Challenge3_1_1</v>
      </c>
      <c r="M990" s="57">
        <f t="shared" si="202"/>
        <v>1</v>
      </c>
      <c r="O990" s="102">
        <f>VLOOKUP(P990&amp;"_"&amp;Q990,活动关卡!$A$4:$Z$27,6+5*MonsterWaveCallRuleCfg!R990,FALSE)</f>
        <v>30</v>
      </c>
      <c r="P990" s="110">
        <v>3</v>
      </c>
      <c r="Q990" s="110">
        <f t="shared" si="204"/>
        <v>1</v>
      </c>
      <c r="R990" s="110">
        <v>1</v>
      </c>
    </row>
    <row r="991" spans="2:18" x14ac:dyDescent="0.2">
      <c r="B991" s="57" t="str">
        <f t="shared" si="205"/>
        <v/>
      </c>
      <c r="D991" s="57" t="str">
        <f t="shared" si="206"/>
        <v/>
      </c>
      <c r="F991" s="57" t="str">
        <f t="shared" si="199"/>
        <v/>
      </c>
      <c r="G991" s="102" t="str">
        <f t="shared" si="203"/>
        <v/>
      </c>
      <c r="H991" s="57">
        <f t="shared" si="200"/>
        <v>0</v>
      </c>
      <c r="I991" s="102">
        <f>VLOOKUP(P991&amp;"_"&amp;Q991,活动关卡!$A$60:$Z$83,3+5*MonsterWaveCallRuleCfg!R991,FALSE)</f>
        <v>5</v>
      </c>
      <c r="J991" s="102">
        <f>VLOOKUP(P991&amp;"_"&amp;Q991,活动关卡!$A$60:$Z$83,4+5*MonsterWaveCallRuleCfg!R991,FALSE)</f>
        <v>2</v>
      </c>
      <c r="K991" s="102">
        <f t="shared" si="201"/>
        <v>1</v>
      </c>
      <c r="L991" s="102" t="str">
        <f>IF(VLOOKUP(P991&amp;"_"&amp;Q991,活动关卡!$A$60:$Z$83,2+5*R991,FALSE)="","","Monster_Season3_Challenge"&amp;P991&amp;"_"&amp;Q991&amp;"_"&amp;R991)</f>
        <v>Monster_Season3_Challenge3_1_2</v>
      </c>
      <c r="M991" s="57">
        <f t="shared" si="202"/>
        <v>1</v>
      </c>
      <c r="O991" s="102">
        <f>VLOOKUP(P991&amp;"_"&amp;Q991,活动关卡!$A$4:$Z$27,6+5*MonsterWaveCallRuleCfg!R991,FALSE)</f>
        <v>30</v>
      </c>
      <c r="P991" s="110">
        <v>3</v>
      </c>
      <c r="Q991" s="110">
        <f t="shared" si="204"/>
        <v>1</v>
      </c>
      <c r="R991" s="110">
        <v>2</v>
      </c>
    </row>
    <row r="992" spans="2:18" x14ac:dyDescent="0.2">
      <c r="B992" s="57" t="str">
        <f t="shared" si="205"/>
        <v/>
      </c>
      <c r="D992" s="57" t="str">
        <f t="shared" si="206"/>
        <v/>
      </c>
      <c r="F992" s="57" t="str">
        <f t="shared" si="199"/>
        <v/>
      </c>
      <c r="G992" s="102" t="str">
        <f t="shared" si="203"/>
        <v/>
      </c>
      <c r="H992" s="57" t="str">
        <f t="shared" si="200"/>
        <v/>
      </c>
      <c r="I992" s="102" t="str">
        <f>VLOOKUP(P992&amp;"_"&amp;Q992,活动关卡!$A$60:$Z$83,3+5*MonsterWaveCallRuleCfg!R992,FALSE)</f>
        <v/>
      </c>
      <c r="J992" s="102" t="str">
        <f>VLOOKUP(P992&amp;"_"&amp;Q992,活动关卡!$A$60:$Z$83,4+5*MonsterWaveCallRuleCfg!R992,FALSE)</f>
        <v/>
      </c>
      <c r="K992" s="102" t="str">
        <f t="shared" si="201"/>
        <v/>
      </c>
      <c r="L992" s="102" t="str">
        <f>IF(VLOOKUP(P992&amp;"_"&amp;Q992,活动关卡!$A$60:$Z$83,2+5*R992,FALSE)="","","Monster_Season3_Challenge"&amp;P992&amp;"_"&amp;Q992&amp;"_"&amp;R992)</f>
        <v/>
      </c>
      <c r="M992" s="57" t="str">
        <f t="shared" si="202"/>
        <v/>
      </c>
      <c r="O992" s="102" t="str">
        <f>VLOOKUP(P992&amp;"_"&amp;Q992,活动关卡!$A$4:$Z$27,6+5*MonsterWaveCallRuleCfg!R992,FALSE)</f>
        <v/>
      </c>
      <c r="P992" s="110">
        <v>3</v>
      </c>
      <c r="Q992" s="110">
        <f t="shared" si="204"/>
        <v>1</v>
      </c>
      <c r="R992" s="110">
        <v>3</v>
      </c>
    </row>
    <row r="993" spans="2:18" x14ac:dyDescent="0.2">
      <c r="B993" s="57" t="str">
        <f t="shared" si="205"/>
        <v/>
      </c>
      <c r="D993" s="57" t="str">
        <f t="shared" si="206"/>
        <v/>
      </c>
      <c r="F993" s="57" t="str">
        <f t="shared" si="199"/>
        <v/>
      </c>
      <c r="G993" s="102" t="str">
        <f t="shared" si="203"/>
        <v/>
      </c>
      <c r="H993" s="57" t="str">
        <f t="shared" si="200"/>
        <v/>
      </c>
      <c r="I993" s="102" t="str">
        <f>VLOOKUP(P993&amp;"_"&amp;Q993,活动关卡!$A$60:$Z$83,3+5*MonsterWaveCallRuleCfg!R993,FALSE)</f>
        <v/>
      </c>
      <c r="J993" s="102" t="str">
        <f>VLOOKUP(P993&amp;"_"&amp;Q993,活动关卡!$A$60:$Z$83,4+5*MonsterWaveCallRuleCfg!R993,FALSE)</f>
        <v/>
      </c>
      <c r="K993" s="102" t="str">
        <f t="shared" si="201"/>
        <v/>
      </c>
      <c r="L993" s="102" t="str">
        <f>IF(VLOOKUP(P993&amp;"_"&amp;Q993,活动关卡!$A$60:$Z$83,2+5*R993,FALSE)="","","Monster_Season3_Challenge"&amp;P993&amp;"_"&amp;Q993&amp;"_"&amp;R993)</f>
        <v/>
      </c>
      <c r="M993" s="57" t="str">
        <f t="shared" si="202"/>
        <v/>
      </c>
      <c r="O993" s="102" t="str">
        <f>VLOOKUP(P993&amp;"_"&amp;Q993,活动关卡!$A$4:$Z$27,6+5*MonsterWaveCallRuleCfg!R993,FALSE)</f>
        <v/>
      </c>
      <c r="P993" s="110">
        <v>3</v>
      </c>
      <c r="Q993" s="110">
        <f t="shared" si="204"/>
        <v>1</v>
      </c>
      <c r="R993" s="110">
        <v>4</v>
      </c>
    </row>
    <row r="994" spans="2:18" x14ac:dyDescent="0.2">
      <c r="B994" s="57" t="str">
        <f t="shared" si="205"/>
        <v>MonsterWaveCallRule_Season3_Challenge3</v>
      </c>
      <c r="C994" s="57">
        <v>2</v>
      </c>
      <c r="D994" s="57" t="str">
        <f t="shared" si="206"/>
        <v>赛季3关卡3第2波</v>
      </c>
      <c r="F994" s="57">
        <f t="shared" si="199"/>
        <v>0</v>
      </c>
      <c r="G994" s="102">
        <f t="shared" si="203"/>
        <v>180</v>
      </c>
      <c r="H994" s="57">
        <f t="shared" si="200"/>
        <v>0</v>
      </c>
      <c r="I994" s="102">
        <f>VLOOKUP(P994&amp;"_"&amp;Q994,活动关卡!$A$60:$Z$83,3+5*MonsterWaveCallRuleCfg!R994,FALSE)</f>
        <v>6</v>
      </c>
      <c r="J994" s="102">
        <f>VLOOKUP(P994&amp;"_"&amp;Q994,活动关卡!$A$60:$Z$83,4+5*MonsterWaveCallRuleCfg!R994,FALSE)</f>
        <v>2</v>
      </c>
      <c r="K994" s="102">
        <f t="shared" si="201"/>
        <v>1</v>
      </c>
      <c r="L994" s="102" t="str">
        <f>IF(VLOOKUP(P994&amp;"_"&amp;Q994,活动关卡!$A$60:$Z$83,2+5*R994,FALSE)="","","Monster_Season3_Challenge"&amp;P994&amp;"_"&amp;Q994&amp;"_"&amp;R994)</f>
        <v>Monster_Season3_Challenge3_2_1</v>
      </c>
      <c r="M994" s="57">
        <f t="shared" si="202"/>
        <v>1</v>
      </c>
      <c r="O994" s="102">
        <f>VLOOKUP(P994&amp;"_"&amp;Q994,活动关卡!$A$4:$Z$27,6+5*MonsterWaveCallRuleCfg!R994,FALSE)</f>
        <v>17</v>
      </c>
      <c r="P994" s="110">
        <v>3</v>
      </c>
      <c r="Q994" s="110">
        <f t="shared" si="204"/>
        <v>2</v>
      </c>
      <c r="R994" s="110">
        <v>1</v>
      </c>
    </row>
    <row r="995" spans="2:18" x14ac:dyDescent="0.2">
      <c r="B995" s="57" t="str">
        <f t="shared" si="205"/>
        <v/>
      </c>
      <c r="D995" s="57" t="str">
        <f t="shared" si="206"/>
        <v/>
      </c>
      <c r="F995" s="57" t="str">
        <f t="shared" si="199"/>
        <v/>
      </c>
      <c r="G995" s="102" t="str">
        <f t="shared" si="203"/>
        <v/>
      </c>
      <c r="H995" s="57">
        <f t="shared" si="200"/>
        <v>0</v>
      </c>
      <c r="I995" s="102">
        <f>VLOOKUP(P995&amp;"_"&amp;Q995,活动关卡!$A$60:$Z$83,3+5*MonsterWaveCallRuleCfg!R995,FALSE)</f>
        <v>6</v>
      </c>
      <c r="J995" s="102">
        <f>VLOOKUP(P995&amp;"_"&amp;Q995,活动关卡!$A$60:$Z$83,4+5*MonsterWaveCallRuleCfg!R995,FALSE)</f>
        <v>2</v>
      </c>
      <c r="K995" s="102">
        <f t="shared" si="201"/>
        <v>1</v>
      </c>
      <c r="L995" s="102" t="str">
        <f>IF(VLOOKUP(P995&amp;"_"&amp;Q995,活动关卡!$A$60:$Z$83,2+5*R995,FALSE)="","","Monster_Season3_Challenge"&amp;P995&amp;"_"&amp;Q995&amp;"_"&amp;R995)</f>
        <v>Monster_Season3_Challenge3_2_2</v>
      </c>
      <c r="M995" s="57">
        <f t="shared" si="202"/>
        <v>1</v>
      </c>
      <c r="O995" s="102">
        <f>VLOOKUP(P995&amp;"_"&amp;Q995,活动关卡!$A$4:$Z$27,6+5*MonsterWaveCallRuleCfg!R995,FALSE)</f>
        <v>17</v>
      </c>
      <c r="P995" s="110">
        <v>3</v>
      </c>
      <c r="Q995" s="110">
        <f t="shared" si="204"/>
        <v>2</v>
      </c>
      <c r="R995" s="110">
        <v>2</v>
      </c>
    </row>
    <row r="996" spans="2:18" x14ac:dyDescent="0.2">
      <c r="B996" s="57" t="str">
        <f t="shared" si="205"/>
        <v/>
      </c>
      <c r="D996" s="57" t="str">
        <f t="shared" si="206"/>
        <v/>
      </c>
      <c r="F996" s="57" t="str">
        <f t="shared" si="199"/>
        <v/>
      </c>
      <c r="G996" s="102" t="str">
        <f t="shared" si="203"/>
        <v/>
      </c>
      <c r="H996" s="57">
        <f t="shared" si="200"/>
        <v>0</v>
      </c>
      <c r="I996" s="102">
        <f>VLOOKUP(P996&amp;"_"&amp;Q996,活动关卡!$A$60:$Z$83,3+5*MonsterWaveCallRuleCfg!R996,FALSE)</f>
        <v>6</v>
      </c>
      <c r="J996" s="102">
        <f>VLOOKUP(P996&amp;"_"&amp;Q996,活动关卡!$A$60:$Z$83,4+5*MonsterWaveCallRuleCfg!R996,FALSE)</f>
        <v>2</v>
      </c>
      <c r="K996" s="102">
        <f t="shared" si="201"/>
        <v>1</v>
      </c>
      <c r="L996" s="102" t="str">
        <f>IF(VLOOKUP(P996&amp;"_"&amp;Q996,活动关卡!$A$60:$Z$83,2+5*R996,FALSE)="","","Monster_Season3_Challenge"&amp;P996&amp;"_"&amp;Q996&amp;"_"&amp;R996)</f>
        <v>Monster_Season3_Challenge3_2_3</v>
      </c>
      <c r="M996" s="57">
        <f t="shared" si="202"/>
        <v>1</v>
      </c>
      <c r="O996" s="102">
        <f>VLOOKUP(P996&amp;"_"&amp;Q996,活动关卡!$A$4:$Z$27,6+5*MonsterWaveCallRuleCfg!R996,FALSE)</f>
        <v>17</v>
      </c>
      <c r="P996" s="110">
        <v>3</v>
      </c>
      <c r="Q996" s="110">
        <f t="shared" si="204"/>
        <v>2</v>
      </c>
      <c r="R996" s="110">
        <v>3</v>
      </c>
    </row>
    <row r="997" spans="2:18" x14ac:dyDescent="0.2">
      <c r="B997" s="57" t="str">
        <f t="shared" si="205"/>
        <v/>
      </c>
      <c r="D997" s="57" t="str">
        <f t="shared" si="206"/>
        <v/>
      </c>
      <c r="F997" s="57" t="str">
        <f t="shared" si="199"/>
        <v/>
      </c>
      <c r="G997" s="102" t="str">
        <f t="shared" si="203"/>
        <v/>
      </c>
      <c r="H997" s="57" t="str">
        <f t="shared" si="200"/>
        <v/>
      </c>
      <c r="I997" s="102" t="str">
        <f>VLOOKUP(P997&amp;"_"&amp;Q997,活动关卡!$A$60:$Z$83,3+5*MonsterWaveCallRuleCfg!R997,FALSE)</f>
        <v/>
      </c>
      <c r="J997" s="102" t="str">
        <f>VLOOKUP(P997&amp;"_"&amp;Q997,活动关卡!$A$60:$Z$83,4+5*MonsterWaveCallRuleCfg!R997,FALSE)</f>
        <v/>
      </c>
      <c r="K997" s="102" t="str">
        <f t="shared" si="201"/>
        <v/>
      </c>
      <c r="L997" s="102" t="str">
        <f>IF(VLOOKUP(P997&amp;"_"&amp;Q997,活动关卡!$A$60:$Z$83,2+5*R997,FALSE)="","","Monster_Season3_Challenge"&amp;P997&amp;"_"&amp;Q997&amp;"_"&amp;R997)</f>
        <v/>
      </c>
      <c r="M997" s="57" t="str">
        <f t="shared" si="202"/>
        <v/>
      </c>
      <c r="O997" s="102" t="str">
        <f>VLOOKUP(P997&amp;"_"&amp;Q997,活动关卡!$A$4:$Z$27,6+5*MonsterWaveCallRuleCfg!R997,FALSE)</f>
        <v/>
      </c>
      <c r="P997" s="110">
        <v>3</v>
      </c>
      <c r="Q997" s="110">
        <f t="shared" si="204"/>
        <v>2</v>
      </c>
      <c r="R997" s="110">
        <v>4</v>
      </c>
    </row>
    <row r="998" spans="2:18" x14ac:dyDescent="0.2">
      <c r="B998" s="57" t="str">
        <f t="shared" si="205"/>
        <v>MonsterWaveCallRule_Season3_Challenge3</v>
      </c>
      <c r="C998" s="57">
        <v>3</v>
      </c>
      <c r="D998" s="57" t="str">
        <f t="shared" si="206"/>
        <v>赛季3关卡3第3波</v>
      </c>
      <c r="F998" s="57">
        <f t="shared" si="199"/>
        <v>0</v>
      </c>
      <c r="G998" s="102">
        <f t="shared" si="203"/>
        <v>180</v>
      </c>
      <c r="H998" s="57">
        <f t="shared" si="200"/>
        <v>0</v>
      </c>
      <c r="I998" s="102">
        <f>VLOOKUP(P998&amp;"_"&amp;Q998,活动关卡!$A$60:$Z$83,3+5*MonsterWaveCallRuleCfg!R998,FALSE)</f>
        <v>8</v>
      </c>
      <c r="J998" s="102">
        <f>VLOOKUP(P998&amp;"_"&amp;Q998,活动关卡!$A$60:$Z$83,4+5*MonsterWaveCallRuleCfg!R998,FALSE)</f>
        <v>2</v>
      </c>
      <c r="K998" s="102">
        <f t="shared" si="201"/>
        <v>1</v>
      </c>
      <c r="L998" s="102" t="str">
        <f>IF(VLOOKUP(P998&amp;"_"&amp;Q998,活动关卡!$A$60:$Z$83,2+5*R998,FALSE)="","","Monster_Season3_Challenge"&amp;P998&amp;"_"&amp;Q998&amp;"_"&amp;R998)</f>
        <v>Monster_Season3_Challenge3_3_1</v>
      </c>
      <c r="M998" s="57">
        <f t="shared" si="202"/>
        <v>1</v>
      </c>
      <c r="O998" s="102">
        <f>VLOOKUP(P998&amp;"_"&amp;Q998,活动关卡!$A$4:$Z$27,6+5*MonsterWaveCallRuleCfg!R998,FALSE)</f>
        <v>15</v>
      </c>
      <c r="P998" s="110">
        <v>3</v>
      </c>
      <c r="Q998" s="110">
        <f t="shared" si="204"/>
        <v>3</v>
      </c>
      <c r="R998" s="110">
        <v>1</v>
      </c>
    </row>
    <row r="999" spans="2:18" x14ac:dyDescent="0.2">
      <c r="B999" s="57" t="str">
        <f t="shared" si="205"/>
        <v/>
      </c>
      <c r="D999" s="57" t="str">
        <f t="shared" si="206"/>
        <v/>
      </c>
      <c r="F999" s="57" t="str">
        <f t="shared" si="199"/>
        <v/>
      </c>
      <c r="G999" s="102" t="str">
        <f t="shared" si="203"/>
        <v/>
      </c>
      <c r="H999" s="57">
        <f t="shared" si="200"/>
        <v>0</v>
      </c>
      <c r="I999" s="102">
        <f>VLOOKUP(P999&amp;"_"&amp;Q999,活动关卡!$A$60:$Z$83,3+5*MonsterWaveCallRuleCfg!R999,FALSE)</f>
        <v>15</v>
      </c>
      <c r="J999" s="102">
        <f>VLOOKUP(P999&amp;"_"&amp;Q999,活动关卡!$A$60:$Z$83,4+5*MonsterWaveCallRuleCfg!R999,FALSE)</f>
        <v>1</v>
      </c>
      <c r="K999" s="102">
        <f t="shared" si="201"/>
        <v>1</v>
      </c>
      <c r="L999" s="102" t="str">
        <f>IF(VLOOKUP(P999&amp;"_"&amp;Q999,活动关卡!$A$60:$Z$83,2+5*R999,FALSE)="","","Monster_Season3_Challenge"&amp;P999&amp;"_"&amp;Q999&amp;"_"&amp;R999)</f>
        <v>Monster_Season3_Challenge3_3_2</v>
      </c>
      <c r="M999" s="57">
        <f t="shared" si="202"/>
        <v>1</v>
      </c>
      <c r="O999" s="102">
        <f>VLOOKUP(P999&amp;"_"&amp;Q999,活动关卡!$A$4:$Z$27,6+5*MonsterWaveCallRuleCfg!R999,FALSE)</f>
        <v>4</v>
      </c>
      <c r="P999" s="110">
        <v>3</v>
      </c>
      <c r="Q999" s="110">
        <f t="shared" si="204"/>
        <v>3</v>
      </c>
      <c r="R999" s="110">
        <v>2</v>
      </c>
    </row>
    <row r="1000" spans="2:18" x14ac:dyDescent="0.2">
      <c r="B1000" s="57" t="str">
        <f t="shared" si="205"/>
        <v/>
      </c>
      <c r="D1000" s="57" t="str">
        <f t="shared" si="206"/>
        <v/>
      </c>
      <c r="F1000" s="57" t="str">
        <f t="shared" si="199"/>
        <v/>
      </c>
      <c r="G1000" s="102" t="str">
        <f t="shared" si="203"/>
        <v/>
      </c>
      <c r="H1000" s="57">
        <f t="shared" si="200"/>
        <v>0</v>
      </c>
      <c r="I1000" s="102">
        <f>VLOOKUP(P1000&amp;"_"&amp;Q1000,活动关卡!$A$60:$Z$83,3+5*MonsterWaveCallRuleCfg!R1000,FALSE)</f>
        <v>8</v>
      </c>
      <c r="J1000" s="102">
        <f>VLOOKUP(P1000&amp;"_"&amp;Q1000,活动关卡!$A$60:$Z$83,4+5*MonsterWaveCallRuleCfg!R1000,FALSE)</f>
        <v>2</v>
      </c>
      <c r="K1000" s="102">
        <f t="shared" si="201"/>
        <v>1</v>
      </c>
      <c r="L1000" s="102" t="str">
        <f>IF(VLOOKUP(P1000&amp;"_"&amp;Q1000,活动关卡!$A$60:$Z$83,2+5*R1000,FALSE)="","","Monster_Season3_Challenge"&amp;P1000&amp;"_"&amp;Q1000&amp;"_"&amp;R1000)</f>
        <v>Monster_Season3_Challenge3_3_3</v>
      </c>
      <c r="M1000" s="57">
        <f t="shared" si="202"/>
        <v>1</v>
      </c>
      <c r="O1000" s="102">
        <f>VLOOKUP(P1000&amp;"_"&amp;Q1000,活动关卡!$A$4:$Z$27,6+5*MonsterWaveCallRuleCfg!R1000,FALSE)</f>
        <v>15</v>
      </c>
      <c r="P1000" s="110">
        <v>3</v>
      </c>
      <c r="Q1000" s="110">
        <f t="shared" si="204"/>
        <v>3</v>
      </c>
      <c r="R1000" s="110">
        <v>3</v>
      </c>
    </row>
    <row r="1001" spans="2:18" x14ac:dyDescent="0.2">
      <c r="B1001" s="57" t="str">
        <f t="shared" si="205"/>
        <v/>
      </c>
      <c r="D1001" s="57" t="str">
        <f t="shared" si="206"/>
        <v/>
      </c>
      <c r="F1001" s="57" t="str">
        <f t="shared" si="199"/>
        <v/>
      </c>
      <c r="G1001" s="102" t="str">
        <f t="shared" si="203"/>
        <v/>
      </c>
      <c r="H1001" s="57" t="str">
        <f t="shared" si="200"/>
        <v/>
      </c>
      <c r="I1001" s="102" t="str">
        <f>VLOOKUP(P1001&amp;"_"&amp;Q1001,活动关卡!$A$60:$Z$83,3+5*MonsterWaveCallRuleCfg!R1001,FALSE)</f>
        <v/>
      </c>
      <c r="J1001" s="102" t="str">
        <f>VLOOKUP(P1001&amp;"_"&amp;Q1001,活动关卡!$A$60:$Z$83,4+5*MonsterWaveCallRuleCfg!R1001,FALSE)</f>
        <v/>
      </c>
      <c r="K1001" s="102" t="str">
        <f t="shared" si="201"/>
        <v/>
      </c>
      <c r="L1001" s="102" t="str">
        <f>IF(VLOOKUP(P1001&amp;"_"&amp;Q1001,活动关卡!$A$60:$Z$83,2+5*R1001,FALSE)="","","Monster_Season3_Challenge"&amp;P1001&amp;"_"&amp;Q1001&amp;"_"&amp;R1001)</f>
        <v/>
      </c>
      <c r="M1001" s="57" t="str">
        <f t="shared" si="202"/>
        <v/>
      </c>
      <c r="O1001" s="102" t="str">
        <f>VLOOKUP(P1001&amp;"_"&amp;Q1001,活动关卡!$A$4:$Z$27,6+5*MonsterWaveCallRuleCfg!R1001,FALSE)</f>
        <v/>
      </c>
      <c r="P1001" s="110">
        <v>3</v>
      </c>
      <c r="Q1001" s="110">
        <f t="shared" si="204"/>
        <v>3</v>
      </c>
      <c r="R1001" s="110">
        <v>4</v>
      </c>
    </row>
    <row r="1002" spans="2:18" x14ac:dyDescent="0.2">
      <c r="B1002" s="57" t="str">
        <f t="shared" si="205"/>
        <v>MonsterWaveCallRule_Season3_Challenge3</v>
      </c>
      <c r="C1002" s="57">
        <v>4</v>
      </c>
      <c r="D1002" s="57" t="str">
        <f t="shared" si="206"/>
        <v>赛季3关卡3第4波</v>
      </c>
      <c r="F1002" s="57">
        <f t="shared" si="199"/>
        <v>0</v>
      </c>
      <c r="G1002" s="102">
        <f t="shared" si="203"/>
        <v>180</v>
      </c>
      <c r="H1002" s="57" t="e">
        <f t="shared" si="200"/>
        <v>#N/A</v>
      </c>
      <c r="I1002" s="102" t="e">
        <f>VLOOKUP(P1002&amp;"_"&amp;Q1002,活动关卡!$A$60:$Z$83,3+5*MonsterWaveCallRuleCfg!R1002,FALSE)</f>
        <v>#N/A</v>
      </c>
      <c r="J1002" s="102" t="e">
        <f>VLOOKUP(P1002&amp;"_"&amp;Q1002,活动关卡!$A$60:$Z$83,4+5*MonsterWaveCallRuleCfg!R1002,FALSE)</f>
        <v>#N/A</v>
      </c>
      <c r="K1002" s="102" t="e">
        <f t="shared" si="201"/>
        <v>#N/A</v>
      </c>
      <c r="L1002" s="102" t="e">
        <f>IF(VLOOKUP(P1002&amp;"_"&amp;Q1002,活动关卡!$A$60:$Z$83,2+5*R1002,FALSE)="","","Monster_Season3_Challenge"&amp;P1002&amp;"_"&amp;Q1002&amp;"_"&amp;R1002)</f>
        <v>#N/A</v>
      </c>
      <c r="M1002" s="57" t="e">
        <f t="shared" si="202"/>
        <v>#N/A</v>
      </c>
      <c r="O1002" s="102" t="e">
        <f>VLOOKUP(P1002&amp;"_"&amp;Q1002,活动关卡!$A$4:$Z$27,6+5*MonsterWaveCallRuleCfg!R1002,FALSE)</f>
        <v>#N/A</v>
      </c>
      <c r="P1002" s="110">
        <v>3</v>
      </c>
      <c r="Q1002" s="110">
        <f t="shared" si="204"/>
        <v>4</v>
      </c>
      <c r="R1002" s="110">
        <v>1</v>
      </c>
    </row>
    <row r="1003" spans="2:18" x14ac:dyDescent="0.2">
      <c r="B1003" s="57" t="str">
        <f t="shared" si="205"/>
        <v/>
      </c>
      <c r="D1003" s="57" t="str">
        <f t="shared" si="206"/>
        <v/>
      </c>
      <c r="F1003" s="57" t="str">
        <f t="shared" si="199"/>
        <v/>
      </c>
      <c r="G1003" s="102" t="str">
        <f t="shared" si="203"/>
        <v/>
      </c>
      <c r="H1003" s="57" t="e">
        <f t="shared" si="200"/>
        <v>#N/A</v>
      </c>
      <c r="I1003" s="102" t="e">
        <f>VLOOKUP(P1003&amp;"_"&amp;Q1003,活动关卡!$A$60:$Z$83,3+5*MonsterWaveCallRuleCfg!R1003,FALSE)</f>
        <v>#N/A</v>
      </c>
      <c r="J1003" s="102" t="e">
        <f>VLOOKUP(P1003&amp;"_"&amp;Q1003,活动关卡!$A$60:$Z$83,4+5*MonsterWaveCallRuleCfg!R1003,FALSE)</f>
        <v>#N/A</v>
      </c>
      <c r="K1003" s="102" t="e">
        <f t="shared" si="201"/>
        <v>#N/A</v>
      </c>
      <c r="L1003" s="102" t="e">
        <f>IF(VLOOKUP(P1003&amp;"_"&amp;Q1003,活动关卡!$A$60:$Z$83,2+5*R1003,FALSE)="","","Monster_Season3_Challenge"&amp;P1003&amp;"_"&amp;Q1003&amp;"_"&amp;R1003)</f>
        <v>#N/A</v>
      </c>
      <c r="M1003" s="57" t="e">
        <f t="shared" si="202"/>
        <v>#N/A</v>
      </c>
      <c r="O1003" s="102" t="e">
        <f>VLOOKUP(P1003&amp;"_"&amp;Q1003,活动关卡!$A$4:$Z$27,6+5*MonsterWaveCallRuleCfg!R1003,FALSE)</f>
        <v>#N/A</v>
      </c>
      <c r="P1003" s="110">
        <v>3</v>
      </c>
      <c r="Q1003" s="110">
        <f t="shared" si="204"/>
        <v>4</v>
      </c>
      <c r="R1003" s="110">
        <v>2</v>
      </c>
    </row>
    <row r="1004" spans="2:18" x14ac:dyDescent="0.2">
      <c r="B1004" s="57" t="str">
        <f t="shared" si="205"/>
        <v/>
      </c>
      <c r="D1004" s="57" t="str">
        <f t="shared" si="206"/>
        <v/>
      </c>
      <c r="F1004" s="57" t="str">
        <f t="shared" si="199"/>
        <v/>
      </c>
      <c r="G1004" s="102" t="str">
        <f t="shared" si="203"/>
        <v/>
      </c>
      <c r="H1004" s="57" t="e">
        <f t="shared" si="200"/>
        <v>#N/A</v>
      </c>
      <c r="I1004" s="102" t="e">
        <f>VLOOKUP(P1004&amp;"_"&amp;Q1004,活动关卡!$A$60:$Z$83,3+5*MonsterWaveCallRuleCfg!R1004,FALSE)</f>
        <v>#N/A</v>
      </c>
      <c r="J1004" s="102" t="e">
        <f>VLOOKUP(P1004&amp;"_"&amp;Q1004,活动关卡!$A$60:$Z$83,4+5*MonsterWaveCallRuleCfg!R1004,FALSE)</f>
        <v>#N/A</v>
      </c>
      <c r="K1004" s="102" t="e">
        <f t="shared" si="201"/>
        <v>#N/A</v>
      </c>
      <c r="L1004" s="102" t="e">
        <f>IF(VLOOKUP(P1004&amp;"_"&amp;Q1004,活动关卡!$A$60:$Z$83,2+5*R1004,FALSE)="","","Monster_Season3_Challenge"&amp;P1004&amp;"_"&amp;Q1004&amp;"_"&amp;R1004)</f>
        <v>#N/A</v>
      </c>
      <c r="M1004" s="57" t="e">
        <f t="shared" si="202"/>
        <v>#N/A</v>
      </c>
      <c r="O1004" s="102" t="e">
        <f>VLOOKUP(P1004&amp;"_"&amp;Q1004,活动关卡!$A$4:$Z$27,6+5*MonsterWaveCallRuleCfg!R1004,FALSE)</f>
        <v>#N/A</v>
      </c>
      <c r="P1004" s="110">
        <v>3</v>
      </c>
      <c r="Q1004" s="110">
        <f t="shared" si="204"/>
        <v>4</v>
      </c>
      <c r="R1004" s="110">
        <v>3</v>
      </c>
    </row>
    <row r="1005" spans="2:18" x14ac:dyDescent="0.2">
      <c r="B1005" s="57" t="str">
        <f t="shared" si="205"/>
        <v/>
      </c>
      <c r="D1005" s="57" t="str">
        <f t="shared" si="206"/>
        <v/>
      </c>
      <c r="F1005" s="57" t="str">
        <f t="shared" si="199"/>
        <v/>
      </c>
      <c r="G1005" s="102" t="str">
        <f t="shared" si="203"/>
        <v/>
      </c>
      <c r="H1005" s="57" t="e">
        <f t="shared" si="200"/>
        <v>#N/A</v>
      </c>
      <c r="I1005" s="102" t="e">
        <f>VLOOKUP(P1005&amp;"_"&amp;Q1005,活动关卡!$A$60:$Z$83,3+5*MonsterWaveCallRuleCfg!R1005,FALSE)</f>
        <v>#N/A</v>
      </c>
      <c r="J1005" s="102" t="e">
        <f>VLOOKUP(P1005&amp;"_"&amp;Q1005,活动关卡!$A$60:$Z$83,4+5*MonsterWaveCallRuleCfg!R1005,FALSE)</f>
        <v>#N/A</v>
      </c>
      <c r="K1005" s="102" t="e">
        <f t="shared" si="201"/>
        <v>#N/A</v>
      </c>
      <c r="L1005" s="102" t="e">
        <f>IF(VLOOKUP(P1005&amp;"_"&amp;Q1005,活动关卡!$A$60:$Z$83,2+5*R1005,FALSE)="","","Monster_Season3_Challenge"&amp;P1005&amp;"_"&amp;Q1005&amp;"_"&amp;R1005)</f>
        <v>#N/A</v>
      </c>
      <c r="M1005" s="57" t="e">
        <f t="shared" si="202"/>
        <v>#N/A</v>
      </c>
      <c r="O1005" s="102" t="e">
        <f>VLOOKUP(P1005&amp;"_"&amp;Q1005,活动关卡!$A$4:$Z$27,6+5*MonsterWaveCallRuleCfg!R1005,FALSE)</f>
        <v>#N/A</v>
      </c>
      <c r="P1005" s="110">
        <v>3</v>
      </c>
      <c r="Q1005" s="110">
        <f t="shared" si="204"/>
        <v>4</v>
      </c>
      <c r="R1005" s="110">
        <v>4</v>
      </c>
    </row>
    <row r="1006" spans="2:18" x14ac:dyDescent="0.2">
      <c r="B1006" s="57" t="str">
        <f t="shared" si="205"/>
        <v>MonsterWaveCallRule_Season3_Challenge3</v>
      </c>
      <c r="C1006" s="57">
        <v>5</v>
      </c>
      <c r="D1006" s="57" t="str">
        <f t="shared" si="206"/>
        <v>赛季3关卡3第5波</v>
      </c>
      <c r="F1006" s="57">
        <f t="shared" si="199"/>
        <v>0</v>
      </c>
      <c r="G1006" s="102">
        <f t="shared" si="203"/>
        <v>180</v>
      </c>
      <c r="H1006" s="57" t="e">
        <f t="shared" si="200"/>
        <v>#N/A</v>
      </c>
      <c r="I1006" s="102" t="e">
        <f>VLOOKUP(P1006&amp;"_"&amp;Q1006,活动关卡!$A$60:$Z$83,3+5*MonsterWaveCallRuleCfg!R1006,FALSE)</f>
        <v>#N/A</v>
      </c>
      <c r="J1006" s="102" t="e">
        <f>VLOOKUP(P1006&amp;"_"&amp;Q1006,活动关卡!$A$60:$Z$83,4+5*MonsterWaveCallRuleCfg!R1006,FALSE)</f>
        <v>#N/A</v>
      </c>
      <c r="K1006" s="102" t="e">
        <f t="shared" si="201"/>
        <v>#N/A</v>
      </c>
      <c r="L1006" s="102" t="e">
        <f>IF(VLOOKUP(P1006&amp;"_"&amp;Q1006,活动关卡!$A$60:$Z$83,2+5*R1006,FALSE)="","","Monster_Season3_Challenge"&amp;P1006&amp;"_"&amp;Q1006&amp;"_"&amp;R1006)</f>
        <v>#N/A</v>
      </c>
      <c r="M1006" s="57" t="e">
        <f t="shared" si="202"/>
        <v>#N/A</v>
      </c>
      <c r="O1006" s="102" t="e">
        <f>VLOOKUP(P1006&amp;"_"&amp;Q1006,活动关卡!$A$4:$Z$27,6+5*MonsterWaveCallRuleCfg!R1006,FALSE)</f>
        <v>#N/A</v>
      </c>
      <c r="P1006" s="110">
        <v>3</v>
      </c>
      <c r="Q1006" s="110">
        <f t="shared" si="204"/>
        <v>5</v>
      </c>
      <c r="R1006" s="110">
        <v>1</v>
      </c>
    </row>
    <row r="1007" spans="2:18" x14ac:dyDescent="0.2">
      <c r="B1007" s="57" t="str">
        <f t="shared" si="205"/>
        <v/>
      </c>
      <c r="D1007" s="57" t="str">
        <f t="shared" si="206"/>
        <v/>
      </c>
      <c r="F1007" s="57" t="str">
        <f t="shared" si="199"/>
        <v/>
      </c>
      <c r="G1007" s="102" t="str">
        <f t="shared" si="203"/>
        <v/>
      </c>
      <c r="H1007" s="57" t="e">
        <f t="shared" si="200"/>
        <v>#N/A</v>
      </c>
      <c r="I1007" s="102" t="e">
        <f>VLOOKUP(P1007&amp;"_"&amp;Q1007,活动关卡!$A$60:$Z$83,3+5*MonsterWaveCallRuleCfg!R1007,FALSE)</f>
        <v>#N/A</v>
      </c>
      <c r="J1007" s="102" t="e">
        <f>VLOOKUP(P1007&amp;"_"&amp;Q1007,活动关卡!$A$60:$Z$83,4+5*MonsterWaveCallRuleCfg!R1007,FALSE)</f>
        <v>#N/A</v>
      </c>
      <c r="K1007" s="102" t="e">
        <f t="shared" si="201"/>
        <v>#N/A</v>
      </c>
      <c r="L1007" s="102" t="e">
        <f>IF(VLOOKUP(P1007&amp;"_"&amp;Q1007,活动关卡!$A$60:$Z$83,2+5*R1007,FALSE)="","","Monster_Season3_Challenge"&amp;P1007&amp;"_"&amp;Q1007&amp;"_"&amp;R1007)</f>
        <v>#N/A</v>
      </c>
      <c r="M1007" s="57" t="e">
        <f t="shared" si="202"/>
        <v>#N/A</v>
      </c>
      <c r="O1007" s="102" t="e">
        <f>VLOOKUP(P1007&amp;"_"&amp;Q1007,活动关卡!$A$4:$Z$27,6+5*MonsterWaveCallRuleCfg!R1007,FALSE)</f>
        <v>#N/A</v>
      </c>
      <c r="P1007" s="110">
        <v>3</v>
      </c>
      <c r="Q1007" s="110">
        <f t="shared" si="204"/>
        <v>5</v>
      </c>
      <c r="R1007" s="110">
        <v>2</v>
      </c>
    </row>
    <row r="1008" spans="2:18" x14ac:dyDescent="0.2">
      <c r="B1008" s="57" t="str">
        <f t="shared" si="205"/>
        <v/>
      </c>
      <c r="D1008" s="57" t="str">
        <f t="shared" si="206"/>
        <v/>
      </c>
      <c r="F1008" s="57" t="str">
        <f t="shared" si="199"/>
        <v/>
      </c>
      <c r="G1008" s="102" t="str">
        <f t="shared" si="203"/>
        <v/>
      </c>
      <c r="H1008" s="57" t="e">
        <f t="shared" si="200"/>
        <v>#N/A</v>
      </c>
      <c r="I1008" s="102" t="e">
        <f>VLOOKUP(P1008&amp;"_"&amp;Q1008,活动关卡!$A$60:$Z$83,3+5*MonsterWaveCallRuleCfg!R1008,FALSE)</f>
        <v>#N/A</v>
      </c>
      <c r="J1008" s="102" t="e">
        <f>VLOOKUP(P1008&amp;"_"&amp;Q1008,活动关卡!$A$60:$Z$83,4+5*MonsterWaveCallRuleCfg!R1008,FALSE)</f>
        <v>#N/A</v>
      </c>
      <c r="K1008" s="102" t="e">
        <f t="shared" si="201"/>
        <v>#N/A</v>
      </c>
      <c r="L1008" s="102" t="e">
        <f>IF(VLOOKUP(P1008&amp;"_"&amp;Q1008,活动关卡!$A$60:$Z$83,2+5*R1008,FALSE)="","","Monster_Season3_Challenge"&amp;P1008&amp;"_"&amp;Q1008&amp;"_"&amp;R1008)</f>
        <v>#N/A</v>
      </c>
      <c r="M1008" s="57" t="e">
        <f t="shared" si="202"/>
        <v>#N/A</v>
      </c>
      <c r="O1008" s="102" t="e">
        <f>VLOOKUP(P1008&amp;"_"&amp;Q1008,活动关卡!$A$4:$Z$27,6+5*MonsterWaveCallRuleCfg!R1008,FALSE)</f>
        <v>#N/A</v>
      </c>
      <c r="P1008" s="110">
        <v>3</v>
      </c>
      <c r="Q1008" s="110">
        <f t="shared" si="204"/>
        <v>5</v>
      </c>
      <c r="R1008" s="110">
        <v>3</v>
      </c>
    </row>
    <row r="1009" spans="2:18" x14ac:dyDescent="0.2">
      <c r="B1009" s="57" t="str">
        <f t="shared" si="205"/>
        <v/>
      </c>
      <c r="D1009" s="57" t="str">
        <f t="shared" si="206"/>
        <v/>
      </c>
      <c r="F1009" s="57" t="str">
        <f t="shared" si="199"/>
        <v/>
      </c>
      <c r="G1009" s="102" t="str">
        <f t="shared" si="203"/>
        <v/>
      </c>
      <c r="H1009" s="57" t="e">
        <f t="shared" si="200"/>
        <v>#N/A</v>
      </c>
      <c r="I1009" s="102" t="e">
        <f>VLOOKUP(P1009&amp;"_"&amp;Q1009,活动关卡!$A$60:$Z$83,3+5*MonsterWaveCallRuleCfg!R1009,FALSE)</f>
        <v>#N/A</v>
      </c>
      <c r="J1009" s="102" t="e">
        <f>VLOOKUP(P1009&amp;"_"&amp;Q1009,活动关卡!$A$60:$Z$83,4+5*MonsterWaveCallRuleCfg!R1009,FALSE)</f>
        <v>#N/A</v>
      </c>
      <c r="K1009" s="102" t="e">
        <f t="shared" si="201"/>
        <v>#N/A</v>
      </c>
      <c r="L1009" s="102" t="e">
        <f>IF(VLOOKUP(P1009&amp;"_"&amp;Q1009,活动关卡!$A$60:$Z$83,2+5*R1009,FALSE)="","","Monster_Season3_Challenge"&amp;P1009&amp;"_"&amp;Q1009&amp;"_"&amp;R1009)</f>
        <v>#N/A</v>
      </c>
      <c r="M1009" s="57" t="e">
        <f t="shared" si="202"/>
        <v>#N/A</v>
      </c>
      <c r="O1009" s="102" t="e">
        <f>VLOOKUP(P1009&amp;"_"&amp;Q1009,活动关卡!$A$4:$Z$27,6+5*MonsterWaveCallRuleCfg!R1009,FALSE)</f>
        <v>#N/A</v>
      </c>
      <c r="P1009" s="110">
        <v>3</v>
      </c>
      <c r="Q1009" s="110">
        <f t="shared" si="204"/>
        <v>5</v>
      </c>
      <c r="R1009" s="110">
        <v>4</v>
      </c>
    </row>
    <row r="1010" spans="2:18" x14ac:dyDescent="0.2">
      <c r="B1010" s="57" t="str">
        <f t="shared" si="205"/>
        <v>MonsterWaveCallRule_Season3_Challenge4</v>
      </c>
      <c r="C1010" s="57">
        <v>1</v>
      </c>
      <c r="D1010" s="57" t="str">
        <f t="shared" si="206"/>
        <v>赛季3关卡4第1波</v>
      </c>
      <c r="F1010" s="57">
        <f t="shared" si="199"/>
        <v>0</v>
      </c>
      <c r="G1010" s="102">
        <f t="shared" si="203"/>
        <v>180</v>
      </c>
      <c r="H1010" s="57">
        <f t="shared" si="200"/>
        <v>0</v>
      </c>
      <c r="I1010" s="102">
        <f>VLOOKUP(P1010&amp;"_"&amp;Q1010,活动关卡!$A$60:$Z$83,3+5*MonsterWaveCallRuleCfg!R1010,FALSE)</f>
        <v>7</v>
      </c>
      <c r="J1010" s="102">
        <f>VLOOKUP(P1010&amp;"_"&amp;Q1010,活动关卡!$A$60:$Z$83,4+5*MonsterWaveCallRuleCfg!R1010,FALSE)</f>
        <v>1.5</v>
      </c>
      <c r="K1010" s="102">
        <f t="shared" si="201"/>
        <v>1</v>
      </c>
      <c r="L1010" s="102" t="str">
        <f>IF(VLOOKUP(P1010&amp;"_"&amp;Q1010,活动关卡!$A$60:$Z$83,2+5*R1010,FALSE)="","","Monster_Season3_Challenge"&amp;P1010&amp;"_"&amp;Q1010&amp;"_"&amp;R1010)</f>
        <v>Monster_Season3_Challenge4_1_1</v>
      </c>
      <c r="M1010" s="57">
        <f t="shared" si="202"/>
        <v>1</v>
      </c>
      <c r="O1010" s="102">
        <f>VLOOKUP(P1010&amp;"_"&amp;Q1010,活动关卡!$A$4:$Z$27,6+5*MonsterWaveCallRuleCfg!R1010,FALSE)</f>
        <v>18</v>
      </c>
      <c r="P1010" s="110">
        <v>4</v>
      </c>
      <c r="Q1010" s="110">
        <f t="shared" si="204"/>
        <v>1</v>
      </c>
      <c r="R1010" s="110">
        <v>1</v>
      </c>
    </row>
    <row r="1011" spans="2:18" x14ac:dyDescent="0.2">
      <c r="B1011" s="57" t="str">
        <f t="shared" si="205"/>
        <v/>
      </c>
      <c r="D1011" s="57" t="str">
        <f t="shared" si="206"/>
        <v/>
      </c>
      <c r="F1011" s="57" t="str">
        <f t="shared" si="199"/>
        <v/>
      </c>
      <c r="G1011" s="102" t="str">
        <f t="shared" si="203"/>
        <v/>
      </c>
      <c r="H1011" s="57">
        <f t="shared" si="200"/>
        <v>0</v>
      </c>
      <c r="I1011" s="102">
        <f>VLOOKUP(P1011&amp;"_"&amp;Q1011,活动关卡!$A$60:$Z$83,3+5*MonsterWaveCallRuleCfg!R1011,FALSE)</f>
        <v>5</v>
      </c>
      <c r="J1011" s="102">
        <f>VLOOKUP(P1011&amp;"_"&amp;Q1011,活动关卡!$A$60:$Z$83,4+5*MonsterWaveCallRuleCfg!R1011,FALSE)</f>
        <v>2</v>
      </c>
      <c r="K1011" s="102">
        <f t="shared" si="201"/>
        <v>1</v>
      </c>
      <c r="L1011" s="102" t="str">
        <f>IF(VLOOKUP(P1011&amp;"_"&amp;Q1011,活动关卡!$A$60:$Z$83,2+5*R1011,FALSE)="","","Monster_Season3_Challenge"&amp;P1011&amp;"_"&amp;Q1011&amp;"_"&amp;R1011)</f>
        <v>Monster_Season3_Challenge4_1_2</v>
      </c>
      <c r="M1011" s="57">
        <f t="shared" si="202"/>
        <v>1</v>
      </c>
      <c r="O1011" s="102">
        <f>VLOOKUP(P1011&amp;"_"&amp;Q1011,活动关卡!$A$4:$Z$27,6+5*MonsterWaveCallRuleCfg!R1011,FALSE)</f>
        <v>35</v>
      </c>
      <c r="P1011" s="110">
        <v>4</v>
      </c>
      <c r="Q1011" s="110">
        <f t="shared" si="204"/>
        <v>1</v>
      </c>
      <c r="R1011" s="110">
        <v>2</v>
      </c>
    </row>
    <row r="1012" spans="2:18" x14ac:dyDescent="0.2">
      <c r="B1012" s="57" t="str">
        <f t="shared" si="205"/>
        <v/>
      </c>
      <c r="D1012" s="57" t="str">
        <f t="shared" si="206"/>
        <v/>
      </c>
      <c r="F1012" s="57" t="str">
        <f t="shared" si="199"/>
        <v/>
      </c>
      <c r="G1012" s="102" t="str">
        <f t="shared" si="203"/>
        <v/>
      </c>
      <c r="H1012" s="57" t="str">
        <f t="shared" si="200"/>
        <v/>
      </c>
      <c r="I1012" s="102" t="str">
        <f>VLOOKUP(P1012&amp;"_"&amp;Q1012,活动关卡!$A$60:$Z$83,3+5*MonsterWaveCallRuleCfg!R1012,FALSE)</f>
        <v/>
      </c>
      <c r="J1012" s="102" t="str">
        <f>VLOOKUP(P1012&amp;"_"&amp;Q1012,活动关卡!$A$60:$Z$83,4+5*MonsterWaveCallRuleCfg!R1012,FALSE)</f>
        <v/>
      </c>
      <c r="K1012" s="102" t="str">
        <f t="shared" si="201"/>
        <v/>
      </c>
      <c r="L1012" s="102" t="str">
        <f>IF(VLOOKUP(P1012&amp;"_"&amp;Q1012,活动关卡!$A$60:$Z$83,2+5*R1012,FALSE)="","","Monster_Season3_Challenge"&amp;P1012&amp;"_"&amp;Q1012&amp;"_"&amp;R1012)</f>
        <v/>
      </c>
      <c r="M1012" s="57" t="str">
        <f t="shared" si="202"/>
        <v/>
      </c>
      <c r="O1012" s="102" t="str">
        <f>VLOOKUP(P1012&amp;"_"&amp;Q1012,活动关卡!$A$4:$Z$27,6+5*MonsterWaveCallRuleCfg!R1012,FALSE)</f>
        <v/>
      </c>
      <c r="P1012" s="110">
        <v>4</v>
      </c>
      <c r="Q1012" s="110">
        <f t="shared" si="204"/>
        <v>1</v>
      </c>
      <c r="R1012" s="110">
        <v>3</v>
      </c>
    </row>
    <row r="1013" spans="2:18" x14ac:dyDescent="0.2">
      <c r="B1013" s="57" t="str">
        <f t="shared" si="205"/>
        <v/>
      </c>
      <c r="D1013" s="57" t="str">
        <f t="shared" si="206"/>
        <v/>
      </c>
      <c r="F1013" s="57" t="str">
        <f t="shared" si="199"/>
        <v/>
      </c>
      <c r="G1013" s="102" t="str">
        <f t="shared" si="203"/>
        <v/>
      </c>
      <c r="H1013" s="57" t="str">
        <f t="shared" si="200"/>
        <v/>
      </c>
      <c r="I1013" s="102" t="str">
        <f>VLOOKUP(P1013&amp;"_"&amp;Q1013,活动关卡!$A$60:$Z$83,3+5*MonsterWaveCallRuleCfg!R1013,FALSE)</f>
        <v/>
      </c>
      <c r="J1013" s="102" t="str">
        <f>VLOOKUP(P1013&amp;"_"&amp;Q1013,活动关卡!$A$60:$Z$83,4+5*MonsterWaveCallRuleCfg!R1013,FALSE)</f>
        <v/>
      </c>
      <c r="K1013" s="102" t="str">
        <f t="shared" si="201"/>
        <v/>
      </c>
      <c r="L1013" s="102" t="str">
        <f>IF(VLOOKUP(P1013&amp;"_"&amp;Q1013,活动关卡!$A$60:$Z$83,2+5*R1013,FALSE)="","","Monster_Season3_Challenge"&amp;P1013&amp;"_"&amp;Q1013&amp;"_"&amp;R1013)</f>
        <v/>
      </c>
      <c r="M1013" s="57" t="str">
        <f t="shared" si="202"/>
        <v/>
      </c>
      <c r="O1013" s="102" t="str">
        <f>VLOOKUP(P1013&amp;"_"&amp;Q1013,活动关卡!$A$4:$Z$27,6+5*MonsterWaveCallRuleCfg!R1013,FALSE)</f>
        <v/>
      </c>
      <c r="P1013" s="110">
        <v>4</v>
      </c>
      <c r="Q1013" s="110">
        <f t="shared" si="204"/>
        <v>1</v>
      </c>
      <c r="R1013" s="110">
        <v>4</v>
      </c>
    </row>
    <row r="1014" spans="2:18" x14ac:dyDescent="0.2">
      <c r="B1014" s="57" t="str">
        <f t="shared" ref="B1014:B1045" si="207">IF(C1014="","","MonsterWaveCallRule_Season3_Challenge"&amp;P1014)</f>
        <v>MonsterWaveCallRule_Season3_Challenge4</v>
      </c>
      <c r="C1014" s="57">
        <v>2</v>
      </c>
      <c r="D1014" s="57" t="str">
        <f t="shared" ref="D1014:D1045" si="208">IF(C1014="","","赛季3关卡"&amp;P1014&amp;"第"&amp;C1014&amp;"波")</f>
        <v>赛季3关卡4第2波</v>
      </c>
      <c r="F1014" s="57">
        <f t="shared" ref="F1014:F1058" si="209">IF(C1014="","",0)</f>
        <v>0</v>
      </c>
      <c r="G1014" s="102">
        <f t="shared" si="203"/>
        <v>180</v>
      </c>
      <c r="H1014" s="57">
        <f t="shared" ref="H1014:H1061" si="210">IF(I1014="","",0)</f>
        <v>0</v>
      </c>
      <c r="I1014" s="102">
        <f>VLOOKUP(P1014&amp;"_"&amp;Q1014,活动关卡!$A$60:$Z$83,3+5*MonsterWaveCallRuleCfg!R1014,FALSE)</f>
        <v>8</v>
      </c>
      <c r="J1014" s="102">
        <f>VLOOKUP(P1014&amp;"_"&amp;Q1014,活动关卡!$A$60:$Z$83,4+5*MonsterWaveCallRuleCfg!R1014,FALSE)</f>
        <v>1.5</v>
      </c>
      <c r="K1014" s="102">
        <f t="shared" ref="K1014:K1061" si="211">IF(I1014="","",1)</f>
        <v>1</v>
      </c>
      <c r="L1014" s="102" t="str">
        <f>IF(VLOOKUP(P1014&amp;"_"&amp;Q1014,活动关卡!$A$60:$Z$83,2+5*R1014,FALSE)="","","Monster_Season3_Challenge"&amp;P1014&amp;"_"&amp;Q1014&amp;"_"&amp;R1014)</f>
        <v>Monster_Season3_Challenge4_2_1</v>
      </c>
      <c r="M1014" s="57">
        <f t="shared" ref="M1014:M1061" si="212">IF(I1014="","",1)</f>
        <v>1</v>
      </c>
      <c r="O1014" s="102">
        <f>VLOOKUP(P1014&amp;"_"&amp;Q1014,活动关卡!$A$4:$Z$27,6+5*MonsterWaveCallRuleCfg!R1014,FALSE)</f>
        <v>4</v>
      </c>
      <c r="P1014" s="110">
        <v>4</v>
      </c>
      <c r="Q1014" s="110">
        <f t="shared" si="204"/>
        <v>2</v>
      </c>
      <c r="R1014" s="110">
        <v>1</v>
      </c>
    </row>
    <row r="1015" spans="2:18" x14ac:dyDescent="0.2">
      <c r="B1015" s="57" t="str">
        <f t="shared" si="207"/>
        <v/>
      </c>
      <c r="D1015" s="57" t="str">
        <f t="shared" si="208"/>
        <v/>
      </c>
      <c r="F1015" s="57" t="str">
        <f t="shared" si="209"/>
        <v/>
      </c>
      <c r="G1015" s="102" t="str">
        <f t="shared" ref="G1015:G1029" si="213">IF(C1015="","",180)</f>
        <v/>
      </c>
      <c r="H1015" s="57">
        <f t="shared" si="210"/>
        <v>0</v>
      </c>
      <c r="I1015" s="102">
        <f>VLOOKUP(P1015&amp;"_"&amp;Q1015,活动关卡!$A$60:$Z$83,3+5*MonsterWaveCallRuleCfg!R1015,FALSE)</f>
        <v>25</v>
      </c>
      <c r="J1015" s="102">
        <f>VLOOKUP(P1015&amp;"_"&amp;Q1015,活动关卡!$A$60:$Z$83,4+5*MonsterWaveCallRuleCfg!R1015,FALSE)</f>
        <v>0.5</v>
      </c>
      <c r="K1015" s="102">
        <f t="shared" si="211"/>
        <v>1</v>
      </c>
      <c r="L1015" s="102" t="str">
        <f>IF(VLOOKUP(P1015&amp;"_"&amp;Q1015,活动关卡!$A$60:$Z$83,2+5*R1015,FALSE)="","","Monster_Season3_Challenge"&amp;P1015&amp;"_"&amp;Q1015&amp;"_"&amp;R1015)</f>
        <v>Monster_Season3_Challenge4_2_2</v>
      </c>
      <c r="M1015" s="57">
        <f t="shared" si="212"/>
        <v>1</v>
      </c>
      <c r="O1015" s="102">
        <f>VLOOKUP(P1015&amp;"_"&amp;Q1015,活动关卡!$A$4:$Z$27,6+5*MonsterWaveCallRuleCfg!R1015,FALSE)</f>
        <v>9</v>
      </c>
      <c r="P1015" s="110">
        <v>4</v>
      </c>
      <c r="Q1015" s="110">
        <f t="shared" si="204"/>
        <v>2</v>
      </c>
      <c r="R1015" s="110">
        <v>2</v>
      </c>
    </row>
    <row r="1016" spans="2:18" x14ac:dyDescent="0.2">
      <c r="B1016" s="57" t="str">
        <f t="shared" si="207"/>
        <v/>
      </c>
      <c r="D1016" s="57" t="str">
        <f t="shared" si="208"/>
        <v/>
      </c>
      <c r="F1016" s="57" t="str">
        <f t="shared" si="209"/>
        <v/>
      </c>
      <c r="G1016" s="102" t="str">
        <f t="shared" si="213"/>
        <v/>
      </c>
      <c r="H1016" s="57">
        <f t="shared" si="210"/>
        <v>0</v>
      </c>
      <c r="I1016" s="102">
        <f>VLOOKUP(P1016&amp;"_"&amp;Q1016,活动关卡!$A$60:$Z$83,3+5*MonsterWaveCallRuleCfg!R1016,FALSE)</f>
        <v>6</v>
      </c>
      <c r="J1016" s="102">
        <f>VLOOKUP(P1016&amp;"_"&amp;Q1016,活动关卡!$A$60:$Z$83,4+5*MonsterWaveCallRuleCfg!R1016,FALSE)</f>
        <v>2</v>
      </c>
      <c r="K1016" s="102">
        <f t="shared" si="211"/>
        <v>1</v>
      </c>
      <c r="L1016" s="102" t="str">
        <f>IF(VLOOKUP(P1016&amp;"_"&amp;Q1016,活动关卡!$A$60:$Z$83,2+5*R1016,FALSE)="","","Monster_Season3_Challenge"&amp;P1016&amp;"_"&amp;Q1016&amp;"_"&amp;R1016)</f>
        <v>Monster_Season3_Challenge4_2_3</v>
      </c>
      <c r="M1016" s="57">
        <f t="shared" si="212"/>
        <v>1</v>
      </c>
      <c r="O1016" s="102">
        <f>VLOOKUP(P1016&amp;"_"&amp;Q1016,活动关卡!$A$4:$Z$27,6+5*MonsterWaveCallRuleCfg!R1016,FALSE)</f>
        <v>9</v>
      </c>
      <c r="P1016" s="110">
        <v>4</v>
      </c>
      <c r="Q1016" s="110">
        <f t="shared" ref="Q1016:Q1061" si="214">IF(C1016="",Q1015,C1016)</f>
        <v>2</v>
      </c>
      <c r="R1016" s="110">
        <v>3</v>
      </c>
    </row>
    <row r="1017" spans="2:18" x14ac:dyDescent="0.2">
      <c r="B1017" s="57" t="str">
        <f t="shared" si="207"/>
        <v/>
      </c>
      <c r="D1017" s="57" t="str">
        <f t="shared" si="208"/>
        <v/>
      </c>
      <c r="F1017" s="57" t="str">
        <f t="shared" si="209"/>
        <v/>
      </c>
      <c r="G1017" s="102" t="str">
        <f t="shared" si="213"/>
        <v/>
      </c>
      <c r="H1017" s="57" t="str">
        <f t="shared" si="210"/>
        <v/>
      </c>
      <c r="I1017" s="102" t="str">
        <f>VLOOKUP(P1017&amp;"_"&amp;Q1017,活动关卡!$A$60:$Z$83,3+5*MonsterWaveCallRuleCfg!R1017,FALSE)</f>
        <v/>
      </c>
      <c r="J1017" s="102" t="str">
        <f>VLOOKUP(P1017&amp;"_"&amp;Q1017,活动关卡!$A$60:$Z$83,4+5*MonsterWaveCallRuleCfg!R1017,FALSE)</f>
        <v/>
      </c>
      <c r="K1017" s="102" t="str">
        <f t="shared" si="211"/>
        <v/>
      </c>
      <c r="L1017" s="102" t="str">
        <f>IF(VLOOKUP(P1017&amp;"_"&amp;Q1017,活动关卡!$A$60:$Z$83,2+5*R1017,FALSE)="","","Monster_Season3_Challenge"&amp;P1017&amp;"_"&amp;Q1017&amp;"_"&amp;R1017)</f>
        <v/>
      </c>
      <c r="M1017" s="57" t="str">
        <f t="shared" si="212"/>
        <v/>
      </c>
      <c r="O1017" s="102" t="str">
        <f>VLOOKUP(P1017&amp;"_"&amp;Q1017,活动关卡!$A$4:$Z$27,6+5*MonsterWaveCallRuleCfg!R1017,FALSE)</f>
        <v/>
      </c>
      <c r="P1017" s="110">
        <v>4</v>
      </c>
      <c r="Q1017" s="110">
        <f t="shared" si="214"/>
        <v>2</v>
      </c>
      <c r="R1017" s="110">
        <v>4</v>
      </c>
    </row>
    <row r="1018" spans="2:18" x14ac:dyDescent="0.2">
      <c r="B1018" s="57" t="str">
        <f t="shared" si="207"/>
        <v>MonsterWaveCallRule_Season3_Challenge4</v>
      </c>
      <c r="C1018" s="57">
        <v>3</v>
      </c>
      <c r="D1018" s="57" t="str">
        <f t="shared" si="208"/>
        <v>赛季3关卡4第3波</v>
      </c>
      <c r="F1018" s="57">
        <f t="shared" si="209"/>
        <v>0</v>
      </c>
      <c r="G1018" s="102">
        <f t="shared" si="213"/>
        <v>180</v>
      </c>
      <c r="H1018" s="57">
        <f t="shared" si="210"/>
        <v>0</v>
      </c>
      <c r="I1018" s="102">
        <f>VLOOKUP(P1018&amp;"_"&amp;Q1018,活动关卡!$A$60:$Z$83,3+5*MonsterWaveCallRuleCfg!R1018,FALSE)</f>
        <v>10</v>
      </c>
      <c r="J1018" s="102">
        <f>VLOOKUP(P1018&amp;"_"&amp;Q1018,活动关卡!$A$60:$Z$83,4+5*MonsterWaveCallRuleCfg!R1018,FALSE)</f>
        <v>1.5</v>
      </c>
      <c r="K1018" s="102">
        <f t="shared" si="211"/>
        <v>1</v>
      </c>
      <c r="L1018" s="102" t="str">
        <f>IF(VLOOKUP(P1018&amp;"_"&amp;Q1018,活动关卡!$A$60:$Z$83,2+5*R1018,FALSE)="","","Monster_Season3_Challenge"&amp;P1018&amp;"_"&amp;Q1018&amp;"_"&amp;R1018)</f>
        <v>Monster_Season3_Challenge4_3_1</v>
      </c>
      <c r="M1018" s="57">
        <f t="shared" si="212"/>
        <v>1</v>
      </c>
      <c r="O1018" s="102">
        <f>VLOOKUP(P1018&amp;"_"&amp;Q1018,活动关卡!$A$4:$Z$27,6+5*MonsterWaveCallRuleCfg!R1018,FALSE)</f>
        <v>7</v>
      </c>
      <c r="P1018" s="110">
        <v>4</v>
      </c>
      <c r="Q1018" s="110">
        <f t="shared" si="214"/>
        <v>3</v>
      </c>
      <c r="R1018" s="110">
        <v>1</v>
      </c>
    </row>
    <row r="1019" spans="2:18" x14ac:dyDescent="0.2">
      <c r="B1019" s="57" t="str">
        <f t="shared" si="207"/>
        <v/>
      </c>
      <c r="D1019" s="57" t="str">
        <f t="shared" si="208"/>
        <v/>
      </c>
      <c r="F1019" s="57" t="str">
        <f t="shared" si="209"/>
        <v/>
      </c>
      <c r="G1019" s="102" t="str">
        <f t="shared" si="213"/>
        <v/>
      </c>
      <c r="H1019" s="57">
        <f t="shared" si="210"/>
        <v>0</v>
      </c>
      <c r="I1019" s="102">
        <f>VLOOKUP(P1019&amp;"_"&amp;Q1019,活动关卡!$A$60:$Z$83,3+5*MonsterWaveCallRuleCfg!R1019,FALSE)</f>
        <v>30</v>
      </c>
      <c r="J1019" s="102">
        <f>VLOOKUP(P1019&amp;"_"&amp;Q1019,活动关卡!$A$60:$Z$83,4+5*MonsterWaveCallRuleCfg!R1019,FALSE)</f>
        <v>0.5</v>
      </c>
      <c r="K1019" s="102">
        <f t="shared" si="211"/>
        <v>1</v>
      </c>
      <c r="L1019" s="102" t="str">
        <f>IF(VLOOKUP(P1019&amp;"_"&amp;Q1019,活动关卡!$A$60:$Z$83,2+5*R1019,FALSE)="","","Monster_Season3_Challenge"&amp;P1019&amp;"_"&amp;Q1019&amp;"_"&amp;R1019)</f>
        <v>Monster_Season3_Challenge4_3_2</v>
      </c>
      <c r="M1019" s="57">
        <f t="shared" si="212"/>
        <v>1</v>
      </c>
      <c r="O1019" s="102">
        <f>VLOOKUP(P1019&amp;"_"&amp;Q1019,活动关卡!$A$4:$Z$27,6+5*MonsterWaveCallRuleCfg!R1019,FALSE)</f>
        <v>4</v>
      </c>
      <c r="P1019" s="110">
        <v>4</v>
      </c>
      <c r="Q1019" s="110">
        <f t="shared" si="214"/>
        <v>3</v>
      </c>
      <c r="R1019" s="110">
        <v>2</v>
      </c>
    </row>
    <row r="1020" spans="2:18" x14ac:dyDescent="0.2">
      <c r="B1020" s="57" t="str">
        <f t="shared" si="207"/>
        <v/>
      </c>
      <c r="D1020" s="57" t="str">
        <f t="shared" si="208"/>
        <v/>
      </c>
      <c r="F1020" s="57" t="str">
        <f t="shared" si="209"/>
        <v/>
      </c>
      <c r="G1020" s="102" t="str">
        <f t="shared" si="213"/>
        <v/>
      </c>
      <c r="H1020" s="57">
        <f t="shared" si="210"/>
        <v>0</v>
      </c>
      <c r="I1020" s="102">
        <f>VLOOKUP(P1020&amp;"_"&amp;Q1020,活动关卡!$A$60:$Z$83,3+5*MonsterWaveCallRuleCfg!R1020,FALSE)</f>
        <v>8</v>
      </c>
      <c r="J1020" s="102">
        <f>VLOOKUP(P1020&amp;"_"&amp;Q1020,活动关卡!$A$60:$Z$83,4+5*MonsterWaveCallRuleCfg!R1020,FALSE)</f>
        <v>2</v>
      </c>
      <c r="K1020" s="102">
        <f t="shared" si="211"/>
        <v>1</v>
      </c>
      <c r="L1020" s="102" t="str">
        <f>IF(VLOOKUP(P1020&amp;"_"&amp;Q1020,活动关卡!$A$60:$Z$83,2+5*R1020,FALSE)="","","Monster_Season3_Challenge"&amp;P1020&amp;"_"&amp;Q1020&amp;"_"&amp;R1020)</f>
        <v>Monster_Season3_Challenge4_3_3</v>
      </c>
      <c r="M1020" s="57">
        <f t="shared" si="212"/>
        <v>1</v>
      </c>
      <c r="O1020" s="102">
        <f>VLOOKUP(P1020&amp;"_"&amp;Q1020,活动关卡!$A$4:$Z$27,6+5*MonsterWaveCallRuleCfg!R1020,FALSE)</f>
        <v>15</v>
      </c>
      <c r="P1020" s="110">
        <v>4</v>
      </c>
      <c r="Q1020" s="110">
        <f t="shared" si="214"/>
        <v>3</v>
      </c>
      <c r="R1020" s="110">
        <v>3</v>
      </c>
    </row>
    <row r="1021" spans="2:18" x14ac:dyDescent="0.2">
      <c r="B1021" s="57" t="str">
        <f t="shared" si="207"/>
        <v/>
      </c>
      <c r="D1021" s="57" t="str">
        <f t="shared" si="208"/>
        <v/>
      </c>
      <c r="F1021" s="57" t="str">
        <f t="shared" si="209"/>
        <v/>
      </c>
      <c r="G1021" s="102" t="str">
        <f t="shared" si="213"/>
        <v/>
      </c>
      <c r="H1021" s="57" t="str">
        <f t="shared" si="210"/>
        <v/>
      </c>
      <c r="I1021" s="102" t="str">
        <f>VLOOKUP(P1021&amp;"_"&amp;Q1021,活动关卡!$A$60:$Z$83,3+5*MonsterWaveCallRuleCfg!R1021,FALSE)</f>
        <v/>
      </c>
      <c r="J1021" s="102" t="str">
        <f>VLOOKUP(P1021&amp;"_"&amp;Q1021,活动关卡!$A$60:$Z$83,4+5*MonsterWaveCallRuleCfg!R1021,FALSE)</f>
        <v/>
      </c>
      <c r="K1021" s="102" t="str">
        <f t="shared" si="211"/>
        <v/>
      </c>
      <c r="L1021" s="102" t="str">
        <f>IF(VLOOKUP(P1021&amp;"_"&amp;Q1021,活动关卡!$A$60:$Z$83,2+5*R1021,FALSE)="","","Monster_Season3_Challenge"&amp;P1021&amp;"_"&amp;Q1021&amp;"_"&amp;R1021)</f>
        <v/>
      </c>
      <c r="M1021" s="57" t="str">
        <f t="shared" si="212"/>
        <v/>
      </c>
      <c r="O1021" s="102" t="str">
        <f>VLOOKUP(P1021&amp;"_"&amp;Q1021,活动关卡!$A$4:$Z$27,6+5*MonsterWaveCallRuleCfg!R1021,FALSE)</f>
        <v/>
      </c>
      <c r="P1021" s="110">
        <v>4</v>
      </c>
      <c r="Q1021" s="110">
        <f t="shared" si="214"/>
        <v>3</v>
      </c>
      <c r="R1021" s="110">
        <v>4</v>
      </c>
    </row>
    <row r="1022" spans="2:18" x14ac:dyDescent="0.2">
      <c r="B1022" s="57" t="str">
        <f t="shared" si="207"/>
        <v>MonsterWaveCallRule_Season3_Challenge4</v>
      </c>
      <c r="C1022" s="57">
        <v>4</v>
      </c>
      <c r="D1022" s="57" t="str">
        <f t="shared" si="208"/>
        <v>赛季3关卡4第4波</v>
      </c>
      <c r="F1022" s="57">
        <f t="shared" si="209"/>
        <v>0</v>
      </c>
      <c r="G1022" s="102">
        <f t="shared" si="213"/>
        <v>180</v>
      </c>
      <c r="H1022" s="57">
        <f t="shared" si="210"/>
        <v>0</v>
      </c>
      <c r="I1022" s="102">
        <f>VLOOKUP(P1022&amp;"_"&amp;Q1022,活动关卡!$A$60:$Z$83,3+5*MonsterWaveCallRuleCfg!R1022,FALSE)</f>
        <v>12</v>
      </c>
      <c r="J1022" s="102">
        <f>VLOOKUP(P1022&amp;"_"&amp;Q1022,活动关卡!$A$60:$Z$83,4+5*MonsterWaveCallRuleCfg!R1022,FALSE)</f>
        <v>1.5</v>
      </c>
      <c r="K1022" s="102">
        <f t="shared" si="211"/>
        <v>1</v>
      </c>
      <c r="L1022" s="102" t="str">
        <f>IF(VLOOKUP(P1022&amp;"_"&amp;Q1022,活动关卡!$A$60:$Z$83,2+5*R1022,FALSE)="","","Monster_Season3_Challenge"&amp;P1022&amp;"_"&amp;Q1022&amp;"_"&amp;R1022)</f>
        <v>Monster_Season3_Challenge4_4_1</v>
      </c>
      <c r="M1022" s="57">
        <f t="shared" si="212"/>
        <v>1</v>
      </c>
      <c r="O1022" s="102">
        <f>VLOOKUP(P1022&amp;"_"&amp;Q1022,活动关卡!$A$4:$Z$27,6+5*MonsterWaveCallRuleCfg!R1022,FALSE)</f>
        <v>3</v>
      </c>
      <c r="P1022" s="110">
        <v>4</v>
      </c>
      <c r="Q1022" s="110">
        <f t="shared" si="214"/>
        <v>4</v>
      </c>
      <c r="R1022" s="110">
        <v>1</v>
      </c>
    </row>
    <row r="1023" spans="2:18" x14ac:dyDescent="0.2">
      <c r="B1023" s="57" t="str">
        <f t="shared" si="207"/>
        <v/>
      </c>
      <c r="D1023" s="57" t="str">
        <f t="shared" si="208"/>
        <v/>
      </c>
      <c r="F1023" s="57" t="str">
        <f t="shared" si="209"/>
        <v/>
      </c>
      <c r="G1023" s="102" t="str">
        <f t="shared" si="213"/>
        <v/>
      </c>
      <c r="H1023" s="57">
        <f t="shared" si="210"/>
        <v>0</v>
      </c>
      <c r="I1023" s="102">
        <f>VLOOKUP(P1023&amp;"_"&amp;Q1023,活动关卡!$A$60:$Z$83,3+5*MonsterWaveCallRuleCfg!R1023,FALSE)</f>
        <v>44</v>
      </c>
      <c r="J1023" s="102">
        <f>VLOOKUP(P1023&amp;"_"&amp;Q1023,活动关卡!$A$60:$Z$83,4+5*MonsterWaveCallRuleCfg!R1023,FALSE)</f>
        <v>0.4</v>
      </c>
      <c r="K1023" s="102">
        <f t="shared" si="211"/>
        <v>1</v>
      </c>
      <c r="L1023" s="102" t="str">
        <f>IF(VLOOKUP(P1023&amp;"_"&amp;Q1023,活动关卡!$A$60:$Z$83,2+5*R1023,FALSE)="","","Monster_Season3_Challenge"&amp;P1023&amp;"_"&amp;Q1023&amp;"_"&amp;R1023)</f>
        <v>Monster_Season3_Challenge4_4_2</v>
      </c>
      <c r="M1023" s="57">
        <f t="shared" si="212"/>
        <v>1</v>
      </c>
      <c r="O1023" s="102">
        <f>VLOOKUP(P1023&amp;"_"&amp;Q1023,活动关卡!$A$4:$Z$27,6+5*MonsterWaveCallRuleCfg!R1023,FALSE)</f>
        <v>3</v>
      </c>
      <c r="P1023" s="110">
        <v>4</v>
      </c>
      <c r="Q1023" s="110">
        <f t="shared" si="214"/>
        <v>4</v>
      </c>
      <c r="R1023" s="110">
        <v>2</v>
      </c>
    </row>
    <row r="1024" spans="2:18" x14ac:dyDescent="0.2">
      <c r="B1024" s="57" t="str">
        <f t="shared" si="207"/>
        <v/>
      </c>
      <c r="D1024" s="57" t="str">
        <f t="shared" si="208"/>
        <v/>
      </c>
      <c r="F1024" s="57" t="str">
        <f t="shared" si="209"/>
        <v/>
      </c>
      <c r="G1024" s="102" t="str">
        <f t="shared" si="213"/>
        <v/>
      </c>
      <c r="H1024" s="57">
        <f t="shared" si="210"/>
        <v>0</v>
      </c>
      <c r="I1024" s="102">
        <f>VLOOKUP(P1024&amp;"_"&amp;Q1024,活动关卡!$A$60:$Z$83,3+5*MonsterWaveCallRuleCfg!R1024,FALSE)</f>
        <v>18</v>
      </c>
      <c r="J1024" s="102">
        <f>VLOOKUP(P1024&amp;"_"&amp;Q1024,活动关卡!$A$60:$Z$83,4+5*MonsterWaveCallRuleCfg!R1024,FALSE)</f>
        <v>1</v>
      </c>
      <c r="K1024" s="102">
        <f t="shared" si="211"/>
        <v>1</v>
      </c>
      <c r="L1024" s="102" t="str">
        <f>IF(VLOOKUP(P1024&amp;"_"&amp;Q1024,活动关卡!$A$60:$Z$83,2+5*R1024,FALSE)="","","Monster_Season3_Challenge"&amp;P1024&amp;"_"&amp;Q1024&amp;"_"&amp;R1024)</f>
        <v>Monster_Season3_Challenge4_4_3</v>
      </c>
      <c r="M1024" s="57">
        <f t="shared" si="212"/>
        <v>1</v>
      </c>
      <c r="O1024" s="102">
        <f>VLOOKUP(P1024&amp;"_"&amp;Q1024,活动关卡!$A$4:$Z$27,6+5*MonsterWaveCallRuleCfg!R1024,FALSE)</f>
        <v>7</v>
      </c>
      <c r="P1024" s="110">
        <v>4</v>
      </c>
      <c r="Q1024" s="110">
        <f t="shared" si="214"/>
        <v>4</v>
      </c>
      <c r="R1024" s="110">
        <v>3</v>
      </c>
    </row>
    <row r="1025" spans="2:18" x14ac:dyDescent="0.2">
      <c r="B1025" s="57" t="str">
        <f t="shared" si="207"/>
        <v/>
      </c>
      <c r="D1025" s="57" t="str">
        <f t="shared" si="208"/>
        <v/>
      </c>
      <c r="F1025" s="57" t="str">
        <f t="shared" si="209"/>
        <v/>
      </c>
      <c r="G1025" s="102" t="str">
        <f t="shared" si="213"/>
        <v/>
      </c>
      <c r="H1025" s="57" t="str">
        <f t="shared" si="210"/>
        <v/>
      </c>
      <c r="I1025" s="102" t="str">
        <f>VLOOKUP(P1025&amp;"_"&amp;Q1025,活动关卡!$A$60:$Z$83,3+5*MonsterWaveCallRuleCfg!R1025,FALSE)</f>
        <v/>
      </c>
      <c r="J1025" s="102" t="str">
        <f>VLOOKUP(P1025&amp;"_"&amp;Q1025,活动关卡!$A$60:$Z$83,4+5*MonsterWaveCallRuleCfg!R1025,FALSE)</f>
        <v/>
      </c>
      <c r="K1025" s="102" t="str">
        <f t="shared" si="211"/>
        <v/>
      </c>
      <c r="L1025" s="102" t="str">
        <f>IF(VLOOKUP(P1025&amp;"_"&amp;Q1025,活动关卡!$A$60:$Z$83,2+5*R1025,FALSE)="","","Monster_Season3_Challenge"&amp;P1025&amp;"_"&amp;Q1025&amp;"_"&amp;R1025)</f>
        <v/>
      </c>
      <c r="M1025" s="57" t="str">
        <f t="shared" si="212"/>
        <v/>
      </c>
      <c r="O1025" s="102" t="str">
        <f>VLOOKUP(P1025&amp;"_"&amp;Q1025,活动关卡!$A$4:$Z$27,6+5*MonsterWaveCallRuleCfg!R1025,FALSE)</f>
        <v/>
      </c>
      <c r="P1025" s="110">
        <v>4</v>
      </c>
      <c r="Q1025" s="110">
        <f t="shared" si="214"/>
        <v>4</v>
      </c>
      <c r="R1025" s="110">
        <v>4</v>
      </c>
    </row>
    <row r="1026" spans="2:18" x14ac:dyDescent="0.2">
      <c r="B1026" s="57" t="str">
        <f t="shared" si="207"/>
        <v>MonsterWaveCallRule_Season3_Challenge4</v>
      </c>
      <c r="C1026" s="57">
        <v>5</v>
      </c>
      <c r="D1026" s="57" t="str">
        <f t="shared" si="208"/>
        <v>赛季3关卡4第5波</v>
      </c>
      <c r="F1026" s="57">
        <f t="shared" si="209"/>
        <v>0</v>
      </c>
      <c r="G1026" s="102">
        <f t="shared" si="213"/>
        <v>180</v>
      </c>
      <c r="H1026" s="57">
        <f t="shared" si="210"/>
        <v>0</v>
      </c>
      <c r="I1026" s="102">
        <f>VLOOKUP(P1026&amp;"_"&amp;Q1026,活动关卡!$A$60:$Z$83,3+5*MonsterWaveCallRuleCfg!R1026,FALSE)</f>
        <v>40</v>
      </c>
      <c r="J1026" s="102">
        <f>VLOOKUP(P1026&amp;"_"&amp;Q1026,活动关卡!$A$60:$Z$83,4+5*MonsterWaveCallRuleCfg!R1026,FALSE)</f>
        <v>0.5</v>
      </c>
      <c r="K1026" s="102">
        <f t="shared" si="211"/>
        <v>1</v>
      </c>
      <c r="L1026" s="102" t="str">
        <f>IF(VLOOKUP(P1026&amp;"_"&amp;Q1026,活动关卡!$A$60:$Z$83,2+5*R1026,FALSE)="","","Monster_Season3_Challenge"&amp;P1026&amp;"_"&amp;Q1026&amp;"_"&amp;R1026)</f>
        <v>Monster_Season3_Challenge4_5_1</v>
      </c>
      <c r="M1026" s="57">
        <f t="shared" si="212"/>
        <v>1</v>
      </c>
      <c r="O1026" s="102">
        <f>VLOOKUP(P1026&amp;"_"&amp;Q1026,活动关卡!$A$4:$Z$27,6+5*MonsterWaveCallRuleCfg!R1026,FALSE)</f>
        <v>3</v>
      </c>
      <c r="P1026" s="110">
        <v>4</v>
      </c>
      <c r="Q1026" s="110">
        <f t="shared" si="214"/>
        <v>5</v>
      </c>
      <c r="R1026" s="110">
        <v>1</v>
      </c>
    </row>
    <row r="1027" spans="2:18" x14ac:dyDescent="0.2">
      <c r="B1027" s="57" t="str">
        <f t="shared" si="207"/>
        <v/>
      </c>
      <c r="D1027" s="57" t="str">
        <f t="shared" si="208"/>
        <v/>
      </c>
      <c r="F1027" s="57" t="str">
        <f t="shared" si="209"/>
        <v/>
      </c>
      <c r="G1027" s="102" t="str">
        <f t="shared" si="213"/>
        <v/>
      </c>
      <c r="H1027" s="57">
        <f t="shared" si="210"/>
        <v>0</v>
      </c>
      <c r="I1027" s="102">
        <f>VLOOKUP(P1027&amp;"_"&amp;Q1027,活动关卡!$A$60:$Z$83,3+5*MonsterWaveCallRuleCfg!R1027,FALSE)</f>
        <v>10</v>
      </c>
      <c r="J1027" s="102">
        <f>VLOOKUP(P1027&amp;"_"&amp;Q1027,活动关卡!$A$60:$Z$83,4+5*MonsterWaveCallRuleCfg!R1027,FALSE)</f>
        <v>2</v>
      </c>
      <c r="K1027" s="102">
        <f t="shared" si="211"/>
        <v>1</v>
      </c>
      <c r="L1027" s="102" t="str">
        <f>IF(VLOOKUP(P1027&amp;"_"&amp;Q1027,活动关卡!$A$60:$Z$83,2+5*R1027,FALSE)="","","Monster_Season3_Challenge"&amp;P1027&amp;"_"&amp;Q1027&amp;"_"&amp;R1027)</f>
        <v>Monster_Season3_Challenge4_5_2</v>
      </c>
      <c r="M1027" s="57">
        <f t="shared" si="212"/>
        <v>1</v>
      </c>
      <c r="O1027" s="102">
        <f>VLOOKUP(P1027&amp;"_"&amp;Q1027,活动关卡!$A$4:$Z$27,6+5*MonsterWaveCallRuleCfg!R1027,FALSE)</f>
        <v>6</v>
      </c>
      <c r="P1027" s="110">
        <v>4</v>
      </c>
      <c r="Q1027" s="110">
        <f t="shared" si="214"/>
        <v>5</v>
      </c>
      <c r="R1027" s="110">
        <v>2</v>
      </c>
    </row>
    <row r="1028" spans="2:18" x14ac:dyDescent="0.2">
      <c r="B1028" s="57" t="str">
        <f t="shared" si="207"/>
        <v/>
      </c>
      <c r="D1028" s="57" t="str">
        <f t="shared" si="208"/>
        <v/>
      </c>
      <c r="F1028" s="57" t="str">
        <f t="shared" si="209"/>
        <v/>
      </c>
      <c r="G1028" s="102" t="str">
        <f t="shared" si="213"/>
        <v/>
      </c>
      <c r="H1028" s="57">
        <f t="shared" si="210"/>
        <v>0</v>
      </c>
      <c r="I1028" s="102">
        <f>VLOOKUP(P1028&amp;"_"&amp;Q1028,活动关卡!$A$60:$Z$83,3+5*MonsterWaveCallRuleCfg!R1028,FALSE)</f>
        <v>20</v>
      </c>
      <c r="J1028" s="102">
        <f>VLOOKUP(P1028&amp;"_"&amp;Q1028,活动关卡!$A$60:$Z$83,4+5*MonsterWaveCallRuleCfg!R1028,FALSE)</f>
        <v>1</v>
      </c>
      <c r="K1028" s="102">
        <f t="shared" si="211"/>
        <v>1</v>
      </c>
      <c r="L1028" s="102" t="str">
        <f>IF(VLOOKUP(P1028&amp;"_"&amp;Q1028,活动关卡!$A$60:$Z$83,2+5*R1028,FALSE)="","","Monster_Season3_Challenge"&amp;P1028&amp;"_"&amp;Q1028&amp;"_"&amp;R1028)</f>
        <v>Monster_Season3_Challenge4_5_3</v>
      </c>
      <c r="M1028" s="57">
        <f t="shared" si="212"/>
        <v>1</v>
      </c>
      <c r="O1028" s="102">
        <f>VLOOKUP(P1028&amp;"_"&amp;Q1028,活动关卡!$A$4:$Z$27,6+5*MonsterWaveCallRuleCfg!R1028,FALSE)</f>
        <v>6</v>
      </c>
      <c r="P1028" s="110">
        <v>4</v>
      </c>
      <c r="Q1028" s="110">
        <f t="shared" si="214"/>
        <v>5</v>
      </c>
      <c r="R1028" s="110">
        <v>3</v>
      </c>
    </row>
    <row r="1029" spans="2:18" x14ac:dyDescent="0.2">
      <c r="B1029" s="57" t="str">
        <f t="shared" si="207"/>
        <v/>
      </c>
      <c r="D1029" s="57" t="str">
        <f t="shared" si="208"/>
        <v/>
      </c>
      <c r="F1029" s="57" t="str">
        <f t="shared" si="209"/>
        <v/>
      </c>
      <c r="G1029" s="102" t="str">
        <f t="shared" si="213"/>
        <v/>
      </c>
      <c r="H1029" s="57" t="str">
        <f t="shared" si="210"/>
        <v/>
      </c>
      <c r="I1029" s="102" t="str">
        <f>VLOOKUP(P1029&amp;"_"&amp;Q1029,活动关卡!$A$60:$Z$83,3+5*MonsterWaveCallRuleCfg!R1029,FALSE)</f>
        <v/>
      </c>
      <c r="J1029" s="102" t="str">
        <f>VLOOKUP(P1029&amp;"_"&amp;Q1029,活动关卡!$A$60:$Z$83,4+5*MonsterWaveCallRuleCfg!R1029,FALSE)</f>
        <v/>
      </c>
      <c r="K1029" s="102" t="str">
        <f t="shared" si="211"/>
        <v/>
      </c>
      <c r="L1029" s="102" t="str">
        <f>IF(VLOOKUP(P1029&amp;"_"&amp;Q1029,活动关卡!$A$60:$Z$83,2+5*R1029,FALSE)="","","Monster_Season3_Challenge"&amp;P1029&amp;"_"&amp;Q1029&amp;"_"&amp;R1029)</f>
        <v/>
      </c>
      <c r="M1029" s="57" t="str">
        <f t="shared" si="212"/>
        <v/>
      </c>
      <c r="O1029" s="102" t="str">
        <f>VLOOKUP(P1029&amp;"_"&amp;Q1029,活动关卡!$A$4:$Z$27,6+5*MonsterWaveCallRuleCfg!R1029,FALSE)</f>
        <v/>
      </c>
      <c r="P1029" s="110">
        <v>4</v>
      </c>
      <c r="Q1029" s="110">
        <f t="shared" si="214"/>
        <v>5</v>
      </c>
      <c r="R1029" s="110">
        <v>4</v>
      </c>
    </row>
    <row r="1030" spans="2:18" x14ac:dyDescent="0.2">
      <c r="B1030" s="57" t="str">
        <f t="shared" si="207"/>
        <v>MonsterWaveCallRule_Season3_Challenge5</v>
      </c>
      <c r="C1030" s="57">
        <v>1</v>
      </c>
      <c r="D1030" s="57" t="str">
        <f t="shared" si="208"/>
        <v>赛季3关卡5第1波</v>
      </c>
      <c r="F1030" s="57">
        <f t="shared" si="209"/>
        <v>0</v>
      </c>
      <c r="G1030" s="102">
        <f>IF(C1030="","",180)</f>
        <v>180</v>
      </c>
      <c r="H1030" s="57">
        <f t="shared" si="210"/>
        <v>0</v>
      </c>
      <c r="I1030" s="102">
        <f>VLOOKUP(P1030&amp;"_"&amp;Q1030,活动关卡!$A$60:$Z$83,3+5*MonsterWaveCallRuleCfg!R1030,FALSE)</f>
        <v>7</v>
      </c>
      <c r="J1030" s="102">
        <f>VLOOKUP(P1030&amp;"_"&amp;Q1030,活动关卡!$A$60:$Z$83,4+5*MonsterWaveCallRuleCfg!R1030,FALSE)</f>
        <v>1.5</v>
      </c>
      <c r="K1030" s="102">
        <f t="shared" si="211"/>
        <v>1</v>
      </c>
      <c r="L1030" s="102" t="str">
        <f>IF(VLOOKUP(P1030&amp;"_"&amp;Q1030,活动关卡!$A$60:$Z$83,2+5*R1030,FALSE)="","","Monster_Season3_Challenge"&amp;P1030&amp;"_"&amp;Q1030&amp;"_"&amp;R1030)</f>
        <v>Monster_Season3_Challenge5_1_1</v>
      </c>
      <c r="M1030" s="57">
        <f t="shared" si="212"/>
        <v>1</v>
      </c>
      <c r="O1030" s="102">
        <f>VLOOKUP(P1030&amp;"_"&amp;Q1030,活动关卡!$A$4:$Z$27,6+5*MonsterWaveCallRuleCfg!R1030,FALSE)</f>
        <v>25</v>
      </c>
      <c r="P1030" s="110">
        <v>5</v>
      </c>
      <c r="Q1030" s="110">
        <f t="shared" si="214"/>
        <v>1</v>
      </c>
      <c r="R1030" s="110">
        <v>1</v>
      </c>
    </row>
    <row r="1031" spans="2:18" x14ac:dyDescent="0.2">
      <c r="B1031" s="57" t="str">
        <f t="shared" si="207"/>
        <v/>
      </c>
      <c r="D1031" s="57" t="str">
        <f t="shared" si="208"/>
        <v/>
      </c>
      <c r="F1031" s="57" t="str">
        <f t="shared" si="209"/>
        <v/>
      </c>
      <c r="G1031" s="102" t="str">
        <f t="shared" ref="G1031:G1061" si="215">IF(C1031="","",180)</f>
        <v/>
      </c>
      <c r="H1031" s="57">
        <f t="shared" si="210"/>
        <v>0</v>
      </c>
      <c r="I1031" s="102">
        <f>VLOOKUP(P1031&amp;"_"&amp;Q1031,活动关卡!$A$60:$Z$83,3+5*MonsterWaveCallRuleCfg!R1031,FALSE)</f>
        <v>5</v>
      </c>
      <c r="J1031" s="102">
        <f>VLOOKUP(P1031&amp;"_"&amp;Q1031,活动关卡!$A$60:$Z$83,4+5*MonsterWaveCallRuleCfg!R1031,FALSE)</f>
        <v>2</v>
      </c>
      <c r="K1031" s="102">
        <f t="shared" si="211"/>
        <v>1</v>
      </c>
      <c r="L1031" s="102" t="str">
        <f>IF(VLOOKUP(P1031&amp;"_"&amp;Q1031,活动关卡!$A$60:$Z$83,2+5*R1031,FALSE)="","","Monster_Season3_Challenge"&amp;P1031&amp;"_"&amp;Q1031&amp;"_"&amp;R1031)</f>
        <v>Monster_Season3_Challenge5_1_2</v>
      </c>
      <c r="M1031" s="57">
        <f t="shared" si="212"/>
        <v>1</v>
      </c>
      <c r="O1031" s="102">
        <f>VLOOKUP(P1031&amp;"_"&amp;Q1031,活动关卡!$A$4:$Z$27,6+5*MonsterWaveCallRuleCfg!R1031,FALSE)</f>
        <v>25</v>
      </c>
      <c r="P1031" s="110">
        <v>5</v>
      </c>
      <c r="Q1031" s="110">
        <f t="shared" si="214"/>
        <v>1</v>
      </c>
      <c r="R1031" s="110">
        <v>2</v>
      </c>
    </row>
    <row r="1032" spans="2:18" x14ac:dyDescent="0.2">
      <c r="B1032" s="57" t="str">
        <f t="shared" si="207"/>
        <v/>
      </c>
      <c r="D1032" s="57" t="str">
        <f t="shared" si="208"/>
        <v/>
      </c>
      <c r="F1032" s="57" t="str">
        <f t="shared" si="209"/>
        <v/>
      </c>
      <c r="G1032" s="102" t="str">
        <f t="shared" si="215"/>
        <v/>
      </c>
      <c r="H1032" s="57" t="str">
        <f t="shared" si="210"/>
        <v/>
      </c>
      <c r="I1032" s="102" t="str">
        <f>VLOOKUP(P1032&amp;"_"&amp;Q1032,活动关卡!$A$60:$Z$83,3+5*MonsterWaveCallRuleCfg!R1032,FALSE)</f>
        <v/>
      </c>
      <c r="J1032" s="102" t="str">
        <f>VLOOKUP(P1032&amp;"_"&amp;Q1032,活动关卡!$A$60:$Z$83,4+5*MonsterWaveCallRuleCfg!R1032,FALSE)</f>
        <v/>
      </c>
      <c r="K1032" s="102" t="str">
        <f t="shared" si="211"/>
        <v/>
      </c>
      <c r="L1032" s="102" t="str">
        <f>IF(VLOOKUP(P1032&amp;"_"&amp;Q1032,活动关卡!$A$60:$Z$83,2+5*R1032,FALSE)="","","Monster_Season3_Challenge"&amp;P1032&amp;"_"&amp;Q1032&amp;"_"&amp;R1032)</f>
        <v/>
      </c>
      <c r="M1032" s="57" t="str">
        <f t="shared" si="212"/>
        <v/>
      </c>
      <c r="O1032" s="102" t="str">
        <f>VLOOKUP(P1032&amp;"_"&amp;Q1032,活动关卡!$A$4:$Z$27,6+5*MonsterWaveCallRuleCfg!R1032,FALSE)</f>
        <v/>
      </c>
      <c r="P1032" s="110">
        <v>5</v>
      </c>
      <c r="Q1032" s="110">
        <f t="shared" si="214"/>
        <v>1</v>
      </c>
      <c r="R1032" s="110">
        <v>3</v>
      </c>
    </row>
    <row r="1033" spans="2:18" x14ac:dyDescent="0.2">
      <c r="B1033" s="57" t="str">
        <f t="shared" si="207"/>
        <v/>
      </c>
      <c r="D1033" s="57" t="str">
        <f t="shared" si="208"/>
        <v/>
      </c>
      <c r="F1033" s="57" t="str">
        <f t="shared" si="209"/>
        <v/>
      </c>
      <c r="G1033" s="102" t="str">
        <f t="shared" si="215"/>
        <v/>
      </c>
      <c r="H1033" s="57" t="str">
        <f t="shared" si="210"/>
        <v/>
      </c>
      <c r="I1033" s="102" t="str">
        <f>VLOOKUP(P1033&amp;"_"&amp;Q1033,活动关卡!$A$60:$Z$83,3+5*MonsterWaveCallRuleCfg!R1033,FALSE)</f>
        <v/>
      </c>
      <c r="J1033" s="102" t="str">
        <f>VLOOKUP(P1033&amp;"_"&amp;Q1033,活动关卡!$A$60:$Z$83,4+5*MonsterWaveCallRuleCfg!R1033,FALSE)</f>
        <v/>
      </c>
      <c r="K1033" s="102" t="str">
        <f t="shared" si="211"/>
        <v/>
      </c>
      <c r="L1033" s="102" t="str">
        <f>IF(VLOOKUP(P1033&amp;"_"&amp;Q1033,活动关卡!$A$60:$Z$83,2+5*R1033,FALSE)="","","Monster_Season3_Challenge"&amp;P1033&amp;"_"&amp;Q1033&amp;"_"&amp;R1033)</f>
        <v/>
      </c>
      <c r="M1033" s="57" t="str">
        <f t="shared" si="212"/>
        <v/>
      </c>
      <c r="O1033" s="102" t="str">
        <f>VLOOKUP(P1033&amp;"_"&amp;Q1033,活动关卡!$A$4:$Z$27,6+5*MonsterWaveCallRuleCfg!R1033,FALSE)</f>
        <v/>
      </c>
      <c r="P1033" s="110">
        <v>5</v>
      </c>
      <c r="Q1033" s="110">
        <f t="shared" si="214"/>
        <v>1</v>
      </c>
      <c r="R1033" s="110">
        <v>4</v>
      </c>
    </row>
    <row r="1034" spans="2:18" x14ac:dyDescent="0.2">
      <c r="B1034" s="57" t="str">
        <f t="shared" si="207"/>
        <v>MonsterWaveCallRule_Season3_Challenge5</v>
      </c>
      <c r="C1034" s="57">
        <v>2</v>
      </c>
      <c r="D1034" s="57" t="str">
        <f t="shared" si="208"/>
        <v>赛季3关卡5第2波</v>
      </c>
      <c r="F1034" s="57">
        <f t="shared" si="209"/>
        <v>0</v>
      </c>
      <c r="G1034" s="102">
        <f t="shared" si="215"/>
        <v>180</v>
      </c>
      <c r="H1034" s="57">
        <f t="shared" si="210"/>
        <v>0</v>
      </c>
      <c r="I1034" s="102">
        <f>VLOOKUP(P1034&amp;"_"&amp;Q1034,活动关卡!$A$60:$Z$83,3+5*MonsterWaveCallRuleCfg!R1034,FALSE)</f>
        <v>8</v>
      </c>
      <c r="J1034" s="102">
        <f>VLOOKUP(P1034&amp;"_"&amp;Q1034,活动关卡!$A$60:$Z$83,4+5*MonsterWaveCallRuleCfg!R1034,FALSE)</f>
        <v>1.5</v>
      </c>
      <c r="K1034" s="102">
        <f t="shared" si="211"/>
        <v>1</v>
      </c>
      <c r="L1034" s="102" t="str">
        <f>IF(VLOOKUP(P1034&amp;"_"&amp;Q1034,活动关卡!$A$60:$Z$83,2+5*R1034,FALSE)="","","Monster_Season3_Challenge"&amp;P1034&amp;"_"&amp;Q1034&amp;"_"&amp;R1034)</f>
        <v>Monster_Season3_Challenge5_2_1</v>
      </c>
      <c r="M1034" s="57">
        <f t="shared" si="212"/>
        <v>1</v>
      </c>
      <c r="O1034" s="102">
        <f>VLOOKUP(P1034&amp;"_"&amp;Q1034,活动关卡!$A$4:$Z$27,6+5*MonsterWaveCallRuleCfg!R1034,FALSE)</f>
        <v>15</v>
      </c>
      <c r="P1034" s="110">
        <v>5</v>
      </c>
      <c r="Q1034" s="110">
        <f t="shared" si="214"/>
        <v>2</v>
      </c>
      <c r="R1034" s="110">
        <v>1</v>
      </c>
    </row>
    <row r="1035" spans="2:18" x14ac:dyDescent="0.2">
      <c r="B1035" s="57" t="str">
        <f t="shared" si="207"/>
        <v/>
      </c>
      <c r="D1035" s="57" t="str">
        <f t="shared" si="208"/>
        <v/>
      </c>
      <c r="F1035" s="57" t="str">
        <f t="shared" si="209"/>
        <v/>
      </c>
      <c r="G1035" s="102" t="str">
        <f t="shared" si="215"/>
        <v/>
      </c>
      <c r="H1035" s="57">
        <f t="shared" si="210"/>
        <v>0</v>
      </c>
      <c r="I1035" s="102">
        <f>VLOOKUP(P1035&amp;"_"&amp;Q1035,活动关卡!$A$60:$Z$83,3+5*MonsterWaveCallRuleCfg!R1035,FALSE)</f>
        <v>25</v>
      </c>
      <c r="J1035" s="102">
        <f>VLOOKUP(P1035&amp;"_"&amp;Q1035,活动关卡!$A$60:$Z$83,4+5*MonsterWaveCallRuleCfg!R1035,FALSE)</f>
        <v>0.5</v>
      </c>
      <c r="K1035" s="102">
        <f t="shared" si="211"/>
        <v>1</v>
      </c>
      <c r="L1035" s="102" t="str">
        <f>IF(VLOOKUP(P1035&amp;"_"&amp;Q1035,活动关卡!$A$60:$Z$83,2+5*R1035,FALSE)="","","Monster_Season3_Challenge"&amp;P1035&amp;"_"&amp;Q1035&amp;"_"&amp;R1035)</f>
        <v>Monster_Season3_Challenge5_2_2</v>
      </c>
      <c r="M1035" s="57">
        <f t="shared" si="212"/>
        <v>1</v>
      </c>
      <c r="O1035" s="102">
        <f>VLOOKUP(P1035&amp;"_"&amp;Q1035,活动关卡!$A$4:$Z$27,6+5*MonsterWaveCallRuleCfg!R1035,FALSE)</f>
        <v>4</v>
      </c>
      <c r="P1035" s="110">
        <v>5</v>
      </c>
      <c r="Q1035" s="110">
        <f t="shared" si="214"/>
        <v>2</v>
      </c>
      <c r="R1035" s="110">
        <v>2</v>
      </c>
    </row>
    <row r="1036" spans="2:18" x14ac:dyDescent="0.2">
      <c r="B1036" s="57" t="str">
        <f t="shared" si="207"/>
        <v/>
      </c>
      <c r="D1036" s="57" t="str">
        <f t="shared" si="208"/>
        <v/>
      </c>
      <c r="F1036" s="57" t="str">
        <f t="shared" si="209"/>
        <v/>
      </c>
      <c r="G1036" s="102" t="str">
        <f t="shared" si="215"/>
        <v/>
      </c>
      <c r="H1036" s="57">
        <f t="shared" si="210"/>
        <v>0</v>
      </c>
      <c r="I1036" s="102">
        <f>VLOOKUP(P1036&amp;"_"&amp;Q1036,活动关卡!$A$60:$Z$83,3+5*MonsterWaveCallRuleCfg!R1036,FALSE)</f>
        <v>6</v>
      </c>
      <c r="J1036" s="102">
        <f>VLOOKUP(P1036&amp;"_"&amp;Q1036,活动关卡!$A$60:$Z$83,4+5*MonsterWaveCallRuleCfg!R1036,FALSE)</f>
        <v>2</v>
      </c>
      <c r="K1036" s="102">
        <f t="shared" si="211"/>
        <v>1</v>
      </c>
      <c r="L1036" s="102" t="str">
        <f>IF(VLOOKUP(P1036&amp;"_"&amp;Q1036,活动关卡!$A$60:$Z$83,2+5*R1036,FALSE)="","","Monster_Season3_Challenge"&amp;P1036&amp;"_"&amp;Q1036&amp;"_"&amp;R1036)</f>
        <v>Monster_Season3_Challenge5_2_3</v>
      </c>
      <c r="M1036" s="57">
        <f t="shared" si="212"/>
        <v>1</v>
      </c>
      <c r="O1036" s="102">
        <f>VLOOKUP(P1036&amp;"_"&amp;Q1036,活动关卡!$A$4:$Z$27,6+5*MonsterWaveCallRuleCfg!R1036,FALSE)</f>
        <v>15</v>
      </c>
      <c r="P1036" s="110">
        <v>5</v>
      </c>
      <c r="Q1036" s="110">
        <f t="shared" si="214"/>
        <v>2</v>
      </c>
      <c r="R1036" s="110">
        <v>3</v>
      </c>
    </row>
    <row r="1037" spans="2:18" x14ac:dyDescent="0.2">
      <c r="B1037" s="57" t="str">
        <f t="shared" si="207"/>
        <v/>
      </c>
      <c r="D1037" s="57" t="str">
        <f t="shared" si="208"/>
        <v/>
      </c>
      <c r="F1037" s="57" t="str">
        <f t="shared" si="209"/>
        <v/>
      </c>
      <c r="G1037" s="102" t="str">
        <f t="shared" si="215"/>
        <v/>
      </c>
      <c r="H1037" s="57" t="str">
        <f t="shared" si="210"/>
        <v/>
      </c>
      <c r="I1037" s="102" t="str">
        <f>VLOOKUP(P1037&amp;"_"&amp;Q1037,活动关卡!$A$60:$Z$83,3+5*MonsterWaveCallRuleCfg!R1037,FALSE)</f>
        <v/>
      </c>
      <c r="J1037" s="102" t="str">
        <f>VLOOKUP(P1037&amp;"_"&amp;Q1037,活动关卡!$A$60:$Z$83,4+5*MonsterWaveCallRuleCfg!R1037,FALSE)</f>
        <v/>
      </c>
      <c r="K1037" s="102" t="str">
        <f t="shared" si="211"/>
        <v/>
      </c>
      <c r="L1037" s="102" t="str">
        <f>IF(VLOOKUP(P1037&amp;"_"&amp;Q1037,活动关卡!$A$60:$Z$83,2+5*R1037,FALSE)="","","Monster_Season3_Challenge"&amp;P1037&amp;"_"&amp;Q1037&amp;"_"&amp;R1037)</f>
        <v/>
      </c>
      <c r="M1037" s="57" t="str">
        <f t="shared" si="212"/>
        <v/>
      </c>
      <c r="O1037" s="102" t="str">
        <f>VLOOKUP(P1037&amp;"_"&amp;Q1037,活动关卡!$A$4:$Z$27,6+5*MonsterWaveCallRuleCfg!R1037,FALSE)</f>
        <v/>
      </c>
      <c r="P1037" s="110">
        <v>5</v>
      </c>
      <c r="Q1037" s="110">
        <f t="shared" si="214"/>
        <v>2</v>
      </c>
      <c r="R1037" s="110">
        <v>4</v>
      </c>
    </row>
    <row r="1038" spans="2:18" x14ac:dyDescent="0.2">
      <c r="B1038" s="57" t="str">
        <f t="shared" si="207"/>
        <v>MonsterWaveCallRule_Season3_Challenge5</v>
      </c>
      <c r="C1038" s="57">
        <v>3</v>
      </c>
      <c r="D1038" s="57" t="str">
        <f t="shared" si="208"/>
        <v>赛季3关卡5第3波</v>
      </c>
      <c r="F1038" s="57">
        <f t="shared" si="209"/>
        <v>0</v>
      </c>
      <c r="G1038" s="102">
        <f t="shared" si="215"/>
        <v>180</v>
      </c>
      <c r="H1038" s="57">
        <f t="shared" si="210"/>
        <v>0</v>
      </c>
      <c r="I1038" s="102">
        <f>VLOOKUP(P1038&amp;"_"&amp;Q1038,活动关卡!$A$60:$Z$83,3+5*MonsterWaveCallRuleCfg!R1038,FALSE)</f>
        <v>10</v>
      </c>
      <c r="J1038" s="102">
        <f>VLOOKUP(P1038&amp;"_"&amp;Q1038,活动关卡!$A$60:$Z$83,4+5*MonsterWaveCallRuleCfg!R1038,FALSE)</f>
        <v>1.5</v>
      </c>
      <c r="K1038" s="102">
        <f t="shared" si="211"/>
        <v>1</v>
      </c>
      <c r="L1038" s="102" t="str">
        <f>IF(VLOOKUP(P1038&amp;"_"&amp;Q1038,活动关卡!$A$60:$Z$83,2+5*R1038,FALSE)="","","Monster_Season3_Challenge"&amp;P1038&amp;"_"&amp;Q1038&amp;"_"&amp;R1038)</f>
        <v>Monster_Season3_Challenge5_3_1</v>
      </c>
      <c r="M1038" s="57">
        <f t="shared" si="212"/>
        <v>1</v>
      </c>
      <c r="O1038" s="102">
        <f>VLOOKUP(P1038&amp;"_"&amp;Q1038,活动关卡!$A$4:$Z$27,6+5*MonsterWaveCallRuleCfg!R1038,FALSE)</f>
        <v>7</v>
      </c>
      <c r="P1038" s="110">
        <v>5</v>
      </c>
      <c r="Q1038" s="110">
        <f t="shared" si="214"/>
        <v>3</v>
      </c>
      <c r="R1038" s="110">
        <v>1</v>
      </c>
    </row>
    <row r="1039" spans="2:18" x14ac:dyDescent="0.2">
      <c r="B1039" s="57" t="str">
        <f t="shared" si="207"/>
        <v/>
      </c>
      <c r="D1039" s="57" t="str">
        <f t="shared" si="208"/>
        <v/>
      </c>
      <c r="F1039" s="57" t="str">
        <f t="shared" si="209"/>
        <v/>
      </c>
      <c r="G1039" s="102" t="str">
        <f t="shared" si="215"/>
        <v/>
      </c>
      <c r="H1039" s="57">
        <f t="shared" si="210"/>
        <v>0</v>
      </c>
      <c r="I1039" s="102">
        <f>VLOOKUP(P1039&amp;"_"&amp;Q1039,活动关卡!$A$60:$Z$83,3+5*MonsterWaveCallRuleCfg!R1039,FALSE)</f>
        <v>38</v>
      </c>
      <c r="J1039" s="102">
        <f>VLOOKUP(P1039&amp;"_"&amp;Q1039,活动关卡!$A$60:$Z$83,4+5*MonsterWaveCallRuleCfg!R1039,FALSE)</f>
        <v>0.4</v>
      </c>
      <c r="K1039" s="102">
        <f t="shared" si="211"/>
        <v>1</v>
      </c>
      <c r="L1039" s="102" t="str">
        <f>IF(VLOOKUP(P1039&amp;"_"&amp;Q1039,活动关卡!$A$60:$Z$83,2+5*R1039,FALSE)="","","Monster_Season3_Challenge"&amp;P1039&amp;"_"&amp;Q1039&amp;"_"&amp;R1039)</f>
        <v>Monster_Season3_Challenge5_3_2</v>
      </c>
      <c r="M1039" s="57">
        <f t="shared" si="212"/>
        <v>1</v>
      </c>
      <c r="O1039" s="102">
        <f>VLOOKUP(P1039&amp;"_"&amp;Q1039,活动关卡!$A$4:$Z$27,6+5*MonsterWaveCallRuleCfg!R1039,FALSE)</f>
        <v>4</v>
      </c>
      <c r="P1039" s="110">
        <v>5</v>
      </c>
      <c r="Q1039" s="110">
        <f t="shared" si="214"/>
        <v>3</v>
      </c>
      <c r="R1039" s="110">
        <v>2</v>
      </c>
    </row>
    <row r="1040" spans="2:18" x14ac:dyDescent="0.2">
      <c r="B1040" s="57" t="str">
        <f t="shared" si="207"/>
        <v/>
      </c>
      <c r="D1040" s="57" t="str">
        <f t="shared" si="208"/>
        <v/>
      </c>
      <c r="F1040" s="57" t="str">
        <f t="shared" si="209"/>
        <v/>
      </c>
      <c r="G1040" s="102" t="str">
        <f t="shared" si="215"/>
        <v/>
      </c>
      <c r="H1040" s="57">
        <f t="shared" si="210"/>
        <v>0</v>
      </c>
      <c r="I1040" s="102">
        <f>VLOOKUP(P1040&amp;"_"&amp;Q1040,活动关卡!$A$60:$Z$83,3+5*MonsterWaveCallRuleCfg!R1040,FALSE)</f>
        <v>10</v>
      </c>
      <c r="J1040" s="102">
        <f>VLOOKUP(P1040&amp;"_"&amp;Q1040,活动关卡!$A$60:$Z$83,4+5*MonsterWaveCallRuleCfg!R1040,FALSE)</f>
        <v>1.5</v>
      </c>
      <c r="K1040" s="102">
        <f t="shared" si="211"/>
        <v>1</v>
      </c>
      <c r="L1040" s="102" t="str">
        <f>IF(VLOOKUP(P1040&amp;"_"&amp;Q1040,活动关卡!$A$60:$Z$83,2+5*R1040,FALSE)="","","Monster_Season3_Challenge"&amp;P1040&amp;"_"&amp;Q1040&amp;"_"&amp;R1040)</f>
        <v>Monster_Season3_Challenge5_3_3</v>
      </c>
      <c r="M1040" s="57">
        <f t="shared" si="212"/>
        <v>1</v>
      </c>
      <c r="O1040" s="102">
        <f>VLOOKUP(P1040&amp;"_"&amp;Q1040,活动关卡!$A$4:$Z$27,6+5*MonsterWaveCallRuleCfg!R1040,FALSE)</f>
        <v>4</v>
      </c>
      <c r="P1040" s="110">
        <v>5</v>
      </c>
      <c r="Q1040" s="110">
        <f t="shared" si="214"/>
        <v>3</v>
      </c>
      <c r="R1040" s="110">
        <v>3</v>
      </c>
    </row>
    <row r="1041" spans="2:18" x14ac:dyDescent="0.2">
      <c r="B1041" s="57" t="str">
        <f t="shared" si="207"/>
        <v/>
      </c>
      <c r="D1041" s="57" t="str">
        <f t="shared" si="208"/>
        <v/>
      </c>
      <c r="F1041" s="57" t="str">
        <f t="shared" si="209"/>
        <v/>
      </c>
      <c r="G1041" s="102" t="str">
        <f t="shared" si="215"/>
        <v/>
      </c>
      <c r="H1041" s="57">
        <f t="shared" si="210"/>
        <v>0</v>
      </c>
      <c r="I1041" s="102">
        <f>VLOOKUP(P1041&amp;"_"&amp;Q1041,活动关卡!$A$60:$Z$83,3+5*MonsterWaveCallRuleCfg!R1041,FALSE)</f>
        <v>8</v>
      </c>
      <c r="J1041" s="102">
        <f>VLOOKUP(P1041&amp;"_"&amp;Q1041,活动关卡!$A$60:$Z$83,4+5*MonsterWaveCallRuleCfg!R1041,FALSE)</f>
        <v>2</v>
      </c>
      <c r="K1041" s="102">
        <f t="shared" si="211"/>
        <v>1</v>
      </c>
      <c r="L1041" s="102" t="str">
        <f>IF(VLOOKUP(P1041&amp;"_"&amp;Q1041,活动关卡!$A$60:$Z$83,2+5*R1041,FALSE)="","","Monster_Season3_Challenge"&amp;P1041&amp;"_"&amp;Q1041&amp;"_"&amp;R1041)</f>
        <v>Monster_Season3_Challenge5_3_4</v>
      </c>
      <c r="M1041" s="57">
        <f t="shared" si="212"/>
        <v>1</v>
      </c>
      <c r="O1041" s="102">
        <f>VLOOKUP(P1041&amp;"_"&amp;Q1041,活动关卡!$A$4:$Z$27,6+5*MonsterWaveCallRuleCfg!R1041,FALSE)</f>
        <v>7</v>
      </c>
      <c r="P1041" s="110">
        <v>5</v>
      </c>
      <c r="Q1041" s="110">
        <f t="shared" si="214"/>
        <v>3</v>
      </c>
      <c r="R1041" s="110">
        <v>4</v>
      </c>
    </row>
    <row r="1042" spans="2:18" x14ac:dyDescent="0.2">
      <c r="B1042" s="57" t="str">
        <f t="shared" si="207"/>
        <v>MonsterWaveCallRule_Season3_Challenge5</v>
      </c>
      <c r="C1042" s="57">
        <v>4</v>
      </c>
      <c r="D1042" s="57" t="str">
        <f t="shared" si="208"/>
        <v>赛季3关卡5第4波</v>
      </c>
      <c r="F1042" s="57">
        <f t="shared" si="209"/>
        <v>0</v>
      </c>
      <c r="G1042" s="102">
        <f t="shared" si="215"/>
        <v>180</v>
      </c>
      <c r="H1042" s="57">
        <f t="shared" si="210"/>
        <v>0</v>
      </c>
      <c r="I1042" s="102">
        <f>VLOOKUP(P1042&amp;"_"&amp;Q1042,活动关卡!$A$60:$Z$83,3+5*MonsterWaveCallRuleCfg!R1042,FALSE)</f>
        <v>12</v>
      </c>
      <c r="J1042" s="102">
        <f>VLOOKUP(P1042&amp;"_"&amp;Q1042,活动关卡!$A$60:$Z$83,4+5*MonsterWaveCallRuleCfg!R1042,FALSE)</f>
        <v>1.5</v>
      </c>
      <c r="K1042" s="102">
        <f t="shared" si="211"/>
        <v>1</v>
      </c>
      <c r="L1042" s="102" t="str">
        <f>IF(VLOOKUP(P1042&amp;"_"&amp;Q1042,活动关卡!$A$60:$Z$83,2+5*R1042,FALSE)="","","Monster_Season3_Challenge"&amp;P1042&amp;"_"&amp;Q1042&amp;"_"&amp;R1042)</f>
        <v>Monster_Season3_Challenge5_4_1</v>
      </c>
      <c r="M1042" s="57">
        <f t="shared" si="212"/>
        <v>1</v>
      </c>
      <c r="O1042" s="102">
        <f>VLOOKUP(P1042&amp;"_"&amp;Q1042,活动关卡!$A$4:$Z$27,6+5*MonsterWaveCallRuleCfg!R1042,FALSE)</f>
        <v>8</v>
      </c>
      <c r="P1042" s="110">
        <v>5</v>
      </c>
      <c r="Q1042" s="110">
        <f t="shared" si="214"/>
        <v>4</v>
      </c>
      <c r="R1042" s="110">
        <v>1</v>
      </c>
    </row>
    <row r="1043" spans="2:18" x14ac:dyDescent="0.2">
      <c r="B1043" s="57" t="str">
        <f t="shared" si="207"/>
        <v/>
      </c>
      <c r="D1043" s="57" t="str">
        <f t="shared" si="208"/>
        <v/>
      </c>
      <c r="F1043" s="57" t="str">
        <f t="shared" si="209"/>
        <v/>
      </c>
      <c r="G1043" s="102" t="str">
        <f t="shared" si="215"/>
        <v/>
      </c>
      <c r="H1043" s="57">
        <f t="shared" si="210"/>
        <v>0</v>
      </c>
      <c r="I1043" s="102">
        <f>VLOOKUP(P1043&amp;"_"&amp;Q1043,活动关卡!$A$60:$Z$83,3+5*MonsterWaveCallRuleCfg!R1043,FALSE)</f>
        <v>35</v>
      </c>
      <c r="J1043" s="102">
        <f>VLOOKUP(P1043&amp;"_"&amp;Q1043,活动关卡!$A$60:$Z$83,4+5*MonsterWaveCallRuleCfg!R1043,FALSE)</f>
        <v>0.5</v>
      </c>
      <c r="K1043" s="102">
        <f t="shared" si="211"/>
        <v>1</v>
      </c>
      <c r="L1043" s="102" t="str">
        <f>IF(VLOOKUP(P1043&amp;"_"&amp;Q1043,活动关卡!$A$60:$Z$83,2+5*R1043,FALSE)="","","Monster_Season3_Challenge"&amp;P1043&amp;"_"&amp;Q1043&amp;"_"&amp;R1043)</f>
        <v>Monster_Season3_Challenge5_4_2</v>
      </c>
      <c r="M1043" s="57">
        <f t="shared" si="212"/>
        <v>1</v>
      </c>
      <c r="O1043" s="102">
        <f>VLOOKUP(P1043&amp;"_"&amp;Q1043,活动关卡!$A$4:$Z$27,6+5*MonsterWaveCallRuleCfg!R1043,FALSE)</f>
        <v>4</v>
      </c>
      <c r="P1043" s="110">
        <v>5</v>
      </c>
      <c r="Q1043" s="110">
        <f t="shared" si="214"/>
        <v>4</v>
      </c>
      <c r="R1043" s="110">
        <v>2</v>
      </c>
    </row>
    <row r="1044" spans="2:18" x14ac:dyDescent="0.2">
      <c r="B1044" s="57" t="str">
        <f t="shared" si="207"/>
        <v/>
      </c>
      <c r="D1044" s="57" t="str">
        <f t="shared" si="208"/>
        <v/>
      </c>
      <c r="F1044" s="57" t="str">
        <f t="shared" si="209"/>
        <v/>
      </c>
      <c r="G1044" s="102" t="str">
        <f t="shared" si="215"/>
        <v/>
      </c>
      <c r="H1044" s="57">
        <f t="shared" si="210"/>
        <v>0</v>
      </c>
      <c r="I1044" s="102">
        <f>VLOOKUP(P1044&amp;"_"&amp;Q1044,活动关卡!$A$60:$Z$83,3+5*MonsterWaveCallRuleCfg!R1044,FALSE)</f>
        <v>9</v>
      </c>
      <c r="J1044" s="102">
        <f>VLOOKUP(P1044&amp;"_"&amp;Q1044,活动关卡!$A$60:$Z$83,4+5*MonsterWaveCallRuleCfg!R1044,FALSE)</f>
        <v>2</v>
      </c>
      <c r="K1044" s="102">
        <f t="shared" si="211"/>
        <v>1</v>
      </c>
      <c r="L1044" s="102" t="str">
        <f>IF(VLOOKUP(P1044&amp;"_"&amp;Q1044,活动关卡!$A$60:$Z$83,2+5*R1044,FALSE)="","","Monster_Season3_Challenge"&amp;P1044&amp;"_"&amp;Q1044&amp;"_"&amp;R1044)</f>
        <v>Monster_Season3_Challenge5_4_3</v>
      </c>
      <c r="M1044" s="57">
        <f t="shared" si="212"/>
        <v>1</v>
      </c>
      <c r="O1044" s="102">
        <f>VLOOKUP(P1044&amp;"_"&amp;Q1044,活动关卡!$A$4:$Z$27,6+5*MonsterWaveCallRuleCfg!R1044,FALSE)</f>
        <v>8</v>
      </c>
      <c r="P1044" s="110">
        <v>5</v>
      </c>
      <c r="Q1044" s="110">
        <f t="shared" si="214"/>
        <v>4</v>
      </c>
      <c r="R1044" s="110">
        <v>3</v>
      </c>
    </row>
    <row r="1045" spans="2:18" x14ac:dyDescent="0.2">
      <c r="B1045" s="57" t="str">
        <f t="shared" si="207"/>
        <v/>
      </c>
      <c r="D1045" s="57" t="str">
        <f t="shared" si="208"/>
        <v/>
      </c>
      <c r="F1045" s="57" t="str">
        <f t="shared" si="209"/>
        <v/>
      </c>
      <c r="G1045" s="102" t="str">
        <f t="shared" si="215"/>
        <v/>
      </c>
      <c r="H1045" s="57" t="str">
        <f t="shared" si="210"/>
        <v/>
      </c>
      <c r="I1045" s="102" t="str">
        <f>VLOOKUP(P1045&amp;"_"&amp;Q1045,活动关卡!$A$60:$Z$83,3+5*MonsterWaveCallRuleCfg!R1045,FALSE)</f>
        <v/>
      </c>
      <c r="J1045" s="102" t="str">
        <f>VLOOKUP(P1045&amp;"_"&amp;Q1045,活动关卡!$A$60:$Z$83,4+5*MonsterWaveCallRuleCfg!R1045,FALSE)</f>
        <v/>
      </c>
      <c r="K1045" s="102" t="str">
        <f t="shared" si="211"/>
        <v/>
      </c>
      <c r="L1045" s="102" t="str">
        <f>IF(VLOOKUP(P1045&amp;"_"&amp;Q1045,活动关卡!$A$60:$Z$83,2+5*R1045,FALSE)="","","Monster_Season3_Challenge"&amp;P1045&amp;"_"&amp;Q1045&amp;"_"&amp;R1045)</f>
        <v/>
      </c>
      <c r="M1045" s="57" t="str">
        <f t="shared" si="212"/>
        <v/>
      </c>
      <c r="O1045" s="102" t="str">
        <f>VLOOKUP(P1045&amp;"_"&amp;Q1045,活动关卡!$A$4:$Z$27,6+5*MonsterWaveCallRuleCfg!R1045,FALSE)</f>
        <v/>
      </c>
      <c r="P1045" s="110">
        <v>5</v>
      </c>
      <c r="Q1045" s="110">
        <f t="shared" si="214"/>
        <v>4</v>
      </c>
      <c r="R1045" s="110">
        <v>4</v>
      </c>
    </row>
    <row r="1046" spans="2:18" x14ac:dyDescent="0.2">
      <c r="B1046" s="57" t="str">
        <f t="shared" ref="B1046:B1058" si="216">IF(C1046="","","MonsterWaveCallRule_Season3_Challenge"&amp;P1046)</f>
        <v>MonsterWaveCallRule_Season3_Challenge5</v>
      </c>
      <c r="C1046" s="57">
        <v>5</v>
      </c>
      <c r="D1046" s="57" t="str">
        <f t="shared" ref="D1046:D1058" si="217">IF(C1046="","","赛季3关卡"&amp;P1046&amp;"第"&amp;C1046&amp;"波")</f>
        <v>赛季3关卡5第5波</v>
      </c>
      <c r="F1046" s="57">
        <f t="shared" si="209"/>
        <v>0</v>
      </c>
      <c r="G1046" s="102">
        <f t="shared" si="215"/>
        <v>180</v>
      </c>
      <c r="H1046" s="57">
        <f t="shared" si="210"/>
        <v>0</v>
      </c>
      <c r="I1046" s="102">
        <f>VLOOKUP(P1046&amp;"_"&amp;Q1046,活动关卡!$A$60:$Z$83,3+5*MonsterWaveCallRuleCfg!R1046,FALSE)</f>
        <v>13</v>
      </c>
      <c r="J1046" s="102">
        <f>VLOOKUP(P1046&amp;"_"&amp;Q1046,活动关卡!$A$60:$Z$83,4+5*MonsterWaveCallRuleCfg!R1046,FALSE)</f>
        <v>1.5</v>
      </c>
      <c r="K1046" s="102">
        <f t="shared" si="211"/>
        <v>1</v>
      </c>
      <c r="L1046" s="102" t="str">
        <f>IF(VLOOKUP(P1046&amp;"_"&amp;Q1046,活动关卡!$A$60:$Z$83,2+5*R1046,FALSE)="","","Monster_Season3_Challenge"&amp;P1046&amp;"_"&amp;Q1046&amp;"_"&amp;R1046)</f>
        <v>Monster_Season3_Challenge5_5_1</v>
      </c>
      <c r="M1046" s="57">
        <f t="shared" si="212"/>
        <v>1</v>
      </c>
      <c r="O1046" s="102">
        <f>VLOOKUP(P1046&amp;"_"&amp;Q1046,活动关卡!$A$4:$Z$27,6+5*MonsterWaveCallRuleCfg!R1046,FALSE)</f>
        <v>5</v>
      </c>
      <c r="P1046" s="110">
        <v>5</v>
      </c>
      <c r="Q1046" s="110">
        <f t="shared" si="214"/>
        <v>5</v>
      </c>
      <c r="R1046" s="110">
        <v>1</v>
      </c>
    </row>
    <row r="1047" spans="2:18" x14ac:dyDescent="0.2">
      <c r="B1047" s="57" t="str">
        <f t="shared" si="216"/>
        <v/>
      </c>
      <c r="D1047" s="57" t="str">
        <f t="shared" si="217"/>
        <v/>
      </c>
      <c r="F1047" s="57" t="str">
        <f t="shared" si="209"/>
        <v/>
      </c>
      <c r="G1047" s="102" t="str">
        <f t="shared" si="215"/>
        <v/>
      </c>
      <c r="H1047" s="57">
        <f t="shared" si="210"/>
        <v>0</v>
      </c>
      <c r="I1047" s="102">
        <f>VLOOKUP(P1047&amp;"_"&amp;Q1047,活动关卡!$A$60:$Z$83,3+5*MonsterWaveCallRuleCfg!R1047,FALSE)</f>
        <v>40</v>
      </c>
      <c r="J1047" s="102">
        <f>VLOOKUP(P1047&amp;"_"&amp;Q1047,活动关卡!$A$60:$Z$83,4+5*MonsterWaveCallRuleCfg!R1047,FALSE)</f>
        <v>0.5</v>
      </c>
      <c r="K1047" s="102">
        <f t="shared" si="211"/>
        <v>1</v>
      </c>
      <c r="L1047" s="102" t="str">
        <f>IF(VLOOKUP(P1047&amp;"_"&amp;Q1047,活动关卡!$A$60:$Z$83,2+5*R1047,FALSE)="","","Monster_Season3_Challenge"&amp;P1047&amp;"_"&amp;Q1047&amp;"_"&amp;R1047)</f>
        <v>Monster_Season3_Challenge5_5_2</v>
      </c>
      <c r="M1047" s="57">
        <f t="shared" si="212"/>
        <v>1</v>
      </c>
      <c r="O1047" s="102">
        <f>VLOOKUP(P1047&amp;"_"&amp;Q1047,活动关卡!$A$4:$Z$27,6+5*MonsterWaveCallRuleCfg!R1047,FALSE)</f>
        <v>2</v>
      </c>
      <c r="P1047" s="110">
        <v>5</v>
      </c>
      <c r="Q1047" s="110">
        <f t="shared" si="214"/>
        <v>5</v>
      </c>
      <c r="R1047" s="110">
        <v>2</v>
      </c>
    </row>
    <row r="1048" spans="2:18" x14ac:dyDescent="0.2">
      <c r="B1048" s="57" t="str">
        <f t="shared" si="216"/>
        <v/>
      </c>
      <c r="D1048" s="57" t="str">
        <f t="shared" si="217"/>
        <v/>
      </c>
      <c r="F1048" s="57" t="str">
        <f t="shared" si="209"/>
        <v/>
      </c>
      <c r="G1048" s="102" t="str">
        <f t="shared" si="215"/>
        <v/>
      </c>
      <c r="H1048" s="57">
        <f t="shared" si="210"/>
        <v>0</v>
      </c>
      <c r="I1048" s="102">
        <f>VLOOKUP(P1048&amp;"_"&amp;Q1048,活动关卡!$A$60:$Z$83,3+5*MonsterWaveCallRuleCfg!R1048,FALSE)</f>
        <v>10</v>
      </c>
      <c r="J1048" s="102">
        <f>VLOOKUP(P1048&amp;"_"&amp;Q1048,活动关卡!$A$60:$Z$83,4+5*MonsterWaveCallRuleCfg!R1048,FALSE)</f>
        <v>2</v>
      </c>
      <c r="K1048" s="102">
        <f t="shared" si="211"/>
        <v>1</v>
      </c>
      <c r="L1048" s="102" t="str">
        <f>IF(VLOOKUP(P1048&amp;"_"&amp;Q1048,活动关卡!$A$60:$Z$83,2+5*R1048,FALSE)="","","Monster_Season3_Challenge"&amp;P1048&amp;"_"&amp;Q1048&amp;"_"&amp;R1048)</f>
        <v>Monster_Season3_Challenge5_5_3</v>
      </c>
      <c r="M1048" s="57">
        <f t="shared" si="212"/>
        <v>1</v>
      </c>
      <c r="O1048" s="102">
        <f>VLOOKUP(P1048&amp;"_"&amp;Q1048,活动关卡!$A$4:$Z$27,6+5*MonsterWaveCallRuleCfg!R1048,FALSE)</f>
        <v>5</v>
      </c>
      <c r="P1048" s="110">
        <v>5</v>
      </c>
      <c r="Q1048" s="110">
        <f t="shared" si="214"/>
        <v>5</v>
      </c>
      <c r="R1048" s="110">
        <v>3</v>
      </c>
    </row>
    <row r="1049" spans="2:18" x14ac:dyDescent="0.2">
      <c r="B1049" s="57" t="str">
        <f t="shared" si="216"/>
        <v/>
      </c>
      <c r="D1049" s="57" t="str">
        <f t="shared" si="217"/>
        <v/>
      </c>
      <c r="F1049" s="57" t="str">
        <f t="shared" si="209"/>
        <v/>
      </c>
      <c r="G1049" s="102" t="str">
        <f t="shared" si="215"/>
        <v/>
      </c>
      <c r="H1049" s="57">
        <f t="shared" si="210"/>
        <v>0</v>
      </c>
      <c r="I1049" s="102">
        <f>VLOOKUP(P1049&amp;"_"&amp;Q1049,活动关卡!$A$60:$Z$83,3+5*MonsterWaveCallRuleCfg!R1049,FALSE)</f>
        <v>20</v>
      </c>
      <c r="J1049" s="102">
        <f>VLOOKUP(P1049&amp;"_"&amp;Q1049,活动关卡!$A$60:$Z$83,4+5*MonsterWaveCallRuleCfg!R1049,FALSE)</f>
        <v>1</v>
      </c>
      <c r="K1049" s="102">
        <f t="shared" si="211"/>
        <v>1</v>
      </c>
      <c r="L1049" s="102" t="str">
        <f>IF(VLOOKUP(P1049&amp;"_"&amp;Q1049,活动关卡!$A$60:$Z$83,2+5*R1049,FALSE)="","","Monster_Season3_Challenge"&amp;P1049&amp;"_"&amp;Q1049&amp;"_"&amp;R1049)</f>
        <v>Monster_Season3_Challenge5_5_4</v>
      </c>
      <c r="M1049" s="57">
        <f t="shared" si="212"/>
        <v>1</v>
      </c>
      <c r="O1049" s="102">
        <f>VLOOKUP(P1049&amp;"_"&amp;Q1049,活动关卡!$A$4:$Z$27,6+5*MonsterWaveCallRuleCfg!R1049,FALSE)</f>
        <v>5</v>
      </c>
      <c r="P1049" s="110">
        <v>5</v>
      </c>
      <c r="Q1049" s="110">
        <f t="shared" si="214"/>
        <v>5</v>
      </c>
      <c r="R1049" s="110">
        <v>4</v>
      </c>
    </row>
    <row r="1050" spans="2:18" x14ac:dyDescent="0.2">
      <c r="B1050" s="57" t="str">
        <f t="shared" si="216"/>
        <v>MonsterWaveCallRule_Season3_Challenge5</v>
      </c>
      <c r="C1050" s="57">
        <v>6</v>
      </c>
      <c r="D1050" s="57" t="str">
        <f t="shared" si="217"/>
        <v>赛季3关卡5第6波</v>
      </c>
      <c r="F1050" s="57">
        <f t="shared" si="209"/>
        <v>0</v>
      </c>
      <c r="G1050" s="102">
        <f t="shared" si="215"/>
        <v>180</v>
      </c>
      <c r="H1050" s="57">
        <f t="shared" si="210"/>
        <v>0</v>
      </c>
      <c r="I1050" s="102">
        <f>VLOOKUP(P1050&amp;"_"&amp;Q1050,活动关卡!$A$60:$Z$83,3+5*MonsterWaveCallRuleCfg!R1050,FALSE)</f>
        <v>15</v>
      </c>
      <c r="J1050" s="102">
        <f>VLOOKUP(P1050&amp;"_"&amp;Q1050,活动关卡!$A$60:$Z$83,4+5*MonsterWaveCallRuleCfg!R1050,FALSE)</f>
        <v>1.5</v>
      </c>
      <c r="K1050" s="102">
        <f t="shared" si="211"/>
        <v>1</v>
      </c>
      <c r="L1050" s="102" t="str">
        <f>IF(VLOOKUP(P1050&amp;"_"&amp;Q1050,活动关卡!$A$60:$Z$83,2+5*R1050,FALSE)="","","Monster_Season3_Challenge"&amp;P1050&amp;"_"&amp;Q1050&amp;"_"&amp;R1050)</f>
        <v>Monster_Season3_Challenge5_6_1</v>
      </c>
      <c r="M1050" s="57">
        <f t="shared" si="212"/>
        <v>1</v>
      </c>
      <c r="O1050" s="102">
        <f>VLOOKUP(P1050&amp;"_"&amp;Q1050,活动关卡!$A$4:$Z$27,6+5*MonsterWaveCallRuleCfg!R1050,FALSE)</f>
        <v>5</v>
      </c>
      <c r="P1050" s="110">
        <v>5</v>
      </c>
      <c r="Q1050" s="110">
        <f t="shared" si="214"/>
        <v>6</v>
      </c>
      <c r="R1050" s="110">
        <v>1</v>
      </c>
    </row>
    <row r="1051" spans="2:18" x14ac:dyDescent="0.2">
      <c r="B1051" s="57" t="str">
        <f t="shared" si="216"/>
        <v/>
      </c>
      <c r="D1051" s="57" t="str">
        <f t="shared" si="217"/>
        <v/>
      </c>
      <c r="F1051" s="57" t="str">
        <f t="shared" si="209"/>
        <v/>
      </c>
      <c r="G1051" s="102" t="str">
        <f t="shared" si="215"/>
        <v/>
      </c>
      <c r="H1051" s="57">
        <f t="shared" si="210"/>
        <v>0</v>
      </c>
      <c r="I1051" s="102">
        <f>VLOOKUP(P1051&amp;"_"&amp;Q1051,活动关卡!$A$60:$Z$83,3+5*MonsterWaveCallRuleCfg!R1051,FALSE)</f>
        <v>11</v>
      </c>
      <c r="J1051" s="102">
        <f>VLOOKUP(P1051&amp;"_"&amp;Q1051,活动关卡!$A$60:$Z$83,4+5*MonsterWaveCallRuleCfg!R1051,FALSE)</f>
        <v>2</v>
      </c>
      <c r="K1051" s="102">
        <f t="shared" si="211"/>
        <v>1</v>
      </c>
      <c r="L1051" s="102" t="str">
        <f>IF(VLOOKUP(P1051&amp;"_"&amp;Q1051,活动关卡!$A$60:$Z$83,2+5*R1051,FALSE)="","","Monster_Season3_Challenge"&amp;P1051&amp;"_"&amp;Q1051&amp;"_"&amp;R1051)</f>
        <v>Monster_Season3_Challenge5_6_2</v>
      </c>
      <c r="M1051" s="57">
        <f t="shared" si="212"/>
        <v>1</v>
      </c>
      <c r="O1051" s="102">
        <f>VLOOKUP(P1051&amp;"_"&amp;Q1051,活动关卡!$A$4:$Z$27,6+5*MonsterWaveCallRuleCfg!R1051,FALSE)</f>
        <v>5</v>
      </c>
      <c r="P1051" s="110">
        <v>5</v>
      </c>
      <c r="Q1051" s="110">
        <f t="shared" si="214"/>
        <v>6</v>
      </c>
      <c r="R1051" s="110">
        <v>2</v>
      </c>
    </row>
    <row r="1052" spans="2:18" x14ac:dyDescent="0.2">
      <c r="B1052" s="57" t="str">
        <f t="shared" si="216"/>
        <v/>
      </c>
      <c r="D1052" s="57" t="str">
        <f t="shared" si="217"/>
        <v/>
      </c>
      <c r="F1052" s="57" t="str">
        <f t="shared" si="209"/>
        <v/>
      </c>
      <c r="G1052" s="102" t="str">
        <f t="shared" si="215"/>
        <v/>
      </c>
      <c r="H1052" s="57">
        <f t="shared" si="210"/>
        <v>0</v>
      </c>
      <c r="I1052" s="102">
        <f>VLOOKUP(P1052&amp;"_"&amp;Q1052,活动关卡!$A$60:$Z$83,3+5*MonsterWaveCallRuleCfg!R1052,FALSE)</f>
        <v>15</v>
      </c>
      <c r="J1052" s="102">
        <f>VLOOKUP(P1052&amp;"_"&amp;Q1052,活动关卡!$A$60:$Z$83,4+5*MonsterWaveCallRuleCfg!R1052,FALSE)</f>
        <v>1.5</v>
      </c>
      <c r="K1052" s="102">
        <f t="shared" si="211"/>
        <v>1</v>
      </c>
      <c r="L1052" s="102" t="str">
        <f>IF(VLOOKUP(P1052&amp;"_"&amp;Q1052,活动关卡!$A$60:$Z$83,2+5*R1052,FALSE)="","","Monster_Season3_Challenge"&amp;P1052&amp;"_"&amp;Q1052&amp;"_"&amp;R1052)</f>
        <v>Monster_Season3_Challenge5_6_3</v>
      </c>
      <c r="M1052" s="57">
        <f t="shared" si="212"/>
        <v>1</v>
      </c>
      <c r="O1052" s="102">
        <f>VLOOKUP(P1052&amp;"_"&amp;Q1052,活动关卡!$A$4:$Z$27,6+5*MonsterWaveCallRuleCfg!R1052,FALSE)</f>
        <v>3</v>
      </c>
      <c r="P1052" s="110">
        <v>5</v>
      </c>
      <c r="Q1052" s="110">
        <f t="shared" si="214"/>
        <v>6</v>
      </c>
      <c r="R1052" s="110">
        <v>3</v>
      </c>
    </row>
    <row r="1053" spans="2:18" x14ac:dyDescent="0.2">
      <c r="B1053" s="57" t="str">
        <f t="shared" si="216"/>
        <v/>
      </c>
      <c r="D1053" s="57" t="str">
        <f t="shared" si="217"/>
        <v/>
      </c>
      <c r="F1053" s="57" t="str">
        <f t="shared" si="209"/>
        <v/>
      </c>
      <c r="G1053" s="102" t="str">
        <f t="shared" si="215"/>
        <v/>
      </c>
      <c r="H1053" s="57">
        <f t="shared" si="210"/>
        <v>0</v>
      </c>
      <c r="I1053" s="102">
        <f>VLOOKUP(P1053&amp;"_"&amp;Q1053,活动关卡!$A$60:$Z$83,3+5*MonsterWaveCallRuleCfg!R1053,FALSE)</f>
        <v>23</v>
      </c>
      <c r="J1053" s="102">
        <f>VLOOKUP(P1053&amp;"_"&amp;Q1053,活动关卡!$A$60:$Z$83,4+5*MonsterWaveCallRuleCfg!R1053,FALSE)</f>
        <v>1</v>
      </c>
      <c r="K1053" s="102">
        <f t="shared" si="211"/>
        <v>1</v>
      </c>
      <c r="L1053" s="102" t="str">
        <f>IF(VLOOKUP(P1053&amp;"_"&amp;Q1053,活动关卡!$A$60:$Z$83,2+5*R1053,FALSE)="","","Monster_Season3_Challenge"&amp;P1053&amp;"_"&amp;Q1053&amp;"_"&amp;R1053)</f>
        <v>Monster_Season3_Challenge5_6_4</v>
      </c>
      <c r="M1053" s="57">
        <f t="shared" si="212"/>
        <v>1</v>
      </c>
      <c r="O1053" s="102">
        <f>VLOOKUP(P1053&amp;"_"&amp;Q1053,活动关卡!$A$4:$Z$27,6+5*MonsterWaveCallRuleCfg!R1053,FALSE)</f>
        <v>5</v>
      </c>
      <c r="P1053" s="110">
        <v>5</v>
      </c>
      <c r="Q1053" s="110">
        <f t="shared" si="214"/>
        <v>6</v>
      </c>
      <c r="R1053" s="110">
        <v>4</v>
      </c>
    </row>
    <row r="1054" spans="2:18" x14ac:dyDescent="0.2">
      <c r="B1054" s="57" t="str">
        <f t="shared" si="216"/>
        <v>MonsterWaveCallRule_Season3_Challenge5</v>
      </c>
      <c r="C1054" s="57">
        <v>7</v>
      </c>
      <c r="D1054" s="57" t="str">
        <f t="shared" si="217"/>
        <v>赛季3关卡5第7波</v>
      </c>
      <c r="F1054" s="57">
        <f t="shared" si="209"/>
        <v>0</v>
      </c>
      <c r="G1054" s="102">
        <f t="shared" si="215"/>
        <v>180</v>
      </c>
      <c r="H1054" s="57">
        <f t="shared" si="210"/>
        <v>0</v>
      </c>
      <c r="I1054" s="102">
        <f>VLOOKUP(P1054&amp;"_"&amp;Q1054,活动关卡!$A$60:$Z$83,3+5*MonsterWaveCallRuleCfg!R1054,FALSE)</f>
        <v>25</v>
      </c>
      <c r="J1054" s="102">
        <f>VLOOKUP(P1054&amp;"_"&amp;Q1054,活动关卡!$A$60:$Z$83,4+5*MonsterWaveCallRuleCfg!R1054,FALSE)</f>
        <v>1</v>
      </c>
      <c r="K1054" s="102">
        <f t="shared" si="211"/>
        <v>1</v>
      </c>
      <c r="L1054" s="102" t="str">
        <f>IF(VLOOKUP(P1054&amp;"_"&amp;Q1054,活动关卡!$A$60:$Z$83,2+5*R1054,FALSE)="","","Monster_Season3_Challenge"&amp;P1054&amp;"_"&amp;Q1054&amp;"_"&amp;R1054)</f>
        <v>Monster_Season3_Challenge5_7_1</v>
      </c>
      <c r="M1054" s="57">
        <f t="shared" si="212"/>
        <v>1</v>
      </c>
      <c r="O1054" s="102">
        <f>VLOOKUP(P1054&amp;"_"&amp;Q1054,活动关卡!$A$4:$Z$27,6+5*MonsterWaveCallRuleCfg!R1054,FALSE)</f>
        <v>4</v>
      </c>
      <c r="P1054" s="110">
        <v>5</v>
      </c>
      <c r="Q1054" s="110">
        <f t="shared" si="214"/>
        <v>7</v>
      </c>
      <c r="R1054" s="110">
        <v>1</v>
      </c>
    </row>
    <row r="1055" spans="2:18" x14ac:dyDescent="0.2">
      <c r="B1055" s="57" t="str">
        <f t="shared" si="216"/>
        <v/>
      </c>
      <c r="D1055" s="57" t="str">
        <f t="shared" si="217"/>
        <v/>
      </c>
      <c r="F1055" s="57" t="str">
        <f t="shared" si="209"/>
        <v/>
      </c>
      <c r="G1055" s="102" t="str">
        <f t="shared" si="215"/>
        <v/>
      </c>
      <c r="H1055" s="57">
        <f t="shared" si="210"/>
        <v>0</v>
      </c>
      <c r="I1055" s="102">
        <f>VLOOKUP(P1055&amp;"_"&amp;Q1055,活动关卡!$A$60:$Z$83,3+5*MonsterWaveCallRuleCfg!R1055,FALSE)</f>
        <v>25</v>
      </c>
      <c r="J1055" s="102">
        <f>VLOOKUP(P1055&amp;"_"&amp;Q1055,活动关卡!$A$60:$Z$83,4+5*MonsterWaveCallRuleCfg!R1055,FALSE)</f>
        <v>1</v>
      </c>
      <c r="K1055" s="102">
        <f t="shared" si="211"/>
        <v>1</v>
      </c>
      <c r="L1055" s="102" t="str">
        <f>IF(VLOOKUP(P1055&amp;"_"&amp;Q1055,活动关卡!$A$60:$Z$83,2+5*R1055,FALSE)="","","Monster_Season3_Challenge"&amp;P1055&amp;"_"&amp;Q1055&amp;"_"&amp;R1055)</f>
        <v>Monster_Season3_Challenge5_7_2</v>
      </c>
      <c r="M1055" s="57">
        <f t="shared" si="212"/>
        <v>1</v>
      </c>
      <c r="O1055" s="102">
        <f>VLOOKUP(P1055&amp;"_"&amp;Q1055,活动关卡!$A$4:$Z$27,6+5*MonsterWaveCallRuleCfg!R1055,FALSE)</f>
        <v>2</v>
      </c>
      <c r="P1055" s="110">
        <v>5</v>
      </c>
      <c r="Q1055" s="110">
        <f t="shared" si="214"/>
        <v>7</v>
      </c>
      <c r="R1055" s="110">
        <v>2</v>
      </c>
    </row>
    <row r="1056" spans="2:18" x14ac:dyDescent="0.2">
      <c r="B1056" s="57" t="str">
        <f t="shared" si="216"/>
        <v/>
      </c>
      <c r="D1056" s="57" t="str">
        <f t="shared" si="217"/>
        <v/>
      </c>
      <c r="F1056" s="57" t="str">
        <f t="shared" si="209"/>
        <v/>
      </c>
      <c r="G1056" s="102" t="str">
        <f t="shared" si="215"/>
        <v/>
      </c>
      <c r="H1056" s="57">
        <f t="shared" si="210"/>
        <v>0</v>
      </c>
      <c r="I1056" s="102">
        <f>VLOOKUP(P1056&amp;"_"&amp;Q1056,活动关卡!$A$60:$Z$83,3+5*MonsterWaveCallRuleCfg!R1056,FALSE)</f>
        <v>50</v>
      </c>
      <c r="J1056" s="102">
        <f>VLOOKUP(P1056&amp;"_"&amp;Q1056,活动关卡!$A$60:$Z$83,4+5*MonsterWaveCallRuleCfg!R1056,FALSE)</f>
        <v>0.5</v>
      </c>
      <c r="K1056" s="102">
        <f t="shared" si="211"/>
        <v>1</v>
      </c>
      <c r="L1056" s="102" t="str">
        <f>IF(VLOOKUP(P1056&amp;"_"&amp;Q1056,活动关卡!$A$60:$Z$83,2+5*R1056,FALSE)="","","Monster_Season3_Challenge"&amp;P1056&amp;"_"&amp;Q1056&amp;"_"&amp;R1056)</f>
        <v>Monster_Season3_Challenge5_7_3</v>
      </c>
      <c r="M1056" s="57">
        <f t="shared" si="212"/>
        <v>1</v>
      </c>
      <c r="O1056" s="102">
        <f>VLOOKUP(P1056&amp;"_"&amp;Q1056,活动关卡!$A$4:$Z$27,6+5*MonsterWaveCallRuleCfg!R1056,FALSE)</f>
        <v>1</v>
      </c>
      <c r="P1056" s="110">
        <v>5</v>
      </c>
      <c r="Q1056" s="110">
        <f t="shared" si="214"/>
        <v>7</v>
      </c>
      <c r="R1056" s="110">
        <v>3</v>
      </c>
    </row>
    <row r="1057" spans="2:18" x14ac:dyDescent="0.2">
      <c r="B1057" s="57" t="str">
        <f t="shared" si="216"/>
        <v/>
      </c>
      <c r="D1057" s="57" t="str">
        <f t="shared" si="217"/>
        <v/>
      </c>
      <c r="F1057" s="57" t="str">
        <f t="shared" si="209"/>
        <v/>
      </c>
      <c r="G1057" s="102" t="str">
        <f t="shared" si="215"/>
        <v/>
      </c>
      <c r="H1057" s="57">
        <f t="shared" si="210"/>
        <v>0</v>
      </c>
      <c r="I1057" s="102">
        <f>VLOOKUP(P1057&amp;"_"&amp;Q1057,活动关卡!$A$60:$Z$83,3+5*MonsterWaveCallRuleCfg!R1057,FALSE)</f>
        <v>25</v>
      </c>
      <c r="J1057" s="102">
        <f>VLOOKUP(P1057&amp;"_"&amp;Q1057,活动关卡!$A$60:$Z$83,4+5*MonsterWaveCallRuleCfg!R1057,FALSE)</f>
        <v>1</v>
      </c>
      <c r="K1057" s="102">
        <f t="shared" si="211"/>
        <v>1</v>
      </c>
      <c r="L1057" s="102" t="str">
        <f>IF(VLOOKUP(P1057&amp;"_"&amp;Q1057,活动关卡!$A$60:$Z$83,2+5*R1057,FALSE)="","","Monster_Season3_Challenge"&amp;P1057&amp;"_"&amp;Q1057&amp;"_"&amp;R1057)</f>
        <v>Monster_Season3_Challenge5_7_4</v>
      </c>
      <c r="M1057" s="57">
        <f t="shared" si="212"/>
        <v>1</v>
      </c>
      <c r="O1057" s="102">
        <f>VLOOKUP(P1057&amp;"_"&amp;Q1057,活动关卡!$A$4:$Z$27,6+5*MonsterWaveCallRuleCfg!R1057,FALSE)</f>
        <v>4</v>
      </c>
      <c r="P1057" s="110">
        <v>5</v>
      </c>
      <c r="Q1057" s="110">
        <f t="shared" si="214"/>
        <v>7</v>
      </c>
      <c r="R1057" s="110">
        <v>4</v>
      </c>
    </row>
    <row r="1058" spans="2:18" x14ac:dyDescent="0.2">
      <c r="B1058" s="57" t="str">
        <f t="shared" si="216"/>
        <v>MonsterWaveCallRule_Season3_Challenge5</v>
      </c>
      <c r="C1058" s="57">
        <v>8</v>
      </c>
      <c r="D1058" s="57" t="str">
        <f t="shared" si="217"/>
        <v>赛季3关卡5第8波</v>
      </c>
      <c r="F1058" s="57">
        <f t="shared" si="209"/>
        <v>0</v>
      </c>
      <c r="G1058" s="102">
        <f t="shared" si="215"/>
        <v>180</v>
      </c>
      <c r="H1058" s="57">
        <f t="shared" si="210"/>
        <v>0</v>
      </c>
      <c r="I1058" s="102">
        <f>VLOOKUP(P1058&amp;"_"&amp;Q1058,活动关卡!$A$60:$Z$83,3+5*MonsterWaveCallRuleCfg!R1058,FALSE)</f>
        <v>1</v>
      </c>
      <c r="J1058" s="102">
        <f>VLOOKUP(P1058&amp;"_"&amp;Q1058,活动关卡!$A$60:$Z$83,4+5*MonsterWaveCallRuleCfg!R1058,FALSE)</f>
        <v>0</v>
      </c>
      <c r="K1058" s="102">
        <f t="shared" si="211"/>
        <v>1</v>
      </c>
      <c r="L1058" s="102" t="str">
        <f>IF(VLOOKUP(P1058&amp;"_"&amp;Q1058,活动关卡!$A$60:$Z$83,2+5*R1058,FALSE)="","","Monster_Season3_Challenge"&amp;P1058&amp;"_"&amp;Q1058&amp;"_"&amp;R1058)</f>
        <v>Monster_Season3_Challenge5_8_1</v>
      </c>
      <c r="M1058" s="57">
        <f t="shared" si="212"/>
        <v>1</v>
      </c>
      <c r="O1058" s="102">
        <f>VLOOKUP(P1058&amp;"_"&amp;Q1058,活动关卡!$A$4:$Z$27,6+5*MonsterWaveCallRuleCfg!R1058,FALSE)</f>
        <v>85</v>
      </c>
      <c r="P1058" s="110">
        <v>5</v>
      </c>
      <c r="Q1058" s="110">
        <f t="shared" si="214"/>
        <v>8</v>
      </c>
      <c r="R1058" s="110">
        <v>1</v>
      </c>
    </row>
    <row r="1059" spans="2:18" x14ac:dyDescent="0.2">
      <c r="G1059" s="102" t="str">
        <f t="shared" si="215"/>
        <v/>
      </c>
      <c r="H1059" s="57">
        <f t="shared" si="210"/>
        <v>0</v>
      </c>
      <c r="I1059" s="102">
        <f>VLOOKUP(P1059&amp;"_"&amp;Q1059,活动关卡!$A$60:$Z$83,3+5*MonsterWaveCallRuleCfg!R1059,FALSE)</f>
        <v>55</v>
      </c>
      <c r="J1059" s="102">
        <f>VLOOKUP(P1059&amp;"_"&amp;Q1059,活动关卡!$A$60:$Z$83,4+5*MonsterWaveCallRuleCfg!R1059,FALSE)</f>
        <v>0.5</v>
      </c>
      <c r="K1059" s="102">
        <f t="shared" si="211"/>
        <v>1</v>
      </c>
      <c r="L1059" s="102" t="str">
        <f>IF(VLOOKUP(P1059&amp;"_"&amp;Q1059,活动关卡!$A$60:$Z$83,2+5*R1059,FALSE)="","","Monster_Season2_Challenge"&amp;P1059&amp;"_"&amp;Q1059&amp;"_"&amp;R1059)</f>
        <v>Monster_Season2_Challenge5_8_2</v>
      </c>
      <c r="M1059" s="57">
        <f t="shared" si="212"/>
        <v>1</v>
      </c>
      <c r="O1059" s="102">
        <f>VLOOKUP(P1059&amp;"_"&amp;Q1059,活动关卡!$A$4:$Z$27,6+5*MonsterWaveCallRuleCfg!R1059,FALSE)</f>
        <v>2</v>
      </c>
      <c r="P1059" s="110">
        <v>5</v>
      </c>
      <c r="Q1059" s="110">
        <f t="shared" si="214"/>
        <v>8</v>
      </c>
      <c r="R1059" s="110">
        <v>2</v>
      </c>
    </row>
    <row r="1060" spans="2:18" x14ac:dyDescent="0.2">
      <c r="G1060" s="102" t="str">
        <f t="shared" si="215"/>
        <v/>
      </c>
      <c r="H1060" s="57">
        <f t="shared" si="210"/>
        <v>0</v>
      </c>
      <c r="I1060" s="102">
        <f>VLOOKUP(P1060&amp;"_"&amp;Q1060,活动关卡!$A$60:$Z$83,3+5*MonsterWaveCallRuleCfg!R1060,FALSE)</f>
        <v>14</v>
      </c>
      <c r="J1060" s="102">
        <f>VLOOKUP(P1060&amp;"_"&amp;Q1060,活动关卡!$A$60:$Z$83,4+5*MonsterWaveCallRuleCfg!R1060,FALSE)</f>
        <v>2</v>
      </c>
      <c r="K1060" s="102">
        <f t="shared" si="211"/>
        <v>1</v>
      </c>
      <c r="L1060" s="102" t="str">
        <f>IF(VLOOKUP(P1060&amp;"_"&amp;Q1060,活动关卡!$A$60:$Z$83,2+5*R1060,FALSE)="","","Monster_Season2_Challenge"&amp;P1060&amp;"_"&amp;Q1060&amp;"_"&amp;R1060)</f>
        <v>Monster_Season2_Challenge5_8_3</v>
      </c>
      <c r="M1060" s="57">
        <f t="shared" si="212"/>
        <v>1</v>
      </c>
      <c r="O1060" s="102">
        <f>VLOOKUP(P1060&amp;"_"&amp;Q1060,活动关卡!$A$4:$Z$27,6+5*MonsterWaveCallRuleCfg!R1060,FALSE)</f>
        <v>4</v>
      </c>
      <c r="P1060" s="110">
        <v>5</v>
      </c>
      <c r="Q1060" s="110">
        <f t="shared" si="214"/>
        <v>8</v>
      </c>
      <c r="R1060" s="110">
        <v>3</v>
      </c>
    </row>
    <row r="1061" spans="2:18" x14ac:dyDescent="0.2">
      <c r="G1061" s="102" t="str">
        <f t="shared" si="215"/>
        <v/>
      </c>
      <c r="H1061" s="57">
        <f t="shared" si="210"/>
        <v>0</v>
      </c>
      <c r="I1061" s="102">
        <f>VLOOKUP(P1061&amp;"_"&amp;Q1061,活动关卡!$A$60:$Z$83,3+5*MonsterWaveCallRuleCfg!R1061,FALSE)</f>
        <v>9</v>
      </c>
      <c r="J1061" s="102">
        <f>VLOOKUP(P1061&amp;"_"&amp;Q1061,活动关卡!$A$60:$Z$83,4+5*MonsterWaveCallRuleCfg!R1061,FALSE)</f>
        <v>3</v>
      </c>
      <c r="K1061" s="102">
        <f t="shared" si="211"/>
        <v>1</v>
      </c>
      <c r="L1061" s="102" t="str">
        <f>IF(VLOOKUP(P1061&amp;"_"&amp;Q1061,活动关卡!$A$60:$Z$83,2+5*R1061,FALSE)="","","Monster_Season2_Challenge"&amp;P1061&amp;"_"&amp;Q1061&amp;"_"&amp;R1061)</f>
        <v>Monster_Season2_Challenge5_8_4</v>
      </c>
      <c r="M1061" s="57">
        <f t="shared" si="212"/>
        <v>1</v>
      </c>
      <c r="O1061" s="102">
        <f>VLOOKUP(P1061&amp;"_"&amp;Q1061,活动关卡!$A$4:$Z$27,6+5*MonsterWaveCallRuleCfg!R1061,FALSE)</f>
        <v>4</v>
      </c>
      <c r="P1061" s="110">
        <v>5</v>
      </c>
      <c r="Q1061" s="110">
        <f t="shared" si="214"/>
        <v>8</v>
      </c>
      <c r="R1061" s="110">
        <v>4</v>
      </c>
    </row>
    <row r="1062" spans="2:18" s="166" customFormat="1" x14ac:dyDescent="0.2"/>
    <row r="1063" spans="2:18" x14ac:dyDescent="0.2">
      <c r="B1063" s="57" t="str">
        <f t="shared" ref="B1063:B1094" si="218">IF(C1063="","","MonsterWaveCallRule_Season4_Challenge"&amp;P1063)</f>
        <v>MonsterWaveCallRule_Season4_Challenge1</v>
      </c>
      <c r="C1063" s="57">
        <v>1</v>
      </c>
      <c r="D1063" s="57" t="str">
        <f t="shared" ref="D1063:D1094" si="219">IF(C1063="","","赛季4关卡"&amp;P1063&amp;"第"&amp;C1063&amp;"波")</f>
        <v>赛季4关卡1第1波</v>
      </c>
      <c r="F1063" s="57">
        <f t="shared" ref="F1063:F1126" si="220">IF(C1063="","",0)</f>
        <v>0</v>
      </c>
      <c r="G1063" s="102">
        <f>IF(C1063="","",180)</f>
        <v>180</v>
      </c>
      <c r="H1063" s="57">
        <f t="shared" ref="H1063:H1126" si="221">IF(I1063="","",0)</f>
        <v>0</v>
      </c>
      <c r="I1063" s="102">
        <f>VLOOKUP(P1063&amp;"_"&amp;Q1063,活动关卡!$A$88:$Z$111,3+5*MonsterWaveCallRuleCfg!R1063,FALSE)</f>
        <v>5</v>
      </c>
      <c r="J1063" s="102">
        <f>VLOOKUP(P1063&amp;"_"&amp;Q1063,活动关卡!$A$88:$Z$111,4+5*MonsterWaveCallRuleCfg!R1063,FALSE)</f>
        <v>2</v>
      </c>
      <c r="K1063" s="102">
        <f t="shared" ref="K1063:K1126" si="222">IF(I1063="","",1)</f>
        <v>1</v>
      </c>
      <c r="L1063" s="102" t="str">
        <f>IF(VLOOKUP(P1063&amp;"_"&amp;Q1063,活动关卡!$A$88:$Z$111,2+5*R1063,FALSE)="","","Monster_Season4_Challenge"&amp;P1063&amp;"_"&amp;Q1063&amp;"_"&amp;R1063)</f>
        <v>Monster_Season4_Challenge1_1_1</v>
      </c>
      <c r="M1063" s="57">
        <f t="shared" ref="M1063:M1126" si="223">IF(I1063="","",1)</f>
        <v>1</v>
      </c>
      <c r="O1063" s="102">
        <f>VLOOKUP(P1063&amp;"_"&amp;Q1063,活动关卡!$A$4:$Z$27,6+5*MonsterWaveCallRuleCfg!R1063,FALSE)</f>
        <v>18</v>
      </c>
      <c r="P1063" s="110">
        <v>1</v>
      </c>
      <c r="Q1063" s="110">
        <f>C1063</f>
        <v>1</v>
      </c>
      <c r="R1063" s="110">
        <v>1</v>
      </c>
    </row>
    <row r="1064" spans="2:18" x14ac:dyDescent="0.2">
      <c r="B1064" s="57" t="str">
        <f t="shared" si="218"/>
        <v/>
      </c>
      <c r="D1064" s="57" t="str">
        <f t="shared" si="219"/>
        <v/>
      </c>
      <c r="F1064" s="57" t="str">
        <f t="shared" si="220"/>
        <v/>
      </c>
      <c r="G1064" s="102" t="str">
        <f t="shared" ref="G1064:G1127" si="224">IF(C1064="","",180)</f>
        <v/>
      </c>
      <c r="H1064" s="57">
        <f t="shared" si="221"/>
        <v>0</v>
      </c>
      <c r="I1064" s="102">
        <f>VLOOKUP(P1064&amp;"_"&amp;Q1064,活动关卡!$A$88:$Z$111,3+5*MonsterWaveCallRuleCfg!R1064,FALSE)</f>
        <v>3</v>
      </c>
      <c r="J1064" s="102">
        <f>VLOOKUP(P1064&amp;"_"&amp;Q1064,活动关卡!$A$88:$Z$111,4+5*MonsterWaveCallRuleCfg!R1064,FALSE)</f>
        <v>3</v>
      </c>
      <c r="K1064" s="102">
        <f t="shared" si="222"/>
        <v>1</v>
      </c>
      <c r="L1064" s="102" t="str">
        <f>IF(VLOOKUP(P1064&amp;"_"&amp;Q1064,活动关卡!$A$88:$Z$111,2+5*R1064,FALSE)="","","Monster_Season4_Challenge"&amp;P1064&amp;"_"&amp;Q1064&amp;"_"&amp;R1064)</f>
        <v>Monster_Season4_Challenge1_1_2</v>
      </c>
      <c r="M1064" s="57">
        <f t="shared" si="223"/>
        <v>1</v>
      </c>
      <c r="O1064" s="102">
        <f>VLOOKUP(P1064&amp;"_"&amp;Q1064,活动关卡!$A$4:$Z$27,6+5*MonsterWaveCallRuleCfg!R1064,FALSE)</f>
        <v>71</v>
      </c>
      <c r="P1064" s="110">
        <v>1</v>
      </c>
      <c r="Q1064" s="110">
        <f>IF(C1064="",Q1063,C1064)</f>
        <v>1</v>
      </c>
      <c r="R1064" s="110">
        <v>2</v>
      </c>
    </row>
    <row r="1065" spans="2:18" x14ac:dyDescent="0.2">
      <c r="B1065" s="57" t="str">
        <f t="shared" si="218"/>
        <v/>
      </c>
      <c r="D1065" s="57" t="str">
        <f t="shared" si="219"/>
        <v/>
      </c>
      <c r="F1065" s="57" t="str">
        <f t="shared" si="220"/>
        <v/>
      </c>
      <c r="G1065" s="102" t="str">
        <f t="shared" si="224"/>
        <v/>
      </c>
      <c r="H1065" s="57" t="str">
        <f t="shared" si="221"/>
        <v/>
      </c>
      <c r="I1065" s="102" t="str">
        <f>VLOOKUP(P1065&amp;"_"&amp;Q1065,活动关卡!$A$88:$Z$111,3+5*MonsterWaveCallRuleCfg!R1065,FALSE)</f>
        <v/>
      </c>
      <c r="J1065" s="102" t="str">
        <f>VLOOKUP(P1065&amp;"_"&amp;Q1065,活动关卡!$A$88:$Z$111,4+5*MonsterWaveCallRuleCfg!R1065,FALSE)</f>
        <v/>
      </c>
      <c r="K1065" s="102" t="str">
        <f t="shared" si="222"/>
        <v/>
      </c>
      <c r="L1065" s="102" t="str">
        <f>IF(VLOOKUP(P1065&amp;"_"&amp;Q1065,活动关卡!$A$88:$Z$111,2+5*R1065,FALSE)="","","Monster_Season4_Challenge"&amp;P1065&amp;"_"&amp;Q1065&amp;"_"&amp;R1065)</f>
        <v/>
      </c>
      <c r="M1065" s="57" t="str">
        <f t="shared" si="223"/>
        <v/>
      </c>
      <c r="O1065" s="102" t="str">
        <f>VLOOKUP(P1065&amp;"_"&amp;Q1065,活动关卡!$A$4:$Z$27,6+5*MonsterWaveCallRuleCfg!R1065,FALSE)</f>
        <v/>
      </c>
      <c r="P1065" s="110">
        <v>1</v>
      </c>
      <c r="Q1065" s="110">
        <f t="shared" ref="Q1065:Q1128" si="225">IF(C1065="",Q1064,C1065)</f>
        <v>1</v>
      </c>
      <c r="R1065" s="110">
        <v>3</v>
      </c>
    </row>
    <row r="1066" spans="2:18" x14ac:dyDescent="0.2">
      <c r="B1066" s="57" t="str">
        <f t="shared" si="218"/>
        <v/>
      </c>
      <c r="D1066" s="57" t="str">
        <f t="shared" si="219"/>
        <v/>
      </c>
      <c r="F1066" s="57" t="str">
        <f t="shared" si="220"/>
        <v/>
      </c>
      <c r="G1066" s="102" t="str">
        <f t="shared" si="224"/>
        <v/>
      </c>
      <c r="H1066" s="57" t="str">
        <f t="shared" si="221"/>
        <v/>
      </c>
      <c r="I1066" s="102" t="str">
        <f>VLOOKUP(P1066&amp;"_"&amp;Q1066,活动关卡!$A$88:$Z$111,3+5*MonsterWaveCallRuleCfg!R1066,FALSE)</f>
        <v/>
      </c>
      <c r="J1066" s="102" t="str">
        <f>VLOOKUP(P1066&amp;"_"&amp;Q1066,活动关卡!$A$88:$Z$111,4+5*MonsterWaveCallRuleCfg!R1066,FALSE)</f>
        <v/>
      </c>
      <c r="K1066" s="102" t="str">
        <f t="shared" si="222"/>
        <v/>
      </c>
      <c r="L1066" s="102" t="str">
        <f>IF(VLOOKUP(P1066&amp;"_"&amp;Q1066,活动关卡!$A$88:$Z$111,2+5*R1066,FALSE)="","","Monster_Season4_Challenge"&amp;P1066&amp;"_"&amp;Q1066&amp;"_"&amp;R1066)</f>
        <v/>
      </c>
      <c r="M1066" s="57" t="str">
        <f t="shared" si="223"/>
        <v/>
      </c>
      <c r="O1066" s="102" t="str">
        <f>VLOOKUP(P1066&amp;"_"&amp;Q1066,活动关卡!$A$4:$Z$27,6+5*MonsterWaveCallRuleCfg!R1066,FALSE)</f>
        <v/>
      </c>
      <c r="P1066" s="110">
        <v>1</v>
      </c>
      <c r="Q1066" s="110">
        <f t="shared" si="225"/>
        <v>1</v>
      </c>
      <c r="R1066" s="110">
        <v>4</v>
      </c>
    </row>
    <row r="1067" spans="2:18" x14ac:dyDescent="0.2">
      <c r="B1067" s="57" t="str">
        <f t="shared" si="218"/>
        <v>MonsterWaveCallRule_Season4_Challenge1</v>
      </c>
      <c r="C1067" s="57">
        <v>2</v>
      </c>
      <c r="D1067" s="57" t="str">
        <f t="shared" si="219"/>
        <v>赛季4关卡1第2波</v>
      </c>
      <c r="F1067" s="57">
        <f t="shared" si="220"/>
        <v>0</v>
      </c>
      <c r="G1067" s="102">
        <f t="shared" si="224"/>
        <v>180</v>
      </c>
      <c r="H1067" s="57">
        <f t="shared" si="221"/>
        <v>0</v>
      </c>
      <c r="I1067" s="102">
        <f>VLOOKUP(P1067&amp;"_"&amp;Q1067,活动关卡!$A$88:$Z$111,3+5*MonsterWaveCallRuleCfg!R1067,FALSE)</f>
        <v>25</v>
      </c>
      <c r="J1067" s="102">
        <f>VLOOKUP(P1067&amp;"_"&amp;Q1067,活动关卡!$A$88:$Z$111,4+5*MonsterWaveCallRuleCfg!R1067,FALSE)</f>
        <v>0.5</v>
      </c>
      <c r="K1067" s="102">
        <f t="shared" si="222"/>
        <v>1</v>
      </c>
      <c r="L1067" s="102" t="str">
        <f>IF(VLOOKUP(P1067&amp;"_"&amp;Q1067,活动关卡!$A$88:$Z$111,2+5*R1067,FALSE)="","","Monster_Season4_Challenge"&amp;P1067&amp;"_"&amp;Q1067&amp;"_"&amp;R1067)</f>
        <v>Monster_Season4_Challenge1_2_1</v>
      </c>
      <c r="M1067" s="57">
        <f t="shared" si="223"/>
        <v>1</v>
      </c>
      <c r="O1067" s="102">
        <f>VLOOKUP(P1067&amp;"_"&amp;Q1067,活动关卡!$A$4:$Z$27,6+5*MonsterWaveCallRuleCfg!R1067,FALSE)</f>
        <v>7</v>
      </c>
      <c r="P1067" s="110">
        <v>1</v>
      </c>
      <c r="Q1067" s="110">
        <f t="shared" si="225"/>
        <v>2</v>
      </c>
      <c r="R1067" s="110">
        <v>1</v>
      </c>
    </row>
    <row r="1068" spans="2:18" x14ac:dyDescent="0.2">
      <c r="B1068" s="57" t="str">
        <f t="shared" si="218"/>
        <v/>
      </c>
      <c r="D1068" s="57" t="str">
        <f t="shared" si="219"/>
        <v/>
      </c>
      <c r="F1068" s="57" t="str">
        <f t="shared" si="220"/>
        <v/>
      </c>
      <c r="G1068" s="102" t="str">
        <f t="shared" si="224"/>
        <v/>
      </c>
      <c r="H1068" s="57">
        <f t="shared" si="221"/>
        <v>0</v>
      </c>
      <c r="I1068" s="102">
        <f>VLOOKUP(P1068&amp;"_"&amp;Q1068,活动关卡!$A$88:$Z$111,3+5*MonsterWaveCallRuleCfg!R1068,FALSE)</f>
        <v>4</v>
      </c>
      <c r="J1068" s="102">
        <f>VLOOKUP(P1068&amp;"_"&amp;Q1068,活动关卡!$A$88:$Z$111,4+5*MonsterWaveCallRuleCfg!R1068,FALSE)</f>
        <v>3</v>
      </c>
      <c r="K1068" s="102">
        <f t="shared" si="222"/>
        <v>1</v>
      </c>
      <c r="L1068" s="102" t="str">
        <f>IF(VLOOKUP(P1068&amp;"_"&amp;Q1068,活动关卡!$A$88:$Z$111,2+5*R1068,FALSE)="","","Monster_Season4_Challenge"&amp;P1068&amp;"_"&amp;Q1068&amp;"_"&amp;R1068)</f>
        <v>Monster_Season4_Challenge1_2_2</v>
      </c>
      <c r="M1068" s="57">
        <f t="shared" si="223"/>
        <v>1</v>
      </c>
      <c r="O1068" s="102">
        <f>VLOOKUP(P1068&amp;"_"&amp;Q1068,活动关卡!$A$4:$Z$27,6+5*MonsterWaveCallRuleCfg!R1068,FALSE)</f>
        <v>29</v>
      </c>
      <c r="P1068" s="110">
        <v>1</v>
      </c>
      <c r="Q1068" s="110">
        <f t="shared" si="225"/>
        <v>2</v>
      </c>
      <c r="R1068" s="110">
        <v>2</v>
      </c>
    </row>
    <row r="1069" spans="2:18" x14ac:dyDescent="0.2">
      <c r="B1069" s="57" t="str">
        <f t="shared" si="218"/>
        <v/>
      </c>
      <c r="D1069" s="57" t="str">
        <f t="shared" si="219"/>
        <v/>
      </c>
      <c r="F1069" s="57" t="str">
        <f t="shared" si="220"/>
        <v/>
      </c>
      <c r="G1069" s="102" t="str">
        <f t="shared" si="224"/>
        <v/>
      </c>
      <c r="H1069" s="57" t="str">
        <f t="shared" si="221"/>
        <v/>
      </c>
      <c r="I1069" s="102" t="str">
        <f>VLOOKUP(P1069&amp;"_"&amp;Q1069,活动关卡!$A$88:$Z$111,3+5*MonsterWaveCallRuleCfg!R1069,FALSE)</f>
        <v/>
      </c>
      <c r="J1069" s="102" t="str">
        <f>VLOOKUP(P1069&amp;"_"&amp;Q1069,活动关卡!$A$88:$Z$111,4+5*MonsterWaveCallRuleCfg!R1069,FALSE)</f>
        <v/>
      </c>
      <c r="K1069" s="102" t="str">
        <f t="shared" si="222"/>
        <v/>
      </c>
      <c r="L1069" s="102" t="str">
        <f>IF(VLOOKUP(P1069&amp;"_"&amp;Q1069,活动关卡!$A$88:$Z$111,2+5*R1069,FALSE)="","","Monster_Season4_Challenge"&amp;P1069&amp;"_"&amp;Q1069&amp;"_"&amp;R1069)</f>
        <v/>
      </c>
      <c r="M1069" s="57" t="str">
        <f t="shared" si="223"/>
        <v/>
      </c>
      <c r="O1069" s="102" t="str">
        <f>VLOOKUP(P1069&amp;"_"&amp;Q1069,活动关卡!$A$4:$Z$27,6+5*MonsterWaveCallRuleCfg!R1069,FALSE)</f>
        <v/>
      </c>
      <c r="P1069" s="110">
        <v>1</v>
      </c>
      <c r="Q1069" s="110">
        <f t="shared" si="225"/>
        <v>2</v>
      </c>
      <c r="R1069" s="110">
        <v>3</v>
      </c>
    </row>
    <row r="1070" spans="2:18" x14ac:dyDescent="0.2">
      <c r="B1070" s="57" t="str">
        <f t="shared" si="218"/>
        <v/>
      </c>
      <c r="D1070" s="57" t="str">
        <f t="shared" si="219"/>
        <v/>
      </c>
      <c r="F1070" s="57" t="str">
        <f t="shared" si="220"/>
        <v/>
      </c>
      <c r="G1070" s="102" t="str">
        <f t="shared" si="224"/>
        <v/>
      </c>
      <c r="H1070" s="57" t="str">
        <f t="shared" si="221"/>
        <v/>
      </c>
      <c r="I1070" s="102" t="str">
        <f>VLOOKUP(P1070&amp;"_"&amp;Q1070,活动关卡!$A$88:$Z$111,3+5*MonsterWaveCallRuleCfg!R1070,FALSE)</f>
        <v/>
      </c>
      <c r="J1070" s="102" t="str">
        <f>VLOOKUP(P1070&amp;"_"&amp;Q1070,活动关卡!$A$88:$Z$111,4+5*MonsterWaveCallRuleCfg!R1070,FALSE)</f>
        <v/>
      </c>
      <c r="K1070" s="102" t="str">
        <f t="shared" si="222"/>
        <v/>
      </c>
      <c r="L1070" s="102" t="str">
        <f>IF(VLOOKUP(P1070&amp;"_"&amp;Q1070,活动关卡!$A$88:$Z$111,2+5*R1070,FALSE)="","","Monster_Season4_Challenge"&amp;P1070&amp;"_"&amp;Q1070&amp;"_"&amp;R1070)</f>
        <v/>
      </c>
      <c r="M1070" s="57" t="str">
        <f t="shared" si="223"/>
        <v/>
      </c>
      <c r="O1070" s="102" t="str">
        <f>VLOOKUP(P1070&amp;"_"&amp;Q1070,活动关卡!$A$4:$Z$27,6+5*MonsterWaveCallRuleCfg!R1070,FALSE)</f>
        <v/>
      </c>
      <c r="P1070" s="110">
        <v>1</v>
      </c>
      <c r="Q1070" s="110">
        <f t="shared" si="225"/>
        <v>2</v>
      </c>
      <c r="R1070" s="110">
        <v>4</v>
      </c>
    </row>
    <row r="1071" spans="2:18" x14ac:dyDescent="0.2">
      <c r="B1071" s="57" t="str">
        <f t="shared" si="218"/>
        <v>MonsterWaveCallRule_Season4_Challenge1</v>
      </c>
      <c r="C1071" s="57">
        <v>3</v>
      </c>
      <c r="D1071" s="57" t="str">
        <f t="shared" si="219"/>
        <v>赛季4关卡1第3波</v>
      </c>
      <c r="F1071" s="57">
        <f t="shared" si="220"/>
        <v>0</v>
      </c>
      <c r="G1071" s="102">
        <f t="shared" si="224"/>
        <v>180</v>
      </c>
      <c r="H1071" s="57">
        <f t="shared" si="221"/>
        <v>0</v>
      </c>
      <c r="I1071" s="102">
        <f>VLOOKUP(P1071&amp;"_"&amp;Q1071,活动关卡!$A$88:$Z$111,3+5*MonsterWaveCallRuleCfg!R1071,FALSE)</f>
        <v>30</v>
      </c>
      <c r="J1071" s="102">
        <f>VLOOKUP(P1071&amp;"_"&amp;Q1071,活动关卡!$A$88:$Z$111,4+5*MonsterWaveCallRuleCfg!R1071,FALSE)</f>
        <v>0.5</v>
      </c>
      <c r="K1071" s="102">
        <f t="shared" si="222"/>
        <v>1</v>
      </c>
      <c r="L1071" s="102" t="str">
        <f>IF(VLOOKUP(P1071&amp;"_"&amp;Q1071,活动关卡!$A$88:$Z$111,2+5*R1071,FALSE)="","","Monster_Season4_Challenge"&amp;P1071&amp;"_"&amp;Q1071&amp;"_"&amp;R1071)</f>
        <v>Monster_Season4_Challenge1_3_1</v>
      </c>
      <c r="M1071" s="57">
        <f t="shared" si="223"/>
        <v>1</v>
      </c>
      <c r="O1071" s="102">
        <f>VLOOKUP(P1071&amp;"_"&amp;Q1071,活动关卡!$A$4:$Z$27,6+5*MonsterWaveCallRuleCfg!R1071,FALSE)</f>
        <v>3</v>
      </c>
      <c r="P1071" s="110">
        <v>1</v>
      </c>
      <c r="Q1071" s="110">
        <f t="shared" si="225"/>
        <v>3</v>
      </c>
      <c r="R1071" s="110">
        <v>1</v>
      </c>
    </row>
    <row r="1072" spans="2:18" x14ac:dyDescent="0.2">
      <c r="B1072" s="57" t="str">
        <f t="shared" si="218"/>
        <v/>
      </c>
      <c r="D1072" s="57" t="str">
        <f t="shared" si="219"/>
        <v/>
      </c>
      <c r="F1072" s="57" t="str">
        <f t="shared" si="220"/>
        <v/>
      </c>
      <c r="G1072" s="102" t="str">
        <f t="shared" si="224"/>
        <v/>
      </c>
      <c r="H1072" s="57">
        <f t="shared" si="221"/>
        <v>0</v>
      </c>
      <c r="I1072" s="102">
        <f>VLOOKUP(P1072&amp;"_"&amp;Q1072,活动关卡!$A$88:$Z$111,3+5*MonsterWaveCallRuleCfg!R1072,FALSE)</f>
        <v>5</v>
      </c>
      <c r="J1072" s="102">
        <f>VLOOKUP(P1072&amp;"_"&amp;Q1072,活动关卡!$A$88:$Z$111,4+5*MonsterWaveCallRuleCfg!R1072,FALSE)</f>
        <v>3</v>
      </c>
      <c r="K1072" s="102">
        <f t="shared" si="222"/>
        <v>1</v>
      </c>
      <c r="L1072" s="102" t="str">
        <f>IF(VLOOKUP(P1072&amp;"_"&amp;Q1072,活动关卡!$A$88:$Z$111,2+5*R1072,FALSE)="","","Monster_Season4_Challenge"&amp;P1072&amp;"_"&amp;Q1072&amp;"_"&amp;R1072)</f>
        <v>Monster_Season4_Challenge1_3_2</v>
      </c>
      <c r="M1072" s="57">
        <f t="shared" si="223"/>
        <v>1</v>
      </c>
      <c r="O1072" s="102">
        <f>VLOOKUP(P1072&amp;"_"&amp;Q1072,活动关卡!$A$4:$Z$27,6+5*MonsterWaveCallRuleCfg!R1072,FALSE)</f>
        <v>13</v>
      </c>
      <c r="P1072" s="110">
        <v>1</v>
      </c>
      <c r="Q1072" s="110">
        <f t="shared" si="225"/>
        <v>3</v>
      </c>
      <c r="R1072" s="110">
        <v>2</v>
      </c>
    </row>
    <row r="1073" spans="2:18" x14ac:dyDescent="0.2">
      <c r="B1073" s="57" t="str">
        <f t="shared" si="218"/>
        <v/>
      </c>
      <c r="D1073" s="57" t="str">
        <f t="shared" si="219"/>
        <v/>
      </c>
      <c r="F1073" s="57" t="str">
        <f t="shared" si="220"/>
        <v/>
      </c>
      <c r="G1073" s="102" t="str">
        <f t="shared" si="224"/>
        <v/>
      </c>
      <c r="H1073" s="57">
        <f t="shared" si="221"/>
        <v>0</v>
      </c>
      <c r="I1073" s="102">
        <f>VLOOKUP(P1073&amp;"_"&amp;Q1073,活动关卡!$A$88:$Z$111,3+5*MonsterWaveCallRuleCfg!R1073,FALSE)</f>
        <v>10</v>
      </c>
      <c r="J1073" s="102">
        <f>VLOOKUP(P1073&amp;"_"&amp;Q1073,活动关卡!$A$88:$Z$111,4+5*MonsterWaveCallRuleCfg!R1073,FALSE)</f>
        <v>1.5</v>
      </c>
      <c r="K1073" s="102">
        <f t="shared" si="222"/>
        <v>1</v>
      </c>
      <c r="L1073" s="102" t="str">
        <f>IF(VLOOKUP(P1073&amp;"_"&amp;Q1073,活动关卡!$A$88:$Z$111,2+5*R1073,FALSE)="","","Monster_Season4_Challenge"&amp;P1073&amp;"_"&amp;Q1073&amp;"_"&amp;R1073)</f>
        <v>Monster_Season4_Challenge1_3_3</v>
      </c>
      <c r="M1073" s="57">
        <f t="shared" si="223"/>
        <v>1</v>
      </c>
      <c r="O1073" s="102">
        <f>VLOOKUP(P1073&amp;"_"&amp;Q1073,活动关卡!$A$4:$Z$27,6+5*MonsterWaveCallRuleCfg!R1073,FALSE)</f>
        <v>13</v>
      </c>
      <c r="P1073" s="110">
        <v>1</v>
      </c>
      <c r="Q1073" s="110">
        <f t="shared" si="225"/>
        <v>3</v>
      </c>
      <c r="R1073" s="110">
        <v>3</v>
      </c>
    </row>
    <row r="1074" spans="2:18" x14ac:dyDescent="0.2">
      <c r="B1074" s="57" t="str">
        <f t="shared" si="218"/>
        <v/>
      </c>
      <c r="D1074" s="57" t="str">
        <f t="shared" si="219"/>
        <v/>
      </c>
      <c r="F1074" s="57" t="str">
        <f t="shared" si="220"/>
        <v/>
      </c>
      <c r="G1074" s="102" t="str">
        <f t="shared" si="224"/>
        <v/>
      </c>
      <c r="H1074" s="57" t="str">
        <f t="shared" si="221"/>
        <v/>
      </c>
      <c r="I1074" s="102" t="str">
        <f>VLOOKUP(P1074&amp;"_"&amp;Q1074,活动关卡!$A$88:$Z$111,3+5*MonsterWaveCallRuleCfg!R1074,FALSE)</f>
        <v/>
      </c>
      <c r="J1074" s="102" t="str">
        <f>VLOOKUP(P1074&amp;"_"&amp;Q1074,活动关卡!$A$88:$Z$111,4+5*MonsterWaveCallRuleCfg!R1074,FALSE)</f>
        <v/>
      </c>
      <c r="K1074" s="102" t="str">
        <f t="shared" si="222"/>
        <v/>
      </c>
      <c r="L1074" s="102" t="str">
        <f>IF(VLOOKUP(P1074&amp;"_"&amp;Q1074,活动关卡!$A$88:$Z$111,2+5*R1074,FALSE)="","","Monster_Season4_Challenge"&amp;P1074&amp;"_"&amp;Q1074&amp;"_"&amp;R1074)</f>
        <v/>
      </c>
      <c r="M1074" s="57" t="str">
        <f t="shared" si="223"/>
        <v/>
      </c>
      <c r="O1074" s="102" t="str">
        <f>VLOOKUP(P1074&amp;"_"&amp;Q1074,活动关卡!$A$4:$Z$27,6+5*MonsterWaveCallRuleCfg!R1074,FALSE)</f>
        <v/>
      </c>
      <c r="P1074" s="110">
        <v>1</v>
      </c>
      <c r="Q1074" s="110">
        <f t="shared" si="225"/>
        <v>3</v>
      </c>
      <c r="R1074" s="110">
        <v>4</v>
      </c>
    </row>
    <row r="1075" spans="2:18" x14ac:dyDescent="0.2">
      <c r="B1075" s="57" t="str">
        <f t="shared" si="218"/>
        <v>MonsterWaveCallRule_Season4_Challenge1</v>
      </c>
      <c r="C1075" s="57">
        <v>4</v>
      </c>
      <c r="D1075" s="57" t="str">
        <f t="shared" si="219"/>
        <v>赛季4关卡1第4波</v>
      </c>
      <c r="F1075" s="57">
        <f t="shared" si="220"/>
        <v>0</v>
      </c>
      <c r="G1075" s="102">
        <f t="shared" si="224"/>
        <v>180</v>
      </c>
      <c r="H1075" s="57" t="e">
        <f t="shared" si="221"/>
        <v>#N/A</v>
      </c>
      <c r="I1075" s="102" t="e">
        <f>VLOOKUP(P1075&amp;"_"&amp;Q1075,活动关卡!$A$88:$Z$111,3+5*MonsterWaveCallRuleCfg!R1075,FALSE)</f>
        <v>#N/A</v>
      </c>
      <c r="J1075" s="102" t="e">
        <f>VLOOKUP(P1075&amp;"_"&amp;Q1075,活动关卡!$A$88:$Z$111,4+5*MonsterWaveCallRuleCfg!R1075,FALSE)</f>
        <v>#N/A</v>
      </c>
      <c r="K1075" s="102" t="e">
        <f t="shared" si="222"/>
        <v>#N/A</v>
      </c>
      <c r="L1075" s="102" t="e">
        <f>IF(VLOOKUP(P1075&amp;"_"&amp;Q1075,活动关卡!$A$88:$Z$111,2+5*R1075,FALSE)="","","Monster_Season4_Challenge"&amp;P1075&amp;"_"&amp;Q1075&amp;"_"&amp;R1075)</f>
        <v>#N/A</v>
      </c>
      <c r="M1075" s="57" t="e">
        <f t="shared" si="223"/>
        <v>#N/A</v>
      </c>
      <c r="O1075" s="102" t="e">
        <f>VLOOKUP(P1075&amp;"_"&amp;Q1075,活动关卡!$A$4:$Z$27,6+5*MonsterWaveCallRuleCfg!R1075,FALSE)</f>
        <v>#N/A</v>
      </c>
      <c r="P1075" s="110">
        <v>1</v>
      </c>
      <c r="Q1075" s="110">
        <f t="shared" si="225"/>
        <v>4</v>
      </c>
      <c r="R1075" s="110">
        <v>1</v>
      </c>
    </row>
    <row r="1076" spans="2:18" x14ac:dyDescent="0.2">
      <c r="B1076" s="57" t="str">
        <f t="shared" si="218"/>
        <v/>
      </c>
      <c r="D1076" s="57" t="str">
        <f t="shared" si="219"/>
        <v/>
      </c>
      <c r="F1076" s="57" t="str">
        <f t="shared" si="220"/>
        <v/>
      </c>
      <c r="G1076" s="102" t="str">
        <f t="shared" si="224"/>
        <v/>
      </c>
      <c r="H1076" s="57" t="e">
        <f t="shared" si="221"/>
        <v>#N/A</v>
      </c>
      <c r="I1076" s="102" t="e">
        <f>VLOOKUP(P1076&amp;"_"&amp;Q1076,活动关卡!$A$88:$Z$111,3+5*MonsterWaveCallRuleCfg!R1076,FALSE)</f>
        <v>#N/A</v>
      </c>
      <c r="J1076" s="102" t="e">
        <f>VLOOKUP(P1076&amp;"_"&amp;Q1076,活动关卡!$A$88:$Z$111,4+5*MonsterWaveCallRuleCfg!R1076,FALSE)</f>
        <v>#N/A</v>
      </c>
      <c r="K1076" s="102" t="e">
        <f t="shared" si="222"/>
        <v>#N/A</v>
      </c>
      <c r="L1076" s="102" t="e">
        <f>IF(VLOOKUP(P1076&amp;"_"&amp;Q1076,活动关卡!$A$88:$Z$111,2+5*R1076,FALSE)="","","Monster_Season4_Challenge"&amp;P1076&amp;"_"&amp;Q1076&amp;"_"&amp;R1076)</f>
        <v>#N/A</v>
      </c>
      <c r="M1076" s="57" t="e">
        <f t="shared" si="223"/>
        <v>#N/A</v>
      </c>
      <c r="O1076" s="102" t="e">
        <f>VLOOKUP(P1076&amp;"_"&amp;Q1076,活动关卡!$A$4:$Z$27,6+5*MonsterWaveCallRuleCfg!R1076,FALSE)</f>
        <v>#N/A</v>
      </c>
      <c r="P1076" s="110">
        <v>1</v>
      </c>
      <c r="Q1076" s="110">
        <f t="shared" si="225"/>
        <v>4</v>
      </c>
      <c r="R1076" s="110">
        <v>2</v>
      </c>
    </row>
    <row r="1077" spans="2:18" x14ac:dyDescent="0.2">
      <c r="B1077" s="57" t="str">
        <f t="shared" si="218"/>
        <v/>
      </c>
      <c r="D1077" s="57" t="str">
        <f t="shared" si="219"/>
        <v/>
      </c>
      <c r="F1077" s="57" t="str">
        <f t="shared" si="220"/>
        <v/>
      </c>
      <c r="G1077" s="102" t="str">
        <f t="shared" si="224"/>
        <v/>
      </c>
      <c r="H1077" s="57" t="e">
        <f t="shared" si="221"/>
        <v>#N/A</v>
      </c>
      <c r="I1077" s="102" t="e">
        <f>VLOOKUP(P1077&amp;"_"&amp;Q1077,活动关卡!$A$88:$Z$111,3+5*MonsterWaveCallRuleCfg!R1077,FALSE)</f>
        <v>#N/A</v>
      </c>
      <c r="J1077" s="102" t="e">
        <f>VLOOKUP(P1077&amp;"_"&amp;Q1077,活动关卡!$A$88:$Z$111,4+5*MonsterWaveCallRuleCfg!R1077,FALSE)</f>
        <v>#N/A</v>
      </c>
      <c r="K1077" s="102" t="e">
        <f t="shared" si="222"/>
        <v>#N/A</v>
      </c>
      <c r="L1077" s="102" t="e">
        <f>IF(VLOOKUP(P1077&amp;"_"&amp;Q1077,活动关卡!$A$88:$Z$111,2+5*R1077,FALSE)="","","Monster_Season4_Challenge"&amp;P1077&amp;"_"&amp;Q1077&amp;"_"&amp;R1077)</f>
        <v>#N/A</v>
      </c>
      <c r="M1077" s="57" t="e">
        <f t="shared" si="223"/>
        <v>#N/A</v>
      </c>
      <c r="O1077" s="102" t="e">
        <f>VLOOKUP(P1077&amp;"_"&amp;Q1077,活动关卡!$A$4:$Z$27,6+5*MonsterWaveCallRuleCfg!R1077,FALSE)</f>
        <v>#N/A</v>
      </c>
      <c r="P1077" s="110">
        <v>1</v>
      </c>
      <c r="Q1077" s="110">
        <f t="shared" si="225"/>
        <v>4</v>
      </c>
      <c r="R1077" s="110">
        <v>3</v>
      </c>
    </row>
    <row r="1078" spans="2:18" x14ac:dyDescent="0.2">
      <c r="B1078" s="57" t="str">
        <f t="shared" si="218"/>
        <v/>
      </c>
      <c r="D1078" s="57" t="str">
        <f t="shared" si="219"/>
        <v/>
      </c>
      <c r="F1078" s="57" t="str">
        <f t="shared" si="220"/>
        <v/>
      </c>
      <c r="G1078" s="102" t="str">
        <f t="shared" si="224"/>
        <v/>
      </c>
      <c r="H1078" s="57" t="e">
        <f t="shared" si="221"/>
        <v>#N/A</v>
      </c>
      <c r="I1078" s="102" t="e">
        <f>VLOOKUP(P1078&amp;"_"&amp;Q1078,活动关卡!$A$88:$Z$111,3+5*MonsterWaveCallRuleCfg!R1078,FALSE)</f>
        <v>#N/A</v>
      </c>
      <c r="J1078" s="102" t="e">
        <f>VLOOKUP(P1078&amp;"_"&amp;Q1078,活动关卡!$A$88:$Z$111,4+5*MonsterWaveCallRuleCfg!R1078,FALSE)</f>
        <v>#N/A</v>
      </c>
      <c r="K1078" s="102" t="e">
        <f t="shared" si="222"/>
        <v>#N/A</v>
      </c>
      <c r="L1078" s="102" t="e">
        <f>IF(VLOOKUP(P1078&amp;"_"&amp;Q1078,活动关卡!$A$88:$Z$111,2+5*R1078,FALSE)="","","Monster_Season4_Challenge"&amp;P1078&amp;"_"&amp;Q1078&amp;"_"&amp;R1078)</f>
        <v>#N/A</v>
      </c>
      <c r="M1078" s="57" t="e">
        <f t="shared" si="223"/>
        <v>#N/A</v>
      </c>
      <c r="O1078" s="102" t="e">
        <f>VLOOKUP(P1078&amp;"_"&amp;Q1078,活动关卡!$A$4:$Z$27,6+5*MonsterWaveCallRuleCfg!R1078,FALSE)</f>
        <v>#N/A</v>
      </c>
      <c r="P1078" s="110">
        <v>1</v>
      </c>
      <c r="Q1078" s="110">
        <f t="shared" si="225"/>
        <v>4</v>
      </c>
      <c r="R1078" s="110">
        <v>4</v>
      </c>
    </row>
    <row r="1079" spans="2:18" x14ac:dyDescent="0.2">
      <c r="B1079" s="57" t="str">
        <f t="shared" si="218"/>
        <v>MonsterWaveCallRule_Season4_Challenge1</v>
      </c>
      <c r="C1079" s="57">
        <v>5</v>
      </c>
      <c r="D1079" s="57" t="str">
        <f t="shared" si="219"/>
        <v>赛季4关卡1第5波</v>
      </c>
      <c r="F1079" s="57">
        <f t="shared" si="220"/>
        <v>0</v>
      </c>
      <c r="G1079" s="102">
        <f t="shared" si="224"/>
        <v>180</v>
      </c>
      <c r="H1079" s="57" t="e">
        <f t="shared" si="221"/>
        <v>#N/A</v>
      </c>
      <c r="I1079" s="102" t="e">
        <f>VLOOKUP(P1079&amp;"_"&amp;Q1079,活动关卡!$A$88:$Z$111,3+5*MonsterWaveCallRuleCfg!R1079,FALSE)</f>
        <v>#N/A</v>
      </c>
      <c r="J1079" s="102" t="e">
        <f>VLOOKUP(P1079&amp;"_"&amp;Q1079,活动关卡!$A$88:$Z$111,4+5*MonsterWaveCallRuleCfg!R1079,FALSE)</f>
        <v>#N/A</v>
      </c>
      <c r="K1079" s="102" t="e">
        <f t="shared" si="222"/>
        <v>#N/A</v>
      </c>
      <c r="L1079" s="102" t="e">
        <f>IF(VLOOKUP(P1079&amp;"_"&amp;Q1079,活动关卡!$A$88:$Z$111,2+5*R1079,FALSE)="","","Monster_Season4_Challenge"&amp;P1079&amp;"_"&amp;Q1079&amp;"_"&amp;R1079)</f>
        <v>#N/A</v>
      </c>
      <c r="M1079" s="57" t="e">
        <f t="shared" si="223"/>
        <v>#N/A</v>
      </c>
      <c r="O1079" s="102" t="e">
        <f>VLOOKUP(P1079&amp;"_"&amp;Q1079,活动关卡!$A$4:$Z$27,6+5*MonsterWaveCallRuleCfg!R1079,FALSE)</f>
        <v>#N/A</v>
      </c>
      <c r="P1079" s="110">
        <v>1</v>
      </c>
      <c r="Q1079" s="110">
        <f t="shared" si="225"/>
        <v>5</v>
      </c>
      <c r="R1079" s="110">
        <v>1</v>
      </c>
    </row>
    <row r="1080" spans="2:18" x14ac:dyDescent="0.2">
      <c r="B1080" s="57" t="str">
        <f t="shared" si="218"/>
        <v/>
      </c>
      <c r="D1080" s="57" t="str">
        <f t="shared" si="219"/>
        <v/>
      </c>
      <c r="F1080" s="57" t="str">
        <f t="shared" si="220"/>
        <v/>
      </c>
      <c r="G1080" s="102" t="str">
        <f t="shared" si="224"/>
        <v/>
      </c>
      <c r="H1080" s="57" t="e">
        <f t="shared" si="221"/>
        <v>#N/A</v>
      </c>
      <c r="I1080" s="102" t="e">
        <f>VLOOKUP(P1080&amp;"_"&amp;Q1080,活动关卡!$A$88:$Z$111,3+5*MonsterWaveCallRuleCfg!R1080,FALSE)</f>
        <v>#N/A</v>
      </c>
      <c r="J1080" s="102" t="e">
        <f>VLOOKUP(P1080&amp;"_"&amp;Q1080,活动关卡!$A$88:$Z$111,4+5*MonsterWaveCallRuleCfg!R1080,FALSE)</f>
        <v>#N/A</v>
      </c>
      <c r="K1080" s="102" t="e">
        <f t="shared" si="222"/>
        <v>#N/A</v>
      </c>
      <c r="L1080" s="102" t="e">
        <f>IF(VLOOKUP(P1080&amp;"_"&amp;Q1080,活动关卡!$A$88:$Z$111,2+5*R1080,FALSE)="","","Monster_Season4_Challenge"&amp;P1080&amp;"_"&amp;Q1080&amp;"_"&amp;R1080)</f>
        <v>#N/A</v>
      </c>
      <c r="M1080" s="57" t="e">
        <f t="shared" si="223"/>
        <v>#N/A</v>
      </c>
      <c r="O1080" s="102" t="e">
        <f>VLOOKUP(P1080&amp;"_"&amp;Q1080,活动关卡!$A$4:$Z$27,6+5*MonsterWaveCallRuleCfg!R1080,FALSE)</f>
        <v>#N/A</v>
      </c>
      <c r="P1080" s="110">
        <v>1</v>
      </c>
      <c r="Q1080" s="110">
        <f t="shared" si="225"/>
        <v>5</v>
      </c>
      <c r="R1080" s="110">
        <v>2</v>
      </c>
    </row>
    <row r="1081" spans="2:18" x14ac:dyDescent="0.2">
      <c r="B1081" s="57" t="str">
        <f t="shared" si="218"/>
        <v/>
      </c>
      <c r="D1081" s="57" t="str">
        <f t="shared" si="219"/>
        <v/>
      </c>
      <c r="F1081" s="57" t="str">
        <f t="shared" si="220"/>
        <v/>
      </c>
      <c r="G1081" s="102" t="str">
        <f t="shared" si="224"/>
        <v/>
      </c>
      <c r="H1081" s="57" t="e">
        <f t="shared" si="221"/>
        <v>#N/A</v>
      </c>
      <c r="I1081" s="102" t="e">
        <f>VLOOKUP(P1081&amp;"_"&amp;Q1081,活动关卡!$A$88:$Z$111,3+5*MonsterWaveCallRuleCfg!R1081,FALSE)</f>
        <v>#N/A</v>
      </c>
      <c r="J1081" s="102" t="e">
        <f>VLOOKUP(P1081&amp;"_"&amp;Q1081,活动关卡!$A$88:$Z$111,4+5*MonsterWaveCallRuleCfg!R1081,FALSE)</f>
        <v>#N/A</v>
      </c>
      <c r="K1081" s="102" t="e">
        <f t="shared" si="222"/>
        <v>#N/A</v>
      </c>
      <c r="L1081" s="102" t="e">
        <f>IF(VLOOKUP(P1081&amp;"_"&amp;Q1081,活动关卡!$A$88:$Z$111,2+5*R1081,FALSE)="","","Monster_Season4_Challenge"&amp;P1081&amp;"_"&amp;Q1081&amp;"_"&amp;R1081)</f>
        <v>#N/A</v>
      </c>
      <c r="M1081" s="57" t="e">
        <f t="shared" si="223"/>
        <v>#N/A</v>
      </c>
      <c r="O1081" s="102" t="e">
        <f>VLOOKUP(P1081&amp;"_"&amp;Q1081,活动关卡!$A$4:$Z$27,6+5*MonsterWaveCallRuleCfg!R1081,FALSE)</f>
        <v>#N/A</v>
      </c>
      <c r="P1081" s="110">
        <v>1</v>
      </c>
      <c r="Q1081" s="110">
        <f t="shared" si="225"/>
        <v>5</v>
      </c>
      <c r="R1081" s="110">
        <v>3</v>
      </c>
    </row>
    <row r="1082" spans="2:18" x14ac:dyDescent="0.2">
      <c r="B1082" s="57" t="str">
        <f t="shared" si="218"/>
        <v/>
      </c>
      <c r="D1082" s="57" t="str">
        <f t="shared" si="219"/>
        <v/>
      </c>
      <c r="F1082" s="57" t="str">
        <f t="shared" si="220"/>
        <v/>
      </c>
      <c r="G1082" s="102" t="str">
        <f t="shared" si="224"/>
        <v/>
      </c>
      <c r="H1082" s="57" t="e">
        <f t="shared" si="221"/>
        <v>#N/A</v>
      </c>
      <c r="I1082" s="102" t="e">
        <f>VLOOKUP(P1082&amp;"_"&amp;Q1082,活动关卡!$A$88:$Z$111,3+5*MonsterWaveCallRuleCfg!R1082,FALSE)</f>
        <v>#N/A</v>
      </c>
      <c r="J1082" s="102" t="e">
        <f>VLOOKUP(P1082&amp;"_"&amp;Q1082,活动关卡!$A$88:$Z$111,4+5*MonsterWaveCallRuleCfg!R1082,FALSE)</f>
        <v>#N/A</v>
      </c>
      <c r="K1082" s="102" t="e">
        <f t="shared" si="222"/>
        <v>#N/A</v>
      </c>
      <c r="L1082" s="102" t="e">
        <f>IF(VLOOKUP(P1082&amp;"_"&amp;Q1082,活动关卡!$A$88:$Z$111,2+5*R1082,FALSE)="","","Monster_Season4_Challenge"&amp;P1082&amp;"_"&amp;Q1082&amp;"_"&amp;R1082)</f>
        <v>#N/A</v>
      </c>
      <c r="M1082" s="57" t="e">
        <f t="shared" si="223"/>
        <v>#N/A</v>
      </c>
      <c r="O1082" s="102" t="e">
        <f>VLOOKUP(P1082&amp;"_"&amp;Q1082,活动关卡!$A$4:$Z$27,6+5*MonsterWaveCallRuleCfg!R1082,FALSE)</f>
        <v>#N/A</v>
      </c>
      <c r="P1082" s="110">
        <v>1</v>
      </c>
      <c r="Q1082" s="110">
        <f t="shared" si="225"/>
        <v>5</v>
      </c>
      <c r="R1082" s="110">
        <v>4</v>
      </c>
    </row>
    <row r="1083" spans="2:18" x14ac:dyDescent="0.2">
      <c r="B1083" s="57" t="str">
        <f t="shared" si="218"/>
        <v>MonsterWaveCallRule_Season4_Challenge2</v>
      </c>
      <c r="C1083" s="57">
        <v>1</v>
      </c>
      <c r="D1083" s="57" t="str">
        <f t="shared" si="219"/>
        <v>赛季4关卡2第1波</v>
      </c>
      <c r="F1083" s="57">
        <f t="shared" si="220"/>
        <v>0</v>
      </c>
      <c r="G1083" s="102">
        <f t="shared" si="224"/>
        <v>180</v>
      </c>
      <c r="H1083" s="57">
        <f t="shared" si="221"/>
        <v>0</v>
      </c>
      <c r="I1083" s="102">
        <f>VLOOKUP(P1083&amp;"_"&amp;Q1083,活动关卡!$A$88:$Z$111,3+5*MonsterWaveCallRuleCfg!R1083,FALSE)</f>
        <v>5</v>
      </c>
      <c r="J1083" s="102">
        <f>VLOOKUP(P1083&amp;"_"&amp;Q1083,活动关卡!$A$88:$Z$111,4+5*MonsterWaveCallRuleCfg!R1083,FALSE)</f>
        <v>2</v>
      </c>
      <c r="K1083" s="102">
        <f t="shared" si="222"/>
        <v>1</v>
      </c>
      <c r="L1083" s="102" t="str">
        <f>IF(VLOOKUP(P1083&amp;"_"&amp;Q1083,活动关卡!$A$88:$Z$111,2+5*R1083,FALSE)="","","Monster_Season4_Challenge"&amp;P1083&amp;"_"&amp;Q1083&amp;"_"&amp;R1083)</f>
        <v>Monster_Season4_Challenge2_1_1</v>
      </c>
      <c r="M1083" s="57">
        <f t="shared" si="223"/>
        <v>1</v>
      </c>
      <c r="O1083" s="102">
        <f>VLOOKUP(P1083&amp;"_"&amp;Q1083,活动关卡!$A$4:$Z$27,6+5*MonsterWaveCallRuleCfg!R1083,FALSE)</f>
        <v>20</v>
      </c>
      <c r="P1083" s="110">
        <v>2</v>
      </c>
      <c r="Q1083" s="110">
        <f t="shared" si="225"/>
        <v>1</v>
      </c>
      <c r="R1083" s="110">
        <v>1</v>
      </c>
    </row>
    <row r="1084" spans="2:18" x14ac:dyDescent="0.2">
      <c r="B1084" s="57" t="str">
        <f t="shared" si="218"/>
        <v/>
      </c>
      <c r="D1084" s="57" t="str">
        <f t="shared" si="219"/>
        <v/>
      </c>
      <c r="F1084" s="57" t="str">
        <f t="shared" si="220"/>
        <v/>
      </c>
      <c r="G1084" s="102" t="str">
        <f t="shared" si="224"/>
        <v/>
      </c>
      <c r="H1084" s="57">
        <f t="shared" si="221"/>
        <v>0</v>
      </c>
      <c r="I1084" s="102">
        <f>VLOOKUP(P1084&amp;"_"&amp;Q1084,活动关卡!$A$88:$Z$111,3+5*MonsterWaveCallRuleCfg!R1084,FALSE)</f>
        <v>5</v>
      </c>
      <c r="J1084" s="102">
        <f>VLOOKUP(P1084&amp;"_"&amp;Q1084,活动关卡!$A$88:$Z$111,4+5*MonsterWaveCallRuleCfg!R1084,FALSE)</f>
        <v>2</v>
      </c>
      <c r="K1084" s="102">
        <f t="shared" si="222"/>
        <v>1</v>
      </c>
      <c r="L1084" s="102" t="str">
        <f>IF(VLOOKUP(P1084&amp;"_"&amp;Q1084,活动关卡!$A$88:$Z$111,2+5*R1084,FALSE)="","","Monster_Season4_Challenge"&amp;P1084&amp;"_"&amp;Q1084&amp;"_"&amp;R1084)</f>
        <v>Monster_Season4_Challenge2_1_2</v>
      </c>
      <c r="M1084" s="57">
        <f t="shared" si="223"/>
        <v>1</v>
      </c>
      <c r="O1084" s="102">
        <f>VLOOKUP(P1084&amp;"_"&amp;Q1084,活动关卡!$A$4:$Z$27,6+5*MonsterWaveCallRuleCfg!R1084,FALSE)</f>
        <v>40</v>
      </c>
      <c r="P1084" s="110">
        <v>2</v>
      </c>
      <c r="Q1084" s="110">
        <f t="shared" si="225"/>
        <v>1</v>
      </c>
      <c r="R1084" s="110">
        <v>2</v>
      </c>
    </row>
    <row r="1085" spans="2:18" x14ac:dyDescent="0.2">
      <c r="B1085" s="57" t="str">
        <f t="shared" si="218"/>
        <v/>
      </c>
      <c r="D1085" s="57" t="str">
        <f t="shared" si="219"/>
        <v/>
      </c>
      <c r="F1085" s="57" t="str">
        <f t="shared" si="220"/>
        <v/>
      </c>
      <c r="G1085" s="102" t="str">
        <f t="shared" si="224"/>
        <v/>
      </c>
      <c r="H1085" s="57" t="str">
        <f t="shared" si="221"/>
        <v/>
      </c>
      <c r="I1085" s="102" t="str">
        <f>VLOOKUP(P1085&amp;"_"&amp;Q1085,活动关卡!$A$88:$Z$111,3+5*MonsterWaveCallRuleCfg!R1085,FALSE)</f>
        <v/>
      </c>
      <c r="J1085" s="102" t="str">
        <f>VLOOKUP(P1085&amp;"_"&amp;Q1085,活动关卡!$A$88:$Z$111,4+5*MonsterWaveCallRuleCfg!R1085,FALSE)</f>
        <v/>
      </c>
      <c r="K1085" s="102" t="str">
        <f t="shared" si="222"/>
        <v/>
      </c>
      <c r="L1085" s="102" t="str">
        <f>IF(VLOOKUP(P1085&amp;"_"&amp;Q1085,活动关卡!$A$88:$Z$111,2+5*R1085,FALSE)="","","Monster_Season4_Challenge"&amp;P1085&amp;"_"&amp;Q1085&amp;"_"&amp;R1085)</f>
        <v/>
      </c>
      <c r="M1085" s="57" t="str">
        <f t="shared" si="223"/>
        <v/>
      </c>
      <c r="O1085" s="102" t="str">
        <f>VLOOKUP(P1085&amp;"_"&amp;Q1085,活动关卡!$A$4:$Z$27,6+5*MonsterWaveCallRuleCfg!R1085,FALSE)</f>
        <v/>
      </c>
      <c r="P1085" s="110">
        <v>2</v>
      </c>
      <c r="Q1085" s="110">
        <f t="shared" si="225"/>
        <v>1</v>
      </c>
      <c r="R1085" s="110">
        <v>3</v>
      </c>
    </row>
    <row r="1086" spans="2:18" x14ac:dyDescent="0.2">
      <c r="B1086" s="57" t="str">
        <f t="shared" si="218"/>
        <v/>
      </c>
      <c r="D1086" s="57" t="str">
        <f t="shared" si="219"/>
        <v/>
      </c>
      <c r="F1086" s="57" t="str">
        <f t="shared" si="220"/>
        <v/>
      </c>
      <c r="G1086" s="102" t="str">
        <f t="shared" si="224"/>
        <v/>
      </c>
      <c r="H1086" s="57" t="str">
        <f t="shared" si="221"/>
        <v/>
      </c>
      <c r="I1086" s="102" t="str">
        <f>VLOOKUP(P1086&amp;"_"&amp;Q1086,活动关卡!$A$88:$Z$111,3+5*MonsterWaveCallRuleCfg!R1086,FALSE)</f>
        <v/>
      </c>
      <c r="J1086" s="102" t="str">
        <f>VLOOKUP(P1086&amp;"_"&amp;Q1086,活动关卡!$A$88:$Z$111,4+5*MonsterWaveCallRuleCfg!R1086,FALSE)</f>
        <v/>
      </c>
      <c r="K1086" s="102" t="str">
        <f t="shared" si="222"/>
        <v/>
      </c>
      <c r="L1086" s="102" t="str">
        <f>IF(VLOOKUP(P1086&amp;"_"&amp;Q1086,活动关卡!$A$88:$Z$111,2+5*R1086,FALSE)="","","Monster_Season4_Challenge"&amp;P1086&amp;"_"&amp;Q1086&amp;"_"&amp;R1086)</f>
        <v/>
      </c>
      <c r="M1086" s="57" t="str">
        <f t="shared" si="223"/>
        <v/>
      </c>
      <c r="O1086" s="102" t="str">
        <f>VLOOKUP(P1086&amp;"_"&amp;Q1086,活动关卡!$A$4:$Z$27,6+5*MonsterWaveCallRuleCfg!R1086,FALSE)</f>
        <v/>
      </c>
      <c r="P1086" s="110">
        <v>2</v>
      </c>
      <c r="Q1086" s="110">
        <f t="shared" si="225"/>
        <v>1</v>
      </c>
      <c r="R1086" s="110">
        <v>4</v>
      </c>
    </row>
    <row r="1087" spans="2:18" x14ac:dyDescent="0.2">
      <c r="B1087" s="57" t="str">
        <f t="shared" si="218"/>
        <v>MonsterWaveCallRule_Season4_Challenge2</v>
      </c>
      <c r="C1087" s="57">
        <v>2</v>
      </c>
      <c r="D1087" s="57" t="str">
        <f t="shared" si="219"/>
        <v>赛季4关卡2第2波</v>
      </c>
      <c r="F1087" s="57">
        <f t="shared" si="220"/>
        <v>0</v>
      </c>
      <c r="G1087" s="102">
        <f t="shared" si="224"/>
        <v>180</v>
      </c>
      <c r="H1087" s="57">
        <f t="shared" si="221"/>
        <v>0</v>
      </c>
      <c r="I1087" s="102">
        <f>VLOOKUP(P1087&amp;"_"&amp;Q1087,活动关卡!$A$88:$Z$111,3+5*MonsterWaveCallRuleCfg!R1087,FALSE)</f>
        <v>6</v>
      </c>
      <c r="J1087" s="102">
        <f>VLOOKUP(P1087&amp;"_"&amp;Q1087,活动关卡!$A$88:$Z$111,4+5*MonsterWaveCallRuleCfg!R1087,FALSE)</f>
        <v>2</v>
      </c>
      <c r="K1087" s="102">
        <f t="shared" si="222"/>
        <v>1</v>
      </c>
      <c r="L1087" s="102" t="str">
        <f>IF(VLOOKUP(P1087&amp;"_"&amp;Q1087,活动关卡!$A$88:$Z$111,2+5*R1087,FALSE)="","","Monster_Season4_Challenge"&amp;P1087&amp;"_"&amp;Q1087&amp;"_"&amp;R1087)</f>
        <v>Monster_Season4_Challenge2_2_1</v>
      </c>
      <c r="M1087" s="57">
        <f t="shared" si="223"/>
        <v>1</v>
      </c>
      <c r="O1087" s="102">
        <f>VLOOKUP(P1087&amp;"_"&amp;Q1087,活动关卡!$A$4:$Z$27,6+5*MonsterWaveCallRuleCfg!R1087,FALSE)</f>
        <v>10</v>
      </c>
      <c r="P1087" s="110">
        <v>2</v>
      </c>
      <c r="Q1087" s="110">
        <f t="shared" si="225"/>
        <v>2</v>
      </c>
      <c r="R1087" s="110">
        <v>1</v>
      </c>
    </row>
    <row r="1088" spans="2:18" x14ac:dyDescent="0.2">
      <c r="B1088" s="57" t="str">
        <f t="shared" si="218"/>
        <v/>
      </c>
      <c r="D1088" s="57" t="str">
        <f t="shared" si="219"/>
        <v/>
      </c>
      <c r="F1088" s="57" t="str">
        <f t="shared" si="220"/>
        <v/>
      </c>
      <c r="G1088" s="102" t="str">
        <f t="shared" si="224"/>
        <v/>
      </c>
      <c r="H1088" s="57">
        <f t="shared" si="221"/>
        <v>0</v>
      </c>
      <c r="I1088" s="102">
        <f>VLOOKUP(P1088&amp;"_"&amp;Q1088,活动关卡!$A$88:$Z$111,3+5*MonsterWaveCallRuleCfg!R1088,FALSE)</f>
        <v>6</v>
      </c>
      <c r="J1088" s="102">
        <f>VLOOKUP(P1088&amp;"_"&amp;Q1088,活动关卡!$A$88:$Z$111,4+5*MonsterWaveCallRuleCfg!R1088,FALSE)</f>
        <v>2</v>
      </c>
      <c r="K1088" s="102">
        <f t="shared" si="222"/>
        <v>1</v>
      </c>
      <c r="L1088" s="102" t="str">
        <f>IF(VLOOKUP(P1088&amp;"_"&amp;Q1088,活动关卡!$A$88:$Z$111,2+5*R1088,FALSE)="","","Monster_Season4_Challenge"&amp;P1088&amp;"_"&amp;Q1088&amp;"_"&amp;R1088)</f>
        <v>Monster_Season4_Challenge2_2_2</v>
      </c>
      <c r="M1088" s="57">
        <f t="shared" si="223"/>
        <v>1</v>
      </c>
      <c r="O1088" s="102">
        <f>VLOOKUP(P1088&amp;"_"&amp;Q1088,活动关卡!$A$4:$Z$27,6+5*MonsterWaveCallRuleCfg!R1088,FALSE)</f>
        <v>20</v>
      </c>
      <c r="P1088" s="110">
        <v>2</v>
      </c>
      <c r="Q1088" s="110">
        <f t="shared" si="225"/>
        <v>2</v>
      </c>
      <c r="R1088" s="110">
        <v>2</v>
      </c>
    </row>
    <row r="1089" spans="2:18" x14ac:dyDescent="0.2">
      <c r="B1089" s="57" t="str">
        <f t="shared" si="218"/>
        <v/>
      </c>
      <c r="D1089" s="57" t="str">
        <f t="shared" si="219"/>
        <v/>
      </c>
      <c r="F1089" s="57" t="str">
        <f t="shared" si="220"/>
        <v/>
      </c>
      <c r="G1089" s="102" t="str">
        <f t="shared" si="224"/>
        <v/>
      </c>
      <c r="H1089" s="57">
        <f t="shared" si="221"/>
        <v>0</v>
      </c>
      <c r="I1089" s="102">
        <f>VLOOKUP(P1089&amp;"_"&amp;Q1089,活动关卡!$A$88:$Z$111,3+5*MonsterWaveCallRuleCfg!R1089,FALSE)</f>
        <v>6</v>
      </c>
      <c r="J1089" s="102">
        <f>VLOOKUP(P1089&amp;"_"&amp;Q1089,活动关卡!$A$88:$Z$111,4+5*MonsterWaveCallRuleCfg!R1089,FALSE)</f>
        <v>2</v>
      </c>
      <c r="K1089" s="102">
        <f t="shared" si="222"/>
        <v>1</v>
      </c>
      <c r="L1089" s="102" t="str">
        <f>IF(VLOOKUP(P1089&amp;"_"&amp;Q1089,活动关卡!$A$88:$Z$111,2+5*R1089,FALSE)="","","Monster_Season4_Challenge"&amp;P1089&amp;"_"&amp;Q1089&amp;"_"&amp;R1089)</f>
        <v>Monster_Season4_Challenge2_2_3</v>
      </c>
      <c r="M1089" s="57">
        <f t="shared" si="223"/>
        <v>1</v>
      </c>
      <c r="O1089" s="102">
        <f>VLOOKUP(P1089&amp;"_"&amp;Q1089,活动关卡!$A$4:$Z$27,6+5*MonsterWaveCallRuleCfg!R1089,FALSE)</f>
        <v>20</v>
      </c>
      <c r="P1089" s="110">
        <v>2</v>
      </c>
      <c r="Q1089" s="110">
        <f t="shared" si="225"/>
        <v>2</v>
      </c>
      <c r="R1089" s="110">
        <v>3</v>
      </c>
    </row>
    <row r="1090" spans="2:18" x14ac:dyDescent="0.2">
      <c r="B1090" s="57" t="str">
        <f t="shared" si="218"/>
        <v/>
      </c>
      <c r="D1090" s="57" t="str">
        <f t="shared" si="219"/>
        <v/>
      </c>
      <c r="F1090" s="57" t="str">
        <f t="shared" si="220"/>
        <v/>
      </c>
      <c r="G1090" s="102" t="str">
        <f t="shared" si="224"/>
        <v/>
      </c>
      <c r="H1090" s="57" t="str">
        <f t="shared" si="221"/>
        <v/>
      </c>
      <c r="I1090" s="102" t="str">
        <f>VLOOKUP(P1090&amp;"_"&amp;Q1090,活动关卡!$A$88:$Z$111,3+5*MonsterWaveCallRuleCfg!R1090,FALSE)</f>
        <v/>
      </c>
      <c r="J1090" s="102" t="str">
        <f>VLOOKUP(P1090&amp;"_"&amp;Q1090,活动关卡!$A$88:$Z$111,4+5*MonsterWaveCallRuleCfg!R1090,FALSE)</f>
        <v/>
      </c>
      <c r="K1090" s="102" t="str">
        <f t="shared" si="222"/>
        <v/>
      </c>
      <c r="L1090" s="102" t="str">
        <f>IF(VLOOKUP(P1090&amp;"_"&amp;Q1090,活动关卡!$A$88:$Z$111,2+5*R1090,FALSE)="","","Monster_Season4_Challenge"&amp;P1090&amp;"_"&amp;Q1090&amp;"_"&amp;R1090)</f>
        <v/>
      </c>
      <c r="M1090" s="57" t="str">
        <f t="shared" si="223"/>
        <v/>
      </c>
      <c r="O1090" s="102" t="str">
        <f>VLOOKUP(P1090&amp;"_"&amp;Q1090,活动关卡!$A$4:$Z$27,6+5*MonsterWaveCallRuleCfg!R1090,FALSE)</f>
        <v/>
      </c>
      <c r="P1090" s="110">
        <v>2</v>
      </c>
      <c r="Q1090" s="110">
        <f t="shared" si="225"/>
        <v>2</v>
      </c>
      <c r="R1090" s="110">
        <v>4</v>
      </c>
    </row>
    <row r="1091" spans="2:18" x14ac:dyDescent="0.2">
      <c r="B1091" s="57" t="str">
        <f t="shared" si="218"/>
        <v>MonsterWaveCallRule_Season4_Challenge2</v>
      </c>
      <c r="C1091" s="57">
        <v>3</v>
      </c>
      <c r="D1091" s="57" t="str">
        <f t="shared" si="219"/>
        <v>赛季4关卡2第3波</v>
      </c>
      <c r="F1091" s="57">
        <f t="shared" si="220"/>
        <v>0</v>
      </c>
      <c r="G1091" s="102">
        <f t="shared" si="224"/>
        <v>180</v>
      </c>
      <c r="H1091" s="57">
        <f t="shared" si="221"/>
        <v>0</v>
      </c>
      <c r="I1091" s="102">
        <f>VLOOKUP(P1091&amp;"_"&amp;Q1091,活动关卡!$A$88:$Z$111,3+5*MonsterWaveCallRuleCfg!R1091,FALSE)</f>
        <v>15</v>
      </c>
      <c r="J1091" s="102">
        <f>VLOOKUP(P1091&amp;"_"&amp;Q1091,活动关卡!$A$88:$Z$111,4+5*MonsterWaveCallRuleCfg!R1091,FALSE)</f>
        <v>1</v>
      </c>
      <c r="K1091" s="102">
        <f t="shared" si="222"/>
        <v>1</v>
      </c>
      <c r="L1091" s="102" t="str">
        <f>IF(VLOOKUP(P1091&amp;"_"&amp;Q1091,活动关卡!$A$88:$Z$111,2+5*R1091,FALSE)="","","Monster_Season4_Challenge"&amp;P1091&amp;"_"&amp;Q1091&amp;"_"&amp;R1091)</f>
        <v>Monster_Season4_Challenge2_3_1</v>
      </c>
      <c r="M1091" s="57">
        <f t="shared" si="223"/>
        <v>1</v>
      </c>
      <c r="O1091" s="102">
        <f>VLOOKUP(P1091&amp;"_"&amp;Q1091,活动关卡!$A$4:$Z$27,6+5*MonsterWaveCallRuleCfg!R1091,FALSE)</f>
        <v>6</v>
      </c>
      <c r="P1091" s="110">
        <v>2</v>
      </c>
      <c r="Q1091" s="110">
        <f t="shared" si="225"/>
        <v>3</v>
      </c>
      <c r="R1091" s="110">
        <v>1</v>
      </c>
    </row>
    <row r="1092" spans="2:18" x14ac:dyDescent="0.2">
      <c r="B1092" s="57" t="str">
        <f t="shared" si="218"/>
        <v/>
      </c>
      <c r="D1092" s="57" t="str">
        <f t="shared" si="219"/>
        <v/>
      </c>
      <c r="F1092" s="57" t="str">
        <f t="shared" si="220"/>
        <v/>
      </c>
      <c r="G1092" s="102" t="str">
        <f t="shared" si="224"/>
        <v/>
      </c>
      <c r="H1092" s="57">
        <f t="shared" si="221"/>
        <v>0</v>
      </c>
      <c r="I1092" s="102">
        <f>VLOOKUP(P1092&amp;"_"&amp;Q1092,活动关卡!$A$88:$Z$111,3+5*MonsterWaveCallRuleCfg!R1092,FALSE)</f>
        <v>15</v>
      </c>
      <c r="J1092" s="102">
        <f>VLOOKUP(P1092&amp;"_"&amp;Q1092,活动关卡!$A$88:$Z$111,4+5*MonsterWaveCallRuleCfg!R1092,FALSE)</f>
        <v>1</v>
      </c>
      <c r="K1092" s="102">
        <f t="shared" si="222"/>
        <v>1</v>
      </c>
      <c r="L1092" s="102" t="str">
        <f>IF(VLOOKUP(P1092&amp;"_"&amp;Q1092,活动关卡!$A$88:$Z$111,2+5*R1092,FALSE)="","","Monster_Season4_Challenge"&amp;P1092&amp;"_"&amp;Q1092&amp;"_"&amp;R1092)</f>
        <v>Monster_Season4_Challenge2_3_2</v>
      </c>
      <c r="M1092" s="57">
        <f t="shared" si="223"/>
        <v>1</v>
      </c>
      <c r="O1092" s="102">
        <f>VLOOKUP(P1092&amp;"_"&amp;Q1092,活动关卡!$A$4:$Z$27,6+5*MonsterWaveCallRuleCfg!R1092,FALSE)</f>
        <v>3</v>
      </c>
      <c r="P1092" s="110">
        <v>2</v>
      </c>
      <c r="Q1092" s="110">
        <f t="shared" si="225"/>
        <v>3</v>
      </c>
      <c r="R1092" s="110">
        <v>2</v>
      </c>
    </row>
    <row r="1093" spans="2:18" x14ac:dyDescent="0.2">
      <c r="B1093" s="57" t="str">
        <f t="shared" si="218"/>
        <v/>
      </c>
      <c r="D1093" s="57" t="str">
        <f t="shared" si="219"/>
        <v/>
      </c>
      <c r="F1093" s="57" t="str">
        <f t="shared" si="220"/>
        <v/>
      </c>
      <c r="G1093" s="102" t="str">
        <f t="shared" si="224"/>
        <v/>
      </c>
      <c r="H1093" s="57">
        <f t="shared" si="221"/>
        <v>0</v>
      </c>
      <c r="I1093" s="102">
        <f>VLOOKUP(P1093&amp;"_"&amp;Q1093,活动关卡!$A$88:$Z$111,3+5*MonsterWaveCallRuleCfg!R1093,FALSE)</f>
        <v>15</v>
      </c>
      <c r="J1093" s="102">
        <f>VLOOKUP(P1093&amp;"_"&amp;Q1093,活动关卡!$A$88:$Z$111,4+5*MonsterWaveCallRuleCfg!R1093,FALSE)</f>
        <v>1</v>
      </c>
      <c r="K1093" s="102">
        <f t="shared" si="222"/>
        <v>1</v>
      </c>
      <c r="L1093" s="102" t="str">
        <f>IF(VLOOKUP(P1093&amp;"_"&amp;Q1093,活动关卡!$A$88:$Z$111,2+5*R1093,FALSE)="","","Monster_Season4_Challenge"&amp;P1093&amp;"_"&amp;Q1093&amp;"_"&amp;R1093)</f>
        <v>Monster_Season4_Challenge2_3_3</v>
      </c>
      <c r="M1093" s="57">
        <f t="shared" si="223"/>
        <v>1</v>
      </c>
      <c r="O1093" s="102">
        <f>VLOOKUP(P1093&amp;"_"&amp;Q1093,活动关卡!$A$4:$Z$27,6+5*MonsterWaveCallRuleCfg!R1093,FALSE)</f>
        <v>11</v>
      </c>
      <c r="P1093" s="110">
        <v>2</v>
      </c>
      <c r="Q1093" s="110">
        <f t="shared" si="225"/>
        <v>3</v>
      </c>
      <c r="R1093" s="110">
        <v>3</v>
      </c>
    </row>
    <row r="1094" spans="2:18" x14ac:dyDescent="0.2">
      <c r="B1094" s="57" t="str">
        <f t="shared" si="218"/>
        <v/>
      </c>
      <c r="D1094" s="57" t="str">
        <f t="shared" si="219"/>
        <v/>
      </c>
      <c r="F1094" s="57" t="str">
        <f t="shared" si="220"/>
        <v/>
      </c>
      <c r="G1094" s="102" t="str">
        <f t="shared" si="224"/>
        <v/>
      </c>
      <c r="H1094" s="57" t="str">
        <f t="shared" si="221"/>
        <v/>
      </c>
      <c r="I1094" s="102" t="str">
        <f>VLOOKUP(P1094&amp;"_"&amp;Q1094,活动关卡!$A$88:$Z$111,3+5*MonsterWaveCallRuleCfg!R1094,FALSE)</f>
        <v/>
      </c>
      <c r="J1094" s="102" t="str">
        <f>VLOOKUP(P1094&amp;"_"&amp;Q1094,活动关卡!$A$88:$Z$111,4+5*MonsterWaveCallRuleCfg!R1094,FALSE)</f>
        <v/>
      </c>
      <c r="K1094" s="102" t="str">
        <f t="shared" si="222"/>
        <v/>
      </c>
      <c r="L1094" s="102" t="str">
        <f>IF(VLOOKUP(P1094&amp;"_"&amp;Q1094,活动关卡!$A$88:$Z$111,2+5*R1094,FALSE)="","","Monster_Season4_Challenge"&amp;P1094&amp;"_"&amp;Q1094&amp;"_"&amp;R1094)</f>
        <v/>
      </c>
      <c r="M1094" s="57" t="str">
        <f t="shared" si="223"/>
        <v/>
      </c>
      <c r="O1094" s="102" t="str">
        <f>VLOOKUP(P1094&amp;"_"&amp;Q1094,活动关卡!$A$4:$Z$27,6+5*MonsterWaveCallRuleCfg!R1094,FALSE)</f>
        <v/>
      </c>
      <c r="P1094" s="110">
        <v>2</v>
      </c>
      <c r="Q1094" s="110">
        <f t="shared" si="225"/>
        <v>3</v>
      </c>
      <c r="R1094" s="110">
        <v>4</v>
      </c>
    </row>
    <row r="1095" spans="2:18" x14ac:dyDescent="0.2">
      <c r="B1095" s="57" t="str">
        <f t="shared" ref="B1095:B1126" si="226">IF(C1095="","","MonsterWaveCallRule_Season4_Challenge"&amp;P1095)</f>
        <v>MonsterWaveCallRule_Season4_Challenge2</v>
      </c>
      <c r="C1095" s="57">
        <v>4</v>
      </c>
      <c r="D1095" s="57" t="str">
        <f t="shared" ref="D1095:D1126" si="227">IF(C1095="","","赛季4关卡"&amp;P1095&amp;"第"&amp;C1095&amp;"波")</f>
        <v>赛季4关卡2第4波</v>
      </c>
      <c r="F1095" s="57">
        <f t="shared" si="220"/>
        <v>0</v>
      </c>
      <c r="G1095" s="102">
        <f t="shared" si="224"/>
        <v>180</v>
      </c>
      <c r="H1095" s="57">
        <f t="shared" si="221"/>
        <v>0</v>
      </c>
      <c r="I1095" s="102">
        <f>VLOOKUP(P1095&amp;"_"&amp;Q1095,活动关卡!$A$88:$Z$111,3+5*MonsterWaveCallRuleCfg!R1095,FALSE)</f>
        <v>18</v>
      </c>
      <c r="J1095" s="102">
        <f>VLOOKUP(P1095&amp;"_"&amp;Q1095,活动关卡!$A$88:$Z$111,4+5*MonsterWaveCallRuleCfg!R1095,FALSE)</f>
        <v>1</v>
      </c>
      <c r="K1095" s="102">
        <f t="shared" si="222"/>
        <v>1</v>
      </c>
      <c r="L1095" s="102" t="str">
        <f>IF(VLOOKUP(P1095&amp;"_"&amp;Q1095,活动关卡!$A$88:$Z$111,2+5*R1095,FALSE)="","","Monster_Season4_Challenge"&amp;P1095&amp;"_"&amp;Q1095&amp;"_"&amp;R1095)</f>
        <v>Monster_Season4_Challenge2_4_1</v>
      </c>
      <c r="M1095" s="57">
        <f t="shared" si="223"/>
        <v>1</v>
      </c>
      <c r="O1095" s="102">
        <f>VLOOKUP(P1095&amp;"_"&amp;Q1095,活动关卡!$A$4:$Z$27,6+5*MonsterWaveCallRuleCfg!R1095,FALSE)</f>
        <v>4</v>
      </c>
      <c r="P1095" s="110">
        <v>2</v>
      </c>
      <c r="Q1095" s="110">
        <f t="shared" si="225"/>
        <v>4</v>
      </c>
      <c r="R1095" s="110">
        <v>1</v>
      </c>
    </row>
    <row r="1096" spans="2:18" x14ac:dyDescent="0.2">
      <c r="B1096" s="57" t="str">
        <f t="shared" si="226"/>
        <v/>
      </c>
      <c r="D1096" s="57" t="str">
        <f t="shared" si="227"/>
        <v/>
      </c>
      <c r="F1096" s="57" t="str">
        <f t="shared" si="220"/>
        <v/>
      </c>
      <c r="G1096" s="102" t="str">
        <f t="shared" si="224"/>
        <v/>
      </c>
      <c r="H1096" s="57">
        <f t="shared" si="221"/>
        <v>0</v>
      </c>
      <c r="I1096" s="102">
        <f>VLOOKUP(P1096&amp;"_"&amp;Q1096,活动关卡!$A$88:$Z$111,3+5*MonsterWaveCallRuleCfg!R1096,FALSE)</f>
        <v>18</v>
      </c>
      <c r="J1096" s="102">
        <f>VLOOKUP(P1096&amp;"_"&amp;Q1096,活动关卡!$A$88:$Z$111,4+5*MonsterWaveCallRuleCfg!R1096,FALSE)</f>
        <v>1</v>
      </c>
      <c r="K1096" s="102">
        <f t="shared" si="222"/>
        <v>1</v>
      </c>
      <c r="L1096" s="102" t="str">
        <f>IF(VLOOKUP(P1096&amp;"_"&amp;Q1096,活动关卡!$A$88:$Z$111,2+5*R1096,FALSE)="","","Monster_Season4_Challenge"&amp;P1096&amp;"_"&amp;Q1096&amp;"_"&amp;R1096)</f>
        <v>Monster_Season4_Challenge2_4_2</v>
      </c>
      <c r="M1096" s="57">
        <f t="shared" si="223"/>
        <v>1</v>
      </c>
      <c r="O1096" s="102">
        <f>VLOOKUP(P1096&amp;"_"&amp;Q1096,活动关卡!$A$4:$Z$27,6+5*MonsterWaveCallRuleCfg!R1096,FALSE)</f>
        <v>2</v>
      </c>
      <c r="P1096" s="110">
        <v>2</v>
      </c>
      <c r="Q1096" s="110">
        <f t="shared" si="225"/>
        <v>4</v>
      </c>
      <c r="R1096" s="110">
        <v>2</v>
      </c>
    </row>
    <row r="1097" spans="2:18" x14ac:dyDescent="0.2">
      <c r="B1097" s="57" t="str">
        <f t="shared" si="226"/>
        <v/>
      </c>
      <c r="D1097" s="57" t="str">
        <f t="shared" si="227"/>
        <v/>
      </c>
      <c r="F1097" s="57" t="str">
        <f t="shared" si="220"/>
        <v/>
      </c>
      <c r="G1097" s="102" t="str">
        <f t="shared" si="224"/>
        <v/>
      </c>
      <c r="H1097" s="57">
        <f t="shared" si="221"/>
        <v>0</v>
      </c>
      <c r="I1097" s="102">
        <f>VLOOKUP(P1097&amp;"_"&amp;Q1097,活动关卡!$A$88:$Z$111,3+5*MonsterWaveCallRuleCfg!R1097,FALSE)</f>
        <v>9</v>
      </c>
      <c r="J1097" s="102">
        <f>VLOOKUP(P1097&amp;"_"&amp;Q1097,活动关卡!$A$88:$Z$111,4+5*MonsterWaveCallRuleCfg!R1097,FALSE)</f>
        <v>2</v>
      </c>
      <c r="K1097" s="102">
        <f t="shared" si="222"/>
        <v>1</v>
      </c>
      <c r="L1097" s="102" t="str">
        <f>IF(VLOOKUP(P1097&amp;"_"&amp;Q1097,活动关卡!$A$88:$Z$111,2+5*R1097,FALSE)="","","Monster_Season4_Challenge"&amp;P1097&amp;"_"&amp;Q1097&amp;"_"&amp;R1097)</f>
        <v>Monster_Season4_Challenge2_4_3</v>
      </c>
      <c r="M1097" s="57">
        <f t="shared" si="223"/>
        <v>1</v>
      </c>
      <c r="O1097" s="102">
        <f>VLOOKUP(P1097&amp;"_"&amp;Q1097,活动关卡!$A$4:$Z$27,6+5*MonsterWaveCallRuleCfg!R1097,FALSE)</f>
        <v>7</v>
      </c>
      <c r="P1097" s="110">
        <v>2</v>
      </c>
      <c r="Q1097" s="110">
        <f t="shared" si="225"/>
        <v>4</v>
      </c>
      <c r="R1097" s="110">
        <v>3</v>
      </c>
    </row>
    <row r="1098" spans="2:18" x14ac:dyDescent="0.2">
      <c r="B1098" s="57" t="str">
        <f t="shared" si="226"/>
        <v/>
      </c>
      <c r="D1098" s="57" t="str">
        <f t="shared" si="227"/>
        <v/>
      </c>
      <c r="F1098" s="57" t="str">
        <f t="shared" si="220"/>
        <v/>
      </c>
      <c r="G1098" s="102" t="str">
        <f t="shared" si="224"/>
        <v/>
      </c>
      <c r="H1098" s="57">
        <f t="shared" si="221"/>
        <v>0</v>
      </c>
      <c r="I1098" s="102">
        <f>VLOOKUP(P1098&amp;"_"&amp;Q1098,活动关卡!$A$88:$Z$111,3+5*MonsterWaveCallRuleCfg!R1098,FALSE)</f>
        <v>18</v>
      </c>
      <c r="J1098" s="102">
        <f>VLOOKUP(P1098&amp;"_"&amp;Q1098,活动关卡!$A$88:$Z$111,4+5*MonsterWaveCallRuleCfg!R1098,FALSE)</f>
        <v>1</v>
      </c>
      <c r="K1098" s="102">
        <f t="shared" si="222"/>
        <v>1</v>
      </c>
      <c r="L1098" s="102" t="str">
        <f>IF(VLOOKUP(P1098&amp;"_"&amp;Q1098,活动关卡!$A$88:$Z$111,2+5*R1098,FALSE)="","","Monster_Season4_Challenge"&amp;P1098&amp;"_"&amp;Q1098&amp;"_"&amp;R1098)</f>
        <v>Monster_Season4_Challenge2_4_4</v>
      </c>
      <c r="M1098" s="57">
        <f t="shared" si="223"/>
        <v>1</v>
      </c>
      <c r="O1098" s="102">
        <f>VLOOKUP(P1098&amp;"_"&amp;Q1098,活动关卡!$A$4:$Z$27,6+5*MonsterWaveCallRuleCfg!R1098,FALSE)</f>
        <v>7</v>
      </c>
      <c r="P1098" s="110">
        <v>2</v>
      </c>
      <c r="Q1098" s="110">
        <f t="shared" si="225"/>
        <v>4</v>
      </c>
      <c r="R1098" s="110">
        <v>4</v>
      </c>
    </row>
    <row r="1099" spans="2:18" x14ac:dyDescent="0.2">
      <c r="B1099" s="57" t="str">
        <f t="shared" si="226"/>
        <v>MonsterWaveCallRule_Season4_Challenge2</v>
      </c>
      <c r="C1099" s="57">
        <v>5</v>
      </c>
      <c r="D1099" s="57" t="str">
        <f t="shared" si="227"/>
        <v>赛季4关卡2第5波</v>
      </c>
      <c r="F1099" s="57">
        <f t="shared" si="220"/>
        <v>0</v>
      </c>
      <c r="G1099" s="102">
        <f t="shared" si="224"/>
        <v>180</v>
      </c>
      <c r="H1099" s="57">
        <f t="shared" si="221"/>
        <v>0</v>
      </c>
      <c r="I1099" s="102">
        <f>VLOOKUP(P1099&amp;"_"&amp;Q1099,活动关卡!$A$88:$Z$111,3+5*MonsterWaveCallRuleCfg!R1099,FALSE)</f>
        <v>20</v>
      </c>
      <c r="J1099" s="102">
        <f>VLOOKUP(P1099&amp;"_"&amp;Q1099,活动关卡!$A$88:$Z$111,4+5*MonsterWaveCallRuleCfg!R1099,FALSE)</f>
        <v>1</v>
      </c>
      <c r="K1099" s="102">
        <f t="shared" si="222"/>
        <v>1</v>
      </c>
      <c r="L1099" s="102" t="str">
        <f>IF(VLOOKUP(P1099&amp;"_"&amp;Q1099,活动关卡!$A$88:$Z$111,2+5*R1099,FALSE)="","","Monster_Season4_Challenge"&amp;P1099&amp;"_"&amp;Q1099&amp;"_"&amp;R1099)</f>
        <v>Monster_Season4_Challenge2_5_1</v>
      </c>
      <c r="M1099" s="57">
        <f t="shared" si="223"/>
        <v>1</v>
      </c>
      <c r="O1099" s="102">
        <f>VLOOKUP(P1099&amp;"_"&amp;Q1099,活动关卡!$A$4:$Z$27,6+5*MonsterWaveCallRuleCfg!R1099,FALSE)</f>
        <v>3</v>
      </c>
      <c r="P1099" s="110">
        <v>2</v>
      </c>
      <c r="Q1099" s="110">
        <f t="shared" si="225"/>
        <v>5</v>
      </c>
      <c r="R1099" s="110">
        <v>1</v>
      </c>
    </row>
    <row r="1100" spans="2:18" x14ac:dyDescent="0.2">
      <c r="B1100" s="57" t="str">
        <f t="shared" si="226"/>
        <v/>
      </c>
      <c r="D1100" s="57" t="str">
        <f t="shared" si="227"/>
        <v/>
      </c>
      <c r="F1100" s="57" t="str">
        <f t="shared" si="220"/>
        <v/>
      </c>
      <c r="G1100" s="102" t="str">
        <f t="shared" si="224"/>
        <v/>
      </c>
      <c r="H1100" s="57">
        <f t="shared" si="221"/>
        <v>0</v>
      </c>
      <c r="I1100" s="102">
        <f>VLOOKUP(P1100&amp;"_"&amp;Q1100,活动关卡!$A$88:$Z$111,3+5*MonsterWaveCallRuleCfg!R1100,FALSE)</f>
        <v>40</v>
      </c>
      <c r="J1100" s="102">
        <f>VLOOKUP(P1100&amp;"_"&amp;Q1100,活动关卡!$A$88:$Z$111,4+5*MonsterWaveCallRuleCfg!R1100,FALSE)</f>
        <v>0.5</v>
      </c>
      <c r="K1100" s="102">
        <f t="shared" si="222"/>
        <v>1</v>
      </c>
      <c r="L1100" s="102" t="str">
        <f>IF(VLOOKUP(P1100&amp;"_"&amp;Q1100,活动关卡!$A$88:$Z$111,2+5*R1100,FALSE)="","","Monster_Season4_Challenge"&amp;P1100&amp;"_"&amp;Q1100&amp;"_"&amp;R1100)</f>
        <v>Monster_Season4_Challenge2_5_2</v>
      </c>
      <c r="M1100" s="57">
        <f t="shared" si="223"/>
        <v>1</v>
      </c>
      <c r="O1100" s="102">
        <f>VLOOKUP(P1100&amp;"_"&amp;Q1100,活动关卡!$A$4:$Z$27,6+5*MonsterWaveCallRuleCfg!R1100,FALSE)</f>
        <v>1</v>
      </c>
      <c r="P1100" s="110">
        <v>2</v>
      </c>
      <c r="Q1100" s="110">
        <f t="shared" si="225"/>
        <v>5</v>
      </c>
      <c r="R1100" s="110">
        <v>2</v>
      </c>
    </row>
    <row r="1101" spans="2:18" x14ac:dyDescent="0.2">
      <c r="B1101" s="57" t="str">
        <f t="shared" si="226"/>
        <v/>
      </c>
      <c r="D1101" s="57" t="str">
        <f t="shared" si="227"/>
        <v/>
      </c>
      <c r="F1101" s="57" t="str">
        <f t="shared" si="220"/>
        <v/>
      </c>
      <c r="G1101" s="102" t="str">
        <f t="shared" si="224"/>
        <v/>
      </c>
      <c r="H1101" s="57">
        <f t="shared" si="221"/>
        <v>0</v>
      </c>
      <c r="I1101" s="102">
        <f>VLOOKUP(P1101&amp;"_"&amp;Q1101,活动关卡!$A$88:$Z$111,3+5*MonsterWaveCallRuleCfg!R1101,FALSE)</f>
        <v>20</v>
      </c>
      <c r="J1101" s="102">
        <f>VLOOKUP(P1101&amp;"_"&amp;Q1101,活动关卡!$A$88:$Z$111,4+5*MonsterWaveCallRuleCfg!R1101,FALSE)</f>
        <v>1</v>
      </c>
      <c r="K1101" s="102">
        <f t="shared" si="222"/>
        <v>1</v>
      </c>
      <c r="L1101" s="102" t="str">
        <f>IF(VLOOKUP(P1101&amp;"_"&amp;Q1101,活动关卡!$A$88:$Z$111,2+5*R1101,FALSE)="","","Monster_Season4_Challenge"&amp;P1101&amp;"_"&amp;Q1101&amp;"_"&amp;R1101)</f>
        <v>Monster_Season4_Challenge2_5_3</v>
      </c>
      <c r="M1101" s="57">
        <f t="shared" si="223"/>
        <v>1</v>
      </c>
      <c r="O1101" s="102">
        <f>VLOOKUP(P1101&amp;"_"&amp;Q1101,活动关卡!$A$4:$Z$27,6+5*MonsterWaveCallRuleCfg!R1101,FALSE)</f>
        <v>5</v>
      </c>
      <c r="P1101" s="110">
        <v>2</v>
      </c>
      <c r="Q1101" s="110">
        <f t="shared" si="225"/>
        <v>5</v>
      </c>
      <c r="R1101" s="110">
        <v>3</v>
      </c>
    </row>
    <row r="1102" spans="2:18" x14ac:dyDescent="0.2">
      <c r="B1102" s="57" t="str">
        <f t="shared" si="226"/>
        <v/>
      </c>
      <c r="D1102" s="57" t="str">
        <f t="shared" si="227"/>
        <v/>
      </c>
      <c r="F1102" s="57" t="str">
        <f t="shared" si="220"/>
        <v/>
      </c>
      <c r="G1102" s="102" t="str">
        <f t="shared" si="224"/>
        <v/>
      </c>
      <c r="H1102" s="57">
        <f t="shared" si="221"/>
        <v>0</v>
      </c>
      <c r="I1102" s="102">
        <f>VLOOKUP(P1102&amp;"_"&amp;Q1102,活动关卡!$A$88:$Z$111,3+5*MonsterWaveCallRuleCfg!R1102,FALSE)</f>
        <v>20</v>
      </c>
      <c r="J1102" s="102">
        <f>VLOOKUP(P1102&amp;"_"&amp;Q1102,活动关卡!$A$88:$Z$111,4+5*MonsterWaveCallRuleCfg!R1102,FALSE)</f>
        <v>1</v>
      </c>
      <c r="K1102" s="102">
        <f t="shared" si="222"/>
        <v>1</v>
      </c>
      <c r="L1102" s="102" t="str">
        <f>IF(VLOOKUP(P1102&amp;"_"&amp;Q1102,活动关卡!$A$88:$Z$111,2+5*R1102,FALSE)="","","Monster_Season4_Challenge"&amp;P1102&amp;"_"&amp;Q1102&amp;"_"&amp;R1102)</f>
        <v>Monster_Season4_Challenge2_5_4</v>
      </c>
      <c r="M1102" s="57">
        <f t="shared" si="223"/>
        <v>1</v>
      </c>
      <c r="O1102" s="102">
        <f>VLOOKUP(P1102&amp;"_"&amp;Q1102,活动关卡!$A$4:$Z$27,6+5*MonsterWaveCallRuleCfg!R1102,FALSE)</f>
        <v>5</v>
      </c>
      <c r="P1102" s="110">
        <v>2</v>
      </c>
      <c r="Q1102" s="110">
        <f t="shared" si="225"/>
        <v>5</v>
      </c>
      <c r="R1102" s="110">
        <v>4</v>
      </c>
    </row>
    <row r="1103" spans="2:18" x14ac:dyDescent="0.2">
      <c r="B1103" s="57" t="str">
        <f t="shared" si="226"/>
        <v>MonsterWaveCallRule_Season4_Challenge3</v>
      </c>
      <c r="C1103" s="57">
        <v>1</v>
      </c>
      <c r="D1103" s="57" t="str">
        <f t="shared" si="227"/>
        <v>赛季4关卡3第1波</v>
      </c>
      <c r="F1103" s="57">
        <f t="shared" si="220"/>
        <v>0</v>
      </c>
      <c r="G1103" s="102">
        <f t="shared" si="224"/>
        <v>180</v>
      </c>
      <c r="H1103" s="57">
        <f t="shared" si="221"/>
        <v>0</v>
      </c>
      <c r="I1103" s="102">
        <f>VLOOKUP(P1103&amp;"_"&amp;Q1103,活动关卡!$A$88:$Z$111,3+5*MonsterWaveCallRuleCfg!R1103,FALSE)</f>
        <v>5</v>
      </c>
      <c r="J1103" s="102">
        <f>VLOOKUP(P1103&amp;"_"&amp;Q1103,活动关卡!$A$88:$Z$111,4+5*MonsterWaveCallRuleCfg!R1103,FALSE)</f>
        <v>2</v>
      </c>
      <c r="K1103" s="102">
        <f t="shared" si="222"/>
        <v>1</v>
      </c>
      <c r="L1103" s="102" t="str">
        <f>IF(VLOOKUP(P1103&amp;"_"&amp;Q1103,活动关卡!$A$88:$Z$111,2+5*R1103,FALSE)="","","Monster_Season4_Challenge"&amp;P1103&amp;"_"&amp;Q1103&amp;"_"&amp;R1103)</f>
        <v>Monster_Season4_Challenge3_1_1</v>
      </c>
      <c r="M1103" s="57">
        <f t="shared" si="223"/>
        <v>1</v>
      </c>
      <c r="O1103" s="102">
        <f>VLOOKUP(P1103&amp;"_"&amp;Q1103,活动关卡!$A$4:$Z$27,6+5*MonsterWaveCallRuleCfg!R1103,FALSE)</f>
        <v>30</v>
      </c>
      <c r="P1103" s="110">
        <v>3</v>
      </c>
      <c r="Q1103" s="110">
        <f t="shared" si="225"/>
        <v>1</v>
      </c>
      <c r="R1103" s="110">
        <v>1</v>
      </c>
    </row>
    <row r="1104" spans="2:18" x14ac:dyDescent="0.2">
      <c r="B1104" s="57" t="str">
        <f t="shared" si="226"/>
        <v/>
      </c>
      <c r="D1104" s="57" t="str">
        <f t="shared" si="227"/>
        <v/>
      </c>
      <c r="F1104" s="57" t="str">
        <f t="shared" si="220"/>
        <v/>
      </c>
      <c r="G1104" s="102" t="str">
        <f t="shared" si="224"/>
        <v/>
      </c>
      <c r="H1104" s="57">
        <f t="shared" si="221"/>
        <v>0</v>
      </c>
      <c r="I1104" s="102">
        <f>VLOOKUP(P1104&amp;"_"&amp;Q1104,活动关卡!$A$88:$Z$111,3+5*MonsterWaveCallRuleCfg!R1104,FALSE)</f>
        <v>5</v>
      </c>
      <c r="J1104" s="102">
        <f>VLOOKUP(P1104&amp;"_"&amp;Q1104,活动关卡!$A$88:$Z$111,4+5*MonsterWaveCallRuleCfg!R1104,FALSE)</f>
        <v>2</v>
      </c>
      <c r="K1104" s="102">
        <f t="shared" si="222"/>
        <v>1</v>
      </c>
      <c r="L1104" s="102" t="str">
        <f>IF(VLOOKUP(P1104&amp;"_"&amp;Q1104,活动关卡!$A$88:$Z$111,2+5*R1104,FALSE)="","","Monster_Season4_Challenge"&amp;P1104&amp;"_"&amp;Q1104&amp;"_"&amp;R1104)</f>
        <v>Monster_Season4_Challenge3_1_2</v>
      </c>
      <c r="M1104" s="57">
        <f t="shared" si="223"/>
        <v>1</v>
      </c>
      <c r="O1104" s="102">
        <f>VLOOKUP(P1104&amp;"_"&amp;Q1104,活动关卡!$A$4:$Z$27,6+5*MonsterWaveCallRuleCfg!R1104,FALSE)</f>
        <v>30</v>
      </c>
      <c r="P1104" s="110">
        <v>3</v>
      </c>
      <c r="Q1104" s="110">
        <f t="shared" si="225"/>
        <v>1</v>
      </c>
      <c r="R1104" s="110">
        <v>2</v>
      </c>
    </row>
    <row r="1105" spans="2:18" x14ac:dyDescent="0.2">
      <c r="B1105" s="57" t="str">
        <f t="shared" si="226"/>
        <v/>
      </c>
      <c r="D1105" s="57" t="str">
        <f t="shared" si="227"/>
        <v/>
      </c>
      <c r="F1105" s="57" t="str">
        <f t="shared" si="220"/>
        <v/>
      </c>
      <c r="G1105" s="102" t="str">
        <f t="shared" si="224"/>
        <v/>
      </c>
      <c r="H1105" s="57" t="str">
        <f t="shared" si="221"/>
        <v/>
      </c>
      <c r="I1105" s="102" t="str">
        <f>VLOOKUP(P1105&amp;"_"&amp;Q1105,活动关卡!$A$88:$Z$111,3+5*MonsterWaveCallRuleCfg!R1105,FALSE)</f>
        <v/>
      </c>
      <c r="J1105" s="102" t="str">
        <f>VLOOKUP(P1105&amp;"_"&amp;Q1105,活动关卡!$A$88:$Z$111,4+5*MonsterWaveCallRuleCfg!R1105,FALSE)</f>
        <v/>
      </c>
      <c r="K1105" s="102" t="str">
        <f t="shared" si="222"/>
        <v/>
      </c>
      <c r="L1105" s="102" t="str">
        <f>IF(VLOOKUP(P1105&amp;"_"&amp;Q1105,活动关卡!$A$88:$Z$111,2+5*R1105,FALSE)="","","Monster_Season4_Challenge"&amp;P1105&amp;"_"&amp;Q1105&amp;"_"&amp;R1105)</f>
        <v/>
      </c>
      <c r="M1105" s="57" t="str">
        <f t="shared" si="223"/>
        <v/>
      </c>
      <c r="O1105" s="102" t="str">
        <f>VLOOKUP(P1105&amp;"_"&amp;Q1105,活动关卡!$A$4:$Z$27,6+5*MonsterWaveCallRuleCfg!R1105,FALSE)</f>
        <v/>
      </c>
      <c r="P1105" s="110">
        <v>3</v>
      </c>
      <c r="Q1105" s="110">
        <f t="shared" si="225"/>
        <v>1</v>
      </c>
      <c r="R1105" s="110">
        <v>3</v>
      </c>
    </row>
    <row r="1106" spans="2:18" x14ac:dyDescent="0.2">
      <c r="B1106" s="57" t="str">
        <f t="shared" si="226"/>
        <v/>
      </c>
      <c r="D1106" s="57" t="str">
        <f t="shared" si="227"/>
        <v/>
      </c>
      <c r="F1106" s="57" t="str">
        <f t="shared" si="220"/>
        <v/>
      </c>
      <c r="G1106" s="102" t="str">
        <f t="shared" si="224"/>
        <v/>
      </c>
      <c r="H1106" s="57" t="str">
        <f t="shared" si="221"/>
        <v/>
      </c>
      <c r="I1106" s="102" t="str">
        <f>VLOOKUP(P1106&amp;"_"&amp;Q1106,活动关卡!$A$88:$Z$111,3+5*MonsterWaveCallRuleCfg!R1106,FALSE)</f>
        <v/>
      </c>
      <c r="J1106" s="102" t="str">
        <f>VLOOKUP(P1106&amp;"_"&amp;Q1106,活动关卡!$A$88:$Z$111,4+5*MonsterWaveCallRuleCfg!R1106,FALSE)</f>
        <v/>
      </c>
      <c r="K1106" s="102" t="str">
        <f t="shared" si="222"/>
        <v/>
      </c>
      <c r="L1106" s="102" t="str">
        <f>IF(VLOOKUP(P1106&amp;"_"&amp;Q1106,活动关卡!$A$88:$Z$111,2+5*R1106,FALSE)="","","Monster_Season4_Challenge"&amp;P1106&amp;"_"&amp;Q1106&amp;"_"&amp;R1106)</f>
        <v/>
      </c>
      <c r="M1106" s="57" t="str">
        <f t="shared" si="223"/>
        <v/>
      </c>
      <c r="O1106" s="102" t="str">
        <f>VLOOKUP(P1106&amp;"_"&amp;Q1106,活动关卡!$A$4:$Z$27,6+5*MonsterWaveCallRuleCfg!R1106,FALSE)</f>
        <v/>
      </c>
      <c r="P1106" s="110">
        <v>3</v>
      </c>
      <c r="Q1106" s="110">
        <f t="shared" si="225"/>
        <v>1</v>
      </c>
      <c r="R1106" s="110">
        <v>4</v>
      </c>
    </row>
    <row r="1107" spans="2:18" x14ac:dyDescent="0.2">
      <c r="B1107" s="57" t="str">
        <f t="shared" si="226"/>
        <v>MonsterWaveCallRule_Season4_Challenge3</v>
      </c>
      <c r="C1107" s="57">
        <v>2</v>
      </c>
      <c r="D1107" s="57" t="str">
        <f t="shared" si="227"/>
        <v>赛季4关卡3第2波</v>
      </c>
      <c r="F1107" s="57">
        <f t="shared" si="220"/>
        <v>0</v>
      </c>
      <c r="G1107" s="102">
        <f t="shared" si="224"/>
        <v>180</v>
      </c>
      <c r="H1107" s="57">
        <f t="shared" si="221"/>
        <v>0</v>
      </c>
      <c r="I1107" s="102">
        <f>VLOOKUP(P1107&amp;"_"&amp;Q1107,活动关卡!$A$88:$Z$111,3+5*MonsterWaveCallRuleCfg!R1107,FALSE)</f>
        <v>6</v>
      </c>
      <c r="J1107" s="102">
        <f>VLOOKUP(P1107&amp;"_"&amp;Q1107,活动关卡!$A$88:$Z$111,4+5*MonsterWaveCallRuleCfg!R1107,FALSE)</f>
        <v>2</v>
      </c>
      <c r="K1107" s="102">
        <f t="shared" si="222"/>
        <v>1</v>
      </c>
      <c r="L1107" s="102" t="str">
        <f>IF(VLOOKUP(P1107&amp;"_"&amp;Q1107,活动关卡!$A$88:$Z$111,2+5*R1107,FALSE)="","","Monster_Season4_Challenge"&amp;P1107&amp;"_"&amp;Q1107&amp;"_"&amp;R1107)</f>
        <v>Monster_Season4_Challenge3_2_1</v>
      </c>
      <c r="M1107" s="57">
        <f t="shared" si="223"/>
        <v>1</v>
      </c>
      <c r="O1107" s="102">
        <f>VLOOKUP(P1107&amp;"_"&amp;Q1107,活动关卡!$A$4:$Z$27,6+5*MonsterWaveCallRuleCfg!R1107,FALSE)</f>
        <v>17</v>
      </c>
      <c r="P1107" s="110">
        <v>3</v>
      </c>
      <c r="Q1107" s="110">
        <f t="shared" si="225"/>
        <v>2</v>
      </c>
      <c r="R1107" s="110">
        <v>1</v>
      </c>
    </row>
    <row r="1108" spans="2:18" x14ac:dyDescent="0.2">
      <c r="B1108" s="57" t="str">
        <f t="shared" si="226"/>
        <v/>
      </c>
      <c r="D1108" s="57" t="str">
        <f t="shared" si="227"/>
        <v/>
      </c>
      <c r="F1108" s="57" t="str">
        <f t="shared" si="220"/>
        <v/>
      </c>
      <c r="G1108" s="102" t="str">
        <f t="shared" si="224"/>
        <v/>
      </c>
      <c r="H1108" s="57">
        <f t="shared" si="221"/>
        <v>0</v>
      </c>
      <c r="I1108" s="102">
        <f>VLOOKUP(P1108&amp;"_"&amp;Q1108,活动关卡!$A$88:$Z$111,3+5*MonsterWaveCallRuleCfg!R1108,FALSE)</f>
        <v>6</v>
      </c>
      <c r="J1108" s="102">
        <f>VLOOKUP(P1108&amp;"_"&amp;Q1108,活动关卡!$A$88:$Z$111,4+5*MonsterWaveCallRuleCfg!R1108,FALSE)</f>
        <v>2</v>
      </c>
      <c r="K1108" s="102">
        <f t="shared" si="222"/>
        <v>1</v>
      </c>
      <c r="L1108" s="102" t="str">
        <f>IF(VLOOKUP(P1108&amp;"_"&amp;Q1108,活动关卡!$A$88:$Z$111,2+5*R1108,FALSE)="","","Monster_Season4_Challenge"&amp;P1108&amp;"_"&amp;Q1108&amp;"_"&amp;R1108)</f>
        <v>Monster_Season4_Challenge3_2_2</v>
      </c>
      <c r="M1108" s="57">
        <f t="shared" si="223"/>
        <v>1</v>
      </c>
      <c r="O1108" s="102">
        <f>VLOOKUP(P1108&amp;"_"&amp;Q1108,活动关卡!$A$4:$Z$27,6+5*MonsterWaveCallRuleCfg!R1108,FALSE)</f>
        <v>17</v>
      </c>
      <c r="P1108" s="110">
        <v>3</v>
      </c>
      <c r="Q1108" s="110">
        <f t="shared" si="225"/>
        <v>2</v>
      </c>
      <c r="R1108" s="110">
        <v>2</v>
      </c>
    </row>
    <row r="1109" spans="2:18" x14ac:dyDescent="0.2">
      <c r="B1109" s="57" t="str">
        <f t="shared" si="226"/>
        <v/>
      </c>
      <c r="D1109" s="57" t="str">
        <f t="shared" si="227"/>
        <v/>
      </c>
      <c r="F1109" s="57" t="str">
        <f t="shared" si="220"/>
        <v/>
      </c>
      <c r="G1109" s="102" t="str">
        <f t="shared" si="224"/>
        <v/>
      </c>
      <c r="H1109" s="57">
        <f t="shared" si="221"/>
        <v>0</v>
      </c>
      <c r="I1109" s="102">
        <f>VLOOKUP(P1109&amp;"_"&amp;Q1109,活动关卡!$A$88:$Z$111,3+5*MonsterWaveCallRuleCfg!R1109,FALSE)</f>
        <v>6</v>
      </c>
      <c r="J1109" s="102">
        <f>VLOOKUP(P1109&amp;"_"&amp;Q1109,活动关卡!$A$88:$Z$111,4+5*MonsterWaveCallRuleCfg!R1109,FALSE)</f>
        <v>2</v>
      </c>
      <c r="K1109" s="102">
        <f t="shared" si="222"/>
        <v>1</v>
      </c>
      <c r="L1109" s="102" t="str">
        <f>IF(VLOOKUP(P1109&amp;"_"&amp;Q1109,活动关卡!$A$88:$Z$111,2+5*R1109,FALSE)="","","Monster_Season4_Challenge"&amp;P1109&amp;"_"&amp;Q1109&amp;"_"&amp;R1109)</f>
        <v>Monster_Season4_Challenge3_2_3</v>
      </c>
      <c r="M1109" s="57">
        <f t="shared" si="223"/>
        <v>1</v>
      </c>
      <c r="O1109" s="102">
        <f>VLOOKUP(P1109&amp;"_"&amp;Q1109,活动关卡!$A$4:$Z$27,6+5*MonsterWaveCallRuleCfg!R1109,FALSE)</f>
        <v>17</v>
      </c>
      <c r="P1109" s="110">
        <v>3</v>
      </c>
      <c r="Q1109" s="110">
        <f t="shared" si="225"/>
        <v>2</v>
      </c>
      <c r="R1109" s="110">
        <v>3</v>
      </c>
    </row>
    <row r="1110" spans="2:18" x14ac:dyDescent="0.2">
      <c r="B1110" s="57" t="str">
        <f t="shared" si="226"/>
        <v/>
      </c>
      <c r="D1110" s="57" t="str">
        <f t="shared" si="227"/>
        <v/>
      </c>
      <c r="F1110" s="57" t="str">
        <f t="shared" si="220"/>
        <v/>
      </c>
      <c r="G1110" s="102" t="str">
        <f t="shared" si="224"/>
        <v/>
      </c>
      <c r="H1110" s="57" t="str">
        <f t="shared" si="221"/>
        <v/>
      </c>
      <c r="I1110" s="102" t="str">
        <f>VLOOKUP(P1110&amp;"_"&amp;Q1110,活动关卡!$A$88:$Z$111,3+5*MonsterWaveCallRuleCfg!R1110,FALSE)</f>
        <v/>
      </c>
      <c r="J1110" s="102" t="str">
        <f>VLOOKUP(P1110&amp;"_"&amp;Q1110,活动关卡!$A$88:$Z$111,4+5*MonsterWaveCallRuleCfg!R1110,FALSE)</f>
        <v/>
      </c>
      <c r="K1110" s="102" t="str">
        <f t="shared" si="222"/>
        <v/>
      </c>
      <c r="L1110" s="102" t="str">
        <f>IF(VLOOKUP(P1110&amp;"_"&amp;Q1110,活动关卡!$A$88:$Z$111,2+5*R1110,FALSE)="","","Monster_Season4_Challenge"&amp;P1110&amp;"_"&amp;Q1110&amp;"_"&amp;R1110)</f>
        <v/>
      </c>
      <c r="M1110" s="57" t="str">
        <f t="shared" si="223"/>
        <v/>
      </c>
      <c r="O1110" s="102" t="str">
        <f>VLOOKUP(P1110&amp;"_"&amp;Q1110,活动关卡!$A$4:$Z$27,6+5*MonsterWaveCallRuleCfg!R1110,FALSE)</f>
        <v/>
      </c>
      <c r="P1110" s="110">
        <v>3</v>
      </c>
      <c r="Q1110" s="110">
        <f t="shared" si="225"/>
        <v>2</v>
      </c>
      <c r="R1110" s="110">
        <v>4</v>
      </c>
    </row>
    <row r="1111" spans="2:18" x14ac:dyDescent="0.2">
      <c r="B1111" s="57" t="str">
        <f t="shared" si="226"/>
        <v>MonsterWaveCallRule_Season4_Challenge3</v>
      </c>
      <c r="C1111" s="57">
        <v>3</v>
      </c>
      <c r="D1111" s="57" t="str">
        <f t="shared" si="227"/>
        <v>赛季4关卡3第3波</v>
      </c>
      <c r="F1111" s="57">
        <f t="shared" si="220"/>
        <v>0</v>
      </c>
      <c r="G1111" s="102">
        <f t="shared" si="224"/>
        <v>180</v>
      </c>
      <c r="H1111" s="57">
        <f t="shared" si="221"/>
        <v>0</v>
      </c>
      <c r="I1111" s="102">
        <f>VLOOKUP(P1111&amp;"_"&amp;Q1111,活动关卡!$A$88:$Z$111,3+5*MonsterWaveCallRuleCfg!R1111,FALSE)</f>
        <v>8</v>
      </c>
      <c r="J1111" s="102">
        <f>VLOOKUP(P1111&amp;"_"&amp;Q1111,活动关卡!$A$88:$Z$111,4+5*MonsterWaveCallRuleCfg!R1111,FALSE)</f>
        <v>2</v>
      </c>
      <c r="K1111" s="102">
        <f t="shared" si="222"/>
        <v>1</v>
      </c>
      <c r="L1111" s="102" t="str">
        <f>IF(VLOOKUP(P1111&amp;"_"&amp;Q1111,活动关卡!$A$88:$Z$111,2+5*R1111,FALSE)="","","Monster_Season4_Challenge"&amp;P1111&amp;"_"&amp;Q1111&amp;"_"&amp;R1111)</f>
        <v>Monster_Season4_Challenge3_3_1</v>
      </c>
      <c r="M1111" s="57">
        <f t="shared" si="223"/>
        <v>1</v>
      </c>
      <c r="O1111" s="102">
        <f>VLOOKUP(P1111&amp;"_"&amp;Q1111,活动关卡!$A$4:$Z$27,6+5*MonsterWaveCallRuleCfg!R1111,FALSE)</f>
        <v>15</v>
      </c>
      <c r="P1111" s="110">
        <v>3</v>
      </c>
      <c r="Q1111" s="110">
        <f t="shared" si="225"/>
        <v>3</v>
      </c>
      <c r="R1111" s="110">
        <v>1</v>
      </c>
    </row>
    <row r="1112" spans="2:18" x14ac:dyDescent="0.2">
      <c r="B1112" s="57" t="str">
        <f t="shared" si="226"/>
        <v/>
      </c>
      <c r="D1112" s="57" t="str">
        <f t="shared" si="227"/>
        <v/>
      </c>
      <c r="F1112" s="57" t="str">
        <f t="shared" si="220"/>
        <v/>
      </c>
      <c r="G1112" s="102" t="str">
        <f t="shared" si="224"/>
        <v/>
      </c>
      <c r="H1112" s="57">
        <f t="shared" si="221"/>
        <v>0</v>
      </c>
      <c r="I1112" s="102">
        <f>VLOOKUP(P1112&amp;"_"&amp;Q1112,活动关卡!$A$88:$Z$111,3+5*MonsterWaveCallRuleCfg!R1112,FALSE)</f>
        <v>15</v>
      </c>
      <c r="J1112" s="102">
        <f>VLOOKUP(P1112&amp;"_"&amp;Q1112,活动关卡!$A$88:$Z$111,4+5*MonsterWaveCallRuleCfg!R1112,FALSE)</f>
        <v>1</v>
      </c>
      <c r="K1112" s="102">
        <f t="shared" si="222"/>
        <v>1</v>
      </c>
      <c r="L1112" s="102" t="str">
        <f>IF(VLOOKUP(P1112&amp;"_"&amp;Q1112,活动关卡!$A$88:$Z$111,2+5*R1112,FALSE)="","","Monster_Season4_Challenge"&amp;P1112&amp;"_"&amp;Q1112&amp;"_"&amp;R1112)</f>
        <v>Monster_Season4_Challenge3_3_2</v>
      </c>
      <c r="M1112" s="57">
        <f t="shared" si="223"/>
        <v>1</v>
      </c>
      <c r="O1112" s="102">
        <f>VLOOKUP(P1112&amp;"_"&amp;Q1112,活动关卡!$A$4:$Z$27,6+5*MonsterWaveCallRuleCfg!R1112,FALSE)</f>
        <v>4</v>
      </c>
      <c r="P1112" s="110">
        <v>3</v>
      </c>
      <c r="Q1112" s="110">
        <f t="shared" si="225"/>
        <v>3</v>
      </c>
      <c r="R1112" s="110">
        <v>2</v>
      </c>
    </row>
    <row r="1113" spans="2:18" x14ac:dyDescent="0.2">
      <c r="B1113" s="57" t="str">
        <f t="shared" si="226"/>
        <v/>
      </c>
      <c r="D1113" s="57" t="str">
        <f t="shared" si="227"/>
        <v/>
      </c>
      <c r="F1113" s="57" t="str">
        <f t="shared" si="220"/>
        <v/>
      </c>
      <c r="G1113" s="102" t="str">
        <f t="shared" si="224"/>
        <v/>
      </c>
      <c r="H1113" s="57">
        <f t="shared" si="221"/>
        <v>0</v>
      </c>
      <c r="I1113" s="102">
        <f>VLOOKUP(P1113&amp;"_"&amp;Q1113,活动关卡!$A$88:$Z$111,3+5*MonsterWaveCallRuleCfg!R1113,FALSE)</f>
        <v>8</v>
      </c>
      <c r="J1113" s="102">
        <f>VLOOKUP(P1113&amp;"_"&amp;Q1113,活动关卡!$A$88:$Z$111,4+5*MonsterWaveCallRuleCfg!R1113,FALSE)</f>
        <v>2</v>
      </c>
      <c r="K1113" s="102">
        <f t="shared" si="222"/>
        <v>1</v>
      </c>
      <c r="L1113" s="102" t="str">
        <f>IF(VLOOKUP(P1113&amp;"_"&amp;Q1113,活动关卡!$A$88:$Z$111,2+5*R1113,FALSE)="","","Monster_Season4_Challenge"&amp;P1113&amp;"_"&amp;Q1113&amp;"_"&amp;R1113)</f>
        <v>Monster_Season4_Challenge3_3_3</v>
      </c>
      <c r="M1113" s="57">
        <f t="shared" si="223"/>
        <v>1</v>
      </c>
      <c r="O1113" s="102">
        <f>VLOOKUP(P1113&amp;"_"&amp;Q1113,活动关卡!$A$4:$Z$27,6+5*MonsterWaveCallRuleCfg!R1113,FALSE)</f>
        <v>15</v>
      </c>
      <c r="P1113" s="110">
        <v>3</v>
      </c>
      <c r="Q1113" s="110">
        <f t="shared" si="225"/>
        <v>3</v>
      </c>
      <c r="R1113" s="110">
        <v>3</v>
      </c>
    </row>
    <row r="1114" spans="2:18" x14ac:dyDescent="0.2">
      <c r="B1114" s="57" t="str">
        <f t="shared" si="226"/>
        <v/>
      </c>
      <c r="D1114" s="57" t="str">
        <f t="shared" si="227"/>
        <v/>
      </c>
      <c r="F1114" s="57" t="str">
        <f t="shared" si="220"/>
        <v/>
      </c>
      <c r="G1114" s="102" t="str">
        <f t="shared" si="224"/>
        <v/>
      </c>
      <c r="H1114" s="57" t="str">
        <f t="shared" si="221"/>
        <v/>
      </c>
      <c r="I1114" s="102" t="str">
        <f>VLOOKUP(P1114&amp;"_"&amp;Q1114,活动关卡!$A$88:$Z$111,3+5*MonsterWaveCallRuleCfg!R1114,FALSE)</f>
        <v/>
      </c>
      <c r="J1114" s="102" t="str">
        <f>VLOOKUP(P1114&amp;"_"&amp;Q1114,活动关卡!$A$88:$Z$111,4+5*MonsterWaveCallRuleCfg!R1114,FALSE)</f>
        <v/>
      </c>
      <c r="K1114" s="102" t="str">
        <f t="shared" si="222"/>
        <v/>
      </c>
      <c r="L1114" s="102" t="str">
        <f>IF(VLOOKUP(P1114&amp;"_"&amp;Q1114,活动关卡!$A$88:$Z$111,2+5*R1114,FALSE)="","","Monster_Season4_Challenge"&amp;P1114&amp;"_"&amp;Q1114&amp;"_"&amp;R1114)</f>
        <v/>
      </c>
      <c r="M1114" s="57" t="str">
        <f t="shared" si="223"/>
        <v/>
      </c>
      <c r="O1114" s="102" t="str">
        <f>VLOOKUP(P1114&amp;"_"&amp;Q1114,活动关卡!$A$4:$Z$27,6+5*MonsterWaveCallRuleCfg!R1114,FALSE)</f>
        <v/>
      </c>
      <c r="P1114" s="110">
        <v>3</v>
      </c>
      <c r="Q1114" s="110">
        <f t="shared" si="225"/>
        <v>3</v>
      </c>
      <c r="R1114" s="110">
        <v>4</v>
      </c>
    </row>
    <row r="1115" spans="2:18" x14ac:dyDescent="0.2">
      <c r="B1115" s="57" t="str">
        <f t="shared" si="226"/>
        <v>MonsterWaveCallRule_Season4_Challenge3</v>
      </c>
      <c r="C1115" s="57">
        <v>4</v>
      </c>
      <c r="D1115" s="57" t="str">
        <f t="shared" si="227"/>
        <v>赛季4关卡3第4波</v>
      </c>
      <c r="F1115" s="57">
        <f t="shared" si="220"/>
        <v>0</v>
      </c>
      <c r="G1115" s="102">
        <f t="shared" si="224"/>
        <v>180</v>
      </c>
      <c r="H1115" s="57" t="e">
        <f t="shared" si="221"/>
        <v>#N/A</v>
      </c>
      <c r="I1115" s="102" t="e">
        <f>VLOOKUP(P1115&amp;"_"&amp;Q1115,活动关卡!$A$88:$Z$111,3+5*MonsterWaveCallRuleCfg!R1115,FALSE)</f>
        <v>#N/A</v>
      </c>
      <c r="J1115" s="102" t="e">
        <f>VLOOKUP(P1115&amp;"_"&amp;Q1115,活动关卡!$A$88:$Z$111,4+5*MonsterWaveCallRuleCfg!R1115,FALSE)</f>
        <v>#N/A</v>
      </c>
      <c r="K1115" s="102" t="e">
        <f t="shared" si="222"/>
        <v>#N/A</v>
      </c>
      <c r="L1115" s="102" t="e">
        <f>IF(VLOOKUP(P1115&amp;"_"&amp;Q1115,活动关卡!$A$88:$Z$111,2+5*R1115,FALSE)="","","Monster_Season4_Challenge"&amp;P1115&amp;"_"&amp;Q1115&amp;"_"&amp;R1115)</f>
        <v>#N/A</v>
      </c>
      <c r="M1115" s="57" t="e">
        <f t="shared" si="223"/>
        <v>#N/A</v>
      </c>
      <c r="O1115" s="102" t="e">
        <f>VLOOKUP(P1115&amp;"_"&amp;Q1115,活动关卡!$A$4:$Z$27,6+5*MonsterWaveCallRuleCfg!R1115,FALSE)</f>
        <v>#N/A</v>
      </c>
      <c r="P1115" s="110">
        <v>3</v>
      </c>
      <c r="Q1115" s="110">
        <f t="shared" si="225"/>
        <v>4</v>
      </c>
      <c r="R1115" s="110">
        <v>1</v>
      </c>
    </row>
    <row r="1116" spans="2:18" x14ac:dyDescent="0.2">
      <c r="B1116" s="57" t="str">
        <f t="shared" si="226"/>
        <v/>
      </c>
      <c r="D1116" s="57" t="str">
        <f t="shared" si="227"/>
        <v/>
      </c>
      <c r="F1116" s="57" t="str">
        <f t="shared" si="220"/>
        <v/>
      </c>
      <c r="G1116" s="102" t="str">
        <f t="shared" si="224"/>
        <v/>
      </c>
      <c r="H1116" s="57" t="e">
        <f t="shared" si="221"/>
        <v>#N/A</v>
      </c>
      <c r="I1116" s="102" t="e">
        <f>VLOOKUP(P1116&amp;"_"&amp;Q1116,活动关卡!$A$88:$Z$111,3+5*MonsterWaveCallRuleCfg!R1116,FALSE)</f>
        <v>#N/A</v>
      </c>
      <c r="J1116" s="102" t="e">
        <f>VLOOKUP(P1116&amp;"_"&amp;Q1116,活动关卡!$A$88:$Z$111,4+5*MonsterWaveCallRuleCfg!R1116,FALSE)</f>
        <v>#N/A</v>
      </c>
      <c r="K1116" s="102" t="e">
        <f t="shared" si="222"/>
        <v>#N/A</v>
      </c>
      <c r="L1116" s="102" t="e">
        <f>IF(VLOOKUP(P1116&amp;"_"&amp;Q1116,活动关卡!$A$88:$Z$111,2+5*R1116,FALSE)="","","Monster_Season4_Challenge"&amp;P1116&amp;"_"&amp;Q1116&amp;"_"&amp;R1116)</f>
        <v>#N/A</v>
      </c>
      <c r="M1116" s="57" t="e">
        <f t="shared" si="223"/>
        <v>#N/A</v>
      </c>
      <c r="O1116" s="102" t="e">
        <f>VLOOKUP(P1116&amp;"_"&amp;Q1116,活动关卡!$A$4:$Z$27,6+5*MonsterWaveCallRuleCfg!R1116,FALSE)</f>
        <v>#N/A</v>
      </c>
      <c r="P1116" s="110">
        <v>3</v>
      </c>
      <c r="Q1116" s="110">
        <f t="shared" si="225"/>
        <v>4</v>
      </c>
      <c r="R1116" s="110">
        <v>2</v>
      </c>
    </row>
    <row r="1117" spans="2:18" x14ac:dyDescent="0.2">
      <c r="B1117" s="57" t="str">
        <f t="shared" si="226"/>
        <v/>
      </c>
      <c r="D1117" s="57" t="str">
        <f t="shared" si="227"/>
        <v/>
      </c>
      <c r="F1117" s="57" t="str">
        <f t="shared" si="220"/>
        <v/>
      </c>
      <c r="G1117" s="102" t="str">
        <f t="shared" si="224"/>
        <v/>
      </c>
      <c r="H1117" s="57" t="e">
        <f t="shared" si="221"/>
        <v>#N/A</v>
      </c>
      <c r="I1117" s="102" t="e">
        <f>VLOOKUP(P1117&amp;"_"&amp;Q1117,活动关卡!$A$88:$Z$111,3+5*MonsterWaveCallRuleCfg!R1117,FALSE)</f>
        <v>#N/A</v>
      </c>
      <c r="J1117" s="102" t="e">
        <f>VLOOKUP(P1117&amp;"_"&amp;Q1117,活动关卡!$A$88:$Z$111,4+5*MonsterWaveCallRuleCfg!R1117,FALSE)</f>
        <v>#N/A</v>
      </c>
      <c r="K1117" s="102" t="e">
        <f t="shared" si="222"/>
        <v>#N/A</v>
      </c>
      <c r="L1117" s="102" t="e">
        <f>IF(VLOOKUP(P1117&amp;"_"&amp;Q1117,活动关卡!$A$88:$Z$111,2+5*R1117,FALSE)="","","Monster_Season4_Challenge"&amp;P1117&amp;"_"&amp;Q1117&amp;"_"&amp;R1117)</f>
        <v>#N/A</v>
      </c>
      <c r="M1117" s="57" t="e">
        <f t="shared" si="223"/>
        <v>#N/A</v>
      </c>
      <c r="O1117" s="102" t="e">
        <f>VLOOKUP(P1117&amp;"_"&amp;Q1117,活动关卡!$A$4:$Z$27,6+5*MonsterWaveCallRuleCfg!R1117,FALSE)</f>
        <v>#N/A</v>
      </c>
      <c r="P1117" s="110">
        <v>3</v>
      </c>
      <c r="Q1117" s="110">
        <f t="shared" si="225"/>
        <v>4</v>
      </c>
      <c r="R1117" s="110">
        <v>3</v>
      </c>
    </row>
    <row r="1118" spans="2:18" x14ac:dyDescent="0.2">
      <c r="B1118" s="57" t="str">
        <f t="shared" si="226"/>
        <v/>
      </c>
      <c r="D1118" s="57" t="str">
        <f t="shared" si="227"/>
        <v/>
      </c>
      <c r="F1118" s="57" t="str">
        <f t="shared" si="220"/>
        <v/>
      </c>
      <c r="G1118" s="102" t="str">
        <f t="shared" si="224"/>
        <v/>
      </c>
      <c r="H1118" s="57" t="e">
        <f t="shared" si="221"/>
        <v>#N/A</v>
      </c>
      <c r="I1118" s="102" t="e">
        <f>VLOOKUP(P1118&amp;"_"&amp;Q1118,活动关卡!$A$88:$Z$111,3+5*MonsterWaveCallRuleCfg!R1118,FALSE)</f>
        <v>#N/A</v>
      </c>
      <c r="J1118" s="102" t="e">
        <f>VLOOKUP(P1118&amp;"_"&amp;Q1118,活动关卡!$A$88:$Z$111,4+5*MonsterWaveCallRuleCfg!R1118,FALSE)</f>
        <v>#N/A</v>
      </c>
      <c r="K1118" s="102" t="e">
        <f t="shared" si="222"/>
        <v>#N/A</v>
      </c>
      <c r="L1118" s="102" t="e">
        <f>IF(VLOOKUP(P1118&amp;"_"&amp;Q1118,活动关卡!$A$88:$Z$111,2+5*R1118,FALSE)="","","Monster_Season4_Challenge"&amp;P1118&amp;"_"&amp;Q1118&amp;"_"&amp;R1118)</f>
        <v>#N/A</v>
      </c>
      <c r="M1118" s="57" t="e">
        <f t="shared" si="223"/>
        <v>#N/A</v>
      </c>
      <c r="O1118" s="102" t="e">
        <f>VLOOKUP(P1118&amp;"_"&amp;Q1118,活动关卡!$A$4:$Z$27,6+5*MonsterWaveCallRuleCfg!R1118,FALSE)</f>
        <v>#N/A</v>
      </c>
      <c r="P1118" s="110">
        <v>3</v>
      </c>
      <c r="Q1118" s="110">
        <f t="shared" si="225"/>
        <v>4</v>
      </c>
      <c r="R1118" s="110">
        <v>4</v>
      </c>
    </row>
    <row r="1119" spans="2:18" x14ac:dyDescent="0.2">
      <c r="B1119" s="57" t="str">
        <f t="shared" si="226"/>
        <v>MonsterWaveCallRule_Season4_Challenge3</v>
      </c>
      <c r="C1119" s="57">
        <v>5</v>
      </c>
      <c r="D1119" s="57" t="str">
        <f t="shared" si="227"/>
        <v>赛季4关卡3第5波</v>
      </c>
      <c r="F1119" s="57">
        <f t="shared" si="220"/>
        <v>0</v>
      </c>
      <c r="G1119" s="102">
        <f t="shared" si="224"/>
        <v>180</v>
      </c>
      <c r="H1119" s="57" t="e">
        <f t="shared" si="221"/>
        <v>#N/A</v>
      </c>
      <c r="I1119" s="102" t="e">
        <f>VLOOKUP(P1119&amp;"_"&amp;Q1119,活动关卡!$A$88:$Z$111,3+5*MonsterWaveCallRuleCfg!R1119,FALSE)</f>
        <v>#N/A</v>
      </c>
      <c r="J1119" s="102" t="e">
        <f>VLOOKUP(P1119&amp;"_"&amp;Q1119,活动关卡!$A$88:$Z$111,4+5*MonsterWaveCallRuleCfg!R1119,FALSE)</f>
        <v>#N/A</v>
      </c>
      <c r="K1119" s="102" t="e">
        <f t="shared" si="222"/>
        <v>#N/A</v>
      </c>
      <c r="L1119" s="102" t="e">
        <f>IF(VLOOKUP(P1119&amp;"_"&amp;Q1119,活动关卡!$A$88:$Z$111,2+5*R1119,FALSE)="","","Monster_Season4_Challenge"&amp;P1119&amp;"_"&amp;Q1119&amp;"_"&amp;R1119)</f>
        <v>#N/A</v>
      </c>
      <c r="M1119" s="57" t="e">
        <f t="shared" si="223"/>
        <v>#N/A</v>
      </c>
      <c r="O1119" s="102" t="e">
        <f>VLOOKUP(P1119&amp;"_"&amp;Q1119,活动关卡!$A$4:$Z$27,6+5*MonsterWaveCallRuleCfg!R1119,FALSE)</f>
        <v>#N/A</v>
      </c>
      <c r="P1119" s="110">
        <v>3</v>
      </c>
      <c r="Q1119" s="110">
        <f t="shared" si="225"/>
        <v>5</v>
      </c>
      <c r="R1119" s="110">
        <v>1</v>
      </c>
    </row>
    <row r="1120" spans="2:18" x14ac:dyDescent="0.2">
      <c r="B1120" s="57" t="str">
        <f t="shared" si="226"/>
        <v/>
      </c>
      <c r="D1120" s="57" t="str">
        <f t="shared" si="227"/>
        <v/>
      </c>
      <c r="F1120" s="57" t="str">
        <f t="shared" si="220"/>
        <v/>
      </c>
      <c r="G1120" s="102" t="str">
        <f t="shared" si="224"/>
        <v/>
      </c>
      <c r="H1120" s="57" t="e">
        <f t="shared" si="221"/>
        <v>#N/A</v>
      </c>
      <c r="I1120" s="102" t="e">
        <f>VLOOKUP(P1120&amp;"_"&amp;Q1120,活动关卡!$A$88:$Z$111,3+5*MonsterWaveCallRuleCfg!R1120,FALSE)</f>
        <v>#N/A</v>
      </c>
      <c r="J1120" s="102" t="e">
        <f>VLOOKUP(P1120&amp;"_"&amp;Q1120,活动关卡!$A$88:$Z$111,4+5*MonsterWaveCallRuleCfg!R1120,FALSE)</f>
        <v>#N/A</v>
      </c>
      <c r="K1120" s="102" t="e">
        <f t="shared" si="222"/>
        <v>#N/A</v>
      </c>
      <c r="L1120" s="102" t="e">
        <f>IF(VLOOKUP(P1120&amp;"_"&amp;Q1120,活动关卡!$A$88:$Z$111,2+5*R1120,FALSE)="","","Monster_Season4_Challenge"&amp;P1120&amp;"_"&amp;Q1120&amp;"_"&amp;R1120)</f>
        <v>#N/A</v>
      </c>
      <c r="M1120" s="57" t="e">
        <f t="shared" si="223"/>
        <v>#N/A</v>
      </c>
      <c r="O1120" s="102" t="e">
        <f>VLOOKUP(P1120&amp;"_"&amp;Q1120,活动关卡!$A$4:$Z$27,6+5*MonsterWaveCallRuleCfg!R1120,FALSE)</f>
        <v>#N/A</v>
      </c>
      <c r="P1120" s="110">
        <v>3</v>
      </c>
      <c r="Q1120" s="110">
        <f t="shared" si="225"/>
        <v>5</v>
      </c>
      <c r="R1120" s="110">
        <v>2</v>
      </c>
    </row>
    <row r="1121" spans="2:18" x14ac:dyDescent="0.2">
      <c r="B1121" s="57" t="str">
        <f t="shared" si="226"/>
        <v/>
      </c>
      <c r="D1121" s="57" t="str">
        <f t="shared" si="227"/>
        <v/>
      </c>
      <c r="F1121" s="57" t="str">
        <f t="shared" si="220"/>
        <v/>
      </c>
      <c r="G1121" s="102" t="str">
        <f t="shared" si="224"/>
        <v/>
      </c>
      <c r="H1121" s="57" t="e">
        <f t="shared" si="221"/>
        <v>#N/A</v>
      </c>
      <c r="I1121" s="102" t="e">
        <f>VLOOKUP(P1121&amp;"_"&amp;Q1121,活动关卡!$A$88:$Z$111,3+5*MonsterWaveCallRuleCfg!R1121,FALSE)</f>
        <v>#N/A</v>
      </c>
      <c r="J1121" s="102" t="e">
        <f>VLOOKUP(P1121&amp;"_"&amp;Q1121,活动关卡!$A$88:$Z$111,4+5*MonsterWaveCallRuleCfg!R1121,FALSE)</f>
        <v>#N/A</v>
      </c>
      <c r="K1121" s="102" t="e">
        <f t="shared" si="222"/>
        <v>#N/A</v>
      </c>
      <c r="L1121" s="102" t="e">
        <f>IF(VLOOKUP(P1121&amp;"_"&amp;Q1121,活动关卡!$A$88:$Z$111,2+5*R1121,FALSE)="","","Monster_Season4_Challenge"&amp;P1121&amp;"_"&amp;Q1121&amp;"_"&amp;R1121)</f>
        <v>#N/A</v>
      </c>
      <c r="M1121" s="57" t="e">
        <f t="shared" si="223"/>
        <v>#N/A</v>
      </c>
      <c r="O1121" s="102" t="e">
        <f>VLOOKUP(P1121&amp;"_"&amp;Q1121,活动关卡!$A$4:$Z$27,6+5*MonsterWaveCallRuleCfg!R1121,FALSE)</f>
        <v>#N/A</v>
      </c>
      <c r="P1121" s="110">
        <v>3</v>
      </c>
      <c r="Q1121" s="110">
        <f t="shared" si="225"/>
        <v>5</v>
      </c>
      <c r="R1121" s="110">
        <v>3</v>
      </c>
    </row>
    <row r="1122" spans="2:18" x14ac:dyDescent="0.2">
      <c r="B1122" s="57" t="str">
        <f t="shared" si="226"/>
        <v/>
      </c>
      <c r="D1122" s="57" t="str">
        <f t="shared" si="227"/>
        <v/>
      </c>
      <c r="F1122" s="57" t="str">
        <f t="shared" si="220"/>
        <v/>
      </c>
      <c r="G1122" s="102" t="str">
        <f t="shared" si="224"/>
        <v/>
      </c>
      <c r="H1122" s="57" t="e">
        <f t="shared" si="221"/>
        <v>#N/A</v>
      </c>
      <c r="I1122" s="102" t="e">
        <f>VLOOKUP(P1122&amp;"_"&amp;Q1122,活动关卡!$A$88:$Z$111,3+5*MonsterWaveCallRuleCfg!R1122,FALSE)</f>
        <v>#N/A</v>
      </c>
      <c r="J1122" s="102" t="e">
        <f>VLOOKUP(P1122&amp;"_"&amp;Q1122,活动关卡!$A$88:$Z$111,4+5*MonsterWaveCallRuleCfg!R1122,FALSE)</f>
        <v>#N/A</v>
      </c>
      <c r="K1122" s="102" t="e">
        <f t="shared" si="222"/>
        <v>#N/A</v>
      </c>
      <c r="L1122" s="102" t="e">
        <f>IF(VLOOKUP(P1122&amp;"_"&amp;Q1122,活动关卡!$A$88:$Z$111,2+5*R1122,FALSE)="","","Monster_Season4_Challenge"&amp;P1122&amp;"_"&amp;Q1122&amp;"_"&amp;R1122)</f>
        <v>#N/A</v>
      </c>
      <c r="M1122" s="57" t="e">
        <f t="shared" si="223"/>
        <v>#N/A</v>
      </c>
      <c r="O1122" s="102" t="e">
        <f>VLOOKUP(P1122&amp;"_"&amp;Q1122,活动关卡!$A$4:$Z$27,6+5*MonsterWaveCallRuleCfg!R1122,FALSE)</f>
        <v>#N/A</v>
      </c>
      <c r="P1122" s="110">
        <v>3</v>
      </c>
      <c r="Q1122" s="110">
        <f t="shared" si="225"/>
        <v>5</v>
      </c>
      <c r="R1122" s="110">
        <v>4</v>
      </c>
    </row>
    <row r="1123" spans="2:18" x14ac:dyDescent="0.2">
      <c r="B1123" s="57" t="str">
        <f t="shared" si="226"/>
        <v>MonsterWaveCallRule_Season4_Challenge4</v>
      </c>
      <c r="C1123" s="57">
        <v>1</v>
      </c>
      <c r="D1123" s="57" t="str">
        <f t="shared" si="227"/>
        <v>赛季4关卡4第1波</v>
      </c>
      <c r="F1123" s="57">
        <f t="shared" si="220"/>
        <v>0</v>
      </c>
      <c r="G1123" s="102">
        <f t="shared" si="224"/>
        <v>180</v>
      </c>
      <c r="H1123" s="57">
        <f t="shared" si="221"/>
        <v>0</v>
      </c>
      <c r="I1123" s="102">
        <f>VLOOKUP(P1123&amp;"_"&amp;Q1123,活动关卡!$A$88:$Z$111,3+5*MonsterWaveCallRuleCfg!R1123,FALSE)</f>
        <v>7</v>
      </c>
      <c r="J1123" s="102">
        <f>VLOOKUP(P1123&amp;"_"&amp;Q1123,活动关卡!$A$88:$Z$111,4+5*MonsterWaveCallRuleCfg!R1123,FALSE)</f>
        <v>1.5</v>
      </c>
      <c r="K1123" s="102">
        <f t="shared" si="222"/>
        <v>1</v>
      </c>
      <c r="L1123" s="102" t="str">
        <f>IF(VLOOKUP(P1123&amp;"_"&amp;Q1123,活动关卡!$A$88:$Z$111,2+5*R1123,FALSE)="","","Monster_Season4_Challenge"&amp;P1123&amp;"_"&amp;Q1123&amp;"_"&amp;R1123)</f>
        <v>Monster_Season4_Challenge4_1_1</v>
      </c>
      <c r="M1123" s="57">
        <f t="shared" si="223"/>
        <v>1</v>
      </c>
      <c r="O1123" s="102">
        <f>VLOOKUP(P1123&amp;"_"&amp;Q1123,活动关卡!$A$4:$Z$27,6+5*MonsterWaveCallRuleCfg!R1123,FALSE)</f>
        <v>18</v>
      </c>
      <c r="P1123" s="110">
        <v>4</v>
      </c>
      <c r="Q1123" s="110">
        <f t="shared" si="225"/>
        <v>1</v>
      </c>
      <c r="R1123" s="110">
        <v>1</v>
      </c>
    </row>
    <row r="1124" spans="2:18" x14ac:dyDescent="0.2">
      <c r="B1124" s="57" t="str">
        <f t="shared" si="226"/>
        <v/>
      </c>
      <c r="D1124" s="57" t="str">
        <f t="shared" si="227"/>
        <v/>
      </c>
      <c r="F1124" s="57" t="str">
        <f t="shared" si="220"/>
        <v/>
      </c>
      <c r="G1124" s="102" t="str">
        <f t="shared" si="224"/>
        <v/>
      </c>
      <c r="H1124" s="57">
        <f t="shared" si="221"/>
        <v>0</v>
      </c>
      <c r="I1124" s="102">
        <f>VLOOKUP(P1124&amp;"_"&amp;Q1124,活动关卡!$A$88:$Z$111,3+5*MonsterWaveCallRuleCfg!R1124,FALSE)</f>
        <v>5</v>
      </c>
      <c r="J1124" s="102">
        <f>VLOOKUP(P1124&amp;"_"&amp;Q1124,活动关卡!$A$88:$Z$111,4+5*MonsterWaveCallRuleCfg!R1124,FALSE)</f>
        <v>2</v>
      </c>
      <c r="K1124" s="102">
        <f t="shared" si="222"/>
        <v>1</v>
      </c>
      <c r="L1124" s="102" t="str">
        <f>IF(VLOOKUP(P1124&amp;"_"&amp;Q1124,活动关卡!$A$88:$Z$111,2+5*R1124,FALSE)="","","Monster_Season4_Challenge"&amp;P1124&amp;"_"&amp;Q1124&amp;"_"&amp;R1124)</f>
        <v>Monster_Season4_Challenge4_1_2</v>
      </c>
      <c r="M1124" s="57">
        <f t="shared" si="223"/>
        <v>1</v>
      </c>
      <c r="O1124" s="102">
        <f>VLOOKUP(P1124&amp;"_"&amp;Q1124,活动关卡!$A$4:$Z$27,6+5*MonsterWaveCallRuleCfg!R1124,FALSE)</f>
        <v>35</v>
      </c>
      <c r="P1124" s="110">
        <v>4</v>
      </c>
      <c r="Q1124" s="110">
        <f t="shared" si="225"/>
        <v>1</v>
      </c>
      <c r="R1124" s="110">
        <v>2</v>
      </c>
    </row>
    <row r="1125" spans="2:18" x14ac:dyDescent="0.2">
      <c r="B1125" s="57" t="str">
        <f t="shared" si="226"/>
        <v/>
      </c>
      <c r="D1125" s="57" t="str">
        <f t="shared" si="227"/>
        <v/>
      </c>
      <c r="F1125" s="57" t="str">
        <f t="shared" si="220"/>
        <v/>
      </c>
      <c r="G1125" s="102" t="str">
        <f t="shared" si="224"/>
        <v/>
      </c>
      <c r="H1125" s="57" t="str">
        <f t="shared" si="221"/>
        <v/>
      </c>
      <c r="I1125" s="102" t="str">
        <f>VLOOKUP(P1125&amp;"_"&amp;Q1125,活动关卡!$A$88:$Z$111,3+5*MonsterWaveCallRuleCfg!R1125,FALSE)</f>
        <v/>
      </c>
      <c r="J1125" s="102" t="str">
        <f>VLOOKUP(P1125&amp;"_"&amp;Q1125,活动关卡!$A$88:$Z$111,4+5*MonsterWaveCallRuleCfg!R1125,FALSE)</f>
        <v/>
      </c>
      <c r="K1125" s="102" t="str">
        <f t="shared" si="222"/>
        <v/>
      </c>
      <c r="L1125" s="102" t="str">
        <f>IF(VLOOKUP(P1125&amp;"_"&amp;Q1125,活动关卡!$A$88:$Z$111,2+5*R1125,FALSE)="","","Monster_Season4_Challenge"&amp;P1125&amp;"_"&amp;Q1125&amp;"_"&amp;R1125)</f>
        <v/>
      </c>
      <c r="M1125" s="57" t="str">
        <f t="shared" si="223"/>
        <v/>
      </c>
      <c r="O1125" s="102" t="str">
        <f>VLOOKUP(P1125&amp;"_"&amp;Q1125,活动关卡!$A$4:$Z$27,6+5*MonsterWaveCallRuleCfg!R1125,FALSE)</f>
        <v/>
      </c>
      <c r="P1125" s="110">
        <v>4</v>
      </c>
      <c r="Q1125" s="110">
        <f t="shared" si="225"/>
        <v>1</v>
      </c>
      <c r="R1125" s="110">
        <v>3</v>
      </c>
    </row>
    <row r="1126" spans="2:18" x14ac:dyDescent="0.2">
      <c r="B1126" s="57" t="str">
        <f t="shared" si="226"/>
        <v/>
      </c>
      <c r="D1126" s="57" t="str">
        <f t="shared" si="227"/>
        <v/>
      </c>
      <c r="F1126" s="57" t="str">
        <f t="shared" si="220"/>
        <v/>
      </c>
      <c r="G1126" s="102" t="str">
        <f t="shared" si="224"/>
        <v/>
      </c>
      <c r="H1126" s="57" t="str">
        <f t="shared" si="221"/>
        <v/>
      </c>
      <c r="I1126" s="102" t="str">
        <f>VLOOKUP(P1126&amp;"_"&amp;Q1126,活动关卡!$A$88:$Z$111,3+5*MonsterWaveCallRuleCfg!R1126,FALSE)</f>
        <v/>
      </c>
      <c r="J1126" s="102" t="str">
        <f>VLOOKUP(P1126&amp;"_"&amp;Q1126,活动关卡!$A$88:$Z$111,4+5*MonsterWaveCallRuleCfg!R1126,FALSE)</f>
        <v/>
      </c>
      <c r="K1126" s="102" t="str">
        <f t="shared" si="222"/>
        <v/>
      </c>
      <c r="L1126" s="102" t="str">
        <f>IF(VLOOKUP(P1126&amp;"_"&amp;Q1126,活动关卡!$A$88:$Z$111,2+5*R1126,FALSE)="","","Monster_Season4_Challenge"&amp;P1126&amp;"_"&amp;Q1126&amp;"_"&amp;R1126)</f>
        <v/>
      </c>
      <c r="M1126" s="57" t="str">
        <f t="shared" si="223"/>
        <v/>
      </c>
      <c r="O1126" s="102" t="str">
        <f>VLOOKUP(P1126&amp;"_"&amp;Q1126,活动关卡!$A$4:$Z$27,6+5*MonsterWaveCallRuleCfg!R1126,FALSE)</f>
        <v/>
      </c>
      <c r="P1126" s="110">
        <v>4</v>
      </c>
      <c r="Q1126" s="110">
        <f t="shared" si="225"/>
        <v>1</v>
      </c>
      <c r="R1126" s="110">
        <v>4</v>
      </c>
    </row>
    <row r="1127" spans="2:18" x14ac:dyDescent="0.2">
      <c r="B1127" s="57" t="str">
        <f t="shared" ref="B1127:B1158" si="228">IF(C1127="","","MonsterWaveCallRule_Season4_Challenge"&amp;P1127)</f>
        <v>MonsterWaveCallRule_Season4_Challenge4</v>
      </c>
      <c r="C1127" s="57">
        <v>2</v>
      </c>
      <c r="D1127" s="57" t="str">
        <f t="shared" ref="D1127:D1158" si="229">IF(C1127="","","赛季4关卡"&amp;P1127&amp;"第"&amp;C1127&amp;"波")</f>
        <v>赛季4关卡4第2波</v>
      </c>
      <c r="F1127" s="57">
        <f t="shared" ref="F1127:F1171" si="230">IF(C1127="","",0)</f>
        <v>0</v>
      </c>
      <c r="G1127" s="102">
        <f t="shared" si="224"/>
        <v>180</v>
      </c>
      <c r="H1127" s="57">
        <f t="shared" ref="H1127:H1174" si="231">IF(I1127="","",0)</f>
        <v>0</v>
      </c>
      <c r="I1127" s="102">
        <f>VLOOKUP(P1127&amp;"_"&amp;Q1127,活动关卡!$A$88:$Z$111,3+5*MonsterWaveCallRuleCfg!R1127,FALSE)</f>
        <v>8</v>
      </c>
      <c r="J1127" s="102">
        <f>VLOOKUP(P1127&amp;"_"&amp;Q1127,活动关卡!$A$88:$Z$111,4+5*MonsterWaveCallRuleCfg!R1127,FALSE)</f>
        <v>1.5</v>
      </c>
      <c r="K1127" s="102">
        <f t="shared" ref="K1127:K1174" si="232">IF(I1127="","",1)</f>
        <v>1</v>
      </c>
      <c r="L1127" s="102" t="str">
        <f>IF(VLOOKUP(P1127&amp;"_"&amp;Q1127,活动关卡!$A$88:$Z$111,2+5*R1127,FALSE)="","","Monster_Season4_Challenge"&amp;P1127&amp;"_"&amp;Q1127&amp;"_"&amp;R1127)</f>
        <v>Monster_Season4_Challenge4_2_1</v>
      </c>
      <c r="M1127" s="57">
        <f t="shared" ref="M1127:M1174" si="233">IF(I1127="","",1)</f>
        <v>1</v>
      </c>
      <c r="O1127" s="102">
        <f>VLOOKUP(P1127&amp;"_"&amp;Q1127,活动关卡!$A$4:$Z$27,6+5*MonsterWaveCallRuleCfg!R1127,FALSE)</f>
        <v>4</v>
      </c>
      <c r="P1127" s="110">
        <v>4</v>
      </c>
      <c r="Q1127" s="110">
        <f t="shared" si="225"/>
        <v>2</v>
      </c>
      <c r="R1127" s="110">
        <v>1</v>
      </c>
    </row>
    <row r="1128" spans="2:18" x14ac:dyDescent="0.2">
      <c r="B1128" s="57" t="str">
        <f t="shared" si="228"/>
        <v/>
      </c>
      <c r="D1128" s="57" t="str">
        <f t="shared" si="229"/>
        <v/>
      </c>
      <c r="F1128" s="57" t="str">
        <f t="shared" si="230"/>
        <v/>
      </c>
      <c r="G1128" s="102" t="str">
        <f t="shared" ref="G1128:G1142" si="234">IF(C1128="","",180)</f>
        <v/>
      </c>
      <c r="H1128" s="57">
        <f t="shared" si="231"/>
        <v>0</v>
      </c>
      <c r="I1128" s="102">
        <f>VLOOKUP(P1128&amp;"_"&amp;Q1128,活动关卡!$A$88:$Z$111,3+5*MonsterWaveCallRuleCfg!R1128,FALSE)</f>
        <v>25</v>
      </c>
      <c r="J1128" s="102">
        <f>VLOOKUP(P1128&amp;"_"&amp;Q1128,活动关卡!$A$88:$Z$111,4+5*MonsterWaveCallRuleCfg!R1128,FALSE)</f>
        <v>0.5</v>
      </c>
      <c r="K1128" s="102">
        <f t="shared" si="232"/>
        <v>1</v>
      </c>
      <c r="L1128" s="102" t="str">
        <f>IF(VLOOKUP(P1128&amp;"_"&amp;Q1128,活动关卡!$A$88:$Z$111,2+5*R1128,FALSE)="","","Monster_Season4_Challenge"&amp;P1128&amp;"_"&amp;Q1128&amp;"_"&amp;R1128)</f>
        <v>Monster_Season4_Challenge4_2_2</v>
      </c>
      <c r="M1128" s="57">
        <f t="shared" si="233"/>
        <v>1</v>
      </c>
      <c r="O1128" s="102">
        <f>VLOOKUP(P1128&amp;"_"&amp;Q1128,活动关卡!$A$4:$Z$27,6+5*MonsterWaveCallRuleCfg!R1128,FALSE)</f>
        <v>9</v>
      </c>
      <c r="P1128" s="110">
        <v>4</v>
      </c>
      <c r="Q1128" s="110">
        <f t="shared" si="225"/>
        <v>2</v>
      </c>
      <c r="R1128" s="110">
        <v>2</v>
      </c>
    </row>
    <row r="1129" spans="2:18" x14ac:dyDescent="0.2">
      <c r="B1129" s="57" t="str">
        <f t="shared" si="228"/>
        <v/>
      </c>
      <c r="D1129" s="57" t="str">
        <f t="shared" si="229"/>
        <v/>
      </c>
      <c r="F1129" s="57" t="str">
        <f t="shared" si="230"/>
        <v/>
      </c>
      <c r="G1129" s="102" t="str">
        <f t="shared" si="234"/>
        <v/>
      </c>
      <c r="H1129" s="57">
        <f t="shared" si="231"/>
        <v>0</v>
      </c>
      <c r="I1129" s="102">
        <f>VLOOKUP(P1129&amp;"_"&amp;Q1129,活动关卡!$A$88:$Z$111,3+5*MonsterWaveCallRuleCfg!R1129,FALSE)</f>
        <v>6</v>
      </c>
      <c r="J1129" s="102">
        <f>VLOOKUP(P1129&amp;"_"&amp;Q1129,活动关卡!$A$88:$Z$111,4+5*MonsterWaveCallRuleCfg!R1129,FALSE)</f>
        <v>2</v>
      </c>
      <c r="K1129" s="102">
        <f t="shared" si="232"/>
        <v>1</v>
      </c>
      <c r="L1129" s="102" t="str">
        <f>IF(VLOOKUP(P1129&amp;"_"&amp;Q1129,活动关卡!$A$88:$Z$111,2+5*R1129,FALSE)="","","Monster_Season4_Challenge"&amp;P1129&amp;"_"&amp;Q1129&amp;"_"&amp;R1129)</f>
        <v>Monster_Season4_Challenge4_2_3</v>
      </c>
      <c r="M1129" s="57">
        <f t="shared" si="233"/>
        <v>1</v>
      </c>
      <c r="O1129" s="102">
        <f>VLOOKUP(P1129&amp;"_"&amp;Q1129,活动关卡!$A$4:$Z$27,6+5*MonsterWaveCallRuleCfg!R1129,FALSE)</f>
        <v>9</v>
      </c>
      <c r="P1129" s="110">
        <v>4</v>
      </c>
      <c r="Q1129" s="110">
        <f t="shared" ref="Q1129:Q1174" si="235">IF(C1129="",Q1128,C1129)</f>
        <v>2</v>
      </c>
      <c r="R1129" s="110">
        <v>3</v>
      </c>
    </row>
    <row r="1130" spans="2:18" x14ac:dyDescent="0.2">
      <c r="B1130" s="57" t="str">
        <f t="shared" si="228"/>
        <v/>
      </c>
      <c r="D1130" s="57" t="str">
        <f t="shared" si="229"/>
        <v/>
      </c>
      <c r="F1130" s="57" t="str">
        <f t="shared" si="230"/>
        <v/>
      </c>
      <c r="G1130" s="102" t="str">
        <f t="shared" si="234"/>
        <v/>
      </c>
      <c r="H1130" s="57" t="str">
        <f t="shared" si="231"/>
        <v/>
      </c>
      <c r="I1130" s="102" t="str">
        <f>VLOOKUP(P1130&amp;"_"&amp;Q1130,活动关卡!$A$88:$Z$111,3+5*MonsterWaveCallRuleCfg!R1130,FALSE)</f>
        <v/>
      </c>
      <c r="J1130" s="102" t="str">
        <f>VLOOKUP(P1130&amp;"_"&amp;Q1130,活动关卡!$A$88:$Z$111,4+5*MonsterWaveCallRuleCfg!R1130,FALSE)</f>
        <v/>
      </c>
      <c r="K1130" s="102" t="str">
        <f t="shared" si="232"/>
        <v/>
      </c>
      <c r="L1130" s="102" t="str">
        <f>IF(VLOOKUP(P1130&amp;"_"&amp;Q1130,活动关卡!$A$88:$Z$111,2+5*R1130,FALSE)="","","Monster_Season4_Challenge"&amp;P1130&amp;"_"&amp;Q1130&amp;"_"&amp;R1130)</f>
        <v/>
      </c>
      <c r="M1130" s="57" t="str">
        <f t="shared" si="233"/>
        <v/>
      </c>
      <c r="O1130" s="102" t="str">
        <f>VLOOKUP(P1130&amp;"_"&amp;Q1130,活动关卡!$A$4:$Z$27,6+5*MonsterWaveCallRuleCfg!R1130,FALSE)</f>
        <v/>
      </c>
      <c r="P1130" s="110">
        <v>4</v>
      </c>
      <c r="Q1130" s="110">
        <f t="shared" si="235"/>
        <v>2</v>
      </c>
      <c r="R1130" s="110">
        <v>4</v>
      </c>
    </row>
    <row r="1131" spans="2:18" x14ac:dyDescent="0.2">
      <c r="B1131" s="57" t="str">
        <f t="shared" si="228"/>
        <v>MonsterWaveCallRule_Season4_Challenge4</v>
      </c>
      <c r="C1131" s="57">
        <v>3</v>
      </c>
      <c r="D1131" s="57" t="str">
        <f t="shared" si="229"/>
        <v>赛季4关卡4第3波</v>
      </c>
      <c r="F1131" s="57">
        <f t="shared" si="230"/>
        <v>0</v>
      </c>
      <c r="G1131" s="102">
        <f t="shared" si="234"/>
        <v>180</v>
      </c>
      <c r="H1131" s="57">
        <f t="shared" si="231"/>
        <v>0</v>
      </c>
      <c r="I1131" s="102">
        <f>VLOOKUP(P1131&amp;"_"&amp;Q1131,活动关卡!$A$88:$Z$111,3+5*MonsterWaveCallRuleCfg!R1131,FALSE)</f>
        <v>10</v>
      </c>
      <c r="J1131" s="102">
        <f>VLOOKUP(P1131&amp;"_"&amp;Q1131,活动关卡!$A$88:$Z$111,4+5*MonsterWaveCallRuleCfg!R1131,FALSE)</f>
        <v>1.5</v>
      </c>
      <c r="K1131" s="102">
        <f t="shared" si="232"/>
        <v>1</v>
      </c>
      <c r="L1131" s="102" t="str">
        <f>IF(VLOOKUP(P1131&amp;"_"&amp;Q1131,活动关卡!$A$88:$Z$111,2+5*R1131,FALSE)="","","Monster_Season4_Challenge"&amp;P1131&amp;"_"&amp;Q1131&amp;"_"&amp;R1131)</f>
        <v>Monster_Season4_Challenge4_3_1</v>
      </c>
      <c r="M1131" s="57">
        <f t="shared" si="233"/>
        <v>1</v>
      </c>
      <c r="O1131" s="102">
        <f>VLOOKUP(P1131&amp;"_"&amp;Q1131,活动关卡!$A$4:$Z$27,6+5*MonsterWaveCallRuleCfg!R1131,FALSE)</f>
        <v>7</v>
      </c>
      <c r="P1131" s="110">
        <v>4</v>
      </c>
      <c r="Q1131" s="110">
        <f t="shared" si="235"/>
        <v>3</v>
      </c>
      <c r="R1131" s="110">
        <v>1</v>
      </c>
    </row>
    <row r="1132" spans="2:18" x14ac:dyDescent="0.2">
      <c r="B1132" s="57" t="str">
        <f t="shared" si="228"/>
        <v/>
      </c>
      <c r="D1132" s="57" t="str">
        <f t="shared" si="229"/>
        <v/>
      </c>
      <c r="F1132" s="57" t="str">
        <f t="shared" si="230"/>
        <v/>
      </c>
      <c r="G1132" s="102" t="str">
        <f t="shared" si="234"/>
        <v/>
      </c>
      <c r="H1132" s="57">
        <f t="shared" si="231"/>
        <v>0</v>
      </c>
      <c r="I1132" s="102">
        <f>VLOOKUP(P1132&amp;"_"&amp;Q1132,活动关卡!$A$88:$Z$111,3+5*MonsterWaveCallRuleCfg!R1132,FALSE)</f>
        <v>30</v>
      </c>
      <c r="J1132" s="102">
        <f>VLOOKUP(P1132&amp;"_"&amp;Q1132,活动关卡!$A$88:$Z$111,4+5*MonsterWaveCallRuleCfg!R1132,FALSE)</f>
        <v>0.5</v>
      </c>
      <c r="K1132" s="102">
        <f t="shared" si="232"/>
        <v>1</v>
      </c>
      <c r="L1132" s="102" t="str">
        <f>IF(VLOOKUP(P1132&amp;"_"&amp;Q1132,活动关卡!$A$88:$Z$111,2+5*R1132,FALSE)="","","Monster_Season4_Challenge"&amp;P1132&amp;"_"&amp;Q1132&amp;"_"&amp;R1132)</f>
        <v>Monster_Season4_Challenge4_3_2</v>
      </c>
      <c r="M1132" s="57">
        <f t="shared" si="233"/>
        <v>1</v>
      </c>
      <c r="O1132" s="102">
        <f>VLOOKUP(P1132&amp;"_"&amp;Q1132,活动关卡!$A$4:$Z$27,6+5*MonsterWaveCallRuleCfg!R1132,FALSE)</f>
        <v>4</v>
      </c>
      <c r="P1132" s="110">
        <v>4</v>
      </c>
      <c r="Q1132" s="110">
        <f t="shared" si="235"/>
        <v>3</v>
      </c>
      <c r="R1132" s="110">
        <v>2</v>
      </c>
    </row>
    <row r="1133" spans="2:18" x14ac:dyDescent="0.2">
      <c r="B1133" s="57" t="str">
        <f t="shared" si="228"/>
        <v/>
      </c>
      <c r="D1133" s="57" t="str">
        <f t="shared" si="229"/>
        <v/>
      </c>
      <c r="F1133" s="57" t="str">
        <f t="shared" si="230"/>
        <v/>
      </c>
      <c r="G1133" s="102" t="str">
        <f t="shared" si="234"/>
        <v/>
      </c>
      <c r="H1133" s="57">
        <f t="shared" si="231"/>
        <v>0</v>
      </c>
      <c r="I1133" s="102">
        <f>VLOOKUP(P1133&amp;"_"&amp;Q1133,活动关卡!$A$88:$Z$111,3+5*MonsterWaveCallRuleCfg!R1133,FALSE)</f>
        <v>8</v>
      </c>
      <c r="J1133" s="102">
        <f>VLOOKUP(P1133&amp;"_"&amp;Q1133,活动关卡!$A$88:$Z$111,4+5*MonsterWaveCallRuleCfg!R1133,FALSE)</f>
        <v>2</v>
      </c>
      <c r="K1133" s="102">
        <f t="shared" si="232"/>
        <v>1</v>
      </c>
      <c r="L1133" s="102" t="str">
        <f>IF(VLOOKUP(P1133&amp;"_"&amp;Q1133,活动关卡!$A$88:$Z$111,2+5*R1133,FALSE)="","","Monster_Season4_Challenge"&amp;P1133&amp;"_"&amp;Q1133&amp;"_"&amp;R1133)</f>
        <v>Monster_Season4_Challenge4_3_3</v>
      </c>
      <c r="M1133" s="57">
        <f t="shared" si="233"/>
        <v>1</v>
      </c>
      <c r="O1133" s="102">
        <f>VLOOKUP(P1133&amp;"_"&amp;Q1133,活动关卡!$A$4:$Z$27,6+5*MonsterWaveCallRuleCfg!R1133,FALSE)</f>
        <v>15</v>
      </c>
      <c r="P1133" s="110">
        <v>4</v>
      </c>
      <c r="Q1133" s="110">
        <f t="shared" si="235"/>
        <v>3</v>
      </c>
      <c r="R1133" s="110">
        <v>3</v>
      </c>
    </row>
    <row r="1134" spans="2:18" x14ac:dyDescent="0.2">
      <c r="B1134" s="57" t="str">
        <f t="shared" si="228"/>
        <v/>
      </c>
      <c r="D1134" s="57" t="str">
        <f t="shared" si="229"/>
        <v/>
      </c>
      <c r="F1134" s="57" t="str">
        <f t="shared" si="230"/>
        <v/>
      </c>
      <c r="G1134" s="102" t="str">
        <f t="shared" si="234"/>
        <v/>
      </c>
      <c r="H1134" s="57" t="str">
        <f t="shared" si="231"/>
        <v/>
      </c>
      <c r="I1134" s="102" t="str">
        <f>VLOOKUP(P1134&amp;"_"&amp;Q1134,活动关卡!$A$88:$Z$111,3+5*MonsterWaveCallRuleCfg!R1134,FALSE)</f>
        <v/>
      </c>
      <c r="J1134" s="102" t="str">
        <f>VLOOKUP(P1134&amp;"_"&amp;Q1134,活动关卡!$A$88:$Z$111,4+5*MonsterWaveCallRuleCfg!R1134,FALSE)</f>
        <v/>
      </c>
      <c r="K1134" s="102" t="str">
        <f t="shared" si="232"/>
        <v/>
      </c>
      <c r="L1134" s="102" t="str">
        <f>IF(VLOOKUP(P1134&amp;"_"&amp;Q1134,活动关卡!$A$88:$Z$111,2+5*R1134,FALSE)="","","Monster_Season4_Challenge"&amp;P1134&amp;"_"&amp;Q1134&amp;"_"&amp;R1134)</f>
        <v/>
      </c>
      <c r="M1134" s="57" t="str">
        <f t="shared" si="233"/>
        <v/>
      </c>
      <c r="O1134" s="102" t="str">
        <f>VLOOKUP(P1134&amp;"_"&amp;Q1134,活动关卡!$A$4:$Z$27,6+5*MonsterWaveCallRuleCfg!R1134,FALSE)</f>
        <v/>
      </c>
      <c r="P1134" s="110">
        <v>4</v>
      </c>
      <c r="Q1134" s="110">
        <f t="shared" si="235"/>
        <v>3</v>
      </c>
      <c r="R1134" s="110">
        <v>4</v>
      </c>
    </row>
    <row r="1135" spans="2:18" x14ac:dyDescent="0.2">
      <c r="B1135" s="57" t="str">
        <f t="shared" si="228"/>
        <v>MonsterWaveCallRule_Season4_Challenge4</v>
      </c>
      <c r="C1135" s="57">
        <v>4</v>
      </c>
      <c r="D1135" s="57" t="str">
        <f t="shared" si="229"/>
        <v>赛季4关卡4第4波</v>
      </c>
      <c r="F1135" s="57">
        <f t="shared" si="230"/>
        <v>0</v>
      </c>
      <c r="G1135" s="102">
        <f t="shared" si="234"/>
        <v>180</v>
      </c>
      <c r="H1135" s="57">
        <f t="shared" si="231"/>
        <v>0</v>
      </c>
      <c r="I1135" s="102">
        <f>VLOOKUP(P1135&amp;"_"&amp;Q1135,活动关卡!$A$88:$Z$111,3+5*MonsterWaveCallRuleCfg!R1135,FALSE)</f>
        <v>12</v>
      </c>
      <c r="J1135" s="102">
        <f>VLOOKUP(P1135&amp;"_"&amp;Q1135,活动关卡!$A$88:$Z$111,4+5*MonsterWaveCallRuleCfg!R1135,FALSE)</f>
        <v>1.5</v>
      </c>
      <c r="K1135" s="102">
        <f t="shared" si="232"/>
        <v>1</v>
      </c>
      <c r="L1135" s="102" t="str">
        <f>IF(VLOOKUP(P1135&amp;"_"&amp;Q1135,活动关卡!$A$88:$Z$111,2+5*R1135,FALSE)="","","Monster_Season4_Challenge"&amp;P1135&amp;"_"&amp;Q1135&amp;"_"&amp;R1135)</f>
        <v>Monster_Season4_Challenge4_4_1</v>
      </c>
      <c r="M1135" s="57">
        <f t="shared" si="233"/>
        <v>1</v>
      </c>
      <c r="O1135" s="102">
        <f>VLOOKUP(P1135&amp;"_"&amp;Q1135,活动关卡!$A$4:$Z$27,6+5*MonsterWaveCallRuleCfg!R1135,FALSE)</f>
        <v>3</v>
      </c>
      <c r="P1135" s="110">
        <v>4</v>
      </c>
      <c r="Q1135" s="110">
        <f t="shared" si="235"/>
        <v>4</v>
      </c>
      <c r="R1135" s="110">
        <v>1</v>
      </c>
    </row>
    <row r="1136" spans="2:18" x14ac:dyDescent="0.2">
      <c r="B1136" s="57" t="str">
        <f t="shared" si="228"/>
        <v/>
      </c>
      <c r="D1136" s="57" t="str">
        <f t="shared" si="229"/>
        <v/>
      </c>
      <c r="F1136" s="57" t="str">
        <f t="shared" si="230"/>
        <v/>
      </c>
      <c r="G1136" s="102" t="str">
        <f t="shared" si="234"/>
        <v/>
      </c>
      <c r="H1136" s="57">
        <f t="shared" si="231"/>
        <v>0</v>
      </c>
      <c r="I1136" s="102">
        <f>VLOOKUP(P1136&amp;"_"&amp;Q1136,活动关卡!$A$88:$Z$111,3+5*MonsterWaveCallRuleCfg!R1136,FALSE)</f>
        <v>44</v>
      </c>
      <c r="J1136" s="102">
        <f>VLOOKUP(P1136&amp;"_"&amp;Q1136,活动关卡!$A$88:$Z$111,4+5*MonsterWaveCallRuleCfg!R1136,FALSE)</f>
        <v>0.4</v>
      </c>
      <c r="K1136" s="102">
        <f t="shared" si="232"/>
        <v>1</v>
      </c>
      <c r="L1136" s="102" t="str">
        <f>IF(VLOOKUP(P1136&amp;"_"&amp;Q1136,活动关卡!$A$88:$Z$111,2+5*R1136,FALSE)="","","Monster_Season4_Challenge"&amp;P1136&amp;"_"&amp;Q1136&amp;"_"&amp;R1136)</f>
        <v>Monster_Season4_Challenge4_4_2</v>
      </c>
      <c r="M1136" s="57">
        <f t="shared" si="233"/>
        <v>1</v>
      </c>
      <c r="O1136" s="102">
        <f>VLOOKUP(P1136&amp;"_"&amp;Q1136,活动关卡!$A$4:$Z$27,6+5*MonsterWaveCallRuleCfg!R1136,FALSE)</f>
        <v>3</v>
      </c>
      <c r="P1136" s="110">
        <v>4</v>
      </c>
      <c r="Q1136" s="110">
        <f t="shared" si="235"/>
        <v>4</v>
      </c>
      <c r="R1136" s="110">
        <v>2</v>
      </c>
    </row>
    <row r="1137" spans="2:18" x14ac:dyDescent="0.2">
      <c r="B1137" s="57" t="str">
        <f t="shared" si="228"/>
        <v/>
      </c>
      <c r="D1137" s="57" t="str">
        <f t="shared" si="229"/>
        <v/>
      </c>
      <c r="F1137" s="57" t="str">
        <f t="shared" si="230"/>
        <v/>
      </c>
      <c r="G1137" s="102" t="str">
        <f t="shared" si="234"/>
        <v/>
      </c>
      <c r="H1137" s="57">
        <f t="shared" si="231"/>
        <v>0</v>
      </c>
      <c r="I1137" s="102">
        <f>VLOOKUP(P1137&amp;"_"&amp;Q1137,活动关卡!$A$88:$Z$111,3+5*MonsterWaveCallRuleCfg!R1137,FALSE)</f>
        <v>18</v>
      </c>
      <c r="J1137" s="102">
        <f>VLOOKUP(P1137&amp;"_"&amp;Q1137,活动关卡!$A$88:$Z$111,4+5*MonsterWaveCallRuleCfg!R1137,FALSE)</f>
        <v>1</v>
      </c>
      <c r="K1137" s="102">
        <f t="shared" si="232"/>
        <v>1</v>
      </c>
      <c r="L1137" s="102" t="str">
        <f>IF(VLOOKUP(P1137&amp;"_"&amp;Q1137,活动关卡!$A$88:$Z$111,2+5*R1137,FALSE)="","","Monster_Season4_Challenge"&amp;P1137&amp;"_"&amp;Q1137&amp;"_"&amp;R1137)</f>
        <v>Monster_Season4_Challenge4_4_3</v>
      </c>
      <c r="M1137" s="57">
        <f t="shared" si="233"/>
        <v>1</v>
      </c>
      <c r="O1137" s="102">
        <f>VLOOKUP(P1137&amp;"_"&amp;Q1137,活动关卡!$A$4:$Z$27,6+5*MonsterWaveCallRuleCfg!R1137,FALSE)</f>
        <v>7</v>
      </c>
      <c r="P1137" s="110">
        <v>4</v>
      </c>
      <c r="Q1137" s="110">
        <f t="shared" si="235"/>
        <v>4</v>
      </c>
      <c r="R1137" s="110">
        <v>3</v>
      </c>
    </row>
    <row r="1138" spans="2:18" x14ac:dyDescent="0.2">
      <c r="B1138" s="57" t="str">
        <f t="shared" si="228"/>
        <v/>
      </c>
      <c r="D1138" s="57" t="str">
        <f t="shared" si="229"/>
        <v/>
      </c>
      <c r="F1138" s="57" t="str">
        <f t="shared" si="230"/>
        <v/>
      </c>
      <c r="G1138" s="102" t="str">
        <f t="shared" si="234"/>
        <v/>
      </c>
      <c r="H1138" s="57" t="str">
        <f t="shared" si="231"/>
        <v/>
      </c>
      <c r="I1138" s="102" t="str">
        <f>VLOOKUP(P1138&amp;"_"&amp;Q1138,活动关卡!$A$88:$Z$111,3+5*MonsterWaveCallRuleCfg!R1138,FALSE)</f>
        <v/>
      </c>
      <c r="J1138" s="102" t="str">
        <f>VLOOKUP(P1138&amp;"_"&amp;Q1138,活动关卡!$A$88:$Z$111,4+5*MonsterWaveCallRuleCfg!R1138,FALSE)</f>
        <v/>
      </c>
      <c r="K1138" s="102" t="str">
        <f t="shared" si="232"/>
        <v/>
      </c>
      <c r="L1138" s="102" t="str">
        <f>IF(VLOOKUP(P1138&amp;"_"&amp;Q1138,活动关卡!$A$88:$Z$111,2+5*R1138,FALSE)="","","Monster_Season4_Challenge"&amp;P1138&amp;"_"&amp;Q1138&amp;"_"&amp;R1138)</f>
        <v/>
      </c>
      <c r="M1138" s="57" t="str">
        <f t="shared" si="233"/>
        <v/>
      </c>
      <c r="O1138" s="102" t="str">
        <f>VLOOKUP(P1138&amp;"_"&amp;Q1138,活动关卡!$A$4:$Z$27,6+5*MonsterWaveCallRuleCfg!R1138,FALSE)</f>
        <v/>
      </c>
      <c r="P1138" s="110">
        <v>4</v>
      </c>
      <c r="Q1138" s="110">
        <f t="shared" si="235"/>
        <v>4</v>
      </c>
      <c r="R1138" s="110">
        <v>4</v>
      </c>
    </row>
    <row r="1139" spans="2:18" x14ac:dyDescent="0.2">
      <c r="B1139" s="57" t="str">
        <f t="shared" si="228"/>
        <v>MonsterWaveCallRule_Season4_Challenge4</v>
      </c>
      <c r="C1139" s="57">
        <v>5</v>
      </c>
      <c r="D1139" s="57" t="str">
        <f t="shared" si="229"/>
        <v>赛季4关卡4第5波</v>
      </c>
      <c r="F1139" s="57">
        <f t="shared" si="230"/>
        <v>0</v>
      </c>
      <c r="G1139" s="102">
        <f t="shared" si="234"/>
        <v>180</v>
      </c>
      <c r="H1139" s="57">
        <f t="shared" si="231"/>
        <v>0</v>
      </c>
      <c r="I1139" s="102">
        <f>VLOOKUP(P1139&amp;"_"&amp;Q1139,活动关卡!$A$88:$Z$111,3+5*MonsterWaveCallRuleCfg!R1139,FALSE)</f>
        <v>40</v>
      </c>
      <c r="J1139" s="102">
        <f>VLOOKUP(P1139&amp;"_"&amp;Q1139,活动关卡!$A$88:$Z$111,4+5*MonsterWaveCallRuleCfg!R1139,FALSE)</f>
        <v>0.5</v>
      </c>
      <c r="K1139" s="102">
        <f t="shared" si="232"/>
        <v>1</v>
      </c>
      <c r="L1139" s="102" t="str">
        <f>IF(VLOOKUP(P1139&amp;"_"&amp;Q1139,活动关卡!$A$88:$Z$111,2+5*R1139,FALSE)="","","Monster_Season4_Challenge"&amp;P1139&amp;"_"&amp;Q1139&amp;"_"&amp;R1139)</f>
        <v>Monster_Season4_Challenge4_5_1</v>
      </c>
      <c r="M1139" s="57">
        <f t="shared" si="233"/>
        <v>1</v>
      </c>
      <c r="O1139" s="102">
        <f>VLOOKUP(P1139&amp;"_"&amp;Q1139,活动关卡!$A$4:$Z$27,6+5*MonsterWaveCallRuleCfg!R1139,FALSE)</f>
        <v>3</v>
      </c>
      <c r="P1139" s="110">
        <v>4</v>
      </c>
      <c r="Q1139" s="110">
        <f t="shared" si="235"/>
        <v>5</v>
      </c>
      <c r="R1139" s="110">
        <v>1</v>
      </c>
    </row>
    <row r="1140" spans="2:18" x14ac:dyDescent="0.2">
      <c r="B1140" s="57" t="str">
        <f t="shared" si="228"/>
        <v/>
      </c>
      <c r="D1140" s="57" t="str">
        <f t="shared" si="229"/>
        <v/>
      </c>
      <c r="F1140" s="57" t="str">
        <f t="shared" si="230"/>
        <v/>
      </c>
      <c r="G1140" s="102" t="str">
        <f t="shared" si="234"/>
        <v/>
      </c>
      <c r="H1140" s="57">
        <f t="shared" si="231"/>
        <v>0</v>
      </c>
      <c r="I1140" s="102">
        <f>VLOOKUP(P1140&amp;"_"&amp;Q1140,活动关卡!$A$88:$Z$111,3+5*MonsterWaveCallRuleCfg!R1140,FALSE)</f>
        <v>10</v>
      </c>
      <c r="J1140" s="102">
        <f>VLOOKUP(P1140&amp;"_"&amp;Q1140,活动关卡!$A$88:$Z$111,4+5*MonsterWaveCallRuleCfg!R1140,FALSE)</f>
        <v>2</v>
      </c>
      <c r="K1140" s="102">
        <f t="shared" si="232"/>
        <v>1</v>
      </c>
      <c r="L1140" s="102" t="str">
        <f>IF(VLOOKUP(P1140&amp;"_"&amp;Q1140,活动关卡!$A$88:$Z$111,2+5*R1140,FALSE)="","","Monster_Season4_Challenge"&amp;P1140&amp;"_"&amp;Q1140&amp;"_"&amp;R1140)</f>
        <v>Monster_Season4_Challenge4_5_2</v>
      </c>
      <c r="M1140" s="57">
        <f t="shared" si="233"/>
        <v>1</v>
      </c>
      <c r="O1140" s="102">
        <f>VLOOKUP(P1140&amp;"_"&amp;Q1140,活动关卡!$A$4:$Z$27,6+5*MonsterWaveCallRuleCfg!R1140,FALSE)</f>
        <v>6</v>
      </c>
      <c r="P1140" s="110">
        <v>4</v>
      </c>
      <c r="Q1140" s="110">
        <f t="shared" si="235"/>
        <v>5</v>
      </c>
      <c r="R1140" s="110">
        <v>2</v>
      </c>
    </row>
    <row r="1141" spans="2:18" x14ac:dyDescent="0.2">
      <c r="B1141" s="57" t="str">
        <f t="shared" si="228"/>
        <v/>
      </c>
      <c r="D1141" s="57" t="str">
        <f t="shared" si="229"/>
        <v/>
      </c>
      <c r="F1141" s="57" t="str">
        <f t="shared" si="230"/>
        <v/>
      </c>
      <c r="G1141" s="102" t="str">
        <f t="shared" si="234"/>
        <v/>
      </c>
      <c r="H1141" s="57">
        <f t="shared" si="231"/>
        <v>0</v>
      </c>
      <c r="I1141" s="102">
        <f>VLOOKUP(P1141&amp;"_"&amp;Q1141,活动关卡!$A$88:$Z$111,3+5*MonsterWaveCallRuleCfg!R1141,FALSE)</f>
        <v>20</v>
      </c>
      <c r="J1141" s="102">
        <f>VLOOKUP(P1141&amp;"_"&amp;Q1141,活动关卡!$A$88:$Z$111,4+5*MonsterWaveCallRuleCfg!R1141,FALSE)</f>
        <v>1</v>
      </c>
      <c r="K1141" s="102">
        <f t="shared" si="232"/>
        <v>1</v>
      </c>
      <c r="L1141" s="102" t="str">
        <f>IF(VLOOKUP(P1141&amp;"_"&amp;Q1141,活动关卡!$A$88:$Z$111,2+5*R1141,FALSE)="","","Monster_Season4_Challenge"&amp;P1141&amp;"_"&amp;Q1141&amp;"_"&amp;R1141)</f>
        <v>Monster_Season4_Challenge4_5_3</v>
      </c>
      <c r="M1141" s="57">
        <f t="shared" si="233"/>
        <v>1</v>
      </c>
      <c r="O1141" s="102">
        <f>VLOOKUP(P1141&amp;"_"&amp;Q1141,活动关卡!$A$4:$Z$27,6+5*MonsterWaveCallRuleCfg!R1141,FALSE)</f>
        <v>6</v>
      </c>
      <c r="P1141" s="110">
        <v>4</v>
      </c>
      <c r="Q1141" s="110">
        <f t="shared" si="235"/>
        <v>5</v>
      </c>
      <c r="R1141" s="110">
        <v>3</v>
      </c>
    </row>
    <row r="1142" spans="2:18" x14ac:dyDescent="0.2">
      <c r="B1142" s="57" t="str">
        <f t="shared" si="228"/>
        <v/>
      </c>
      <c r="D1142" s="57" t="str">
        <f t="shared" si="229"/>
        <v/>
      </c>
      <c r="F1142" s="57" t="str">
        <f t="shared" si="230"/>
        <v/>
      </c>
      <c r="G1142" s="102" t="str">
        <f t="shared" si="234"/>
        <v/>
      </c>
      <c r="H1142" s="57" t="str">
        <f t="shared" si="231"/>
        <v/>
      </c>
      <c r="I1142" s="102" t="str">
        <f>VLOOKUP(P1142&amp;"_"&amp;Q1142,活动关卡!$A$88:$Z$111,3+5*MonsterWaveCallRuleCfg!R1142,FALSE)</f>
        <v/>
      </c>
      <c r="J1142" s="102" t="str">
        <f>VLOOKUP(P1142&amp;"_"&amp;Q1142,活动关卡!$A$88:$Z$111,4+5*MonsterWaveCallRuleCfg!R1142,FALSE)</f>
        <v/>
      </c>
      <c r="K1142" s="102" t="str">
        <f t="shared" si="232"/>
        <v/>
      </c>
      <c r="L1142" s="102" t="str">
        <f>IF(VLOOKUP(P1142&amp;"_"&amp;Q1142,活动关卡!$A$88:$Z$111,2+5*R1142,FALSE)="","","Monster_Season4_Challenge"&amp;P1142&amp;"_"&amp;Q1142&amp;"_"&amp;R1142)</f>
        <v/>
      </c>
      <c r="M1142" s="57" t="str">
        <f t="shared" si="233"/>
        <v/>
      </c>
      <c r="O1142" s="102" t="str">
        <f>VLOOKUP(P1142&amp;"_"&amp;Q1142,活动关卡!$A$4:$Z$27,6+5*MonsterWaveCallRuleCfg!R1142,FALSE)</f>
        <v/>
      </c>
      <c r="P1142" s="110">
        <v>4</v>
      </c>
      <c r="Q1142" s="110">
        <f t="shared" si="235"/>
        <v>5</v>
      </c>
      <c r="R1142" s="110">
        <v>4</v>
      </c>
    </row>
    <row r="1143" spans="2:18" x14ac:dyDescent="0.2">
      <c r="B1143" s="57" t="str">
        <f t="shared" si="228"/>
        <v>MonsterWaveCallRule_Season4_Challenge5</v>
      </c>
      <c r="C1143" s="57">
        <v>1</v>
      </c>
      <c r="D1143" s="57" t="str">
        <f t="shared" si="229"/>
        <v>赛季4关卡5第1波</v>
      </c>
      <c r="F1143" s="57">
        <f t="shared" si="230"/>
        <v>0</v>
      </c>
      <c r="G1143" s="102">
        <f>IF(C1143="","",180)</f>
        <v>180</v>
      </c>
      <c r="H1143" s="57">
        <f t="shared" si="231"/>
        <v>0</v>
      </c>
      <c r="I1143" s="102">
        <f>VLOOKUP(P1143&amp;"_"&amp;Q1143,活动关卡!$A$88:$Z$111,3+5*MonsterWaveCallRuleCfg!R1143,FALSE)</f>
        <v>7</v>
      </c>
      <c r="J1143" s="102">
        <f>VLOOKUP(P1143&amp;"_"&amp;Q1143,活动关卡!$A$88:$Z$111,4+5*MonsterWaveCallRuleCfg!R1143,FALSE)</f>
        <v>1.5</v>
      </c>
      <c r="K1143" s="102">
        <f t="shared" si="232"/>
        <v>1</v>
      </c>
      <c r="L1143" s="102" t="str">
        <f>IF(VLOOKUP(P1143&amp;"_"&amp;Q1143,活动关卡!$A$88:$Z$111,2+5*R1143,FALSE)="","","Monster_Season4_Challenge"&amp;P1143&amp;"_"&amp;Q1143&amp;"_"&amp;R1143)</f>
        <v>Monster_Season4_Challenge5_1_1</v>
      </c>
      <c r="M1143" s="57">
        <f t="shared" si="233"/>
        <v>1</v>
      </c>
      <c r="O1143" s="102">
        <f>VLOOKUP(P1143&amp;"_"&amp;Q1143,活动关卡!$A$4:$Z$27,6+5*MonsterWaveCallRuleCfg!R1143,FALSE)</f>
        <v>25</v>
      </c>
      <c r="P1143" s="110">
        <v>5</v>
      </c>
      <c r="Q1143" s="110">
        <f t="shared" si="235"/>
        <v>1</v>
      </c>
      <c r="R1143" s="110">
        <v>1</v>
      </c>
    </row>
    <row r="1144" spans="2:18" x14ac:dyDescent="0.2">
      <c r="B1144" s="57" t="str">
        <f t="shared" si="228"/>
        <v/>
      </c>
      <c r="D1144" s="57" t="str">
        <f t="shared" si="229"/>
        <v/>
      </c>
      <c r="F1144" s="57" t="str">
        <f t="shared" si="230"/>
        <v/>
      </c>
      <c r="G1144" s="102" t="str">
        <f t="shared" ref="G1144:G1174" si="236">IF(C1144="","",180)</f>
        <v/>
      </c>
      <c r="H1144" s="57">
        <f t="shared" si="231"/>
        <v>0</v>
      </c>
      <c r="I1144" s="102">
        <f>VLOOKUP(P1144&amp;"_"&amp;Q1144,活动关卡!$A$88:$Z$111,3+5*MonsterWaveCallRuleCfg!R1144,FALSE)</f>
        <v>5</v>
      </c>
      <c r="J1144" s="102">
        <f>VLOOKUP(P1144&amp;"_"&amp;Q1144,活动关卡!$A$88:$Z$111,4+5*MonsterWaveCallRuleCfg!R1144,FALSE)</f>
        <v>2</v>
      </c>
      <c r="K1144" s="102">
        <f t="shared" si="232"/>
        <v>1</v>
      </c>
      <c r="L1144" s="102" t="str">
        <f>IF(VLOOKUP(P1144&amp;"_"&amp;Q1144,活动关卡!$A$88:$Z$111,2+5*R1144,FALSE)="","","Monster_Season4_Challenge"&amp;P1144&amp;"_"&amp;Q1144&amp;"_"&amp;R1144)</f>
        <v>Monster_Season4_Challenge5_1_2</v>
      </c>
      <c r="M1144" s="57">
        <f t="shared" si="233"/>
        <v>1</v>
      </c>
      <c r="O1144" s="102">
        <f>VLOOKUP(P1144&amp;"_"&amp;Q1144,活动关卡!$A$4:$Z$27,6+5*MonsterWaveCallRuleCfg!R1144,FALSE)</f>
        <v>25</v>
      </c>
      <c r="P1144" s="110">
        <v>5</v>
      </c>
      <c r="Q1144" s="110">
        <f t="shared" si="235"/>
        <v>1</v>
      </c>
      <c r="R1144" s="110">
        <v>2</v>
      </c>
    </row>
    <row r="1145" spans="2:18" x14ac:dyDescent="0.2">
      <c r="B1145" s="57" t="str">
        <f t="shared" si="228"/>
        <v/>
      </c>
      <c r="D1145" s="57" t="str">
        <f t="shared" si="229"/>
        <v/>
      </c>
      <c r="F1145" s="57" t="str">
        <f t="shared" si="230"/>
        <v/>
      </c>
      <c r="G1145" s="102" t="str">
        <f t="shared" si="236"/>
        <v/>
      </c>
      <c r="H1145" s="57" t="str">
        <f t="shared" si="231"/>
        <v/>
      </c>
      <c r="I1145" s="102" t="str">
        <f>VLOOKUP(P1145&amp;"_"&amp;Q1145,活动关卡!$A$88:$Z$111,3+5*MonsterWaveCallRuleCfg!R1145,FALSE)</f>
        <v/>
      </c>
      <c r="J1145" s="102" t="str">
        <f>VLOOKUP(P1145&amp;"_"&amp;Q1145,活动关卡!$A$88:$Z$111,4+5*MonsterWaveCallRuleCfg!R1145,FALSE)</f>
        <v/>
      </c>
      <c r="K1145" s="102" t="str">
        <f t="shared" si="232"/>
        <v/>
      </c>
      <c r="L1145" s="102" t="str">
        <f>IF(VLOOKUP(P1145&amp;"_"&amp;Q1145,活动关卡!$A$88:$Z$111,2+5*R1145,FALSE)="","","Monster_Season4_Challenge"&amp;P1145&amp;"_"&amp;Q1145&amp;"_"&amp;R1145)</f>
        <v/>
      </c>
      <c r="M1145" s="57" t="str">
        <f t="shared" si="233"/>
        <v/>
      </c>
      <c r="O1145" s="102" t="str">
        <f>VLOOKUP(P1145&amp;"_"&amp;Q1145,活动关卡!$A$4:$Z$27,6+5*MonsterWaveCallRuleCfg!R1145,FALSE)</f>
        <v/>
      </c>
      <c r="P1145" s="110">
        <v>5</v>
      </c>
      <c r="Q1145" s="110">
        <f t="shared" si="235"/>
        <v>1</v>
      </c>
      <c r="R1145" s="110">
        <v>3</v>
      </c>
    </row>
    <row r="1146" spans="2:18" x14ac:dyDescent="0.2">
      <c r="B1146" s="57" t="str">
        <f t="shared" si="228"/>
        <v/>
      </c>
      <c r="D1146" s="57" t="str">
        <f t="shared" si="229"/>
        <v/>
      </c>
      <c r="F1146" s="57" t="str">
        <f t="shared" si="230"/>
        <v/>
      </c>
      <c r="G1146" s="102" t="str">
        <f t="shared" si="236"/>
        <v/>
      </c>
      <c r="H1146" s="57" t="str">
        <f t="shared" si="231"/>
        <v/>
      </c>
      <c r="I1146" s="102" t="str">
        <f>VLOOKUP(P1146&amp;"_"&amp;Q1146,活动关卡!$A$88:$Z$111,3+5*MonsterWaveCallRuleCfg!R1146,FALSE)</f>
        <v/>
      </c>
      <c r="J1146" s="102" t="str">
        <f>VLOOKUP(P1146&amp;"_"&amp;Q1146,活动关卡!$A$88:$Z$111,4+5*MonsterWaveCallRuleCfg!R1146,FALSE)</f>
        <v/>
      </c>
      <c r="K1146" s="102" t="str">
        <f t="shared" si="232"/>
        <v/>
      </c>
      <c r="L1146" s="102" t="str">
        <f>IF(VLOOKUP(P1146&amp;"_"&amp;Q1146,活动关卡!$A$88:$Z$111,2+5*R1146,FALSE)="","","Monster_Season4_Challenge"&amp;P1146&amp;"_"&amp;Q1146&amp;"_"&amp;R1146)</f>
        <v/>
      </c>
      <c r="M1146" s="57" t="str">
        <f t="shared" si="233"/>
        <v/>
      </c>
      <c r="O1146" s="102" t="str">
        <f>VLOOKUP(P1146&amp;"_"&amp;Q1146,活动关卡!$A$4:$Z$27,6+5*MonsterWaveCallRuleCfg!R1146,FALSE)</f>
        <v/>
      </c>
      <c r="P1146" s="110">
        <v>5</v>
      </c>
      <c r="Q1146" s="110">
        <f t="shared" si="235"/>
        <v>1</v>
      </c>
      <c r="R1146" s="110">
        <v>4</v>
      </c>
    </row>
    <row r="1147" spans="2:18" x14ac:dyDescent="0.2">
      <c r="B1147" s="57" t="str">
        <f t="shared" si="228"/>
        <v>MonsterWaveCallRule_Season4_Challenge5</v>
      </c>
      <c r="C1147" s="57">
        <v>2</v>
      </c>
      <c r="D1147" s="57" t="str">
        <f t="shared" si="229"/>
        <v>赛季4关卡5第2波</v>
      </c>
      <c r="F1147" s="57">
        <f t="shared" si="230"/>
        <v>0</v>
      </c>
      <c r="G1147" s="102">
        <f t="shared" si="236"/>
        <v>180</v>
      </c>
      <c r="H1147" s="57">
        <f t="shared" si="231"/>
        <v>0</v>
      </c>
      <c r="I1147" s="102">
        <f>VLOOKUP(P1147&amp;"_"&amp;Q1147,活动关卡!$A$88:$Z$111,3+5*MonsterWaveCallRuleCfg!R1147,FALSE)</f>
        <v>8</v>
      </c>
      <c r="J1147" s="102">
        <f>VLOOKUP(P1147&amp;"_"&amp;Q1147,活动关卡!$A$88:$Z$111,4+5*MonsterWaveCallRuleCfg!R1147,FALSE)</f>
        <v>1.5</v>
      </c>
      <c r="K1147" s="102">
        <f t="shared" si="232"/>
        <v>1</v>
      </c>
      <c r="L1147" s="102" t="str">
        <f>IF(VLOOKUP(P1147&amp;"_"&amp;Q1147,活动关卡!$A$88:$Z$111,2+5*R1147,FALSE)="","","Monster_Season4_Challenge"&amp;P1147&amp;"_"&amp;Q1147&amp;"_"&amp;R1147)</f>
        <v>Monster_Season4_Challenge5_2_1</v>
      </c>
      <c r="M1147" s="57">
        <f t="shared" si="233"/>
        <v>1</v>
      </c>
      <c r="O1147" s="102">
        <f>VLOOKUP(P1147&amp;"_"&amp;Q1147,活动关卡!$A$4:$Z$27,6+5*MonsterWaveCallRuleCfg!R1147,FALSE)</f>
        <v>15</v>
      </c>
      <c r="P1147" s="110">
        <v>5</v>
      </c>
      <c r="Q1147" s="110">
        <f t="shared" si="235"/>
        <v>2</v>
      </c>
      <c r="R1147" s="110">
        <v>1</v>
      </c>
    </row>
    <row r="1148" spans="2:18" x14ac:dyDescent="0.2">
      <c r="B1148" s="57" t="str">
        <f t="shared" si="228"/>
        <v/>
      </c>
      <c r="D1148" s="57" t="str">
        <f t="shared" si="229"/>
        <v/>
      </c>
      <c r="F1148" s="57" t="str">
        <f t="shared" si="230"/>
        <v/>
      </c>
      <c r="G1148" s="102" t="str">
        <f t="shared" si="236"/>
        <v/>
      </c>
      <c r="H1148" s="57">
        <f t="shared" si="231"/>
        <v>0</v>
      </c>
      <c r="I1148" s="102">
        <f>VLOOKUP(P1148&amp;"_"&amp;Q1148,活动关卡!$A$88:$Z$111,3+5*MonsterWaveCallRuleCfg!R1148,FALSE)</f>
        <v>25</v>
      </c>
      <c r="J1148" s="102">
        <f>VLOOKUP(P1148&amp;"_"&amp;Q1148,活动关卡!$A$88:$Z$111,4+5*MonsterWaveCallRuleCfg!R1148,FALSE)</f>
        <v>0.5</v>
      </c>
      <c r="K1148" s="102">
        <f t="shared" si="232"/>
        <v>1</v>
      </c>
      <c r="L1148" s="102" t="str">
        <f>IF(VLOOKUP(P1148&amp;"_"&amp;Q1148,活动关卡!$A$88:$Z$111,2+5*R1148,FALSE)="","","Monster_Season4_Challenge"&amp;P1148&amp;"_"&amp;Q1148&amp;"_"&amp;R1148)</f>
        <v>Monster_Season4_Challenge5_2_2</v>
      </c>
      <c r="M1148" s="57">
        <f t="shared" si="233"/>
        <v>1</v>
      </c>
      <c r="O1148" s="102">
        <f>VLOOKUP(P1148&amp;"_"&amp;Q1148,活动关卡!$A$4:$Z$27,6+5*MonsterWaveCallRuleCfg!R1148,FALSE)</f>
        <v>4</v>
      </c>
      <c r="P1148" s="110">
        <v>5</v>
      </c>
      <c r="Q1148" s="110">
        <f t="shared" si="235"/>
        <v>2</v>
      </c>
      <c r="R1148" s="110">
        <v>2</v>
      </c>
    </row>
    <row r="1149" spans="2:18" x14ac:dyDescent="0.2">
      <c r="B1149" s="57" t="str">
        <f t="shared" si="228"/>
        <v/>
      </c>
      <c r="D1149" s="57" t="str">
        <f t="shared" si="229"/>
        <v/>
      </c>
      <c r="F1149" s="57" t="str">
        <f t="shared" si="230"/>
        <v/>
      </c>
      <c r="G1149" s="102" t="str">
        <f t="shared" si="236"/>
        <v/>
      </c>
      <c r="H1149" s="57">
        <f t="shared" si="231"/>
        <v>0</v>
      </c>
      <c r="I1149" s="102">
        <f>VLOOKUP(P1149&amp;"_"&amp;Q1149,活动关卡!$A$88:$Z$111,3+5*MonsterWaveCallRuleCfg!R1149,FALSE)</f>
        <v>6</v>
      </c>
      <c r="J1149" s="102">
        <f>VLOOKUP(P1149&amp;"_"&amp;Q1149,活动关卡!$A$88:$Z$111,4+5*MonsterWaveCallRuleCfg!R1149,FALSE)</f>
        <v>2</v>
      </c>
      <c r="K1149" s="102">
        <f t="shared" si="232"/>
        <v>1</v>
      </c>
      <c r="L1149" s="102" t="str">
        <f>IF(VLOOKUP(P1149&amp;"_"&amp;Q1149,活动关卡!$A$88:$Z$111,2+5*R1149,FALSE)="","","Monster_Season4_Challenge"&amp;P1149&amp;"_"&amp;Q1149&amp;"_"&amp;R1149)</f>
        <v>Monster_Season4_Challenge5_2_3</v>
      </c>
      <c r="M1149" s="57">
        <f t="shared" si="233"/>
        <v>1</v>
      </c>
      <c r="O1149" s="102">
        <f>VLOOKUP(P1149&amp;"_"&amp;Q1149,活动关卡!$A$4:$Z$27,6+5*MonsterWaveCallRuleCfg!R1149,FALSE)</f>
        <v>15</v>
      </c>
      <c r="P1149" s="110">
        <v>5</v>
      </c>
      <c r="Q1149" s="110">
        <f t="shared" si="235"/>
        <v>2</v>
      </c>
      <c r="R1149" s="110">
        <v>3</v>
      </c>
    </row>
    <row r="1150" spans="2:18" x14ac:dyDescent="0.2">
      <c r="B1150" s="57" t="str">
        <f t="shared" si="228"/>
        <v/>
      </c>
      <c r="D1150" s="57" t="str">
        <f t="shared" si="229"/>
        <v/>
      </c>
      <c r="F1150" s="57" t="str">
        <f t="shared" si="230"/>
        <v/>
      </c>
      <c r="G1150" s="102" t="str">
        <f t="shared" si="236"/>
        <v/>
      </c>
      <c r="H1150" s="57" t="str">
        <f t="shared" si="231"/>
        <v/>
      </c>
      <c r="I1150" s="102" t="str">
        <f>VLOOKUP(P1150&amp;"_"&amp;Q1150,活动关卡!$A$88:$Z$111,3+5*MonsterWaveCallRuleCfg!R1150,FALSE)</f>
        <v/>
      </c>
      <c r="J1150" s="102" t="str">
        <f>VLOOKUP(P1150&amp;"_"&amp;Q1150,活动关卡!$A$88:$Z$111,4+5*MonsterWaveCallRuleCfg!R1150,FALSE)</f>
        <v/>
      </c>
      <c r="K1150" s="102" t="str">
        <f t="shared" si="232"/>
        <v/>
      </c>
      <c r="L1150" s="102" t="str">
        <f>IF(VLOOKUP(P1150&amp;"_"&amp;Q1150,活动关卡!$A$88:$Z$111,2+5*R1150,FALSE)="","","Monster_Season4_Challenge"&amp;P1150&amp;"_"&amp;Q1150&amp;"_"&amp;R1150)</f>
        <v/>
      </c>
      <c r="M1150" s="57" t="str">
        <f t="shared" si="233"/>
        <v/>
      </c>
      <c r="O1150" s="102" t="str">
        <f>VLOOKUP(P1150&amp;"_"&amp;Q1150,活动关卡!$A$4:$Z$27,6+5*MonsterWaveCallRuleCfg!R1150,FALSE)</f>
        <v/>
      </c>
      <c r="P1150" s="110">
        <v>5</v>
      </c>
      <c r="Q1150" s="110">
        <f t="shared" si="235"/>
        <v>2</v>
      </c>
      <c r="R1150" s="110">
        <v>4</v>
      </c>
    </row>
    <row r="1151" spans="2:18" x14ac:dyDescent="0.2">
      <c r="B1151" s="57" t="str">
        <f t="shared" si="228"/>
        <v>MonsterWaveCallRule_Season4_Challenge5</v>
      </c>
      <c r="C1151" s="57">
        <v>3</v>
      </c>
      <c r="D1151" s="57" t="str">
        <f t="shared" si="229"/>
        <v>赛季4关卡5第3波</v>
      </c>
      <c r="F1151" s="57">
        <f t="shared" si="230"/>
        <v>0</v>
      </c>
      <c r="G1151" s="102">
        <f t="shared" si="236"/>
        <v>180</v>
      </c>
      <c r="H1151" s="57">
        <f t="shared" si="231"/>
        <v>0</v>
      </c>
      <c r="I1151" s="102">
        <f>VLOOKUP(P1151&amp;"_"&amp;Q1151,活动关卡!$A$88:$Z$111,3+5*MonsterWaveCallRuleCfg!R1151,FALSE)</f>
        <v>10</v>
      </c>
      <c r="J1151" s="102">
        <f>VLOOKUP(P1151&amp;"_"&amp;Q1151,活动关卡!$A$88:$Z$111,4+5*MonsterWaveCallRuleCfg!R1151,FALSE)</f>
        <v>1.5</v>
      </c>
      <c r="K1151" s="102">
        <f t="shared" si="232"/>
        <v>1</v>
      </c>
      <c r="L1151" s="102" t="str">
        <f>IF(VLOOKUP(P1151&amp;"_"&amp;Q1151,活动关卡!$A$88:$Z$111,2+5*R1151,FALSE)="","","Monster_Season4_Challenge"&amp;P1151&amp;"_"&amp;Q1151&amp;"_"&amp;R1151)</f>
        <v>Monster_Season4_Challenge5_3_1</v>
      </c>
      <c r="M1151" s="57">
        <f t="shared" si="233"/>
        <v>1</v>
      </c>
      <c r="O1151" s="102">
        <f>VLOOKUP(P1151&amp;"_"&amp;Q1151,活动关卡!$A$4:$Z$27,6+5*MonsterWaveCallRuleCfg!R1151,FALSE)</f>
        <v>7</v>
      </c>
      <c r="P1151" s="110">
        <v>5</v>
      </c>
      <c r="Q1151" s="110">
        <f t="shared" si="235"/>
        <v>3</v>
      </c>
      <c r="R1151" s="110">
        <v>1</v>
      </c>
    </row>
    <row r="1152" spans="2:18" x14ac:dyDescent="0.2">
      <c r="B1152" s="57" t="str">
        <f t="shared" si="228"/>
        <v/>
      </c>
      <c r="D1152" s="57" t="str">
        <f t="shared" si="229"/>
        <v/>
      </c>
      <c r="F1152" s="57" t="str">
        <f t="shared" si="230"/>
        <v/>
      </c>
      <c r="G1152" s="102" t="str">
        <f t="shared" si="236"/>
        <v/>
      </c>
      <c r="H1152" s="57">
        <f t="shared" si="231"/>
        <v>0</v>
      </c>
      <c r="I1152" s="102">
        <f>VLOOKUP(P1152&amp;"_"&amp;Q1152,活动关卡!$A$88:$Z$111,3+5*MonsterWaveCallRuleCfg!R1152,FALSE)</f>
        <v>38</v>
      </c>
      <c r="J1152" s="102">
        <f>VLOOKUP(P1152&amp;"_"&amp;Q1152,活动关卡!$A$88:$Z$111,4+5*MonsterWaveCallRuleCfg!R1152,FALSE)</f>
        <v>0.4</v>
      </c>
      <c r="K1152" s="102">
        <f t="shared" si="232"/>
        <v>1</v>
      </c>
      <c r="L1152" s="102" t="str">
        <f>IF(VLOOKUP(P1152&amp;"_"&amp;Q1152,活动关卡!$A$88:$Z$111,2+5*R1152,FALSE)="","","Monster_Season4_Challenge"&amp;P1152&amp;"_"&amp;Q1152&amp;"_"&amp;R1152)</f>
        <v>Monster_Season4_Challenge5_3_2</v>
      </c>
      <c r="M1152" s="57">
        <f t="shared" si="233"/>
        <v>1</v>
      </c>
      <c r="O1152" s="102">
        <f>VLOOKUP(P1152&amp;"_"&amp;Q1152,活动关卡!$A$4:$Z$27,6+5*MonsterWaveCallRuleCfg!R1152,FALSE)</f>
        <v>4</v>
      </c>
      <c r="P1152" s="110">
        <v>5</v>
      </c>
      <c r="Q1152" s="110">
        <f t="shared" si="235"/>
        <v>3</v>
      </c>
      <c r="R1152" s="110">
        <v>2</v>
      </c>
    </row>
    <row r="1153" spans="2:18" x14ac:dyDescent="0.2">
      <c r="B1153" s="57" t="str">
        <f t="shared" si="228"/>
        <v/>
      </c>
      <c r="D1153" s="57" t="str">
        <f t="shared" si="229"/>
        <v/>
      </c>
      <c r="F1153" s="57" t="str">
        <f t="shared" si="230"/>
        <v/>
      </c>
      <c r="G1153" s="102" t="str">
        <f t="shared" si="236"/>
        <v/>
      </c>
      <c r="H1153" s="57">
        <f t="shared" si="231"/>
        <v>0</v>
      </c>
      <c r="I1153" s="102">
        <f>VLOOKUP(P1153&amp;"_"&amp;Q1153,活动关卡!$A$88:$Z$111,3+5*MonsterWaveCallRuleCfg!R1153,FALSE)</f>
        <v>10</v>
      </c>
      <c r="J1153" s="102">
        <f>VLOOKUP(P1153&amp;"_"&amp;Q1153,活动关卡!$A$88:$Z$111,4+5*MonsterWaveCallRuleCfg!R1153,FALSE)</f>
        <v>1.5</v>
      </c>
      <c r="K1153" s="102">
        <f t="shared" si="232"/>
        <v>1</v>
      </c>
      <c r="L1153" s="102" t="str">
        <f>IF(VLOOKUP(P1153&amp;"_"&amp;Q1153,活动关卡!$A$88:$Z$111,2+5*R1153,FALSE)="","","Monster_Season4_Challenge"&amp;P1153&amp;"_"&amp;Q1153&amp;"_"&amp;R1153)</f>
        <v>Monster_Season4_Challenge5_3_3</v>
      </c>
      <c r="M1153" s="57">
        <f t="shared" si="233"/>
        <v>1</v>
      </c>
      <c r="O1153" s="102">
        <f>VLOOKUP(P1153&amp;"_"&amp;Q1153,活动关卡!$A$4:$Z$27,6+5*MonsterWaveCallRuleCfg!R1153,FALSE)</f>
        <v>4</v>
      </c>
      <c r="P1153" s="110">
        <v>5</v>
      </c>
      <c r="Q1153" s="110">
        <f t="shared" si="235"/>
        <v>3</v>
      </c>
      <c r="R1153" s="110">
        <v>3</v>
      </c>
    </row>
    <row r="1154" spans="2:18" x14ac:dyDescent="0.2">
      <c r="B1154" s="57" t="str">
        <f t="shared" si="228"/>
        <v/>
      </c>
      <c r="D1154" s="57" t="str">
        <f t="shared" si="229"/>
        <v/>
      </c>
      <c r="F1154" s="57" t="str">
        <f t="shared" si="230"/>
        <v/>
      </c>
      <c r="G1154" s="102" t="str">
        <f t="shared" si="236"/>
        <v/>
      </c>
      <c r="H1154" s="57">
        <f t="shared" si="231"/>
        <v>0</v>
      </c>
      <c r="I1154" s="102">
        <f>VLOOKUP(P1154&amp;"_"&amp;Q1154,活动关卡!$A$88:$Z$111,3+5*MonsterWaveCallRuleCfg!R1154,FALSE)</f>
        <v>8</v>
      </c>
      <c r="J1154" s="102">
        <f>VLOOKUP(P1154&amp;"_"&amp;Q1154,活动关卡!$A$88:$Z$111,4+5*MonsterWaveCallRuleCfg!R1154,FALSE)</f>
        <v>2</v>
      </c>
      <c r="K1154" s="102">
        <f t="shared" si="232"/>
        <v>1</v>
      </c>
      <c r="L1154" s="102" t="str">
        <f>IF(VLOOKUP(P1154&amp;"_"&amp;Q1154,活动关卡!$A$88:$Z$111,2+5*R1154,FALSE)="","","Monster_Season4_Challenge"&amp;P1154&amp;"_"&amp;Q1154&amp;"_"&amp;R1154)</f>
        <v>Monster_Season4_Challenge5_3_4</v>
      </c>
      <c r="M1154" s="57">
        <f t="shared" si="233"/>
        <v>1</v>
      </c>
      <c r="O1154" s="102">
        <f>VLOOKUP(P1154&amp;"_"&amp;Q1154,活动关卡!$A$4:$Z$27,6+5*MonsterWaveCallRuleCfg!R1154,FALSE)</f>
        <v>7</v>
      </c>
      <c r="P1154" s="110">
        <v>5</v>
      </c>
      <c r="Q1154" s="110">
        <f t="shared" si="235"/>
        <v>3</v>
      </c>
      <c r="R1154" s="110">
        <v>4</v>
      </c>
    </row>
    <row r="1155" spans="2:18" x14ac:dyDescent="0.2">
      <c r="B1155" s="57" t="str">
        <f t="shared" si="228"/>
        <v>MonsterWaveCallRule_Season4_Challenge5</v>
      </c>
      <c r="C1155" s="57">
        <v>4</v>
      </c>
      <c r="D1155" s="57" t="str">
        <f t="shared" si="229"/>
        <v>赛季4关卡5第4波</v>
      </c>
      <c r="F1155" s="57">
        <f t="shared" si="230"/>
        <v>0</v>
      </c>
      <c r="G1155" s="102">
        <f t="shared" si="236"/>
        <v>180</v>
      </c>
      <c r="H1155" s="57">
        <f t="shared" si="231"/>
        <v>0</v>
      </c>
      <c r="I1155" s="102">
        <f>VLOOKUP(P1155&amp;"_"&amp;Q1155,活动关卡!$A$88:$Z$111,3+5*MonsterWaveCallRuleCfg!R1155,FALSE)</f>
        <v>12</v>
      </c>
      <c r="J1155" s="102">
        <f>VLOOKUP(P1155&amp;"_"&amp;Q1155,活动关卡!$A$88:$Z$111,4+5*MonsterWaveCallRuleCfg!R1155,FALSE)</f>
        <v>1.5</v>
      </c>
      <c r="K1155" s="102">
        <f t="shared" si="232"/>
        <v>1</v>
      </c>
      <c r="L1155" s="102" t="str">
        <f>IF(VLOOKUP(P1155&amp;"_"&amp;Q1155,活动关卡!$A$88:$Z$111,2+5*R1155,FALSE)="","","Monster_Season4_Challenge"&amp;P1155&amp;"_"&amp;Q1155&amp;"_"&amp;R1155)</f>
        <v>Monster_Season4_Challenge5_4_1</v>
      </c>
      <c r="M1155" s="57">
        <f t="shared" si="233"/>
        <v>1</v>
      </c>
      <c r="O1155" s="102">
        <f>VLOOKUP(P1155&amp;"_"&amp;Q1155,活动关卡!$A$4:$Z$27,6+5*MonsterWaveCallRuleCfg!R1155,FALSE)</f>
        <v>8</v>
      </c>
      <c r="P1155" s="110">
        <v>5</v>
      </c>
      <c r="Q1155" s="110">
        <f t="shared" si="235"/>
        <v>4</v>
      </c>
      <c r="R1155" s="110">
        <v>1</v>
      </c>
    </row>
    <row r="1156" spans="2:18" x14ac:dyDescent="0.2">
      <c r="B1156" s="57" t="str">
        <f t="shared" si="228"/>
        <v/>
      </c>
      <c r="D1156" s="57" t="str">
        <f t="shared" si="229"/>
        <v/>
      </c>
      <c r="F1156" s="57" t="str">
        <f t="shared" si="230"/>
        <v/>
      </c>
      <c r="G1156" s="102" t="str">
        <f t="shared" si="236"/>
        <v/>
      </c>
      <c r="H1156" s="57">
        <f t="shared" si="231"/>
        <v>0</v>
      </c>
      <c r="I1156" s="102">
        <f>VLOOKUP(P1156&amp;"_"&amp;Q1156,活动关卡!$A$88:$Z$111,3+5*MonsterWaveCallRuleCfg!R1156,FALSE)</f>
        <v>35</v>
      </c>
      <c r="J1156" s="102">
        <f>VLOOKUP(P1156&amp;"_"&amp;Q1156,活动关卡!$A$88:$Z$111,4+5*MonsterWaveCallRuleCfg!R1156,FALSE)</f>
        <v>0.5</v>
      </c>
      <c r="K1156" s="102">
        <f t="shared" si="232"/>
        <v>1</v>
      </c>
      <c r="L1156" s="102" t="str">
        <f>IF(VLOOKUP(P1156&amp;"_"&amp;Q1156,活动关卡!$A$88:$Z$111,2+5*R1156,FALSE)="","","Monster_Season4_Challenge"&amp;P1156&amp;"_"&amp;Q1156&amp;"_"&amp;R1156)</f>
        <v>Monster_Season4_Challenge5_4_2</v>
      </c>
      <c r="M1156" s="57">
        <f t="shared" si="233"/>
        <v>1</v>
      </c>
      <c r="O1156" s="102">
        <f>VLOOKUP(P1156&amp;"_"&amp;Q1156,活动关卡!$A$4:$Z$27,6+5*MonsterWaveCallRuleCfg!R1156,FALSE)</f>
        <v>4</v>
      </c>
      <c r="P1156" s="110">
        <v>5</v>
      </c>
      <c r="Q1156" s="110">
        <f t="shared" si="235"/>
        <v>4</v>
      </c>
      <c r="R1156" s="110">
        <v>2</v>
      </c>
    </row>
    <row r="1157" spans="2:18" x14ac:dyDescent="0.2">
      <c r="B1157" s="57" t="str">
        <f t="shared" si="228"/>
        <v/>
      </c>
      <c r="D1157" s="57" t="str">
        <f t="shared" si="229"/>
        <v/>
      </c>
      <c r="F1157" s="57" t="str">
        <f t="shared" si="230"/>
        <v/>
      </c>
      <c r="G1157" s="102" t="str">
        <f t="shared" si="236"/>
        <v/>
      </c>
      <c r="H1157" s="57">
        <f t="shared" si="231"/>
        <v>0</v>
      </c>
      <c r="I1157" s="102">
        <f>VLOOKUP(P1157&amp;"_"&amp;Q1157,活动关卡!$A$88:$Z$111,3+5*MonsterWaveCallRuleCfg!R1157,FALSE)</f>
        <v>9</v>
      </c>
      <c r="J1157" s="102">
        <f>VLOOKUP(P1157&amp;"_"&amp;Q1157,活动关卡!$A$88:$Z$111,4+5*MonsterWaveCallRuleCfg!R1157,FALSE)</f>
        <v>2</v>
      </c>
      <c r="K1157" s="102">
        <f t="shared" si="232"/>
        <v>1</v>
      </c>
      <c r="L1157" s="102" t="str">
        <f>IF(VLOOKUP(P1157&amp;"_"&amp;Q1157,活动关卡!$A$88:$Z$111,2+5*R1157,FALSE)="","","Monster_Season4_Challenge"&amp;P1157&amp;"_"&amp;Q1157&amp;"_"&amp;R1157)</f>
        <v>Monster_Season4_Challenge5_4_3</v>
      </c>
      <c r="M1157" s="57">
        <f t="shared" si="233"/>
        <v>1</v>
      </c>
      <c r="O1157" s="102">
        <f>VLOOKUP(P1157&amp;"_"&amp;Q1157,活动关卡!$A$4:$Z$27,6+5*MonsterWaveCallRuleCfg!R1157,FALSE)</f>
        <v>8</v>
      </c>
      <c r="P1157" s="110">
        <v>5</v>
      </c>
      <c r="Q1157" s="110">
        <f t="shared" si="235"/>
        <v>4</v>
      </c>
      <c r="R1157" s="110">
        <v>3</v>
      </c>
    </row>
    <row r="1158" spans="2:18" x14ac:dyDescent="0.2">
      <c r="B1158" s="57" t="str">
        <f t="shared" si="228"/>
        <v/>
      </c>
      <c r="D1158" s="57" t="str">
        <f t="shared" si="229"/>
        <v/>
      </c>
      <c r="F1158" s="57" t="str">
        <f t="shared" si="230"/>
        <v/>
      </c>
      <c r="G1158" s="102" t="str">
        <f t="shared" si="236"/>
        <v/>
      </c>
      <c r="H1158" s="57" t="str">
        <f t="shared" si="231"/>
        <v/>
      </c>
      <c r="I1158" s="102" t="str">
        <f>VLOOKUP(P1158&amp;"_"&amp;Q1158,活动关卡!$A$88:$Z$111,3+5*MonsterWaveCallRuleCfg!R1158,FALSE)</f>
        <v/>
      </c>
      <c r="J1158" s="102" t="str">
        <f>VLOOKUP(P1158&amp;"_"&amp;Q1158,活动关卡!$A$88:$Z$111,4+5*MonsterWaveCallRuleCfg!R1158,FALSE)</f>
        <v/>
      </c>
      <c r="K1158" s="102" t="str">
        <f t="shared" si="232"/>
        <v/>
      </c>
      <c r="L1158" s="102" t="str">
        <f>IF(VLOOKUP(P1158&amp;"_"&amp;Q1158,活动关卡!$A$88:$Z$111,2+5*R1158,FALSE)="","","Monster_Season4_Challenge"&amp;P1158&amp;"_"&amp;Q1158&amp;"_"&amp;R1158)</f>
        <v/>
      </c>
      <c r="M1158" s="57" t="str">
        <f t="shared" si="233"/>
        <v/>
      </c>
      <c r="O1158" s="102" t="str">
        <f>VLOOKUP(P1158&amp;"_"&amp;Q1158,活动关卡!$A$4:$Z$27,6+5*MonsterWaveCallRuleCfg!R1158,FALSE)</f>
        <v/>
      </c>
      <c r="P1158" s="110">
        <v>5</v>
      </c>
      <c r="Q1158" s="110">
        <f t="shared" si="235"/>
        <v>4</v>
      </c>
      <c r="R1158" s="110">
        <v>4</v>
      </c>
    </row>
    <row r="1159" spans="2:18" x14ac:dyDescent="0.2">
      <c r="B1159" s="57" t="str">
        <f t="shared" ref="B1159:B1171" si="237">IF(C1159="","","MonsterWaveCallRule_Season4_Challenge"&amp;P1159)</f>
        <v>MonsterWaveCallRule_Season4_Challenge5</v>
      </c>
      <c r="C1159" s="57">
        <v>5</v>
      </c>
      <c r="D1159" s="57" t="str">
        <f t="shared" ref="D1159:D1171" si="238">IF(C1159="","","赛季4关卡"&amp;P1159&amp;"第"&amp;C1159&amp;"波")</f>
        <v>赛季4关卡5第5波</v>
      </c>
      <c r="F1159" s="57">
        <f t="shared" si="230"/>
        <v>0</v>
      </c>
      <c r="G1159" s="102">
        <f t="shared" si="236"/>
        <v>180</v>
      </c>
      <c r="H1159" s="57">
        <f t="shared" si="231"/>
        <v>0</v>
      </c>
      <c r="I1159" s="102">
        <f>VLOOKUP(P1159&amp;"_"&amp;Q1159,活动关卡!$A$88:$Z$111,3+5*MonsterWaveCallRuleCfg!R1159,FALSE)</f>
        <v>13</v>
      </c>
      <c r="J1159" s="102">
        <f>VLOOKUP(P1159&amp;"_"&amp;Q1159,活动关卡!$A$88:$Z$111,4+5*MonsterWaveCallRuleCfg!R1159,FALSE)</f>
        <v>1.5</v>
      </c>
      <c r="K1159" s="102">
        <f t="shared" si="232"/>
        <v>1</v>
      </c>
      <c r="L1159" s="102" t="str">
        <f>IF(VLOOKUP(P1159&amp;"_"&amp;Q1159,活动关卡!$A$88:$Z$111,2+5*R1159,FALSE)="","","Monster_Season4_Challenge"&amp;P1159&amp;"_"&amp;Q1159&amp;"_"&amp;R1159)</f>
        <v>Monster_Season4_Challenge5_5_1</v>
      </c>
      <c r="M1159" s="57">
        <f t="shared" si="233"/>
        <v>1</v>
      </c>
      <c r="O1159" s="102">
        <f>VLOOKUP(P1159&amp;"_"&amp;Q1159,活动关卡!$A$4:$Z$27,6+5*MonsterWaveCallRuleCfg!R1159,FALSE)</f>
        <v>5</v>
      </c>
      <c r="P1159" s="110">
        <v>5</v>
      </c>
      <c r="Q1159" s="110">
        <f t="shared" si="235"/>
        <v>5</v>
      </c>
      <c r="R1159" s="110">
        <v>1</v>
      </c>
    </row>
    <row r="1160" spans="2:18" x14ac:dyDescent="0.2">
      <c r="B1160" s="57" t="str">
        <f t="shared" si="237"/>
        <v/>
      </c>
      <c r="D1160" s="57" t="str">
        <f t="shared" si="238"/>
        <v/>
      </c>
      <c r="F1160" s="57" t="str">
        <f t="shared" si="230"/>
        <v/>
      </c>
      <c r="G1160" s="102" t="str">
        <f t="shared" si="236"/>
        <v/>
      </c>
      <c r="H1160" s="57">
        <f t="shared" si="231"/>
        <v>0</v>
      </c>
      <c r="I1160" s="102">
        <f>VLOOKUP(P1160&amp;"_"&amp;Q1160,活动关卡!$A$88:$Z$111,3+5*MonsterWaveCallRuleCfg!R1160,FALSE)</f>
        <v>40</v>
      </c>
      <c r="J1160" s="102">
        <f>VLOOKUP(P1160&amp;"_"&amp;Q1160,活动关卡!$A$88:$Z$111,4+5*MonsterWaveCallRuleCfg!R1160,FALSE)</f>
        <v>0.5</v>
      </c>
      <c r="K1160" s="102">
        <f t="shared" si="232"/>
        <v>1</v>
      </c>
      <c r="L1160" s="102" t="str">
        <f>IF(VLOOKUP(P1160&amp;"_"&amp;Q1160,活动关卡!$A$88:$Z$111,2+5*R1160,FALSE)="","","Monster_Season4_Challenge"&amp;P1160&amp;"_"&amp;Q1160&amp;"_"&amp;R1160)</f>
        <v>Monster_Season4_Challenge5_5_2</v>
      </c>
      <c r="M1160" s="57">
        <f t="shared" si="233"/>
        <v>1</v>
      </c>
      <c r="O1160" s="102">
        <f>VLOOKUP(P1160&amp;"_"&amp;Q1160,活动关卡!$A$4:$Z$27,6+5*MonsterWaveCallRuleCfg!R1160,FALSE)</f>
        <v>2</v>
      </c>
      <c r="P1160" s="110">
        <v>5</v>
      </c>
      <c r="Q1160" s="110">
        <f t="shared" si="235"/>
        <v>5</v>
      </c>
      <c r="R1160" s="110">
        <v>2</v>
      </c>
    </row>
    <row r="1161" spans="2:18" x14ac:dyDescent="0.2">
      <c r="B1161" s="57" t="str">
        <f t="shared" si="237"/>
        <v/>
      </c>
      <c r="D1161" s="57" t="str">
        <f t="shared" si="238"/>
        <v/>
      </c>
      <c r="F1161" s="57" t="str">
        <f t="shared" si="230"/>
        <v/>
      </c>
      <c r="G1161" s="102" t="str">
        <f t="shared" si="236"/>
        <v/>
      </c>
      <c r="H1161" s="57">
        <f t="shared" si="231"/>
        <v>0</v>
      </c>
      <c r="I1161" s="102">
        <f>VLOOKUP(P1161&amp;"_"&amp;Q1161,活动关卡!$A$88:$Z$111,3+5*MonsterWaveCallRuleCfg!R1161,FALSE)</f>
        <v>10</v>
      </c>
      <c r="J1161" s="102">
        <f>VLOOKUP(P1161&amp;"_"&amp;Q1161,活动关卡!$A$88:$Z$111,4+5*MonsterWaveCallRuleCfg!R1161,FALSE)</f>
        <v>2</v>
      </c>
      <c r="K1161" s="102">
        <f t="shared" si="232"/>
        <v>1</v>
      </c>
      <c r="L1161" s="102" t="str">
        <f>IF(VLOOKUP(P1161&amp;"_"&amp;Q1161,活动关卡!$A$88:$Z$111,2+5*R1161,FALSE)="","","Monster_Season4_Challenge"&amp;P1161&amp;"_"&amp;Q1161&amp;"_"&amp;R1161)</f>
        <v>Monster_Season4_Challenge5_5_3</v>
      </c>
      <c r="M1161" s="57">
        <f t="shared" si="233"/>
        <v>1</v>
      </c>
      <c r="O1161" s="102">
        <f>VLOOKUP(P1161&amp;"_"&amp;Q1161,活动关卡!$A$4:$Z$27,6+5*MonsterWaveCallRuleCfg!R1161,FALSE)</f>
        <v>5</v>
      </c>
      <c r="P1161" s="110">
        <v>5</v>
      </c>
      <c r="Q1161" s="110">
        <f t="shared" si="235"/>
        <v>5</v>
      </c>
      <c r="R1161" s="110">
        <v>3</v>
      </c>
    </row>
    <row r="1162" spans="2:18" x14ac:dyDescent="0.2">
      <c r="B1162" s="57" t="str">
        <f t="shared" si="237"/>
        <v/>
      </c>
      <c r="D1162" s="57" t="str">
        <f t="shared" si="238"/>
        <v/>
      </c>
      <c r="F1162" s="57" t="str">
        <f t="shared" si="230"/>
        <v/>
      </c>
      <c r="G1162" s="102" t="str">
        <f t="shared" si="236"/>
        <v/>
      </c>
      <c r="H1162" s="57">
        <f t="shared" si="231"/>
        <v>0</v>
      </c>
      <c r="I1162" s="102">
        <f>VLOOKUP(P1162&amp;"_"&amp;Q1162,活动关卡!$A$88:$Z$111,3+5*MonsterWaveCallRuleCfg!R1162,FALSE)</f>
        <v>20</v>
      </c>
      <c r="J1162" s="102">
        <f>VLOOKUP(P1162&amp;"_"&amp;Q1162,活动关卡!$A$88:$Z$111,4+5*MonsterWaveCallRuleCfg!R1162,FALSE)</f>
        <v>1</v>
      </c>
      <c r="K1162" s="102">
        <f t="shared" si="232"/>
        <v>1</v>
      </c>
      <c r="L1162" s="102" t="str">
        <f>IF(VLOOKUP(P1162&amp;"_"&amp;Q1162,活动关卡!$A$88:$Z$111,2+5*R1162,FALSE)="","","Monster_Season4_Challenge"&amp;P1162&amp;"_"&amp;Q1162&amp;"_"&amp;R1162)</f>
        <v>Monster_Season4_Challenge5_5_4</v>
      </c>
      <c r="M1162" s="57">
        <f t="shared" si="233"/>
        <v>1</v>
      </c>
      <c r="O1162" s="102">
        <f>VLOOKUP(P1162&amp;"_"&amp;Q1162,活动关卡!$A$4:$Z$27,6+5*MonsterWaveCallRuleCfg!R1162,FALSE)</f>
        <v>5</v>
      </c>
      <c r="P1162" s="110">
        <v>5</v>
      </c>
      <c r="Q1162" s="110">
        <f t="shared" si="235"/>
        <v>5</v>
      </c>
      <c r="R1162" s="110">
        <v>4</v>
      </c>
    </row>
    <row r="1163" spans="2:18" x14ac:dyDescent="0.2">
      <c r="B1163" s="57" t="str">
        <f t="shared" si="237"/>
        <v>MonsterWaveCallRule_Season4_Challenge5</v>
      </c>
      <c r="C1163" s="57">
        <v>6</v>
      </c>
      <c r="D1163" s="57" t="str">
        <f t="shared" si="238"/>
        <v>赛季4关卡5第6波</v>
      </c>
      <c r="F1163" s="57">
        <f t="shared" si="230"/>
        <v>0</v>
      </c>
      <c r="G1163" s="102">
        <f t="shared" si="236"/>
        <v>180</v>
      </c>
      <c r="H1163" s="57">
        <f t="shared" si="231"/>
        <v>0</v>
      </c>
      <c r="I1163" s="102">
        <f>VLOOKUP(P1163&amp;"_"&amp;Q1163,活动关卡!$A$88:$Z$111,3+5*MonsterWaveCallRuleCfg!R1163,FALSE)</f>
        <v>15</v>
      </c>
      <c r="J1163" s="102">
        <f>VLOOKUP(P1163&amp;"_"&amp;Q1163,活动关卡!$A$88:$Z$111,4+5*MonsterWaveCallRuleCfg!R1163,FALSE)</f>
        <v>1.5</v>
      </c>
      <c r="K1163" s="102">
        <f t="shared" si="232"/>
        <v>1</v>
      </c>
      <c r="L1163" s="102" t="str">
        <f>IF(VLOOKUP(P1163&amp;"_"&amp;Q1163,活动关卡!$A$88:$Z$111,2+5*R1163,FALSE)="","","Monster_Season4_Challenge"&amp;P1163&amp;"_"&amp;Q1163&amp;"_"&amp;R1163)</f>
        <v>Monster_Season4_Challenge5_6_1</v>
      </c>
      <c r="M1163" s="57">
        <f t="shared" si="233"/>
        <v>1</v>
      </c>
      <c r="O1163" s="102">
        <f>VLOOKUP(P1163&amp;"_"&amp;Q1163,活动关卡!$A$4:$Z$27,6+5*MonsterWaveCallRuleCfg!R1163,FALSE)</f>
        <v>5</v>
      </c>
      <c r="P1163" s="110">
        <v>5</v>
      </c>
      <c r="Q1163" s="110">
        <f t="shared" si="235"/>
        <v>6</v>
      </c>
      <c r="R1163" s="110">
        <v>1</v>
      </c>
    </row>
    <row r="1164" spans="2:18" x14ac:dyDescent="0.2">
      <c r="B1164" s="57" t="str">
        <f t="shared" si="237"/>
        <v/>
      </c>
      <c r="D1164" s="57" t="str">
        <f t="shared" si="238"/>
        <v/>
      </c>
      <c r="F1164" s="57" t="str">
        <f t="shared" si="230"/>
        <v/>
      </c>
      <c r="G1164" s="102" t="str">
        <f t="shared" si="236"/>
        <v/>
      </c>
      <c r="H1164" s="57">
        <f t="shared" si="231"/>
        <v>0</v>
      </c>
      <c r="I1164" s="102">
        <f>VLOOKUP(P1164&amp;"_"&amp;Q1164,活动关卡!$A$88:$Z$111,3+5*MonsterWaveCallRuleCfg!R1164,FALSE)</f>
        <v>11</v>
      </c>
      <c r="J1164" s="102">
        <f>VLOOKUP(P1164&amp;"_"&amp;Q1164,活动关卡!$A$88:$Z$111,4+5*MonsterWaveCallRuleCfg!R1164,FALSE)</f>
        <v>2</v>
      </c>
      <c r="K1164" s="102">
        <f t="shared" si="232"/>
        <v>1</v>
      </c>
      <c r="L1164" s="102" t="str">
        <f>IF(VLOOKUP(P1164&amp;"_"&amp;Q1164,活动关卡!$A$88:$Z$111,2+5*R1164,FALSE)="","","Monster_Season4_Challenge"&amp;P1164&amp;"_"&amp;Q1164&amp;"_"&amp;R1164)</f>
        <v>Monster_Season4_Challenge5_6_2</v>
      </c>
      <c r="M1164" s="57">
        <f t="shared" si="233"/>
        <v>1</v>
      </c>
      <c r="O1164" s="102">
        <f>VLOOKUP(P1164&amp;"_"&amp;Q1164,活动关卡!$A$4:$Z$27,6+5*MonsterWaveCallRuleCfg!R1164,FALSE)</f>
        <v>5</v>
      </c>
      <c r="P1164" s="110">
        <v>5</v>
      </c>
      <c r="Q1164" s="110">
        <f t="shared" si="235"/>
        <v>6</v>
      </c>
      <c r="R1164" s="110">
        <v>2</v>
      </c>
    </row>
    <row r="1165" spans="2:18" x14ac:dyDescent="0.2">
      <c r="B1165" s="57" t="str">
        <f t="shared" si="237"/>
        <v/>
      </c>
      <c r="D1165" s="57" t="str">
        <f t="shared" si="238"/>
        <v/>
      </c>
      <c r="F1165" s="57" t="str">
        <f t="shared" si="230"/>
        <v/>
      </c>
      <c r="G1165" s="102" t="str">
        <f t="shared" si="236"/>
        <v/>
      </c>
      <c r="H1165" s="57">
        <f t="shared" si="231"/>
        <v>0</v>
      </c>
      <c r="I1165" s="102">
        <f>VLOOKUP(P1165&amp;"_"&amp;Q1165,活动关卡!$A$88:$Z$111,3+5*MonsterWaveCallRuleCfg!R1165,FALSE)</f>
        <v>15</v>
      </c>
      <c r="J1165" s="102">
        <f>VLOOKUP(P1165&amp;"_"&amp;Q1165,活动关卡!$A$88:$Z$111,4+5*MonsterWaveCallRuleCfg!R1165,FALSE)</f>
        <v>1.5</v>
      </c>
      <c r="K1165" s="102">
        <f t="shared" si="232"/>
        <v>1</v>
      </c>
      <c r="L1165" s="102" t="str">
        <f>IF(VLOOKUP(P1165&amp;"_"&amp;Q1165,活动关卡!$A$88:$Z$111,2+5*R1165,FALSE)="","","Monster_Season4_Challenge"&amp;P1165&amp;"_"&amp;Q1165&amp;"_"&amp;R1165)</f>
        <v>Monster_Season4_Challenge5_6_3</v>
      </c>
      <c r="M1165" s="57">
        <f t="shared" si="233"/>
        <v>1</v>
      </c>
      <c r="O1165" s="102">
        <f>VLOOKUP(P1165&amp;"_"&amp;Q1165,活动关卡!$A$4:$Z$27,6+5*MonsterWaveCallRuleCfg!R1165,FALSE)</f>
        <v>3</v>
      </c>
      <c r="P1165" s="110">
        <v>5</v>
      </c>
      <c r="Q1165" s="110">
        <f t="shared" si="235"/>
        <v>6</v>
      </c>
      <c r="R1165" s="110">
        <v>3</v>
      </c>
    </row>
    <row r="1166" spans="2:18" x14ac:dyDescent="0.2">
      <c r="B1166" s="57" t="str">
        <f t="shared" si="237"/>
        <v/>
      </c>
      <c r="D1166" s="57" t="str">
        <f t="shared" si="238"/>
        <v/>
      </c>
      <c r="F1166" s="57" t="str">
        <f t="shared" si="230"/>
        <v/>
      </c>
      <c r="G1166" s="102" t="str">
        <f t="shared" si="236"/>
        <v/>
      </c>
      <c r="H1166" s="57">
        <f t="shared" si="231"/>
        <v>0</v>
      </c>
      <c r="I1166" s="102">
        <f>VLOOKUP(P1166&amp;"_"&amp;Q1166,活动关卡!$A$88:$Z$111,3+5*MonsterWaveCallRuleCfg!R1166,FALSE)</f>
        <v>23</v>
      </c>
      <c r="J1166" s="102">
        <f>VLOOKUP(P1166&amp;"_"&amp;Q1166,活动关卡!$A$88:$Z$111,4+5*MonsterWaveCallRuleCfg!R1166,FALSE)</f>
        <v>1</v>
      </c>
      <c r="K1166" s="102">
        <f t="shared" si="232"/>
        <v>1</v>
      </c>
      <c r="L1166" s="102" t="str">
        <f>IF(VLOOKUP(P1166&amp;"_"&amp;Q1166,活动关卡!$A$88:$Z$111,2+5*R1166,FALSE)="","","Monster_Season4_Challenge"&amp;P1166&amp;"_"&amp;Q1166&amp;"_"&amp;R1166)</f>
        <v>Monster_Season4_Challenge5_6_4</v>
      </c>
      <c r="M1166" s="57">
        <f t="shared" si="233"/>
        <v>1</v>
      </c>
      <c r="O1166" s="102">
        <f>VLOOKUP(P1166&amp;"_"&amp;Q1166,活动关卡!$A$4:$Z$27,6+5*MonsterWaveCallRuleCfg!R1166,FALSE)</f>
        <v>5</v>
      </c>
      <c r="P1166" s="110">
        <v>5</v>
      </c>
      <c r="Q1166" s="110">
        <f t="shared" si="235"/>
        <v>6</v>
      </c>
      <c r="R1166" s="110">
        <v>4</v>
      </c>
    </row>
    <row r="1167" spans="2:18" x14ac:dyDescent="0.2">
      <c r="B1167" s="57" t="str">
        <f t="shared" si="237"/>
        <v>MonsterWaveCallRule_Season4_Challenge5</v>
      </c>
      <c r="C1167" s="57">
        <v>7</v>
      </c>
      <c r="D1167" s="57" t="str">
        <f t="shared" si="238"/>
        <v>赛季4关卡5第7波</v>
      </c>
      <c r="F1167" s="57">
        <f t="shared" si="230"/>
        <v>0</v>
      </c>
      <c r="G1167" s="102">
        <f t="shared" si="236"/>
        <v>180</v>
      </c>
      <c r="H1167" s="57">
        <f t="shared" si="231"/>
        <v>0</v>
      </c>
      <c r="I1167" s="102">
        <f>VLOOKUP(P1167&amp;"_"&amp;Q1167,活动关卡!$A$88:$Z$111,3+5*MonsterWaveCallRuleCfg!R1167,FALSE)</f>
        <v>25</v>
      </c>
      <c r="J1167" s="102">
        <f>VLOOKUP(P1167&amp;"_"&amp;Q1167,活动关卡!$A$88:$Z$111,4+5*MonsterWaveCallRuleCfg!R1167,FALSE)</f>
        <v>1</v>
      </c>
      <c r="K1167" s="102">
        <f t="shared" si="232"/>
        <v>1</v>
      </c>
      <c r="L1167" s="102" t="str">
        <f>IF(VLOOKUP(P1167&amp;"_"&amp;Q1167,活动关卡!$A$88:$Z$111,2+5*R1167,FALSE)="","","Monster_Season4_Challenge"&amp;P1167&amp;"_"&amp;Q1167&amp;"_"&amp;R1167)</f>
        <v>Monster_Season4_Challenge5_7_1</v>
      </c>
      <c r="M1167" s="57">
        <f t="shared" si="233"/>
        <v>1</v>
      </c>
      <c r="O1167" s="102">
        <f>VLOOKUP(P1167&amp;"_"&amp;Q1167,活动关卡!$A$4:$Z$27,6+5*MonsterWaveCallRuleCfg!R1167,FALSE)</f>
        <v>4</v>
      </c>
      <c r="P1167" s="110">
        <v>5</v>
      </c>
      <c r="Q1167" s="110">
        <f t="shared" si="235"/>
        <v>7</v>
      </c>
      <c r="R1167" s="110">
        <v>1</v>
      </c>
    </row>
    <row r="1168" spans="2:18" x14ac:dyDescent="0.2">
      <c r="B1168" s="57" t="str">
        <f t="shared" si="237"/>
        <v/>
      </c>
      <c r="D1168" s="57" t="str">
        <f t="shared" si="238"/>
        <v/>
      </c>
      <c r="F1168" s="57" t="str">
        <f t="shared" si="230"/>
        <v/>
      </c>
      <c r="G1168" s="102" t="str">
        <f t="shared" si="236"/>
        <v/>
      </c>
      <c r="H1168" s="57">
        <f t="shared" si="231"/>
        <v>0</v>
      </c>
      <c r="I1168" s="102">
        <f>VLOOKUP(P1168&amp;"_"&amp;Q1168,活动关卡!$A$88:$Z$111,3+5*MonsterWaveCallRuleCfg!R1168,FALSE)</f>
        <v>25</v>
      </c>
      <c r="J1168" s="102">
        <f>VLOOKUP(P1168&amp;"_"&amp;Q1168,活动关卡!$A$88:$Z$111,4+5*MonsterWaveCallRuleCfg!R1168,FALSE)</f>
        <v>1</v>
      </c>
      <c r="K1168" s="102">
        <f t="shared" si="232"/>
        <v>1</v>
      </c>
      <c r="L1168" s="102" t="str">
        <f>IF(VLOOKUP(P1168&amp;"_"&amp;Q1168,活动关卡!$A$88:$Z$111,2+5*R1168,FALSE)="","","Monster_Season4_Challenge"&amp;P1168&amp;"_"&amp;Q1168&amp;"_"&amp;R1168)</f>
        <v>Monster_Season4_Challenge5_7_2</v>
      </c>
      <c r="M1168" s="57">
        <f t="shared" si="233"/>
        <v>1</v>
      </c>
      <c r="O1168" s="102">
        <f>VLOOKUP(P1168&amp;"_"&amp;Q1168,活动关卡!$A$4:$Z$27,6+5*MonsterWaveCallRuleCfg!R1168,FALSE)</f>
        <v>2</v>
      </c>
      <c r="P1168" s="110">
        <v>5</v>
      </c>
      <c r="Q1168" s="110">
        <f t="shared" si="235"/>
        <v>7</v>
      </c>
      <c r="R1168" s="110">
        <v>2</v>
      </c>
    </row>
    <row r="1169" spans="2:18" x14ac:dyDescent="0.2">
      <c r="B1169" s="57" t="str">
        <f t="shared" si="237"/>
        <v/>
      </c>
      <c r="D1169" s="57" t="str">
        <f t="shared" si="238"/>
        <v/>
      </c>
      <c r="F1169" s="57" t="str">
        <f t="shared" si="230"/>
        <v/>
      </c>
      <c r="G1169" s="102" t="str">
        <f t="shared" si="236"/>
        <v/>
      </c>
      <c r="H1169" s="57">
        <f t="shared" si="231"/>
        <v>0</v>
      </c>
      <c r="I1169" s="102">
        <f>VLOOKUP(P1169&amp;"_"&amp;Q1169,活动关卡!$A$88:$Z$111,3+5*MonsterWaveCallRuleCfg!R1169,FALSE)</f>
        <v>50</v>
      </c>
      <c r="J1169" s="102">
        <f>VLOOKUP(P1169&amp;"_"&amp;Q1169,活动关卡!$A$88:$Z$111,4+5*MonsterWaveCallRuleCfg!R1169,FALSE)</f>
        <v>0.5</v>
      </c>
      <c r="K1169" s="102">
        <f t="shared" si="232"/>
        <v>1</v>
      </c>
      <c r="L1169" s="102" t="str">
        <f>IF(VLOOKUP(P1169&amp;"_"&amp;Q1169,活动关卡!$A$88:$Z$111,2+5*R1169,FALSE)="","","Monster_Season4_Challenge"&amp;P1169&amp;"_"&amp;Q1169&amp;"_"&amp;R1169)</f>
        <v>Monster_Season4_Challenge5_7_3</v>
      </c>
      <c r="M1169" s="57">
        <f t="shared" si="233"/>
        <v>1</v>
      </c>
      <c r="O1169" s="102">
        <f>VLOOKUP(P1169&amp;"_"&amp;Q1169,活动关卡!$A$4:$Z$27,6+5*MonsterWaveCallRuleCfg!R1169,FALSE)</f>
        <v>1</v>
      </c>
      <c r="P1169" s="110">
        <v>5</v>
      </c>
      <c r="Q1169" s="110">
        <f t="shared" si="235"/>
        <v>7</v>
      </c>
      <c r="R1169" s="110">
        <v>3</v>
      </c>
    </row>
    <row r="1170" spans="2:18" x14ac:dyDescent="0.2">
      <c r="B1170" s="57" t="str">
        <f t="shared" si="237"/>
        <v/>
      </c>
      <c r="D1170" s="57" t="str">
        <f t="shared" si="238"/>
        <v/>
      </c>
      <c r="F1170" s="57" t="str">
        <f t="shared" si="230"/>
        <v/>
      </c>
      <c r="G1170" s="102" t="str">
        <f t="shared" si="236"/>
        <v/>
      </c>
      <c r="H1170" s="57">
        <f t="shared" si="231"/>
        <v>0</v>
      </c>
      <c r="I1170" s="102">
        <f>VLOOKUP(P1170&amp;"_"&amp;Q1170,活动关卡!$A$88:$Z$111,3+5*MonsterWaveCallRuleCfg!R1170,FALSE)</f>
        <v>25</v>
      </c>
      <c r="J1170" s="102">
        <f>VLOOKUP(P1170&amp;"_"&amp;Q1170,活动关卡!$A$88:$Z$111,4+5*MonsterWaveCallRuleCfg!R1170,FALSE)</f>
        <v>1</v>
      </c>
      <c r="K1170" s="102">
        <f t="shared" si="232"/>
        <v>1</v>
      </c>
      <c r="L1170" s="102" t="str">
        <f>IF(VLOOKUP(P1170&amp;"_"&amp;Q1170,活动关卡!$A$88:$Z$111,2+5*R1170,FALSE)="","","Monster_Season4_Challenge"&amp;P1170&amp;"_"&amp;Q1170&amp;"_"&amp;R1170)</f>
        <v>Monster_Season4_Challenge5_7_4</v>
      </c>
      <c r="M1170" s="57">
        <f t="shared" si="233"/>
        <v>1</v>
      </c>
      <c r="O1170" s="102">
        <f>VLOOKUP(P1170&amp;"_"&amp;Q1170,活动关卡!$A$4:$Z$27,6+5*MonsterWaveCallRuleCfg!R1170,FALSE)</f>
        <v>4</v>
      </c>
      <c r="P1170" s="110">
        <v>5</v>
      </c>
      <c r="Q1170" s="110">
        <f t="shared" si="235"/>
        <v>7</v>
      </c>
      <c r="R1170" s="110">
        <v>4</v>
      </c>
    </row>
    <row r="1171" spans="2:18" x14ac:dyDescent="0.2">
      <c r="B1171" s="57" t="str">
        <f t="shared" si="237"/>
        <v>MonsterWaveCallRule_Season4_Challenge5</v>
      </c>
      <c r="C1171" s="57">
        <v>8</v>
      </c>
      <c r="D1171" s="57" t="str">
        <f t="shared" si="238"/>
        <v>赛季4关卡5第8波</v>
      </c>
      <c r="F1171" s="57">
        <f t="shared" si="230"/>
        <v>0</v>
      </c>
      <c r="G1171" s="102">
        <f t="shared" si="236"/>
        <v>180</v>
      </c>
      <c r="H1171" s="57">
        <f t="shared" si="231"/>
        <v>0</v>
      </c>
      <c r="I1171" s="102">
        <f>VLOOKUP(P1171&amp;"_"&amp;Q1171,活动关卡!$A$88:$Z$111,3+5*MonsterWaveCallRuleCfg!R1171,FALSE)</f>
        <v>1</v>
      </c>
      <c r="J1171" s="102">
        <f>VLOOKUP(P1171&amp;"_"&amp;Q1171,活动关卡!$A$88:$Z$111,4+5*MonsterWaveCallRuleCfg!R1171,FALSE)</f>
        <v>0</v>
      </c>
      <c r="K1171" s="102">
        <f t="shared" si="232"/>
        <v>1</v>
      </c>
      <c r="L1171" s="102" t="str">
        <f>IF(VLOOKUP(P1171&amp;"_"&amp;Q1171,活动关卡!$A$88:$Z$111,2+5*R1171,FALSE)="","","Monster_Season4_Challenge"&amp;P1171&amp;"_"&amp;Q1171&amp;"_"&amp;R1171)</f>
        <v>Monster_Season4_Challenge5_8_1</v>
      </c>
      <c r="M1171" s="57">
        <f t="shared" si="233"/>
        <v>1</v>
      </c>
      <c r="O1171" s="102">
        <f>VLOOKUP(P1171&amp;"_"&amp;Q1171,活动关卡!$A$4:$Z$27,6+5*MonsterWaveCallRuleCfg!R1171,FALSE)</f>
        <v>85</v>
      </c>
      <c r="P1171" s="110">
        <v>5</v>
      </c>
      <c r="Q1171" s="110">
        <f t="shared" si="235"/>
        <v>8</v>
      </c>
      <c r="R1171" s="110">
        <v>1</v>
      </c>
    </row>
    <row r="1172" spans="2:18" x14ac:dyDescent="0.2">
      <c r="G1172" s="102" t="str">
        <f t="shared" si="236"/>
        <v/>
      </c>
      <c r="H1172" s="57">
        <f t="shared" si="231"/>
        <v>0</v>
      </c>
      <c r="I1172" s="102">
        <f>VLOOKUP(P1172&amp;"_"&amp;Q1172,活动关卡!$A$88:$Z$111,3+5*MonsterWaveCallRuleCfg!R1172,FALSE)</f>
        <v>55</v>
      </c>
      <c r="J1172" s="102">
        <f>VLOOKUP(P1172&amp;"_"&amp;Q1172,活动关卡!$A$88:$Z$111,4+5*MonsterWaveCallRuleCfg!R1172,FALSE)</f>
        <v>0.5</v>
      </c>
      <c r="K1172" s="102">
        <f t="shared" si="232"/>
        <v>1</v>
      </c>
      <c r="L1172" s="102" t="str">
        <f>IF(VLOOKUP(P1172&amp;"_"&amp;Q1172,活动关卡!$A$88:$Z$111,2+5*R1172,FALSE)="","","Monster_Season2_Challenge"&amp;P1172&amp;"_"&amp;Q1172&amp;"_"&amp;R1172)</f>
        <v>Monster_Season2_Challenge5_8_2</v>
      </c>
      <c r="M1172" s="57">
        <f t="shared" si="233"/>
        <v>1</v>
      </c>
      <c r="O1172" s="102">
        <f>VLOOKUP(P1172&amp;"_"&amp;Q1172,活动关卡!$A$4:$Z$27,6+5*MonsterWaveCallRuleCfg!R1172,FALSE)</f>
        <v>2</v>
      </c>
      <c r="P1172" s="110">
        <v>5</v>
      </c>
      <c r="Q1172" s="110">
        <f t="shared" si="235"/>
        <v>8</v>
      </c>
      <c r="R1172" s="110">
        <v>2</v>
      </c>
    </row>
    <row r="1173" spans="2:18" x14ac:dyDescent="0.2">
      <c r="G1173" s="102" t="str">
        <f t="shared" si="236"/>
        <v/>
      </c>
      <c r="H1173" s="57">
        <f t="shared" si="231"/>
        <v>0</v>
      </c>
      <c r="I1173" s="102">
        <f>VLOOKUP(P1173&amp;"_"&amp;Q1173,活动关卡!$A$88:$Z$111,3+5*MonsterWaveCallRuleCfg!R1173,FALSE)</f>
        <v>14</v>
      </c>
      <c r="J1173" s="102">
        <f>VLOOKUP(P1173&amp;"_"&amp;Q1173,活动关卡!$A$88:$Z$111,4+5*MonsterWaveCallRuleCfg!R1173,FALSE)</f>
        <v>2</v>
      </c>
      <c r="K1173" s="102">
        <f t="shared" si="232"/>
        <v>1</v>
      </c>
      <c r="L1173" s="102" t="str">
        <f>IF(VLOOKUP(P1173&amp;"_"&amp;Q1173,活动关卡!$A$88:$Z$111,2+5*R1173,FALSE)="","","Monster_Season2_Challenge"&amp;P1173&amp;"_"&amp;Q1173&amp;"_"&amp;R1173)</f>
        <v>Monster_Season2_Challenge5_8_3</v>
      </c>
      <c r="M1173" s="57">
        <f t="shared" si="233"/>
        <v>1</v>
      </c>
      <c r="O1173" s="102">
        <f>VLOOKUP(P1173&amp;"_"&amp;Q1173,活动关卡!$A$4:$Z$27,6+5*MonsterWaveCallRuleCfg!R1173,FALSE)</f>
        <v>4</v>
      </c>
      <c r="P1173" s="110">
        <v>5</v>
      </c>
      <c r="Q1173" s="110">
        <f t="shared" si="235"/>
        <v>8</v>
      </c>
      <c r="R1173" s="110">
        <v>3</v>
      </c>
    </row>
    <row r="1174" spans="2:18" x14ac:dyDescent="0.2">
      <c r="G1174" s="102" t="str">
        <f t="shared" si="236"/>
        <v/>
      </c>
      <c r="H1174" s="57">
        <f t="shared" si="231"/>
        <v>0</v>
      </c>
      <c r="I1174" s="102">
        <f>VLOOKUP(P1174&amp;"_"&amp;Q1174,活动关卡!$A$88:$Z$111,3+5*MonsterWaveCallRuleCfg!R1174,FALSE)</f>
        <v>9</v>
      </c>
      <c r="J1174" s="102">
        <f>VLOOKUP(P1174&amp;"_"&amp;Q1174,活动关卡!$A$88:$Z$111,4+5*MonsterWaveCallRuleCfg!R1174,FALSE)</f>
        <v>3</v>
      </c>
      <c r="K1174" s="102">
        <f t="shared" si="232"/>
        <v>1</v>
      </c>
      <c r="L1174" s="102" t="str">
        <f>IF(VLOOKUP(P1174&amp;"_"&amp;Q1174,活动关卡!$A$88:$Z$111,2+5*R1174,FALSE)="","","Monster_Season2_Challenge"&amp;P1174&amp;"_"&amp;Q1174&amp;"_"&amp;R1174)</f>
        <v>Monster_Season2_Challenge5_8_4</v>
      </c>
      <c r="M1174" s="57">
        <f t="shared" si="233"/>
        <v>1</v>
      </c>
      <c r="O1174" s="102">
        <f>VLOOKUP(P1174&amp;"_"&amp;Q1174,活动关卡!$A$4:$Z$27,6+5*MonsterWaveCallRuleCfg!R1174,FALSE)</f>
        <v>4</v>
      </c>
      <c r="P1174" s="110">
        <v>5</v>
      </c>
      <c r="Q1174" s="110">
        <f t="shared" si="235"/>
        <v>8</v>
      </c>
      <c r="R1174" s="110">
        <v>4</v>
      </c>
    </row>
    <row r="1175" spans="2:18" s="166" customFormat="1" x14ac:dyDescent="0.2"/>
  </sheetData>
  <mergeCells count="2">
    <mergeCell ref="H1:O1"/>
    <mergeCell ref="H4:O4"/>
  </mergeCells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CA62D-26F6-447D-8D5F-BA731E5AB93C}">
  <dimension ref="A1:O21"/>
  <sheetViews>
    <sheetView workbookViewId="0">
      <selection activeCell="I11" sqref="I11"/>
    </sheetView>
  </sheetViews>
  <sheetFormatPr defaultColWidth="10.625" defaultRowHeight="14.25" x14ac:dyDescent="0.2"/>
  <cols>
    <col min="1" max="1" width="10.5" style="57" bestFit="1" customWidth="1"/>
    <col min="2" max="2" width="27.375" style="57" bestFit="1" customWidth="1"/>
    <col min="3" max="3" width="10" style="57" bestFit="1" customWidth="1"/>
    <col min="4" max="4" width="6" style="57" bestFit="1" customWidth="1"/>
    <col min="5" max="5" width="9.875" style="57" customWidth="1"/>
    <col min="6" max="6" width="17.25" style="57" bestFit="1" customWidth="1"/>
    <col min="7" max="7" width="8.375" style="57" customWidth="1"/>
    <col min="8" max="8" width="13" style="57" bestFit="1" customWidth="1"/>
    <col min="9" max="12" width="9" style="57" customWidth="1"/>
    <col min="13" max="14" width="31.875" style="57" customWidth="1"/>
    <col min="15" max="15" width="19.625" style="57" customWidth="1"/>
    <col min="16" max="16384" width="10.625" style="57"/>
  </cols>
  <sheetData>
    <row r="1" spans="1:15" s="99" customFormat="1" x14ac:dyDescent="0.2">
      <c r="A1" s="63" t="s">
        <v>67</v>
      </c>
      <c r="B1" s="63" t="s">
        <v>68</v>
      </c>
      <c r="C1" s="63" t="s">
        <v>69</v>
      </c>
      <c r="D1" s="63" t="s">
        <v>70</v>
      </c>
      <c r="E1" s="63" t="s">
        <v>349</v>
      </c>
      <c r="F1" s="63" t="s">
        <v>350</v>
      </c>
      <c r="G1" s="63" t="s">
        <v>351</v>
      </c>
      <c r="H1" s="63" t="s">
        <v>352</v>
      </c>
      <c r="I1" s="63" t="s">
        <v>353</v>
      </c>
      <c r="J1" s="63" t="s">
        <v>354</v>
      </c>
      <c r="K1" s="63" t="s">
        <v>355</v>
      </c>
      <c r="L1" s="63" t="s">
        <v>356</v>
      </c>
      <c r="M1" s="63" t="s">
        <v>357</v>
      </c>
      <c r="N1" s="63" t="s">
        <v>358</v>
      </c>
      <c r="O1" s="63" t="s">
        <v>359</v>
      </c>
    </row>
    <row r="2" spans="1:15" s="99" customFormat="1" x14ac:dyDescent="0.2">
      <c r="A2" s="63" t="s">
        <v>67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15" s="101" customFormat="1" x14ac:dyDescent="0.2">
      <c r="A3" s="64" t="s">
        <v>71</v>
      </c>
      <c r="B3" s="64" t="s">
        <v>72</v>
      </c>
      <c r="C3" s="64" t="s">
        <v>72</v>
      </c>
      <c r="D3" s="64" t="s">
        <v>72</v>
      </c>
      <c r="E3" s="64" t="s">
        <v>360</v>
      </c>
      <c r="F3" s="64" t="s">
        <v>73</v>
      </c>
      <c r="G3" s="64" t="s">
        <v>73</v>
      </c>
      <c r="H3" s="64" t="s">
        <v>74</v>
      </c>
      <c r="I3" s="64" t="s">
        <v>73</v>
      </c>
      <c r="J3" s="64" t="s">
        <v>73</v>
      </c>
      <c r="K3" s="64" t="s">
        <v>73</v>
      </c>
      <c r="L3" s="64" t="s">
        <v>73</v>
      </c>
      <c r="M3" s="64" t="s">
        <v>361</v>
      </c>
      <c r="N3" s="100" t="s">
        <v>362</v>
      </c>
      <c r="O3" s="100" t="s">
        <v>73</v>
      </c>
    </row>
    <row r="4" spans="1:15" s="101" customFormat="1" x14ac:dyDescent="0.2">
      <c r="A4" s="64" t="s">
        <v>75</v>
      </c>
      <c r="B4" s="64"/>
      <c r="C4" s="64"/>
      <c r="D4" s="64" t="s">
        <v>76</v>
      </c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</row>
    <row r="5" spans="1:15" s="99" customFormat="1" x14ac:dyDescent="0.2">
      <c r="A5" s="63" t="s">
        <v>77</v>
      </c>
      <c r="B5" s="63" t="s">
        <v>78</v>
      </c>
      <c r="C5" s="63" t="s">
        <v>79</v>
      </c>
      <c r="D5" s="63" t="s">
        <v>80</v>
      </c>
      <c r="E5" s="63" t="s">
        <v>363</v>
      </c>
      <c r="F5" s="63" t="s">
        <v>364</v>
      </c>
      <c r="G5" s="63" t="s">
        <v>365</v>
      </c>
      <c r="H5" s="63" t="s">
        <v>366</v>
      </c>
      <c r="I5" s="63" t="s">
        <v>367</v>
      </c>
      <c r="J5" s="63" t="s">
        <v>368</v>
      </c>
      <c r="K5" s="63" t="s">
        <v>369</v>
      </c>
      <c r="L5" s="63" t="s">
        <v>370</v>
      </c>
      <c r="M5" s="63" t="s">
        <v>371</v>
      </c>
      <c r="N5" s="63" t="s">
        <v>372</v>
      </c>
      <c r="O5" s="63" t="s">
        <v>373</v>
      </c>
    </row>
    <row r="6" spans="1:15" x14ac:dyDescent="0.2">
      <c r="B6" s="57" t="s">
        <v>1200</v>
      </c>
      <c r="C6" s="68" t="s">
        <v>1201</v>
      </c>
      <c r="E6" s="57" t="b">
        <v>0</v>
      </c>
      <c r="F6" s="102">
        <f>战斗节奏!B2</f>
        <v>600</v>
      </c>
      <c r="G6" s="57">
        <v>0</v>
      </c>
      <c r="H6" s="102">
        <v>9999</v>
      </c>
      <c r="I6" s="102">
        <f>战斗节奏!C2</f>
        <v>8</v>
      </c>
      <c r="J6" s="102">
        <v>20</v>
      </c>
      <c r="K6" s="57">
        <v>3</v>
      </c>
      <c r="L6" s="102">
        <f>战斗节奏!E2</f>
        <v>10</v>
      </c>
      <c r="M6" s="57" t="s">
        <v>1202</v>
      </c>
      <c r="N6" s="57" t="s">
        <v>1203</v>
      </c>
      <c r="O6" s="57">
        <v>0</v>
      </c>
    </row>
    <row r="7" spans="1:15" x14ac:dyDescent="0.2">
      <c r="C7" s="68"/>
    </row>
    <row r="8" spans="1:15" x14ac:dyDescent="0.2">
      <c r="B8" s="57" t="s">
        <v>374</v>
      </c>
      <c r="C8" s="57" t="s">
        <v>375</v>
      </c>
      <c r="E8" s="57" t="b">
        <v>0</v>
      </c>
      <c r="F8" s="102">
        <f>战斗节奏!B3</f>
        <v>300</v>
      </c>
      <c r="G8" s="57">
        <v>0</v>
      </c>
      <c r="H8" s="102">
        <v>120</v>
      </c>
      <c r="I8" s="102">
        <f>战斗节奏!C3</f>
        <v>8</v>
      </c>
      <c r="J8" s="102">
        <f>战斗节奏!D3</f>
        <v>20</v>
      </c>
      <c r="K8" s="57">
        <v>3</v>
      </c>
      <c r="L8" s="102">
        <f>战斗节奏!E3</f>
        <v>20</v>
      </c>
      <c r="M8" s="57" t="s">
        <v>677</v>
      </c>
      <c r="N8" s="57" t="s">
        <v>376</v>
      </c>
      <c r="O8" s="57">
        <v>0</v>
      </c>
    </row>
    <row r="10" spans="1:15" x14ac:dyDescent="0.2">
      <c r="B10" s="103" t="s">
        <v>667</v>
      </c>
      <c r="C10" s="57" t="s">
        <v>672</v>
      </c>
      <c r="E10" s="57" t="b">
        <v>0</v>
      </c>
      <c r="F10" s="102">
        <f>战斗节奏!B5</f>
        <v>300</v>
      </c>
      <c r="G10" s="57">
        <v>0</v>
      </c>
      <c r="H10" s="102">
        <v>120</v>
      </c>
      <c r="I10" s="102">
        <f>战斗节奏!$C$4</f>
        <v>8</v>
      </c>
      <c r="J10" s="102">
        <f>战斗节奏!$D$4</f>
        <v>20</v>
      </c>
      <c r="K10" s="57">
        <v>3</v>
      </c>
      <c r="L10" s="102">
        <f>战斗节奏!$E$4</f>
        <v>10</v>
      </c>
      <c r="M10" s="57" t="s">
        <v>678</v>
      </c>
      <c r="N10" s="57" t="s">
        <v>679</v>
      </c>
      <c r="O10" s="57">
        <v>0</v>
      </c>
    </row>
    <row r="11" spans="1:15" x14ac:dyDescent="0.2">
      <c r="B11" s="103" t="s">
        <v>668</v>
      </c>
      <c r="C11" s="57" t="s">
        <v>673</v>
      </c>
      <c r="E11" s="57" t="b">
        <v>0</v>
      </c>
      <c r="F11" s="102">
        <f>战斗节奏!B6</f>
        <v>300</v>
      </c>
      <c r="G11" s="57">
        <v>0</v>
      </c>
      <c r="H11" s="102">
        <v>120</v>
      </c>
      <c r="I11" s="102">
        <f>战斗节奏!$C$4</f>
        <v>8</v>
      </c>
      <c r="J11" s="102">
        <f>战斗节奏!$D$4</f>
        <v>20</v>
      </c>
      <c r="K11" s="57">
        <v>3</v>
      </c>
      <c r="L11" s="102">
        <f>战斗节奏!$E$4</f>
        <v>10</v>
      </c>
      <c r="M11" s="57" t="s">
        <v>680</v>
      </c>
      <c r="N11" s="57" t="s">
        <v>681</v>
      </c>
      <c r="O11" s="57">
        <v>0</v>
      </c>
    </row>
    <row r="12" spans="1:15" x14ac:dyDescent="0.2">
      <c r="B12" s="103" t="s">
        <v>669</v>
      </c>
      <c r="C12" s="57" t="s">
        <v>674</v>
      </c>
      <c r="E12" s="57" t="b">
        <v>0</v>
      </c>
      <c r="F12" s="102">
        <f>战斗节奏!B7</f>
        <v>300</v>
      </c>
      <c r="G12" s="57">
        <v>0</v>
      </c>
      <c r="H12" s="102">
        <v>120</v>
      </c>
      <c r="I12" s="102">
        <f>战斗节奏!$C$4</f>
        <v>8</v>
      </c>
      <c r="J12" s="102">
        <f>战斗节奏!$D$4</f>
        <v>20</v>
      </c>
      <c r="K12" s="57">
        <v>3</v>
      </c>
      <c r="L12" s="102">
        <f>战斗节奏!$E$4</f>
        <v>10</v>
      </c>
      <c r="M12" s="57" t="s">
        <v>682</v>
      </c>
      <c r="N12" s="57" t="s">
        <v>683</v>
      </c>
      <c r="O12" s="57">
        <v>0</v>
      </c>
    </row>
    <row r="13" spans="1:15" x14ac:dyDescent="0.2">
      <c r="B13" s="103" t="s">
        <v>670</v>
      </c>
      <c r="C13" s="57" t="s">
        <v>675</v>
      </c>
      <c r="E13" s="57" t="b">
        <v>0</v>
      </c>
      <c r="F13" s="102">
        <f>战斗节奏!B8</f>
        <v>300</v>
      </c>
      <c r="G13" s="57">
        <v>0</v>
      </c>
      <c r="H13" s="102">
        <v>120</v>
      </c>
      <c r="I13" s="102">
        <f>战斗节奏!$C$4</f>
        <v>8</v>
      </c>
      <c r="J13" s="102">
        <f>战斗节奏!$D$4</f>
        <v>20</v>
      </c>
      <c r="K13" s="57">
        <v>3</v>
      </c>
      <c r="L13" s="102">
        <f>战斗节奏!$E$4</f>
        <v>10</v>
      </c>
      <c r="M13" s="57" t="s">
        <v>684</v>
      </c>
      <c r="N13" s="57" t="s">
        <v>685</v>
      </c>
      <c r="O13" s="57">
        <v>0</v>
      </c>
    </row>
    <row r="14" spans="1:15" x14ac:dyDescent="0.2">
      <c r="B14" s="103" t="s">
        <v>671</v>
      </c>
      <c r="C14" s="57" t="s">
        <v>676</v>
      </c>
      <c r="E14" s="57" t="b">
        <v>0</v>
      </c>
      <c r="F14" s="102">
        <f>战斗节奏!B9</f>
        <v>300</v>
      </c>
      <c r="G14" s="57">
        <v>0</v>
      </c>
      <c r="H14" s="102">
        <v>120</v>
      </c>
      <c r="I14" s="102">
        <f>战斗节奏!$C$4</f>
        <v>8</v>
      </c>
      <c r="J14" s="102">
        <f>战斗节奏!$D$4</f>
        <v>20</v>
      </c>
      <c r="K14" s="57">
        <v>3</v>
      </c>
      <c r="L14" s="102">
        <f>战斗节奏!$E$4</f>
        <v>10</v>
      </c>
      <c r="M14" s="57" t="s">
        <v>686</v>
      </c>
      <c r="N14" s="57" t="s">
        <v>687</v>
      </c>
      <c r="O14" s="57">
        <v>0</v>
      </c>
    </row>
    <row r="15" spans="1:15" x14ac:dyDescent="0.2">
      <c r="B15" s="103" t="s">
        <v>881</v>
      </c>
      <c r="C15" s="57" t="s">
        <v>876</v>
      </c>
      <c r="D15" s="57" t="s">
        <v>866</v>
      </c>
      <c r="E15" s="57" t="b">
        <v>0</v>
      </c>
      <c r="F15" s="102">
        <f>战斗节奏!B10</f>
        <v>300</v>
      </c>
      <c r="G15" s="57">
        <v>0</v>
      </c>
      <c r="H15" s="102">
        <v>120</v>
      </c>
      <c r="I15" s="102">
        <f>战斗节奏!$C$4</f>
        <v>8</v>
      </c>
      <c r="J15" s="102">
        <f>战斗节奏!$D$4</f>
        <v>20</v>
      </c>
      <c r="K15" s="57">
        <v>3</v>
      </c>
      <c r="L15" s="102">
        <f>战斗节奏!$E$4</f>
        <v>10</v>
      </c>
      <c r="M15" s="57" t="s">
        <v>886</v>
      </c>
      <c r="N15" s="57" t="s">
        <v>887</v>
      </c>
      <c r="O15" s="57">
        <v>0</v>
      </c>
    </row>
    <row r="16" spans="1:15" x14ac:dyDescent="0.2">
      <c r="B16" s="103" t="s">
        <v>882</v>
      </c>
      <c r="C16" s="57" t="s">
        <v>877</v>
      </c>
      <c r="D16" s="57" t="s">
        <v>866</v>
      </c>
      <c r="E16" s="57" t="b">
        <v>0</v>
      </c>
      <c r="F16" s="102">
        <f>战斗节奏!B11</f>
        <v>300</v>
      </c>
      <c r="G16" s="57">
        <v>0</v>
      </c>
      <c r="H16" s="102">
        <v>120</v>
      </c>
      <c r="I16" s="102">
        <f>战斗节奏!$C$4</f>
        <v>8</v>
      </c>
      <c r="J16" s="102">
        <f>战斗节奏!$D$4</f>
        <v>20</v>
      </c>
      <c r="K16" s="57">
        <v>3</v>
      </c>
      <c r="L16" s="102">
        <f>战斗节奏!$E$4</f>
        <v>10</v>
      </c>
      <c r="M16" s="57" t="s">
        <v>888</v>
      </c>
      <c r="N16" s="57" t="s">
        <v>889</v>
      </c>
      <c r="O16" s="57">
        <v>0</v>
      </c>
    </row>
    <row r="17" spans="2:15" x14ac:dyDescent="0.2">
      <c r="B17" s="103" t="s">
        <v>883</v>
      </c>
      <c r="C17" s="57" t="s">
        <v>878</v>
      </c>
      <c r="D17" s="57" t="s">
        <v>866</v>
      </c>
      <c r="E17" s="57" t="b">
        <v>0</v>
      </c>
      <c r="F17" s="102">
        <f>战斗节奏!$B11</f>
        <v>300</v>
      </c>
      <c r="G17" s="57">
        <v>0</v>
      </c>
      <c r="H17" s="102">
        <v>120</v>
      </c>
      <c r="I17" s="102">
        <f>战斗节奏!$C$4</f>
        <v>8</v>
      </c>
      <c r="J17" s="102">
        <f>战斗节奏!$D$4</f>
        <v>20</v>
      </c>
      <c r="K17" s="57">
        <v>3</v>
      </c>
      <c r="L17" s="102">
        <f>战斗节奏!$E$4</f>
        <v>10</v>
      </c>
      <c r="M17" s="57" t="s">
        <v>890</v>
      </c>
      <c r="N17" s="57" t="s">
        <v>891</v>
      </c>
      <c r="O17" s="57">
        <v>0</v>
      </c>
    </row>
    <row r="18" spans="2:15" x14ac:dyDescent="0.2">
      <c r="B18" s="103" t="s">
        <v>884</v>
      </c>
      <c r="C18" s="57" t="s">
        <v>879</v>
      </c>
      <c r="D18" s="57" t="s">
        <v>866</v>
      </c>
      <c r="E18" s="57" t="b">
        <v>0</v>
      </c>
      <c r="F18" s="102">
        <f>战斗节奏!$B12</f>
        <v>300</v>
      </c>
      <c r="G18" s="57">
        <v>0</v>
      </c>
      <c r="H18" s="102">
        <v>120</v>
      </c>
      <c r="I18" s="102">
        <f>战斗节奏!$C$4</f>
        <v>8</v>
      </c>
      <c r="J18" s="102">
        <f>战斗节奏!$D$4</f>
        <v>20</v>
      </c>
      <c r="K18" s="57">
        <v>3</v>
      </c>
      <c r="L18" s="102">
        <f>战斗节奏!$E$4</f>
        <v>10</v>
      </c>
      <c r="M18" s="57" t="s">
        <v>892</v>
      </c>
      <c r="N18" s="57" t="s">
        <v>893</v>
      </c>
      <c r="O18" s="57">
        <v>0</v>
      </c>
    </row>
    <row r="19" spans="2:15" x14ac:dyDescent="0.2">
      <c r="B19" s="103" t="s">
        <v>885</v>
      </c>
      <c r="C19" s="57" t="s">
        <v>880</v>
      </c>
      <c r="D19" s="57" t="s">
        <v>866</v>
      </c>
      <c r="E19" s="57" t="b">
        <v>0</v>
      </c>
      <c r="F19" s="102">
        <f>战斗节奏!$B13</f>
        <v>300</v>
      </c>
      <c r="G19" s="57">
        <v>0</v>
      </c>
      <c r="H19" s="102">
        <v>120</v>
      </c>
      <c r="I19" s="102">
        <f>战斗节奏!$C$4</f>
        <v>8</v>
      </c>
      <c r="J19" s="102">
        <f>战斗节奏!$D$4</f>
        <v>20</v>
      </c>
      <c r="K19" s="57">
        <v>3</v>
      </c>
      <c r="L19" s="102">
        <f>战斗节奏!$E$4</f>
        <v>10</v>
      </c>
      <c r="M19" s="57" t="s">
        <v>894</v>
      </c>
      <c r="N19" s="57" t="s">
        <v>895</v>
      </c>
      <c r="O19" s="57">
        <v>0</v>
      </c>
    </row>
    <row r="21" spans="2:15" x14ac:dyDescent="0.2">
      <c r="B21" s="57" t="s">
        <v>1734</v>
      </c>
      <c r="C21" s="57" t="s">
        <v>375</v>
      </c>
      <c r="E21" s="57" t="b">
        <v>0</v>
      </c>
      <c r="F21" s="102">
        <v>720</v>
      </c>
      <c r="G21" s="57">
        <v>0</v>
      </c>
      <c r="H21" s="102">
        <v>120</v>
      </c>
      <c r="I21" s="102">
        <v>8</v>
      </c>
      <c r="J21" s="102">
        <v>20</v>
      </c>
      <c r="K21" s="57">
        <v>3</v>
      </c>
      <c r="L21" s="102">
        <v>20</v>
      </c>
      <c r="M21" s="57" t="s">
        <v>1733</v>
      </c>
      <c r="N21" s="57" t="s">
        <v>1572</v>
      </c>
      <c r="O21" s="57">
        <v>0</v>
      </c>
    </row>
  </sheetData>
  <phoneticPr fontId="4" type="noConversion"/>
  <hyperlinks>
    <hyperlink ref="O3" r:id="rId1" xr:uid="{BF78F550-557F-4F88-AD3A-E3B89BEC1569}"/>
    <hyperlink ref="N3" r:id="rId2" xr:uid="{674519C6-2FB2-4464-85AD-EF8516B08E96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EB003-55F9-4698-8136-445024388804}">
  <dimension ref="A1:O83"/>
  <sheetViews>
    <sheetView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75" sqref="B75"/>
    </sheetView>
  </sheetViews>
  <sheetFormatPr defaultColWidth="9" defaultRowHeight="14.25" x14ac:dyDescent="0.2"/>
  <cols>
    <col min="1" max="1" width="8.75" style="57" bestFit="1" customWidth="1"/>
    <col min="2" max="2" width="26.25" style="57" bestFit="1" customWidth="1"/>
    <col min="3" max="3" width="12.125" style="57" bestFit="1" customWidth="1"/>
    <col min="4" max="4" width="22.25" style="57" bestFit="1" customWidth="1"/>
    <col min="5" max="5" width="13" style="57" bestFit="1" customWidth="1"/>
    <col min="6" max="6" width="7.25" style="57" bestFit="1" customWidth="1"/>
    <col min="7" max="7" width="36.125" style="57" bestFit="1" customWidth="1"/>
    <col min="8" max="8" width="21.25" style="57" customWidth="1"/>
    <col min="9" max="9" width="28.75" style="57" customWidth="1"/>
    <col min="10" max="11" width="8.875" customWidth="1"/>
    <col min="12" max="16384" width="9" style="57"/>
  </cols>
  <sheetData>
    <row r="1" spans="1:11" x14ac:dyDescent="0.2">
      <c r="A1" s="56" t="s">
        <v>67</v>
      </c>
      <c r="B1" s="56" t="s">
        <v>154</v>
      </c>
      <c r="C1" s="56" t="s">
        <v>69</v>
      </c>
      <c r="D1" s="56" t="s">
        <v>155</v>
      </c>
      <c r="E1" s="56" t="s">
        <v>97</v>
      </c>
      <c r="F1" s="56" t="s">
        <v>98</v>
      </c>
      <c r="G1" s="56" t="s">
        <v>99</v>
      </c>
      <c r="H1" s="56" t="s">
        <v>100</v>
      </c>
      <c r="I1" s="56" t="s">
        <v>101</v>
      </c>
    </row>
    <row r="2" spans="1:11" x14ac:dyDescent="0.2">
      <c r="A2" s="56" t="s">
        <v>67</v>
      </c>
      <c r="B2" s="56"/>
      <c r="C2" s="56"/>
      <c r="D2" s="56"/>
      <c r="E2" s="56"/>
      <c r="F2" s="56"/>
      <c r="G2" s="56"/>
      <c r="H2" s="56"/>
      <c r="I2" s="56"/>
    </row>
    <row r="3" spans="1:11" x14ac:dyDescent="0.2">
      <c r="A3" s="58" t="s">
        <v>71</v>
      </c>
      <c r="B3" s="58" t="s">
        <v>72</v>
      </c>
      <c r="C3" s="58" t="s">
        <v>72</v>
      </c>
      <c r="D3" s="58" t="s">
        <v>72</v>
      </c>
      <c r="E3" s="58" t="s">
        <v>74</v>
      </c>
      <c r="F3" s="58" t="s">
        <v>74</v>
      </c>
      <c r="G3" s="58" t="s">
        <v>1385</v>
      </c>
      <c r="H3" s="58" t="s">
        <v>102</v>
      </c>
      <c r="I3" s="58" t="s">
        <v>103</v>
      </c>
    </row>
    <row r="4" spans="1:11" x14ac:dyDescent="0.2">
      <c r="A4" s="58" t="s">
        <v>75</v>
      </c>
      <c r="B4" s="58"/>
      <c r="C4" s="58"/>
      <c r="D4" s="58" t="s">
        <v>76</v>
      </c>
      <c r="E4" s="58"/>
      <c r="F4" s="58"/>
      <c r="G4" s="58"/>
      <c r="H4" s="58"/>
      <c r="I4" s="58"/>
    </row>
    <row r="5" spans="1:11" ht="14.25" customHeight="1" x14ac:dyDescent="0.2">
      <c r="A5" s="69" t="s">
        <v>77</v>
      </c>
      <c r="B5" s="69" t="s">
        <v>104</v>
      </c>
      <c r="C5" s="69" t="s">
        <v>79</v>
      </c>
      <c r="D5" s="69" t="s">
        <v>80</v>
      </c>
      <c r="E5" s="69" t="s">
        <v>105</v>
      </c>
      <c r="F5" s="69" t="s">
        <v>106</v>
      </c>
      <c r="G5" s="70" t="s">
        <v>107</v>
      </c>
      <c r="H5" s="69" t="s">
        <v>108</v>
      </c>
      <c r="I5" s="70" t="s">
        <v>109</v>
      </c>
      <c r="J5" s="69" t="s">
        <v>453</v>
      </c>
      <c r="K5" s="69" t="s">
        <v>453</v>
      </c>
    </row>
    <row r="6" spans="1:11" x14ac:dyDescent="0.2">
      <c r="A6" s="68"/>
      <c r="B6" s="59" t="s">
        <v>110</v>
      </c>
      <c r="D6" s="60" t="s">
        <v>158</v>
      </c>
      <c r="E6" s="71">
        <f>VLOOKUP(J6,防御塔!$A$2:$N$13,7,FALSE)</f>
        <v>9</v>
      </c>
      <c r="F6" s="71">
        <f>VLOOKUP(J6,防御塔!$A$2:$N$13,5,FALSE)</f>
        <v>0.5</v>
      </c>
      <c r="G6" s="112" t="s">
        <v>1386</v>
      </c>
      <c r="H6" s="59" t="s">
        <v>111</v>
      </c>
      <c r="I6" s="57" t="s">
        <v>1328</v>
      </c>
      <c r="J6" s="110" t="s">
        <v>157</v>
      </c>
      <c r="K6" s="111">
        <v>1</v>
      </c>
    </row>
    <row r="7" spans="1:11" x14ac:dyDescent="0.2">
      <c r="A7" s="68"/>
      <c r="B7" s="59" t="s">
        <v>112</v>
      </c>
      <c r="D7" s="60" t="s">
        <v>159</v>
      </c>
      <c r="E7" s="71">
        <f>VLOOKUP(J7,防御塔!$A$2:$N$13,7,FALSE)</f>
        <v>9</v>
      </c>
      <c r="F7" s="71">
        <f>VLOOKUP(J7,防御塔!$A$2:$N$13,5,FALSE)</f>
        <v>0.5</v>
      </c>
      <c r="G7" s="112" t="s">
        <v>1387</v>
      </c>
      <c r="H7" s="59" t="s">
        <v>113</v>
      </c>
      <c r="I7" s="57" t="s">
        <v>1328</v>
      </c>
      <c r="J7" s="110" t="s">
        <v>33</v>
      </c>
      <c r="K7" s="111">
        <v>2</v>
      </c>
    </row>
    <row r="8" spans="1:11" x14ac:dyDescent="0.2">
      <c r="A8" s="68"/>
      <c r="B8" s="59" t="s">
        <v>114</v>
      </c>
      <c r="D8" s="60" t="s">
        <v>160</v>
      </c>
      <c r="E8" s="71">
        <f>VLOOKUP(J8,防御塔!$A$2:$N$13,7,FALSE)</f>
        <v>9</v>
      </c>
      <c r="F8" s="71">
        <f>VLOOKUP(J8,防御塔!$A$2:$N$13,5,FALSE)</f>
        <v>0.5</v>
      </c>
      <c r="G8" s="112" t="s">
        <v>1388</v>
      </c>
      <c r="H8" s="59" t="s">
        <v>115</v>
      </c>
      <c r="I8" s="57" t="s">
        <v>1328</v>
      </c>
      <c r="J8" s="110" t="s">
        <v>33</v>
      </c>
      <c r="K8" s="111">
        <v>3</v>
      </c>
    </row>
    <row r="9" spans="1:11" x14ac:dyDescent="0.2">
      <c r="A9" s="68"/>
      <c r="B9" s="59" t="s">
        <v>116</v>
      </c>
      <c r="D9" s="60" t="s">
        <v>161</v>
      </c>
      <c r="E9" s="71">
        <f>VLOOKUP(J9,防御塔!$A$2:$N$13,7,FALSE)</f>
        <v>9</v>
      </c>
      <c r="F9" s="71">
        <f>VLOOKUP(J9,防御塔!$A$2:$N$13,5,FALSE)</f>
        <v>0.5</v>
      </c>
      <c r="G9" s="112" t="s">
        <v>1389</v>
      </c>
      <c r="H9" s="59" t="s">
        <v>117</v>
      </c>
      <c r="I9" s="57" t="s">
        <v>1328</v>
      </c>
      <c r="J9" s="110" t="s">
        <v>34</v>
      </c>
      <c r="K9" s="111">
        <v>1</v>
      </c>
    </row>
    <row r="10" spans="1:11" x14ac:dyDescent="0.2">
      <c r="A10" s="68"/>
      <c r="B10" s="59" t="s">
        <v>118</v>
      </c>
      <c r="D10" s="60" t="s">
        <v>162</v>
      </c>
      <c r="E10" s="71">
        <f>VLOOKUP(J10,防御塔!$A$2:$N$13,7,FALSE)</f>
        <v>9</v>
      </c>
      <c r="F10" s="71">
        <f>VLOOKUP(J10,防御塔!$A$2:$N$13,5,FALSE)</f>
        <v>0.5</v>
      </c>
      <c r="G10" s="112" t="s">
        <v>1390</v>
      </c>
      <c r="H10" s="59" t="s">
        <v>119</v>
      </c>
      <c r="I10" s="57" t="s">
        <v>1328</v>
      </c>
      <c r="J10" s="110" t="s">
        <v>34</v>
      </c>
      <c r="K10" s="111">
        <v>2</v>
      </c>
    </row>
    <row r="11" spans="1:11" x14ac:dyDescent="0.2">
      <c r="A11" s="68"/>
      <c r="B11" s="59" t="s">
        <v>120</v>
      </c>
      <c r="D11" s="60" t="s">
        <v>163</v>
      </c>
      <c r="E11" s="71">
        <f>VLOOKUP(J11,防御塔!$A$2:$N$13,7,FALSE)</f>
        <v>9</v>
      </c>
      <c r="F11" s="71">
        <f>VLOOKUP(J11,防御塔!$A$2:$N$13,5,FALSE)</f>
        <v>0.5</v>
      </c>
      <c r="G11" s="112" t="s">
        <v>1391</v>
      </c>
      <c r="H11" s="59" t="s">
        <v>121</v>
      </c>
      <c r="I11" s="57" t="s">
        <v>1328</v>
      </c>
      <c r="J11" s="110" t="s">
        <v>34</v>
      </c>
      <c r="K11" s="111">
        <v>3</v>
      </c>
    </row>
    <row r="12" spans="1:11" x14ac:dyDescent="0.2">
      <c r="A12" s="68"/>
      <c r="B12" s="59" t="s">
        <v>122</v>
      </c>
      <c r="D12" s="60" t="s">
        <v>164</v>
      </c>
      <c r="E12" s="71">
        <f>VLOOKUP(J12,防御塔!$A$2:$N$13,7,FALSE)</f>
        <v>9</v>
      </c>
      <c r="F12" s="95">
        <v>0.3</v>
      </c>
      <c r="G12" s="112" t="s">
        <v>1392</v>
      </c>
      <c r="H12" s="59" t="s">
        <v>123</v>
      </c>
      <c r="I12" s="57" t="s">
        <v>1328</v>
      </c>
      <c r="J12" s="110" t="s">
        <v>35</v>
      </c>
      <c r="K12" s="111">
        <v>1</v>
      </c>
    </row>
    <row r="13" spans="1:11" x14ac:dyDescent="0.2">
      <c r="A13" s="68"/>
      <c r="B13" s="59" t="s">
        <v>124</v>
      </c>
      <c r="D13" s="60" t="s">
        <v>165</v>
      </c>
      <c r="E13" s="71">
        <f>VLOOKUP(J13,防御塔!$A$2:$N$13,7,FALSE)</f>
        <v>9</v>
      </c>
      <c r="F13" s="95">
        <v>0.3</v>
      </c>
      <c r="G13" s="112" t="s">
        <v>1393</v>
      </c>
      <c r="H13" s="59" t="s">
        <v>125</v>
      </c>
      <c r="I13" s="57" t="s">
        <v>1328</v>
      </c>
      <c r="J13" s="110" t="s">
        <v>35</v>
      </c>
      <c r="K13" s="111">
        <v>2</v>
      </c>
    </row>
    <row r="14" spans="1:11" x14ac:dyDescent="0.2">
      <c r="A14" s="68"/>
      <c r="B14" s="59" t="s">
        <v>126</v>
      </c>
      <c r="D14" s="60" t="s">
        <v>166</v>
      </c>
      <c r="E14" s="71">
        <f>VLOOKUP(J14,防御塔!$A$2:$N$13,7,FALSE)</f>
        <v>9</v>
      </c>
      <c r="F14" s="95">
        <v>0.3</v>
      </c>
      <c r="G14" s="112" t="s">
        <v>1394</v>
      </c>
      <c r="H14" s="59" t="s">
        <v>127</v>
      </c>
      <c r="I14" s="57" t="s">
        <v>1328</v>
      </c>
      <c r="J14" s="110" t="s">
        <v>35</v>
      </c>
      <c r="K14" s="111">
        <v>3</v>
      </c>
    </row>
    <row r="15" spans="1:11" x14ac:dyDescent="0.2">
      <c r="A15" s="68"/>
      <c r="B15" s="59" t="s">
        <v>128</v>
      </c>
      <c r="D15" s="60" t="s">
        <v>167</v>
      </c>
      <c r="E15" s="71">
        <f>VLOOKUP(J15,防御塔!$A$2:$N$13,7,FALSE)</f>
        <v>9</v>
      </c>
      <c r="F15" s="95">
        <v>0.3</v>
      </c>
      <c r="G15" s="112" t="s">
        <v>1395</v>
      </c>
      <c r="H15" s="59" t="s">
        <v>129</v>
      </c>
      <c r="I15" s="57" t="s">
        <v>1328</v>
      </c>
      <c r="J15" s="110" t="s">
        <v>36</v>
      </c>
      <c r="K15" s="111">
        <v>1</v>
      </c>
    </row>
    <row r="16" spans="1:11" x14ac:dyDescent="0.2">
      <c r="A16" s="68"/>
      <c r="B16" s="59" t="s">
        <v>130</v>
      </c>
      <c r="D16" s="60" t="s">
        <v>168</v>
      </c>
      <c r="E16" s="71">
        <f>VLOOKUP(J16,防御塔!$A$2:$N$13,7,FALSE)</f>
        <v>9</v>
      </c>
      <c r="F16" s="95">
        <v>0.3</v>
      </c>
      <c r="G16" s="112" t="s">
        <v>1396</v>
      </c>
      <c r="H16" s="59" t="s">
        <v>131</v>
      </c>
      <c r="I16" s="57" t="s">
        <v>1328</v>
      </c>
      <c r="J16" s="110" t="s">
        <v>36</v>
      </c>
      <c r="K16" s="111">
        <v>2</v>
      </c>
    </row>
    <row r="17" spans="1:11" x14ac:dyDescent="0.2">
      <c r="A17" s="68"/>
      <c r="B17" s="59" t="s">
        <v>132</v>
      </c>
      <c r="D17" s="60" t="s">
        <v>169</v>
      </c>
      <c r="E17" s="71">
        <f>VLOOKUP(J17,防御塔!$A$2:$N$13,7,FALSE)</f>
        <v>9</v>
      </c>
      <c r="F17" s="95">
        <v>0.3</v>
      </c>
      <c r="G17" s="112" t="s">
        <v>1397</v>
      </c>
      <c r="H17" s="59" t="s">
        <v>156</v>
      </c>
      <c r="I17" s="57" t="s">
        <v>1328</v>
      </c>
      <c r="J17" s="110" t="s">
        <v>36</v>
      </c>
      <c r="K17" s="111">
        <v>3</v>
      </c>
    </row>
    <row r="18" spans="1:11" x14ac:dyDescent="0.2">
      <c r="A18" s="68"/>
      <c r="B18" s="59" t="s">
        <v>133</v>
      </c>
      <c r="D18" s="60" t="s">
        <v>170</v>
      </c>
      <c r="E18" s="71">
        <f>VLOOKUP(J18,防御塔!$A$2:$N$13,7,FALSE)</f>
        <v>9</v>
      </c>
      <c r="F18" s="71">
        <f>VLOOKUP(J18,防御塔!$A$2:$N$13,5,FALSE)</f>
        <v>2</v>
      </c>
      <c r="G18" s="112" t="s">
        <v>1398</v>
      </c>
      <c r="H18" s="59" t="s">
        <v>134</v>
      </c>
      <c r="I18" s="57" t="s">
        <v>1328</v>
      </c>
      <c r="J18" s="110" t="s">
        <v>37</v>
      </c>
      <c r="K18" s="111">
        <v>1</v>
      </c>
    </row>
    <row r="19" spans="1:11" x14ac:dyDescent="0.2">
      <c r="A19" s="68"/>
      <c r="B19" s="59" t="s">
        <v>135</v>
      </c>
      <c r="D19" s="60" t="s">
        <v>171</v>
      </c>
      <c r="E19" s="71">
        <f>VLOOKUP(J19,防御塔!$A$2:$N$13,7,FALSE)</f>
        <v>9</v>
      </c>
      <c r="F19" s="71">
        <f>VLOOKUP(J19,防御塔!$A$2:$N$13,5,FALSE)</f>
        <v>2</v>
      </c>
      <c r="G19" s="112" t="s">
        <v>1399</v>
      </c>
      <c r="H19" s="59" t="s">
        <v>136</v>
      </c>
      <c r="I19" s="57" t="s">
        <v>1328</v>
      </c>
      <c r="J19" s="110" t="s">
        <v>37</v>
      </c>
      <c r="K19" s="111">
        <v>2</v>
      </c>
    </row>
    <row r="20" spans="1:11" x14ac:dyDescent="0.2">
      <c r="A20" s="68"/>
      <c r="B20" s="59" t="s">
        <v>137</v>
      </c>
      <c r="D20" s="60" t="s">
        <v>172</v>
      </c>
      <c r="E20" s="71">
        <f>VLOOKUP(J20,防御塔!$A$2:$N$13,7,FALSE)</f>
        <v>9</v>
      </c>
      <c r="F20" s="71">
        <f>VLOOKUP(J20,防御塔!$A$2:$N$13,5,FALSE)</f>
        <v>2</v>
      </c>
      <c r="G20" s="112" t="s">
        <v>1400</v>
      </c>
      <c r="H20" s="59" t="s">
        <v>138</v>
      </c>
      <c r="I20" s="57" t="s">
        <v>1328</v>
      </c>
      <c r="J20" s="110" t="s">
        <v>37</v>
      </c>
      <c r="K20" s="111">
        <v>3</v>
      </c>
    </row>
    <row r="21" spans="1:11" x14ac:dyDescent="0.2">
      <c r="A21" s="68"/>
      <c r="B21" s="59" t="s">
        <v>139</v>
      </c>
      <c r="D21" s="60" t="s">
        <v>173</v>
      </c>
      <c r="E21" s="71">
        <f>VLOOKUP(J21,防御塔!$A$2:$N$13,7,FALSE)</f>
        <v>7.5</v>
      </c>
      <c r="F21" s="71">
        <f>VLOOKUP(J21,防御塔!$A$2:$N$13,5,FALSE)</f>
        <v>1</v>
      </c>
      <c r="G21" s="112" t="s">
        <v>1401</v>
      </c>
      <c r="H21" s="59" t="s">
        <v>140</v>
      </c>
      <c r="I21" s="57" t="s">
        <v>1328</v>
      </c>
      <c r="J21" s="110" t="s">
        <v>38</v>
      </c>
      <c r="K21" s="111">
        <v>1</v>
      </c>
    </row>
    <row r="22" spans="1:11" x14ac:dyDescent="0.2">
      <c r="A22" s="68"/>
      <c r="B22" s="59" t="s">
        <v>141</v>
      </c>
      <c r="D22" s="60" t="s">
        <v>174</v>
      </c>
      <c r="E22" s="71">
        <f>VLOOKUP(J22,防御塔!$A$2:$N$13,7,FALSE)</f>
        <v>7.5</v>
      </c>
      <c r="F22" s="71">
        <f>VLOOKUP(J22,防御塔!$A$2:$N$13,5,FALSE)</f>
        <v>1</v>
      </c>
      <c r="G22" s="112" t="s">
        <v>1402</v>
      </c>
      <c r="H22" s="59" t="s">
        <v>142</v>
      </c>
      <c r="I22" s="57" t="s">
        <v>1328</v>
      </c>
      <c r="J22" s="110" t="s">
        <v>38</v>
      </c>
      <c r="K22" s="111">
        <v>2</v>
      </c>
    </row>
    <row r="23" spans="1:11" x14ac:dyDescent="0.2">
      <c r="A23" s="68"/>
      <c r="B23" s="59" t="s">
        <v>143</v>
      </c>
      <c r="D23" s="60" t="s">
        <v>175</v>
      </c>
      <c r="E23" s="71">
        <f>VLOOKUP(J23,防御塔!$A$2:$N$13,7,FALSE)</f>
        <v>7.5</v>
      </c>
      <c r="F23" s="71">
        <f>VLOOKUP(J23,防御塔!$A$2:$N$13,5,FALSE)</f>
        <v>1</v>
      </c>
      <c r="G23" s="112" t="s">
        <v>1403</v>
      </c>
      <c r="H23" s="59" t="s">
        <v>144</v>
      </c>
      <c r="I23" s="57" t="s">
        <v>1328</v>
      </c>
      <c r="J23" s="110" t="s">
        <v>38</v>
      </c>
      <c r="K23" s="111">
        <v>3</v>
      </c>
    </row>
    <row r="24" spans="1:11" x14ac:dyDescent="0.2">
      <c r="A24" s="68"/>
      <c r="B24" s="59" t="s">
        <v>145</v>
      </c>
      <c r="D24" s="60" t="s">
        <v>177</v>
      </c>
      <c r="E24" s="71">
        <f>VLOOKUP(J24,防御塔!$A$2:$N$13,7,FALSE)</f>
        <v>7.5</v>
      </c>
      <c r="F24" s="71">
        <f>VLOOKUP(J24,防御塔!$A$2:$N$13,5,FALSE)</f>
        <v>1</v>
      </c>
      <c r="G24" s="112" t="s">
        <v>1404</v>
      </c>
      <c r="H24" s="59" t="s">
        <v>146</v>
      </c>
      <c r="I24" s="57" t="s">
        <v>1328</v>
      </c>
      <c r="J24" s="110" t="s">
        <v>176</v>
      </c>
      <c r="K24" s="111">
        <v>1</v>
      </c>
    </row>
    <row r="25" spans="1:11" x14ac:dyDescent="0.2">
      <c r="A25" s="68"/>
      <c r="B25" s="59" t="s">
        <v>147</v>
      </c>
      <c r="D25" s="60" t="s">
        <v>178</v>
      </c>
      <c r="E25" s="71">
        <f>VLOOKUP(J25,防御塔!$A$2:$N$13,7,FALSE)</f>
        <v>7.5</v>
      </c>
      <c r="F25" s="71">
        <f>VLOOKUP(J25,防御塔!$A$2:$N$13,5,FALSE)</f>
        <v>1</v>
      </c>
      <c r="G25" s="112" t="s">
        <v>1405</v>
      </c>
      <c r="H25" s="59" t="s">
        <v>148</v>
      </c>
      <c r="I25" s="57" t="s">
        <v>1328</v>
      </c>
      <c r="J25" s="110" t="s">
        <v>176</v>
      </c>
      <c r="K25" s="111">
        <v>2</v>
      </c>
    </row>
    <row r="26" spans="1:11" x14ac:dyDescent="0.2">
      <c r="A26" s="68"/>
      <c r="B26" s="59" t="s">
        <v>149</v>
      </c>
      <c r="D26" s="60" t="s">
        <v>179</v>
      </c>
      <c r="E26" s="71">
        <f>VLOOKUP(J26,防御塔!$A$2:$N$13,7,FALSE)</f>
        <v>7.5</v>
      </c>
      <c r="F26" s="71">
        <f>VLOOKUP(J26,防御塔!$A$2:$N$13,5,FALSE)</f>
        <v>1</v>
      </c>
      <c r="G26" s="112" t="s">
        <v>1406</v>
      </c>
      <c r="H26" s="59" t="s">
        <v>150</v>
      </c>
      <c r="I26" s="57" t="s">
        <v>1329</v>
      </c>
      <c r="J26" s="110" t="s">
        <v>176</v>
      </c>
      <c r="K26" s="111">
        <v>3</v>
      </c>
    </row>
    <row r="27" spans="1:11" x14ac:dyDescent="0.2">
      <c r="A27" s="68"/>
      <c r="B27" s="59" t="s">
        <v>151</v>
      </c>
      <c r="D27" s="60" t="s">
        <v>222</v>
      </c>
      <c r="E27" s="71">
        <f>VLOOKUP(J27,防御塔!$A$2:$N$13,7,FALSE)</f>
        <v>7.5</v>
      </c>
      <c r="F27" s="71">
        <f>VLOOKUP(J27,防御塔!$A$2:$N$13,5,FALSE)</f>
        <v>1</v>
      </c>
      <c r="G27" s="112" t="s">
        <v>1407</v>
      </c>
      <c r="H27" s="62"/>
      <c r="I27" s="59" t="s">
        <v>1330</v>
      </c>
      <c r="J27" s="110" t="s">
        <v>40</v>
      </c>
      <c r="K27" s="111">
        <v>1</v>
      </c>
    </row>
    <row r="28" spans="1:11" x14ac:dyDescent="0.2">
      <c r="A28" s="68"/>
      <c r="B28" s="59" t="s">
        <v>152</v>
      </c>
      <c r="D28" s="60" t="s">
        <v>223</v>
      </c>
      <c r="E28" s="95">
        <v>8.75</v>
      </c>
      <c r="F28" s="71">
        <f>VLOOKUP(J28,防御塔!$A$2:$N$13,5,FALSE)</f>
        <v>1</v>
      </c>
      <c r="G28" s="112" t="s">
        <v>1407</v>
      </c>
      <c r="H28" s="62"/>
      <c r="I28" s="59" t="s">
        <v>1331</v>
      </c>
      <c r="J28" s="110" t="s">
        <v>40</v>
      </c>
      <c r="K28" s="111">
        <v>2</v>
      </c>
    </row>
    <row r="29" spans="1:11" x14ac:dyDescent="0.2">
      <c r="A29" s="68"/>
      <c r="B29" s="59" t="s">
        <v>153</v>
      </c>
      <c r="D29" s="60" t="s">
        <v>224</v>
      </c>
      <c r="E29" s="95">
        <v>10</v>
      </c>
      <c r="F29" s="71">
        <f>VLOOKUP(J29,防御塔!$A$2:$N$13,5,FALSE)</f>
        <v>1</v>
      </c>
      <c r="G29" s="112" t="s">
        <v>1407</v>
      </c>
      <c r="H29" s="62"/>
      <c r="I29" s="59" t="s">
        <v>1332</v>
      </c>
      <c r="J29" s="110" t="s">
        <v>40</v>
      </c>
      <c r="K29" s="111">
        <v>3</v>
      </c>
    </row>
    <row r="30" spans="1:11" s="94" customFormat="1" x14ac:dyDescent="0.2">
      <c r="B30" s="94" t="s">
        <v>1324</v>
      </c>
      <c r="D30" s="60" t="s">
        <v>1325</v>
      </c>
      <c r="E30" s="71">
        <f>VLOOKUP(J30,防御塔!$A$2:$N$13,7,FALSE)</f>
        <v>9</v>
      </c>
      <c r="F30" s="71">
        <f>VLOOKUP(J30,防御塔!$A$2:$N$13,5,FALSE)</f>
        <v>1</v>
      </c>
      <c r="G30" s="59" t="s">
        <v>1408</v>
      </c>
      <c r="H30" s="94" t="s">
        <v>1319</v>
      </c>
      <c r="I30" s="57" t="s">
        <v>1328</v>
      </c>
      <c r="J30" s="110" t="s">
        <v>1311</v>
      </c>
      <c r="K30" s="110">
        <v>1</v>
      </c>
    </row>
    <row r="31" spans="1:11" s="94" customFormat="1" x14ac:dyDescent="0.2">
      <c r="B31" s="94" t="s">
        <v>1320</v>
      </c>
      <c r="D31" s="60" t="s">
        <v>1326</v>
      </c>
      <c r="E31" s="71">
        <f>VLOOKUP(J31,防御塔!$A$2:$N$13,7,FALSE)</f>
        <v>9</v>
      </c>
      <c r="F31" s="71">
        <f>VLOOKUP(J31,防御塔!$A$2:$N$13,5,FALSE)</f>
        <v>1</v>
      </c>
      <c r="G31" s="59" t="s">
        <v>1409</v>
      </c>
      <c r="H31" s="94" t="s">
        <v>1321</v>
      </c>
      <c r="I31" s="57" t="s">
        <v>1328</v>
      </c>
      <c r="J31" s="110" t="s">
        <v>1311</v>
      </c>
      <c r="K31" s="110">
        <v>2</v>
      </c>
    </row>
    <row r="32" spans="1:11" s="94" customFormat="1" x14ac:dyDescent="0.2">
      <c r="B32" s="94" t="s">
        <v>1322</v>
      </c>
      <c r="D32" s="60" t="s">
        <v>1327</v>
      </c>
      <c r="E32" s="71">
        <f>VLOOKUP(J32,防御塔!$A$2:$N$13,7,FALSE)</f>
        <v>9</v>
      </c>
      <c r="F32" s="71">
        <f>VLOOKUP(J32,防御塔!$A$2:$N$13,5,FALSE)</f>
        <v>1</v>
      </c>
      <c r="G32" s="59" t="s">
        <v>1410</v>
      </c>
      <c r="H32" s="94" t="s">
        <v>1323</v>
      </c>
      <c r="I32" s="57" t="s">
        <v>1328</v>
      </c>
      <c r="J32" s="110" t="s">
        <v>1311</v>
      </c>
      <c r="K32" s="110">
        <v>3</v>
      </c>
    </row>
    <row r="33" spans="2:15" s="94" customFormat="1" x14ac:dyDescent="0.2">
      <c r="B33" s="94" t="s">
        <v>1335</v>
      </c>
      <c r="D33" s="60" t="s">
        <v>1341</v>
      </c>
      <c r="E33" s="71">
        <f>VLOOKUP(J33,防御塔!$A$2:$N$13,7,FALSE)</f>
        <v>7.5</v>
      </c>
      <c r="F33" s="71">
        <f>VLOOKUP(J33,防御塔!$A$2:$N$13,5,FALSE)</f>
        <v>1</v>
      </c>
      <c r="G33" s="59" t="s">
        <v>1411</v>
      </c>
      <c r="H33" s="94" t="s">
        <v>1336</v>
      </c>
      <c r="I33" s="57" t="s">
        <v>1328</v>
      </c>
      <c r="J33" s="110" t="s">
        <v>1312</v>
      </c>
      <c r="K33" s="110">
        <v>1</v>
      </c>
    </row>
    <row r="34" spans="2:15" s="94" customFormat="1" x14ac:dyDescent="0.2">
      <c r="B34" s="94" t="s">
        <v>1337</v>
      </c>
      <c r="D34" s="60" t="s">
        <v>1342</v>
      </c>
      <c r="E34" s="71">
        <f>VLOOKUP(J34,防御塔!$A$2:$N$13,7,FALSE)</f>
        <v>7.5</v>
      </c>
      <c r="F34" s="71">
        <f>VLOOKUP(J34,防御塔!$A$2:$N$13,5,FALSE)</f>
        <v>1</v>
      </c>
      <c r="G34" s="59" t="s">
        <v>1412</v>
      </c>
      <c r="H34" s="94" t="s">
        <v>1338</v>
      </c>
      <c r="I34" s="57" t="s">
        <v>1328</v>
      </c>
      <c r="J34" s="110" t="s">
        <v>1312</v>
      </c>
      <c r="K34" s="110">
        <v>2</v>
      </c>
    </row>
    <row r="35" spans="2:15" s="94" customFormat="1" x14ac:dyDescent="0.2">
      <c r="B35" s="94" t="s">
        <v>1339</v>
      </c>
      <c r="D35" s="60" t="s">
        <v>1343</v>
      </c>
      <c r="E35" s="71">
        <f>VLOOKUP(J35,防御塔!$A$2:$N$13,7,FALSE)</f>
        <v>7.5</v>
      </c>
      <c r="F35" s="71">
        <f>VLOOKUP(J35,防御塔!$A$2:$N$13,5,FALSE)</f>
        <v>1</v>
      </c>
      <c r="G35" s="59" t="s">
        <v>1413</v>
      </c>
      <c r="H35" s="94" t="s">
        <v>1340</v>
      </c>
      <c r="I35" s="57" t="s">
        <v>1328</v>
      </c>
      <c r="J35" s="110" t="s">
        <v>1312</v>
      </c>
      <c r="K35" s="110">
        <v>3</v>
      </c>
    </row>
    <row r="36" spans="2:15" s="94" customFormat="1" x14ac:dyDescent="0.2">
      <c r="B36" s="94" t="s">
        <v>1381</v>
      </c>
      <c r="D36" s="60" t="s">
        <v>1376</v>
      </c>
      <c r="E36" s="71">
        <f>VLOOKUP(J36,防御塔!$A$2:$N$13,7,FALSE)</f>
        <v>7.5</v>
      </c>
      <c r="F36" s="71">
        <f>VLOOKUP(J36,防御塔!$A$2:$N$13,5,FALSE)</f>
        <v>1</v>
      </c>
      <c r="G36" s="59" t="s">
        <v>1414</v>
      </c>
      <c r="H36" s="94" t="s">
        <v>1382</v>
      </c>
      <c r="I36" s="57" t="s">
        <v>1328</v>
      </c>
      <c r="J36" s="110" t="s">
        <v>1363</v>
      </c>
      <c r="K36" s="110">
        <v>1</v>
      </c>
    </row>
    <row r="37" spans="2:15" s="94" customFormat="1" x14ac:dyDescent="0.2">
      <c r="B37" s="94" t="s">
        <v>1377</v>
      </c>
      <c r="D37" s="60" t="s">
        <v>1378</v>
      </c>
      <c r="E37" s="71">
        <f>VLOOKUP(J37,防御塔!$A$2:$N$13,7,FALSE)</f>
        <v>7.5</v>
      </c>
      <c r="F37" s="71">
        <f>VLOOKUP(J37,防御塔!$A$2:$N$13,5,FALSE)</f>
        <v>1</v>
      </c>
      <c r="G37" s="59" t="s">
        <v>1415</v>
      </c>
      <c r="H37" s="94" t="s">
        <v>1383</v>
      </c>
      <c r="I37" s="57" t="s">
        <v>1328</v>
      </c>
      <c r="J37" s="110" t="s">
        <v>1363</v>
      </c>
      <c r="K37" s="110">
        <v>2</v>
      </c>
    </row>
    <row r="38" spans="2:15" s="94" customFormat="1" x14ac:dyDescent="0.2">
      <c r="B38" s="94" t="s">
        <v>1379</v>
      </c>
      <c r="D38" s="60" t="s">
        <v>1380</v>
      </c>
      <c r="E38" s="71">
        <f>VLOOKUP(J38,防御塔!$A$2:$N$13,7,FALSE)</f>
        <v>7.5</v>
      </c>
      <c r="F38" s="71">
        <f>VLOOKUP(J38,防御塔!$A$2:$N$13,5,FALSE)</f>
        <v>1</v>
      </c>
      <c r="G38" s="59" t="s">
        <v>1416</v>
      </c>
      <c r="H38" s="94" t="s">
        <v>1384</v>
      </c>
      <c r="I38" s="57" t="s">
        <v>1328</v>
      </c>
      <c r="J38" s="110" t="s">
        <v>1363</v>
      </c>
      <c r="K38" s="110">
        <v>3</v>
      </c>
    </row>
    <row r="39" spans="2:15" x14ac:dyDescent="0.2">
      <c r="B39" s="59"/>
      <c r="C39" s="60"/>
      <c r="D39" s="61"/>
      <c r="E39" s="61"/>
      <c r="F39" s="59"/>
      <c r="G39" s="59"/>
      <c r="H39" s="59"/>
      <c r="I39" s="62"/>
      <c r="J39" s="110"/>
    </row>
    <row r="40" spans="2:15" s="94" customFormat="1" x14ac:dyDescent="0.2">
      <c r="B40" s="94" t="s">
        <v>607</v>
      </c>
      <c r="D40" s="94" t="s">
        <v>1706</v>
      </c>
      <c r="E40" s="94">
        <v>5</v>
      </c>
      <c r="F40" s="94">
        <v>1</v>
      </c>
      <c r="G40" s="94" t="s">
        <v>1407</v>
      </c>
      <c r="I40" s="94" t="s">
        <v>1707</v>
      </c>
      <c r="J40" s="111"/>
      <c r="K40" s="110"/>
      <c r="O40" s="112"/>
    </row>
    <row r="41" spans="2:15" s="94" customFormat="1" x14ac:dyDescent="0.2">
      <c r="B41" s="94" t="s">
        <v>608</v>
      </c>
      <c r="D41" s="94" t="s">
        <v>1706</v>
      </c>
      <c r="E41" s="94">
        <v>5</v>
      </c>
      <c r="F41" s="94">
        <v>1</v>
      </c>
      <c r="G41" s="94" t="s">
        <v>1407</v>
      </c>
      <c r="I41" s="94" t="s">
        <v>1708</v>
      </c>
      <c r="J41" s="111"/>
      <c r="K41" s="110"/>
      <c r="O41" s="112"/>
    </row>
    <row r="42" spans="2:15" s="94" customFormat="1" x14ac:dyDescent="0.2">
      <c r="B42" s="94" t="s">
        <v>609</v>
      </c>
      <c r="D42" s="94" t="s">
        <v>1706</v>
      </c>
      <c r="E42" s="94">
        <v>5</v>
      </c>
      <c r="F42" s="94">
        <v>1</v>
      </c>
      <c r="G42" s="94" t="s">
        <v>1407</v>
      </c>
      <c r="I42" s="94" t="s">
        <v>1709</v>
      </c>
      <c r="J42" s="111"/>
      <c r="K42" s="110"/>
      <c r="O42" s="112"/>
    </row>
    <row r="43" spans="2:15" s="94" customFormat="1" x14ac:dyDescent="0.2">
      <c r="B43" s="94" t="s">
        <v>610</v>
      </c>
      <c r="D43" s="94" t="s">
        <v>1706</v>
      </c>
      <c r="E43" s="94">
        <v>5</v>
      </c>
      <c r="F43" s="94">
        <v>1</v>
      </c>
      <c r="G43" s="94" t="s">
        <v>1407</v>
      </c>
      <c r="I43" s="94" t="s">
        <v>1710</v>
      </c>
      <c r="J43" s="111"/>
      <c r="K43" s="110"/>
      <c r="O43" s="112"/>
    </row>
    <row r="44" spans="2:15" s="94" customFormat="1" x14ac:dyDescent="0.2">
      <c r="B44" s="94" t="s">
        <v>611</v>
      </c>
      <c r="D44" s="94" t="s">
        <v>1706</v>
      </c>
      <c r="E44" s="94">
        <v>5</v>
      </c>
      <c r="F44" s="94">
        <v>1</v>
      </c>
      <c r="G44" s="94" t="s">
        <v>1407</v>
      </c>
      <c r="I44" s="94" t="s">
        <v>1711</v>
      </c>
      <c r="J44" s="111"/>
      <c r="K44" s="110"/>
      <c r="O44" s="112"/>
    </row>
    <row r="45" spans="2:15" s="94" customFormat="1" x14ac:dyDescent="0.2">
      <c r="B45" s="94" t="s">
        <v>612</v>
      </c>
      <c r="D45" s="94" t="s">
        <v>1706</v>
      </c>
      <c r="E45" s="94">
        <v>5</v>
      </c>
      <c r="F45" s="94">
        <v>1</v>
      </c>
      <c r="G45" s="94" t="s">
        <v>1407</v>
      </c>
      <c r="I45" s="94" t="s">
        <v>1712</v>
      </c>
      <c r="J45" s="111"/>
      <c r="K45" s="110"/>
      <c r="O45" s="112"/>
    </row>
    <row r="46" spans="2:15" s="94" customFormat="1" x14ac:dyDescent="0.2">
      <c r="B46" s="94" t="s">
        <v>613</v>
      </c>
      <c r="D46" s="94" t="s">
        <v>1706</v>
      </c>
      <c r="E46" s="94">
        <v>5</v>
      </c>
      <c r="F46" s="94">
        <v>1</v>
      </c>
      <c r="G46" s="94" t="s">
        <v>1407</v>
      </c>
      <c r="I46" s="94" t="s">
        <v>1713</v>
      </c>
      <c r="J46" s="111"/>
      <c r="K46" s="110"/>
      <c r="O46" s="112"/>
    </row>
    <row r="47" spans="2:15" s="94" customFormat="1" x14ac:dyDescent="0.2">
      <c r="B47" s="94" t="s">
        <v>614</v>
      </c>
      <c r="D47" s="94" t="s">
        <v>1706</v>
      </c>
      <c r="E47" s="94">
        <v>5</v>
      </c>
      <c r="F47" s="94">
        <v>1</v>
      </c>
      <c r="G47" s="94" t="s">
        <v>1407</v>
      </c>
      <c r="I47" s="94" t="s">
        <v>1714</v>
      </c>
      <c r="J47" s="111"/>
      <c r="K47" s="110"/>
      <c r="O47" s="112"/>
    </row>
    <row r="48" spans="2:15" s="94" customFormat="1" x14ac:dyDescent="0.2">
      <c r="B48" s="94" t="s">
        <v>615</v>
      </c>
      <c r="D48" s="94" t="s">
        <v>1706</v>
      </c>
      <c r="E48" s="94">
        <v>5</v>
      </c>
      <c r="F48" s="94">
        <v>1</v>
      </c>
      <c r="G48" s="94" t="s">
        <v>1407</v>
      </c>
      <c r="I48" s="94" t="s">
        <v>1715</v>
      </c>
      <c r="J48" s="111"/>
      <c r="K48" s="110"/>
      <c r="O48" s="112"/>
    </row>
    <row r="49" spans="2:15" s="94" customFormat="1" x14ac:dyDescent="0.2">
      <c r="B49" s="94" t="s">
        <v>616</v>
      </c>
      <c r="D49" s="94" t="s">
        <v>1706</v>
      </c>
      <c r="E49" s="94">
        <v>5</v>
      </c>
      <c r="F49" s="94">
        <v>1</v>
      </c>
      <c r="G49" s="94" t="s">
        <v>1407</v>
      </c>
      <c r="I49" s="94" t="s">
        <v>1716</v>
      </c>
      <c r="J49" s="111"/>
      <c r="K49" s="110"/>
      <c r="O49" s="112"/>
    </row>
    <row r="50" spans="2:15" s="94" customFormat="1" x14ac:dyDescent="0.2">
      <c r="B50" s="94" t="s">
        <v>617</v>
      </c>
      <c r="D50" s="94" t="s">
        <v>1706</v>
      </c>
      <c r="E50" s="94">
        <v>5</v>
      </c>
      <c r="F50" s="94">
        <v>1</v>
      </c>
      <c r="G50" s="94" t="s">
        <v>1407</v>
      </c>
      <c r="I50" s="94" t="s">
        <v>1717</v>
      </c>
      <c r="J50" s="111"/>
      <c r="K50" s="110"/>
      <c r="O50" s="112"/>
    </row>
    <row r="51" spans="2:15" s="94" customFormat="1" x14ac:dyDescent="0.2">
      <c r="B51" s="94" t="s">
        <v>618</v>
      </c>
      <c r="D51" s="94" t="s">
        <v>1706</v>
      </c>
      <c r="E51" s="94">
        <v>5</v>
      </c>
      <c r="F51" s="94">
        <v>1</v>
      </c>
      <c r="G51" s="94" t="s">
        <v>1407</v>
      </c>
      <c r="I51" s="94" t="s">
        <v>1718</v>
      </c>
      <c r="J51" s="111"/>
      <c r="K51" s="110"/>
      <c r="O51" s="112"/>
    </row>
    <row r="52" spans="2:15" s="94" customFormat="1" x14ac:dyDescent="0.2">
      <c r="B52" s="112" t="s">
        <v>1719</v>
      </c>
      <c r="D52" s="94" t="s">
        <v>1706</v>
      </c>
      <c r="E52" s="94">
        <v>5</v>
      </c>
      <c r="F52" s="94">
        <v>1</v>
      </c>
      <c r="G52" s="94" t="s">
        <v>1407</v>
      </c>
      <c r="I52" s="112" t="s">
        <v>1720</v>
      </c>
      <c r="J52" s="111"/>
      <c r="K52" s="110"/>
      <c r="O52" s="112"/>
    </row>
    <row r="53" spans="2:15" s="94" customFormat="1" x14ac:dyDescent="0.2">
      <c r="B53" s="94" t="s">
        <v>619</v>
      </c>
      <c r="D53" s="94" t="s">
        <v>1706</v>
      </c>
      <c r="E53" s="94">
        <v>5</v>
      </c>
      <c r="F53" s="94">
        <v>1</v>
      </c>
      <c r="G53" s="94" t="s">
        <v>1407</v>
      </c>
      <c r="I53" s="94" t="s">
        <v>1721</v>
      </c>
      <c r="J53" s="111"/>
      <c r="K53" s="110"/>
      <c r="O53" s="112"/>
    </row>
    <row r="54" spans="2:15" s="94" customFormat="1" x14ac:dyDescent="0.2">
      <c r="B54" s="94" t="s">
        <v>620</v>
      </c>
      <c r="D54" s="94" t="s">
        <v>1706</v>
      </c>
      <c r="E54" s="94">
        <v>5</v>
      </c>
      <c r="F54" s="94">
        <v>1</v>
      </c>
      <c r="G54" s="94" t="s">
        <v>1407</v>
      </c>
      <c r="I54" s="94" t="s">
        <v>1722</v>
      </c>
      <c r="J54" s="111"/>
      <c r="K54" s="110"/>
      <c r="O54" s="112"/>
    </row>
    <row r="55" spans="2:15" s="94" customFormat="1" x14ac:dyDescent="0.2">
      <c r="B55" s="94" t="s">
        <v>621</v>
      </c>
      <c r="D55" s="94" t="s">
        <v>1706</v>
      </c>
      <c r="E55" s="94">
        <v>5</v>
      </c>
      <c r="F55" s="94">
        <v>1</v>
      </c>
      <c r="G55" s="94" t="s">
        <v>1407</v>
      </c>
      <c r="I55" s="94" t="s">
        <v>1723</v>
      </c>
      <c r="J55" s="111"/>
      <c r="K55" s="110"/>
      <c r="O55" s="112"/>
    </row>
    <row r="56" spans="2:15" s="94" customFormat="1" x14ac:dyDescent="0.2">
      <c r="B56" s="94" t="s">
        <v>622</v>
      </c>
      <c r="D56" s="94" t="s">
        <v>1706</v>
      </c>
      <c r="E56" s="94">
        <v>5</v>
      </c>
      <c r="F56" s="94">
        <v>1</v>
      </c>
      <c r="G56" s="94" t="s">
        <v>1407</v>
      </c>
      <c r="I56" s="94" t="s">
        <v>1724</v>
      </c>
      <c r="J56" s="111"/>
      <c r="K56" s="110"/>
      <c r="O56" s="112"/>
    </row>
    <row r="57" spans="2:15" s="94" customFormat="1" x14ac:dyDescent="0.2">
      <c r="B57" s="94" t="s">
        <v>623</v>
      </c>
      <c r="D57" s="94" t="s">
        <v>1706</v>
      </c>
      <c r="E57" s="94">
        <v>5</v>
      </c>
      <c r="F57" s="94">
        <v>1</v>
      </c>
      <c r="G57" s="94" t="s">
        <v>1407</v>
      </c>
      <c r="I57" s="94" t="s">
        <v>1725</v>
      </c>
      <c r="J57" s="111"/>
      <c r="K57" s="110"/>
      <c r="O57" s="112"/>
    </row>
    <row r="58" spans="2:15" s="94" customFormat="1" x14ac:dyDescent="0.2">
      <c r="B58" s="112" t="s">
        <v>1726</v>
      </c>
      <c r="D58" s="112" t="s">
        <v>1727</v>
      </c>
      <c r="E58" s="94">
        <v>1</v>
      </c>
      <c r="F58" s="94">
        <v>1</v>
      </c>
      <c r="G58" s="112" t="s">
        <v>1407</v>
      </c>
      <c r="I58" s="57" t="s">
        <v>1728</v>
      </c>
      <c r="J58" s="111"/>
      <c r="K58" s="110"/>
      <c r="O58" s="112"/>
    </row>
    <row r="59" spans="2:15" x14ac:dyDescent="0.2">
      <c r="B59" s="59"/>
      <c r="C59" s="60"/>
      <c r="D59" s="61"/>
      <c r="E59" s="61"/>
      <c r="F59" s="59"/>
      <c r="G59" s="59"/>
      <c r="H59" s="59"/>
      <c r="I59" s="62"/>
      <c r="J59" s="57"/>
      <c r="K59" s="57"/>
    </row>
    <row r="60" spans="2:15" x14ac:dyDescent="0.2">
      <c r="B60" s="57" t="s">
        <v>814</v>
      </c>
      <c r="D60" s="60" t="s">
        <v>849</v>
      </c>
      <c r="E60" s="61">
        <v>5</v>
      </c>
      <c r="F60" s="59">
        <v>1</v>
      </c>
      <c r="G60" s="59" t="s">
        <v>1407</v>
      </c>
      <c r="H60" s="59"/>
      <c r="I60" s="57" t="s">
        <v>821</v>
      </c>
      <c r="J60" s="60" t="s">
        <v>1729</v>
      </c>
      <c r="K60" s="110"/>
    </row>
    <row r="61" spans="2:15" x14ac:dyDescent="0.2">
      <c r="B61" s="57" t="s">
        <v>815</v>
      </c>
      <c r="D61" s="60" t="s">
        <v>849</v>
      </c>
      <c r="E61" s="61">
        <v>5</v>
      </c>
      <c r="F61" s="59">
        <v>1</v>
      </c>
      <c r="G61" s="59" t="s">
        <v>1407</v>
      </c>
      <c r="H61" s="59"/>
      <c r="I61" s="57" t="s">
        <v>822</v>
      </c>
      <c r="J61" s="111"/>
      <c r="K61" s="110"/>
    </row>
    <row r="62" spans="2:15" x14ac:dyDescent="0.2">
      <c r="B62" s="57" t="s">
        <v>816</v>
      </c>
      <c r="D62" s="60" t="s">
        <v>849</v>
      </c>
      <c r="E62" s="61">
        <v>5</v>
      </c>
      <c r="F62" s="59">
        <v>1</v>
      </c>
      <c r="G62" s="59" t="s">
        <v>1407</v>
      </c>
      <c r="H62" s="59"/>
      <c r="I62" s="57" t="s">
        <v>823</v>
      </c>
      <c r="J62" s="110"/>
      <c r="K62" s="110"/>
    </row>
    <row r="63" spans="2:15" x14ac:dyDescent="0.2">
      <c r="B63" s="57" t="s">
        <v>817</v>
      </c>
      <c r="D63" s="60" t="s">
        <v>849</v>
      </c>
      <c r="E63" s="61">
        <v>5</v>
      </c>
      <c r="F63" s="59">
        <v>1</v>
      </c>
      <c r="G63" s="59" t="s">
        <v>1407</v>
      </c>
      <c r="H63" s="59"/>
      <c r="I63" s="57" t="s">
        <v>824</v>
      </c>
      <c r="J63" s="111"/>
      <c r="K63" s="111"/>
    </row>
    <row r="64" spans="2:15" x14ac:dyDescent="0.2">
      <c r="B64" s="57" t="s">
        <v>818</v>
      </c>
      <c r="D64" s="60" t="s">
        <v>849</v>
      </c>
      <c r="E64" s="61">
        <v>5</v>
      </c>
      <c r="F64" s="59">
        <v>1</v>
      </c>
      <c r="G64" s="59" t="s">
        <v>1407</v>
      </c>
      <c r="I64" s="57" t="s">
        <v>825</v>
      </c>
      <c r="J64" s="111"/>
      <c r="K64" s="111"/>
    </row>
    <row r="65" spans="2:11" x14ac:dyDescent="0.2">
      <c r="B65" s="57" t="s">
        <v>819</v>
      </c>
      <c r="D65" s="60" t="s">
        <v>849</v>
      </c>
      <c r="E65" s="61">
        <v>5</v>
      </c>
      <c r="F65" s="59">
        <v>1</v>
      </c>
      <c r="G65" s="59" t="s">
        <v>1407</v>
      </c>
      <c r="H65" s="59"/>
      <c r="I65" s="57" t="s">
        <v>826</v>
      </c>
      <c r="J65" s="111"/>
      <c r="K65" s="111"/>
    </row>
    <row r="66" spans="2:11" x14ac:dyDescent="0.2">
      <c r="B66" s="57" t="s">
        <v>820</v>
      </c>
      <c r="D66" s="60" t="s">
        <v>849</v>
      </c>
      <c r="E66" s="61">
        <v>5</v>
      </c>
      <c r="F66" s="59">
        <v>1</v>
      </c>
      <c r="G66" s="59" t="s">
        <v>1407</v>
      </c>
      <c r="H66" s="59"/>
      <c r="I66" s="57" t="s">
        <v>827</v>
      </c>
      <c r="J66" s="111"/>
      <c r="K66" s="111"/>
    </row>
    <row r="67" spans="2:11" s="94" customFormat="1" x14ac:dyDescent="0.2">
      <c r="B67" s="57" t="s">
        <v>841</v>
      </c>
      <c r="D67" s="60" t="s">
        <v>850</v>
      </c>
      <c r="E67" s="94">
        <v>5</v>
      </c>
      <c r="F67" s="94">
        <v>1</v>
      </c>
      <c r="G67" s="94" t="s">
        <v>1407</v>
      </c>
      <c r="I67" s="57" t="s">
        <v>851</v>
      </c>
      <c r="J67" s="60" t="s">
        <v>1730</v>
      </c>
      <c r="K67" s="57"/>
    </row>
    <row r="68" spans="2:11" s="94" customFormat="1" x14ac:dyDescent="0.2">
      <c r="B68" s="57" t="s">
        <v>842</v>
      </c>
      <c r="D68" s="60" t="s">
        <v>850</v>
      </c>
      <c r="E68" s="94">
        <v>5</v>
      </c>
      <c r="F68" s="94">
        <v>1</v>
      </c>
      <c r="G68" s="94" t="s">
        <v>1407</v>
      </c>
      <c r="I68" s="57" t="s">
        <v>852</v>
      </c>
      <c r="J68" s="57"/>
      <c r="K68" s="57"/>
    </row>
    <row r="69" spans="2:11" s="94" customFormat="1" x14ac:dyDescent="0.2">
      <c r="B69" s="57" t="s">
        <v>843</v>
      </c>
      <c r="D69" s="60" t="s">
        <v>850</v>
      </c>
      <c r="E69" s="94">
        <v>5</v>
      </c>
      <c r="F69" s="94">
        <v>1</v>
      </c>
      <c r="G69" s="94" t="s">
        <v>1407</v>
      </c>
      <c r="I69" s="57" t="s">
        <v>853</v>
      </c>
      <c r="J69" s="57"/>
      <c r="K69" s="57"/>
    </row>
    <row r="70" spans="2:11" s="94" customFormat="1" x14ac:dyDescent="0.2">
      <c r="B70" s="57" t="s">
        <v>844</v>
      </c>
      <c r="D70" s="60" t="s">
        <v>850</v>
      </c>
      <c r="E70" s="94">
        <v>5</v>
      </c>
      <c r="F70" s="94">
        <v>1</v>
      </c>
      <c r="G70" s="94" t="s">
        <v>1407</v>
      </c>
      <c r="I70" s="57" t="s">
        <v>854</v>
      </c>
      <c r="J70" s="57"/>
      <c r="K70" s="57"/>
    </row>
    <row r="71" spans="2:11" s="94" customFormat="1" x14ac:dyDescent="0.2">
      <c r="B71" s="57" t="s">
        <v>845</v>
      </c>
      <c r="D71" s="60" t="s">
        <v>850</v>
      </c>
      <c r="E71" s="94">
        <v>5</v>
      </c>
      <c r="F71" s="94">
        <v>1</v>
      </c>
      <c r="G71" s="94" t="s">
        <v>1407</v>
      </c>
      <c r="I71" s="57" t="s">
        <v>855</v>
      </c>
      <c r="J71" s="57"/>
      <c r="K71" s="57"/>
    </row>
    <row r="72" spans="2:11" s="94" customFormat="1" x14ac:dyDescent="0.2">
      <c r="B72" s="57" t="s">
        <v>846</v>
      </c>
      <c r="D72" s="60" t="s">
        <v>850</v>
      </c>
      <c r="E72" s="94">
        <v>5</v>
      </c>
      <c r="F72" s="94">
        <v>1</v>
      </c>
      <c r="G72" s="94" t="s">
        <v>1407</v>
      </c>
      <c r="I72" s="57" t="s">
        <v>856</v>
      </c>
      <c r="J72" s="57"/>
      <c r="K72" s="57"/>
    </row>
    <row r="73" spans="2:11" s="94" customFormat="1" x14ac:dyDescent="0.2">
      <c r="B73" s="57" t="s">
        <v>847</v>
      </c>
      <c r="D73" s="60" t="s">
        <v>850</v>
      </c>
      <c r="E73" s="94">
        <v>5</v>
      </c>
      <c r="F73" s="94">
        <v>1</v>
      </c>
      <c r="G73" s="94" t="s">
        <v>1407</v>
      </c>
      <c r="I73" s="57" t="s">
        <v>857</v>
      </c>
      <c r="J73" s="57"/>
      <c r="K73" s="57"/>
    </row>
    <row r="74" spans="2:11" s="94" customFormat="1" x14ac:dyDescent="0.2">
      <c r="B74" s="57" t="s">
        <v>848</v>
      </c>
      <c r="D74" s="60" t="s">
        <v>850</v>
      </c>
      <c r="E74" s="94">
        <v>5</v>
      </c>
      <c r="F74" s="94">
        <v>1</v>
      </c>
      <c r="G74" s="94" t="s">
        <v>1407</v>
      </c>
      <c r="I74" s="57" t="s">
        <v>858</v>
      </c>
      <c r="J74" s="57"/>
      <c r="K74" s="57"/>
    </row>
    <row r="75" spans="2:11" s="94" customFormat="1" x14ac:dyDescent="0.2">
      <c r="B75" s="57" t="s">
        <v>859</v>
      </c>
      <c r="D75" s="60" t="s">
        <v>1699</v>
      </c>
      <c r="E75" s="94">
        <v>5</v>
      </c>
      <c r="F75" s="94">
        <v>1</v>
      </c>
      <c r="G75" s="94" t="s">
        <v>1407</v>
      </c>
      <c r="I75" s="57" t="s">
        <v>1700</v>
      </c>
      <c r="J75" s="60" t="s">
        <v>1731</v>
      </c>
      <c r="K75" s="57"/>
    </row>
    <row r="76" spans="2:11" s="94" customFormat="1" x14ac:dyDescent="0.2">
      <c r="B76" s="57" t="s">
        <v>860</v>
      </c>
      <c r="D76" s="60" t="s">
        <v>1699</v>
      </c>
      <c r="E76" s="94">
        <v>5</v>
      </c>
      <c r="F76" s="94">
        <v>1</v>
      </c>
      <c r="G76" s="94" t="s">
        <v>1407</v>
      </c>
      <c r="I76" s="57" t="s">
        <v>1701</v>
      </c>
      <c r="K76" s="57"/>
    </row>
    <row r="77" spans="2:11" s="94" customFormat="1" x14ac:dyDescent="0.2">
      <c r="B77" s="57" t="s">
        <v>861</v>
      </c>
      <c r="D77" s="60" t="s">
        <v>1699</v>
      </c>
      <c r="E77" s="94">
        <v>5</v>
      </c>
      <c r="F77" s="94">
        <v>1</v>
      </c>
      <c r="G77" s="94" t="s">
        <v>1407</v>
      </c>
      <c r="I77" s="57" t="s">
        <v>1702</v>
      </c>
      <c r="K77" s="57"/>
    </row>
    <row r="78" spans="2:11" s="94" customFormat="1" x14ac:dyDescent="0.2">
      <c r="B78" s="57" t="s">
        <v>862</v>
      </c>
      <c r="D78" s="60" t="s">
        <v>1699</v>
      </c>
      <c r="E78" s="94">
        <v>5</v>
      </c>
      <c r="F78" s="94">
        <v>1</v>
      </c>
      <c r="G78" s="94" t="s">
        <v>1407</v>
      </c>
      <c r="I78" s="57" t="s">
        <v>1703</v>
      </c>
      <c r="K78" s="57"/>
    </row>
    <row r="79" spans="2:11" s="94" customFormat="1" x14ac:dyDescent="0.2">
      <c r="B79" s="57" t="s">
        <v>863</v>
      </c>
      <c r="D79" s="60" t="s">
        <v>1699</v>
      </c>
      <c r="E79" s="94">
        <v>5</v>
      </c>
      <c r="F79" s="94">
        <v>1</v>
      </c>
      <c r="G79" s="94" t="s">
        <v>1407</v>
      </c>
      <c r="I79" s="57" t="s">
        <v>1704</v>
      </c>
      <c r="K79" s="57"/>
    </row>
    <row r="80" spans="2:11" s="94" customFormat="1" x14ac:dyDescent="0.2">
      <c r="B80" s="57" t="s">
        <v>864</v>
      </c>
      <c r="D80" s="60" t="s">
        <v>1699</v>
      </c>
      <c r="E80" s="94">
        <v>5</v>
      </c>
      <c r="F80" s="94">
        <v>1</v>
      </c>
      <c r="G80" s="94" t="s">
        <v>1407</v>
      </c>
      <c r="I80" s="57" t="s">
        <v>1705</v>
      </c>
      <c r="K80" s="57"/>
    </row>
    <row r="81" spans="2:11" s="94" customFormat="1" x14ac:dyDescent="0.2">
      <c r="B81" s="94" t="s">
        <v>1096</v>
      </c>
      <c r="D81" s="60" t="s">
        <v>1097</v>
      </c>
      <c r="E81" s="94">
        <v>3</v>
      </c>
      <c r="F81" s="94">
        <v>1</v>
      </c>
      <c r="G81" s="94" t="s">
        <v>1407</v>
      </c>
      <c r="I81" s="57" t="s">
        <v>1098</v>
      </c>
      <c r="J81" s="60" t="s">
        <v>1732</v>
      </c>
      <c r="K81" s="57"/>
    </row>
    <row r="82" spans="2:11" s="94" customFormat="1" x14ac:dyDescent="0.2">
      <c r="B82" s="94" t="s">
        <v>1099</v>
      </c>
      <c r="D82" s="60" t="s">
        <v>1097</v>
      </c>
      <c r="E82" s="94">
        <v>5</v>
      </c>
      <c r="F82" s="94">
        <v>1</v>
      </c>
      <c r="G82" s="94" t="s">
        <v>1407</v>
      </c>
      <c r="I82" s="57" t="s">
        <v>1100</v>
      </c>
      <c r="J82" s="57"/>
      <c r="K82" s="57"/>
    </row>
    <row r="83" spans="2:11" s="94" customFormat="1" x14ac:dyDescent="0.2">
      <c r="B83" s="94" t="s">
        <v>1101</v>
      </c>
      <c r="D83" s="60" t="s">
        <v>1097</v>
      </c>
      <c r="E83" s="94">
        <v>8</v>
      </c>
      <c r="F83" s="94">
        <v>1</v>
      </c>
      <c r="G83" s="94" t="s">
        <v>1407</v>
      </c>
      <c r="I83" s="57" t="s">
        <v>1102</v>
      </c>
      <c r="J83" s="57"/>
      <c r="K83" s="57"/>
    </row>
  </sheetData>
  <sortState xmlns:xlrd2="http://schemas.microsoft.com/office/spreadsheetml/2017/richdata2" ref="B60:B78">
    <sortCondition ref="B60:B78"/>
  </sortState>
  <phoneticPr fontId="4" type="noConversion"/>
  <conditionalFormatting sqref="B75:B76">
    <cfRule type="duplicateValues" dxfId="14" priority="15"/>
  </conditionalFormatting>
  <conditionalFormatting sqref="B77">
    <cfRule type="duplicateValues" dxfId="13" priority="14"/>
  </conditionalFormatting>
  <conditionalFormatting sqref="B78">
    <cfRule type="duplicateValues" dxfId="12" priority="13"/>
  </conditionalFormatting>
  <conditionalFormatting sqref="B79">
    <cfRule type="duplicateValues" dxfId="11" priority="12"/>
  </conditionalFormatting>
  <conditionalFormatting sqref="B80">
    <cfRule type="duplicateValues" dxfId="10" priority="11"/>
  </conditionalFormatting>
  <conditionalFormatting sqref="I75:I76">
    <cfRule type="duplicateValues" dxfId="9" priority="10"/>
  </conditionalFormatting>
  <conditionalFormatting sqref="I77">
    <cfRule type="duplicateValues" dxfId="8" priority="9"/>
  </conditionalFormatting>
  <conditionalFormatting sqref="I78">
    <cfRule type="duplicateValues" dxfId="7" priority="8"/>
  </conditionalFormatting>
  <conditionalFormatting sqref="I79">
    <cfRule type="duplicateValues" dxfId="6" priority="7"/>
  </conditionalFormatting>
  <conditionalFormatting sqref="I80">
    <cfRule type="duplicateValues" dxfId="5" priority="6"/>
  </conditionalFormatting>
  <conditionalFormatting sqref="I81:I83">
    <cfRule type="duplicateValues" dxfId="4" priority="5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21B9E-6CAD-4BB5-A082-DC357E5A6BFE}">
  <dimension ref="A1:T39"/>
  <sheetViews>
    <sheetView workbookViewId="0">
      <selection activeCell="A6" sqref="A6:XFD22"/>
    </sheetView>
  </sheetViews>
  <sheetFormatPr defaultColWidth="9" defaultRowHeight="14.25" x14ac:dyDescent="0.2"/>
  <cols>
    <col min="1" max="1" width="8.75" style="57" customWidth="1"/>
    <col min="2" max="2" width="34" style="57" customWidth="1"/>
    <col min="3" max="3" width="6.125" style="57" customWidth="1"/>
    <col min="4" max="4" width="36.75" style="57" customWidth="1"/>
    <col min="5" max="5" width="25.125" style="57" customWidth="1"/>
    <col min="6" max="6" width="33" style="57" customWidth="1"/>
    <col min="7" max="8" width="13" style="57" customWidth="1"/>
    <col min="9" max="10" width="13.375" style="57" customWidth="1"/>
    <col min="11" max="11" width="13.875" style="57" customWidth="1"/>
    <col min="12" max="13" width="15.375" style="57" customWidth="1"/>
    <col min="14" max="16384" width="9" style="57"/>
  </cols>
  <sheetData>
    <row r="1" spans="1:20" s="99" customFormat="1" x14ac:dyDescent="0.2">
      <c r="A1" s="63" t="s">
        <v>67</v>
      </c>
      <c r="B1" s="63" t="s">
        <v>68</v>
      </c>
      <c r="C1" s="63" t="s">
        <v>69</v>
      </c>
      <c r="D1" s="63" t="s">
        <v>70</v>
      </c>
      <c r="E1" s="201" t="s">
        <v>220</v>
      </c>
      <c r="F1" s="201"/>
      <c r="G1" s="201"/>
      <c r="H1" s="201"/>
      <c r="I1" s="201"/>
      <c r="J1" s="201"/>
      <c r="K1" s="63"/>
      <c r="L1" s="63"/>
      <c r="M1" s="63"/>
      <c r="N1" s="57"/>
      <c r="O1" s="57"/>
      <c r="P1" s="57"/>
      <c r="Q1" s="57"/>
      <c r="R1" s="57"/>
      <c r="S1" s="57"/>
      <c r="T1" s="57"/>
    </row>
    <row r="2" spans="1:20" s="99" customFormat="1" x14ac:dyDescent="0.2">
      <c r="A2" s="63" t="s">
        <v>67</v>
      </c>
      <c r="B2" s="63"/>
      <c r="C2" s="63"/>
      <c r="D2" s="63"/>
      <c r="E2" s="63" t="s">
        <v>225</v>
      </c>
      <c r="F2" s="63" t="s">
        <v>226</v>
      </c>
      <c r="G2" s="63" t="s">
        <v>227</v>
      </c>
      <c r="H2" s="63" t="s">
        <v>228</v>
      </c>
      <c r="I2" s="63" t="s">
        <v>229</v>
      </c>
      <c r="J2" s="63" t="s">
        <v>230</v>
      </c>
      <c r="K2" s="63"/>
      <c r="L2" s="63"/>
      <c r="M2" s="63"/>
      <c r="N2" s="57"/>
      <c r="O2" s="57"/>
      <c r="P2" s="57"/>
      <c r="Q2" s="57"/>
      <c r="R2" s="57"/>
      <c r="S2" s="57"/>
      <c r="T2" s="57"/>
    </row>
    <row r="3" spans="1:20" s="101" customFormat="1" x14ac:dyDescent="0.2">
      <c r="A3" s="64" t="s">
        <v>71</v>
      </c>
      <c r="B3" s="64" t="s">
        <v>72</v>
      </c>
      <c r="C3" s="64" t="s">
        <v>72</v>
      </c>
      <c r="D3" s="64" t="s">
        <v>72</v>
      </c>
      <c r="E3" s="200" t="s">
        <v>231</v>
      </c>
      <c r="F3" s="200"/>
      <c r="G3" s="200"/>
      <c r="H3" s="200"/>
      <c r="I3" s="200"/>
      <c r="J3" s="200"/>
      <c r="K3" s="64"/>
      <c r="L3" s="64"/>
      <c r="M3" s="64"/>
      <c r="N3" s="57"/>
      <c r="O3" s="57"/>
      <c r="P3" s="57"/>
      <c r="Q3" s="57"/>
      <c r="R3" s="57"/>
      <c r="S3" s="57"/>
      <c r="T3" s="57"/>
    </row>
    <row r="4" spans="1:20" s="101" customFormat="1" x14ac:dyDescent="0.2">
      <c r="A4" s="64" t="s">
        <v>75</v>
      </c>
      <c r="B4" s="64"/>
      <c r="C4" s="64"/>
      <c r="D4" s="64" t="s">
        <v>76</v>
      </c>
      <c r="E4" s="64"/>
      <c r="F4" s="64"/>
      <c r="G4" s="64"/>
      <c r="H4" s="64"/>
      <c r="I4" s="64"/>
      <c r="J4" s="64"/>
      <c r="K4" s="64"/>
      <c r="L4" s="64"/>
      <c r="M4" s="64"/>
      <c r="N4" s="57"/>
      <c r="O4" s="57"/>
      <c r="P4" s="57"/>
      <c r="Q4" s="57"/>
      <c r="R4" s="57"/>
      <c r="S4" s="57"/>
      <c r="T4" s="57"/>
    </row>
    <row r="5" spans="1:20" s="99" customFormat="1" x14ac:dyDescent="0.2">
      <c r="A5" s="63" t="s">
        <v>77</v>
      </c>
      <c r="B5" s="63" t="s">
        <v>78</v>
      </c>
      <c r="C5" s="63" t="s">
        <v>79</v>
      </c>
      <c r="D5" s="63" t="s">
        <v>80</v>
      </c>
      <c r="E5" s="63" t="s">
        <v>232</v>
      </c>
      <c r="F5" s="63" t="s">
        <v>233</v>
      </c>
      <c r="G5" s="63" t="s">
        <v>234</v>
      </c>
      <c r="H5" s="63" t="s">
        <v>235</v>
      </c>
      <c r="I5" s="63" t="s">
        <v>236</v>
      </c>
      <c r="J5" s="63" t="s">
        <v>237</v>
      </c>
      <c r="K5" s="63" t="s">
        <v>453</v>
      </c>
      <c r="L5" s="63" t="s">
        <v>453</v>
      </c>
      <c r="M5" s="63" t="s">
        <v>453</v>
      </c>
      <c r="N5" s="57"/>
      <c r="O5" s="57"/>
      <c r="P5" s="57"/>
      <c r="Q5" s="57"/>
      <c r="R5" s="57"/>
      <c r="S5" s="57"/>
      <c r="T5" s="57"/>
    </row>
    <row r="6" spans="1:20" x14ac:dyDescent="0.2">
      <c r="B6" s="57" t="s">
        <v>221</v>
      </c>
      <c r="D6" s="94" t="s">
        <v>238</v>
      </c>
      <c r="E6" s="68" t="s">
        <v>239</v>
      </c>
      <c r="F6" s="57">
        <v>1</v>
      </c>
      <c r="G6" s="57">
        <v>0</v>
      </c>
      <c r="H6" s="57">
        <v>0</v>
      </c>
      <c r="I6" s="57">
        <v>0</v>
      </c>
      <c r="J6" s="57">
        <v>0</v>
      </c>
      <c r="K6" s="110" t="s">
        <v>254</v>
      </c>
      <c r="L6" s="110"/>
      <c r="M6" s="110"/>
    </row>
    <row r="7" spans="1:20" x14ac:dyDescent="0.2">
      <c r="B7" s="57" t="s">
        <v>246</v>
      </c>
      <c r="D7" s="112" t="s">
        <v>240</v>
      </c>
      <c r="E7" s="68" t="s">
        <v>239</v>
      </c>
      <c r="F7" s="57">
        <v>1</v>
      </c>
      <c r="G7" s="102">
        <f>VLOOKUP(K7,防御塔!$A$2:$N$17,11+ActionCfg_DamageUnit!L7,FALSE)*100</f>
        <v>6</v>
      </c>
      <c r="H7" s="102">
        <f>(VLOOKUP(K7,防御塔!$A$2:$N$17,3,FALSE)-VLOOKUP(K7,防御塔!$A$2:$N$17,4,FALSE))/VLOOKUP(K7,防御塔!$A$2:$N$17,4,FALSE)*100</f>
        <v>49.999999999999993</v>
      </c>
      <c r="I7" s="57">
        <v>0</v>
      </c>
      <c r="J7" s="57">
        <v>0</v>
      </c>
      <c r="K7" s="110" t="s">
        <v>252</v>
      </c>
      <c r="L7" s="110">
        <v>1</v>
      </c>
      <c r="M7" s="110"/>
    </row>
    <row r="8" spans="1:20" x14ac:dyDescent="0.2">
      <c r="B8" s="57" t="s">
        <v>247</v>
      </c>
      <c r="D8" s="112" t="s">
        <v>241</v>
      </c>
      <c r="E8" s="68" t="s">
        <v>239</v>
      </c>
      <c r="F8" s="57">
        <v>1</v>
      </c>
      <c r="G8" s="102">
        <f>VLOOKUP(K8,防御塔!$A$2:$N$17,11+ActionCfg_DamageUnit!L8,FALSE)*100</f>
        <v>6</v>
      </c>
      <c r="H8" s="102">
        <f>(VLOOKUP(K8,防御塔!$A$2:$N$17,3,FALSE)-VLOOKUP(K8,防御塔!$A$2:$N$17,4,FALSE))/VLOOKUP(K8,防御塔!$A$2:$N$17,4,FALSE)*100</f>
        <v>49.999999999999993</v>
      </c>
      <c r="I8" s="57">
        <v>0</v>
      </c>
      <c r="J8" s="57">
        <v>0</v>
      </c>
      <c r="K8" s="110" t="s">
        <v>252</v>
      </c>
      <c r="L8" s="110">
        <v>2</v>
      </c>
      <c r="M8" s="110"/>
    </row>
    <row r="9" spans="1:20" x14ac:dyDescent="0.2">
      <c r="B9" s="57" t="s">
        <v>248</v>
      </c>
      <c r="D9" s="112" t="s">
        <v>242</v>
      </c>
      <c r="E9" s="68" t="s">
        <v>239</v>
      </c>
      <c r="F9" s="57">
        <v>1</v>
      </c>
      <c r="G9" s="102">
        <f>VLOOKUP(K9,防御塔!$A$2:$N$17,11+ActionCfg_DamageUnit!L9,FALSE)*100</f>
        <v>0</v>
      </c>
      <c r="H9" s="102">
        <f>(VLOOKUP(K9,防御塔!$A$2:$N$17,3,FALSE)-VLOOKUP(K9,防御塔!$A$2:$N$17,4,FALSE))/VLOOKUP(K9,防御塔!$A$2:$N$17,4,FALSE)*100</f>
        <v>49.999999999999993</v>
      </c>
      <c r="I9" s="57">
        <v>0</v>
      </c>
      <c r="J9" s="57">
        <v>0</v>
      </c>
      <c r="K9" s="110" t="s">
        <v>252</v>
      </c>
      <c r="L9" s="110">
        <v>3</v>
      </c>
      <c r="M9" s="110"/>
    </row>
    <row r="10" spans="1:20" x14ac:dyDescent="0.2">
      <c r="B10" s="57" t="s">
        <v>249</v>
      </c>
      <c r="D10" s="112" t="s">
        <v>243</v>
      </c>
      <c r="E10" s="68" t="s">
        <v>239</v>
      </c>
      <c r="F10" s="57">
        <v>1</v>
      </c>
      <c r="G10" s="57">
        <v>0</v>
      </c>
      <c r="H10" s="57">
        <v>0</v>
      </c>
      <c r="I10" s="102">
        <f>0-VLOOKUP(K10,防御塔!$A$2:$N$17,11+ActionCfg_DamageUnit!L10,FALSE)*100</f>
        <v>-10</v>
      </c>
      <c r="J10" s="102">
        <f>(VLOOKUP(K10,防御塔!$A$2:$N$17,3,FALSE)-VLOOKUP(K10,防御塔!$A$2:$N$17,4,FALSE))/VLOOKUP(K10,防御塔!$A$2:$N$17,4,FALSE)*100</f>
        <v>49.999999999999993</v>
      </c>
      <c r="K10" s="110" t="s">
        <v>253</v>
      </c>
      <c r="L10" s="110">
        <v>1</v>
      </c>
      <c r="M10" s="110"/>
    </row>
    <row r="11" spans="1:20" x14ac:dyDescent="0.2">
      <c r="B11" s="57" t="s">
        <v>250</v>
      </c>
      <c r="D11" s="112" t="s">
        <v>244</v>
      </c>
      <c r="E11" s="68" t="s">
        <v>239</v>
      </c>
      <c r="F11" s="57">
        <v>1</v>
      </c>
      <c r="G11" s="57">
        <v>0</v>
      </c>
      <c r="H11" s="57">
        <v>0</v>
      </c>
      <c r="I11" s="102">
        <f>0-VLOOKUP(K11,防御塔!$A$2:$N$17,11+ActionCfg_DamageUnit!L11,FALSE)*100</f>
        <v>-10</v>
      </c>
      <c r="J11" s="102">
        <f>(VLOOKUP(K11,防御塔!$A$2:$N$17,3,FALSE)-VLOOKUP(K11,防御塔!$A$2:$N$17,4,FALSE))/VLOOKUP(K11,防御塔!$A$2:$N$17,4,FALSE)*100</f>
        <v>49.999999999999993</v>
      </c>
      <c r="K11" s="110" t="s">
        <v>253</v>
      </c>
      <c r="L11" s="110">
        <v>2</v>
      </c>
      <c r="M11" s="110"/>
    </row>
    <row r="12" spans="1:20" x14ac:dyDescent="0.2">
      <c r="B12" s="57" t="s">
        <v>251</v>
      </c>
      <c r="D12" s="112" t="s">
        <v>245</v>
      </c>
      <c r="E12" s="68" t="s">
        <v>239</v>
      </c>
      <c r="F12" s="57">
        <v>1</v>
      </c>
      <c r="G12" s="57">
        <v>0</v>
      </c>
      <c r="H12" s="57">
        <v>0</v>
      </c>
      <c r="I12" s="102">
        <f>0-VLOOKUP(K12,防御塔!$A$2:$N$17,11+ActionCfg_DamageUnit!L12,FALSE)*100</f>
        <v>-10</v>
      </c>
      <c r="J12" s="102">
        <f>(VLOOKUP(K12,防御塔!$A$2:$N$17,3,FALSE)-VLOOKUP(K12,防御塔!$A$2:$N$17,4,FALSE))/VLOOKUP(K12,防御塔!$A$2:$N$17,4,FALSE)*100</f>
        <v>49.999999999999993</v>
      </c>
      <c r="K12" s="110" t="s">
        <v>253</v>
      </c>
      <c r="L12" s="110">
        <v>3</v>
      </c>
      <c r="M12" s="110"/>
    </row>
    <row r="13" spans="1:20" x14ac:dyDescent="0.2">
      <c r="B13" s="57" t="s">
        <v>1119</v>
      </c>
      <c r="D13" s="94" t="s">
        <v>1120</v>
      </c>
      <c r="E13" s="68" t="s">
        <v>239</v>
      </c>
      <c r="F13" s="102">
        <f>VLOOKUP(K13,防御塔!$A$2:$O$10,15,FALSE)</f>
        <v>1</v>
      </c>
      <c r="G13" s="57">
        <v>0</v>
      </c>
      <c r="H13" s="57">
        <v>0</v>
      </c>
      <c r="I13" s="57">
        <v>0</v>
      </c>
      <c r="J13" s="57">
        <v>0</v>
      </c>
      <c r="K13" s="110" t="s">
        <v>642</v>
      </c>
      <c r="L13" s="110">
        <v>3</v>
      </c>
      <c r="M13" s="110"/>
    </row>
    <row r="14" spans="1:20" s="94" customFormat="1" x14ac:dyDescent="0.2">
      <c r="B14" s="112" t="s">
        <v>3677</v>
      </c>
      <c r="D14" s="94" t="s">
        <v>3678</v>
      </c>
      <c r="E14" s="94" t="s">
        <v>3679</v>
      </c>
      <c r="F14" s="94">
        <v>0.01</v>
      </c>
      <c r="G14" s="94">
        <v>0</v>
      </c>
      <c r="H14" s="94">
        <v>0</v>
      </c>
      <c r="I14" s="94">
        <v>0</v>
      </c>
      <c r="J14" s="94">
        <v>0</v>
      </c>
    </row>
    <row r="15" spans="1:20" s="94" customFormat="1" x14ac:dyDescent="0.2">
      <c r="B15" s="112" t="s">
        <v>3680</v>
      </c>
      <c r="D15" s="94" t="s">
        <v>3678</v>
      </c>
      <c r="E15" s="94" t="s">
        <v>3679</v>
      </c>
      <c r="F15" s="94">
        <v>0.02</v>
      </c>
      <c r="G15" s="94">
        <v>0</v>
      </c>
      <c r="H15" s="94">
        <v>0</v>
      </c>
      <c r="I15" s="94">
        <v>0</v>
      </c>
      <c r="J15" s="94">
        <v>0</v>
      </c>
    </row>
    <row r="16" spans="1:20" s="94" customFormat="1" x14ac:dyDescent="0.2">
      <c r="B16" s="112" t="s">
        <v>3681</v>
      </c>
      <c r="D16" s="94" t="s">
        <v>3678</v>
      </c>
      <c r="E16" s="94" t="s">
        <v>3679</v>
      </c>
      <c r="F16" s="94">
        <v>0.03</v>
      </c>
      <c r="G16" s="94">
        <v>0</v>
      </c>
      <c r="H16" s="94">
        <v>0</v>
      </c>
      <c r="I16" s="94">
        <v>0</v>
      </c>
      <c r="J16" s="94">
        <v>0</v>
      </c>
    </row>
    <row r="17" spans="2:13" s="94" customFormat="1" x14ac:dyDescent="0.2">
      <c r="B17" s="114" t="s">
        <v>3670</v>
      </c>
      <c r="D17" s="94" t="s">
        <v>3671</v>
      </c>
      <c r="E17" s="94" t="s">
        <v>3672</v>
      </c>
      <c r="F17" s="94">
        <v>1</v>
      </c>
      <c r="G17" s="102">
        <f>VLOOKUP(K17,防御塔!$A$2:$N$17,11+ActionCfg_DamageUnit!L17,FALSE)*100</f>
        <v>6</v>
      </c>
      <c r="H17" s="102">
        <f>(VLOOKUP(K17,防御塔!$A$2:$N$17,3,FALSE)-VLOOKUP(K17,防御塔!$A$2:$N$17,4,FALSE))/VLOOKUP(K17,防御塔!$A$2:$N$17,4,FALSE)*100</f>
        <v>49.999999999999993</v>
      </c>
      <c r="I17" s="94">
        <v>0</v>
      </c>
      <c r="J17" s="94">
        <v>0</v>
      </c>
      <c r="K17" s="110" t="s">
        <v>2999</v>
      </c>
      <c r="L17" s="110">
        <v>1</v>
      </c>
    </row>
    <row r="18" spans="2:13" s="94" customFormat="1" x14ac:dyDescent="0.2">
      <c r="B18" s="114" t="s">
        <v>3673</v>
      </c>
      <c r="D18" s="94" t="s">
        <v>3674</v>
      </c>
      <c r="E18" s="94" t="s">
        <v>3672</v>
      </c>
      <c r="F18" s="94">
        <v>1</v>
      </c>
      <c r="G18" s="102">
        <f>VLOOKUP(K18,防御塔!$A$2:$N$17,11+ActionCfg_DamageUnit!L18,FALSE)*100</f>
        <v>6</v>
      </c>
      <c r="H18" s="102">
        <f>(VLOOKUP(K18,防御塔!$A$2:$N$17,3,FALSE)-VLOOKUP(K18,防御塔!$A$2:$N$17,4,FALSE))/VLOOKUP(K18,防御塔!$A$2:$N$17,4,FALSE)*100</f>
        <v>49.999999999999993</v>
      </c>
      <c r="I18" s="94">
        <v>0</v>
      </c>
      <c r="J18" s="94">
        <v>0</v>
      </c>
      <c r="K18" s="110" t="s">
        <v>2999</v>
      </c>
      <c r="L18" s="110">
        <v>2</v>
      </c>
    </row>
    <row r="19" spans="2:13" s="94" customFormat="1" x14ac:dyDescent="0.2">
      <c r="B19" s="114" t="s">
        <v>3675</v>
      </c>
      <c r="D19" s="94" t="s">
        <v>3676</v>
      </c>
      <c r="E19" s="94" t="s">
        <v>3672</v>
      </c>
      <c r="F19" s="94">
        <v>1</v>
      </c>
      <c r="G19" s="102">
        <f>VLOOKUP(K19,防御塔!$A$2:$N$17,11+ActionCfg_DamageUnit!L19,FALSE)*100</f>
        <v>6</v>
      </c>
      <c r="H19" s="102">
        <f>(VLOOKUP(K19,防御塔!$A$2:$N$17,3,FALSE)-VLOOKUP(K19,防御塔!$A$2:$N$17,4,FALSE))/VLOOKUP(K19,防御塔!$A$2:$N$17,4,FALSE)*100</f>
        <v>49.999999999999993</v>
      </c>
      <c r="I19" s="94">
        <v>0</v>
      </c>
      <c r="J19" s="94">
        <v>0</v>
      </c>
      <c r="K19" s="110" t="s">
        <v>2999</v>
      </c>
      <c r="L19" s="110">
        <v>3</v>
      </c>
    </row>
    <row r="20" spans="2:13" x14ac:dyDescent="0.2">
      <c r="B20" s="114" t="s">
        <v>3663</v>
      </c>
      <c r="D20" s="112" t="s">
        <v>3664</v>
      </c>
      <c r="E20" s="68" t="s">
        <v>239</v>
      </c>
      <c r="F20" s="57">
        <v>1</v>
      </c>
      <c r="G20" s="102">
        <f>VLOOKUP(K20,防御塔!$A$2:$N$17,11+ActionCfg_DamageUnit!L20,FALSE)*100</f>
        <v>-7.0000000000000009</v>
      </c>
      <c r="H20" s="102">
        <f>(VLOOKUP(K20,防御塔!$A$2:$N$17,3,FALSE)-VLOOKUP(K20,防御塔!$A$2:$N$17,4,FALSE))/VLOOKUP(K20,防御塔!$A$2:$N$17,4,FALSE)*100</f>
        <v>50.000000000000021</v>
      </c>
      <c r="I20" s="57">
        <v>0</v>
      </c>
      <c r="J20" s="57">
        <v>0</v>
      </c>
      <c r="K20" s="110" t="s">
        <v>2966</v>
      </c>
      <c r="L20" s="110">
        <v>1</v>
      </c>
      <c r="M20" s="110"/>
    </row>
    <row r="21" spans="2:13" x14ac:dyDescent="0.2">
      <c r="B21" s="114" t="s">
        <v>3665</v>
      </c>
      <c r="D21" s="112" t="s">
        <v>3666</v>
      </c>
      <c r="E21" s="68" t="s">
        <v>239</v>
      </c>
      <c r="F21" s="57">
        <v>1</v>
      </c>
      <c r="G21" s="102">
        <f>VLOOKUP(K21,防御塔!$A$2:$N$17,11+ActionCfg_DamageUnit!L21,FALSE)*100</f>
        <v>-7.0000000000000009</v>
      </c>
      <c r="H21" s="102">
        <f>(VLOOKUP(K21,防御塔!$A$2:$N$17,3,FALSE)-VLOOKUP(K21,防御塔!$A$2:$N$17,4,FALSE))/VLOOKUP(K21,防御塔!$A$2:$N$17,4,FALSE)*100</f>
        <v>50.000000000000021</v>
      </c>
      <c r="I21" s="57">
        <v>0</v>
      </c>
      <c r="J21" s="57">
        <v>0</v>
      </c>
      <c r="K21" s="110" t="s">
        <v>2966</v>
      </c>
      <c r="L21" s="110">
        <v>2</v>
      </c>
      <c r="M21" s="110"/>
    </row>
    <row r="22" spans="2:13" x14ac:dyDescent="0.2">
      <c r="B22" s="114" t="s">
        <v>3667</v>
      </c>
      <c r="D22" s="112" t="s">
        <v>3668</v>
      </c>
      <c r="E22" s="68" t="s">
        <v>239</v>
      </c>
      <c r="F22" s="57">
        <v>1</v>
      </c>
      <c r="G22" s="102">
        <f>VLOOKUP(K22,防御塔!$A$2:$N$17,11+ActionCfg_DamageUnit!L22,FALSE)*100</f>
        <v>-7.0000000000000009</v>
      </c>
      <c r="H22" s="102">
        <f>(VLOOKUP(K22,防御塔!$A$2:$N$17,3,FALSE)-VLOOKUP(K22,防御塔!$A$2:$N$17,4,FALSE))/VLOOKUP(K22,防御塔!$A$2:$N$17,4,FALSE)*100</f>
        <v>50.000000000000021</v>
      </c>
      <c r="I22" s="57">
        <v>0</v>
      </c>
      <c r="J22" s="57">
        <v>0</v>
      </c>
      <c r="K22" s="110" t="s">
        <v>2966</v>
      </c>
      <c r="L22" s="110">
        <v>3</v>
      </c>
      <c r="M22" s="110"/>
    </row>
    <row r="23" spans="2:13" x14ac:dyDescent="0.2">
      <c r="K23" s="110"/>
      <c r="L23" s="110"/>
      <c r="M23" s="110"/>
    </row>
    <row r="24" spans="2:13" x14ac:dyDescent="0.2">
      <c r="B24" s="57" t="s">
        <v>625</v>
      </c>
      <c r="D24" s="68" t="s">
        <v>626</v>
      </c>
      <c r="E24" s="57" t="s">
        <v>624</v>
      </c>
      <c r="F24" s="102">
        <f>-ROUND(VLOOKUP(RIGHT(LEFT(B24,LEN(B24)-10),LEN(LEFT(B24,LEN(B24)-10))-20)+0,无限模式!$A$3:$B$22,2,FALSE)*3*0.075,0)</f>
        <v>-1094</v>
      </c>
      <c r="G24" s="57">
        <v>0</v>
      </c>
      <c r="H24" s="57">
        <v>0</v>
      </c>
      <c r="I24" s="57">
        <v>0</v>
      </c>
      <c r="J24" s="57">
        <v>0</v>
      </c>
      <c r="K24" s="110"/>
      <c r="L24" s="110"/>
      <c r="M24" s="110"/>
    </row>
    <row r="25" spans="2:13" x14ac:dyDescent="0.2">
      <c r="B25" s="57" t="s">
        <v>627</v>
      </c>
      <c r="D25" s="68" t="s">
        <v>626</v>
      </c>
      <c r="E25" s="57" t="s">
        <v>624</v>
      </c>
      <c r="F25" s="102">
        <f>-ROUND(VLOOKUP(RIGHT(LEFT(B25,LEN(B25)-10),LEN(LEFT(B25,LEN(B25)-10))-20)+0,无限模式!$A$3:$B$22,2,FALSE)*3*0.075,0)</f>
        <v>-1215</v>
      </c>
      <c r="G25" s="57">
        <v>0</v>
      </c>
      <c r="H25" s="57">
        <v>0</v>
      </c>
      <c r="I25" s="57">
        <v>0</v>
      </c>
      <c r="J25" s="57">
        <v>0</v>
      </c>
      <c r="K25" s="110"/>
      <c r="L25" s="110"/>
      <c r="M25" s="110"/>
    </row>
    <row r="26" spans="2:13" x14ac:dyDescent="0.2">
      <c r="B26" s="57" t="s">
        <v>628</v>
      </c>
      <c r="D26" s="68" t="s">
        <v>626</v>
      </c>
      <c r="E26" s="57" t="s">
        <v>624</v>
      </c>
      <c r="F26" s="102">
        <f>-ROUND(VLOOKUP(RIGHT(LEFT(B26,LEN(B26)-10),LEN(LEFT(B26,LEN(B26)-10))-20)+0,无限模式!$A$3:$B$22,2,FALSE)*3*0.075,0)</f>
        <v>-1337</v>
      </c>
      <c r="G26" s="57">
        <v>0</v>
      </c>
      <c r="H26" s="57">
        <v>0</v>
      </c>
      <c r="I26" s="57">
        <v>0</v>
      </c>
      <c r="J26" s="57">
        <v>0</v>
      </c>
      <c r="K26" s="110"/>
      <c r="L26" s="110"/>
      <c r="M26" s="110"/>
    </row>
    <row r="27" spans="2:13" x14ac:dyDescent="0.2">
      <c r="B27" s="57" t="s">
        <v>629</v>
      </c>
      <c r="D27" s="68" t="s">
        <v>626</v>
      </c>
      <c r="E27" s="57" t="s">
        <v>624</v>
      </c>
      <c r="F27" s="102">
        <f>-ROUND(VLOOKUP(RIGHT(LEFT(B27,LEN(B27)-10),LEN(LEFT(B27,LEN(B27)-10))-20)+0,无限模式!$A$3:$B$22,2,FALSE)*3*0.075,0)</f>
        <v>-1458</v>
      </c>
      <c r="G27" s="57">
        <v>0</v>
      </c>
      <c r="H27" s="57">
        <v>0</v>
      </c>
      <c r="I27" s="57">
        <v>0</v>
      </c>
      <c r="J27" s="57">
        <v>0</v>
      </c>
      <c r="K27" s="110"/>
      <c r="L27" s="110"/>
      <c r="M27" s="110"/>
    </row>
    <row r="28" spans="2:13" x14ac:dyDescent="0.2">
      <c r="B28" s="57" t="s">
        <v>630</v>
      </c>
      <c r="D28" s="68" t="s">
        <v>626</v>
      </c>
      <c r="E28" s="57" t="s">
        <v>624</v>
      </c>
      <c r="F28" s="102">
        <f>-ROUND(VLOOKUP(RIGHT(LEFT(B28,LEN(B28)-10),LEN(LEFT(B28,LEN(B28)-10))-20)+0,无限模式!$A$3:$B$22,2,FALSE)*3*0.075,0)</f>
        <v>-1458</v>
      </c>
      <c r="G28" s="57">
        <v>0</v>
      </c>
      <c r="H28" s="57">
        <v>0</v>
      </c>
      <c r="I28" s="57">
        <v>0</v>
      </c>
      <c r="J28" s="57">
        <v>0</v>
      </c>
      <c r="K28" s="110"/>
      <c r="L28" s="110"/>
      <c r="M28" s="110"/>
    </row>
    <row r="29" spans="2:13" x14ac:dyDescent="0.2">
      <c r="B29" s="57" t="s">
        <v>631</v>
      </c>
      <c r="D29" s="68" t="s">
        <v>626</v>
      </c>
      <c r="E29" s="57" t="s">
        <v>624</v>
      </c>
      <c r="F29" s="102">
        <f>-ROUND(VLOOKUP(RIGHT(LEFT(B29,LEN(B29)-10),LEN(LEFT(B29,LEN(B29)-10))-20)+0,无限模式!$A$3:$B$22,2,FALSE)*3*0.075,0)</f>
        <v>-1823</v>
      </c>
      <c r="G29" s="57">
        <v>0</v>
      </c>
      <c r="H29" s="57">
        <v>0</v>
      </c>
      <c r="I29" s="57">
        <v>0</v>
      </c>
      <c r="J29" s="57">
        <v>0</v>
      </c>
      <c r="K29" s="110"/>
      <c r="L29" s="110"/>
      <c r="M29" s="110"/>
    </row>
    <row r="30" spans="2:13" x14ac:dyDescent="0.2">
      <c r="B30" s="57" t="s">
        <v>632</v>
      </c>
      <c r="D30" s="68" t="s">
        <v>626</v>
      </c>
      <c r="E30" s="57" t="s">
        <v>624</v>
      </c>
      <c r="F30" s="102">
        <f>-ROUND(VLOOKUP(RIGHT(LEFT(B30,LEN(B30)-10),LEN(LEFT(B30,LEN(B30)-10))-20)+0,无限模式!$A$3:$B$22,2,FALSE)*3*0.075,0)</f>
        <v>-2309</v>
      </c>
      <c r="G30" s="57">
        <v>0</v>
      </c>
      <c r="H30" s="57">
        <v>0</v>
      </c>
      <c r="I30" s="57">
        <v>0</v>
      </c>
      <c r="J30" s="57">
        <v>0</v>
      </c>
      <c r="K30" s="110"/>
      <c r="L30" s="110"/>
      <c r="M30" s="110"/>
    </row>
    <row r="31" spans="2:13" x14ac:dyDescent="0.2">
      <c r="B31" s="57" t="s">
        <v>633</v>
      </c>
      <c r="D31" s="68" t="s">
        <v>626</v>
      </c>
      <c r="E31" s="57" t="s">
        <v>624</v>
      </c>
      <c r="F31" s="102">
        <f>-ROUND(VLOOKUP(RIGHT(LEFT(B31,LEN(B31)-10),LEN(LEFT(B31,LEN(B31)-10))-20)+0,无限模式!$A$3:$B$22,2,FALSE)*3*0.075,0)</f>
        <v>-2430</v>
      </c>
      <c r="G31" s="57">
        <v>0</v>
      </c>
      <c r="H31" s="57">
        <v>0</v>
      </c>
      <c r="I31" s="57">
        <v>0</v>
      </c>
      <c r="J31" s="57">
        <v>0</v>
      </c>
      <c r="K31" s="110"/>
      <c r="L31" s="110"/>
      <c r="M31" s="110"/>
    </row>
    <row r="32" spans="2:13" x14ac:dyDescent="0.2">
      <c r="K32" s="110"/>
      <c r="L32" s="110"/>
      <c r="M32" s="110"/>
    </row>
    <row r="33" spans="2:13" x14ac:dyDescent="0.2">
      <c r="B33" s="94" t="s">
        <v>828</v>
      </c>
      <c r="C33" s="94"/>
      <c r="D33" s="94" t="s">
        <v>829</v>
      </c>
      <c r="E33" s="94" t="s">
        <v>624</v>
      </c>
      <c r="F33" s="102">
        <f>-ROUND(VLOOKUP(K33&amp;"_"&amp;L33,挑战模式!$A$3:$Z$27,4,FALSE)*M33,0)</f>
        <v>-108</v>
      </c>
      <c r="G33" s="94">
        <v>0</v>
      </c>
      <c r="H33" s="94">
        <v>0</v>
      </c>
      <c r="I33" s="94">
        <v>0</v>
      </c>
      <c r="J33" s="94">
        <v>0</v>
      </c>
      <c r="K33" s="110">
        <v>3</v>
      </c>
      <c r="L33" s="110">
        <v>1</v>
      </c>
      <c r="M33" s="110">
        <v>0.2</v>
      </c>
    </row>
    <row r="34" spans="2:13" x14ac:dyDescent="0.2">
      <c r="B34" s="94" t="s">
        <v>830</v>
      </c>
      <c r="C34" s="94"/>
      <c r="D34" s="94" t="s">
        <v>829</v>
      </c>
      <c r="E34" s="94" t="s">
        <v>624</v>
      </c>
      <c r="F34" s="102">
        <f>-ROUND(VLOOKUP(K34&amp;"_"&amp;L34,挑战模式!$A$3:$Z$27,4,FALSE)*M34,0)</f>
        <v>-216</v>
      </c>
      <c r="G34" s="94">
        <v>0</v>
      </c>
      <c r="H34" s="94">
        <v>0</v>
      </c>
      <c r="I34" s="94">
        <v>0</v>
      </c>
      <c r="J34" s="94">
        <v>0</v>
      </c>
      <c r="K34" s="110">
        <v>3</v>
      </c>
      <c r="L34" s="110">
        <v>2</v>
      </c>
      <c r="M34" s="110">
        <v>0.2</v>
      </c>
    </row>
    <row r="35" spans="2:13" x14ac:dyDescent="0.2">
      <c r="B35" s="94" t="s">
        <v>831</v>
      </c>
      <c r="C35" s="94"/>
      <c r="D35" s="94" t="s">
        <v>829</v>
      </c>
      <c r="E35" s="94" t="s">
        <v>624</v>
      </c>
      <c r="F35" s="102">
        <f>-ROUND(VLOOKUP(K35&amp;"_"&amp;L35,挑战模式!$A$3:$Z$27,4,FALSE)*M35,0)</f>
        <v>-162</v>
      </c>
      <c r="G35" s="94">
        <v>0</v>
      </c>
      <c r="H35" s="94">
        <v>0</v>
      </c>
      <c r="I35" s="94">
        <v>0</v>
      </c>
      <c r="J35" s="94">
        <v>0</v>
      </c>
      <c r="K35" s="110">
        <v>3</v>
      </c>
      <c r="L35" s="110">
        <v>3</v>
      </c>
      <c r="M35" s="110">
        <v>0.1</v>
      </c>
    </row>
    <row r="36" spans="2:13" x14ac:dyDescent="0.2">
      <c r="B36" s="94" t="s">
        <v>832</v>
      </c>
      <c r="C36" s="94"/>
      <c r="D36" s="94" t="s">
        <v>829</v>
      </c>
      <c r="E36" s="94" t="s">
        <v>624</v>
      </c>
      <c r="F36" s="102">
        <f>-ROUND(VLOOKUP(K36&amp;"_"&amp;L36,挑战模式!$A$3:$Z$27,4,FALSE)*M36,0)</f>
        <v>-216</v>
      </c>
      <c r="G36" s="94">
        <v>0</v>
      </c>
      <c r="H36" s="94">
        <v>0</v>
      </c>
      <c r="I36" s="94">
        <v>0</v>
      </c>
      <c r="J36" s="94">
        <v>0</v>
      </c>
      <c r="K36" s="110">
        <v>3</v>
      </c>
      <c r="L36" s="110">
        <v>4</v>
      </c>
      <c r="M36" s="110">
        <v>0.1</v>
      </c>
    </row>
    <row r="37" spans="2:13" x14ac:dyDescent="0.2">
      <c r="B37" s="94" t="s">
        <v>833</v>
      </c>
      <c r="C37" s="94"/>
      <c r="D37" s="94" t="s">
        <v>829</v>
      </c>
      <c r="E37" s="94" t="s">
        <v>624</v>
      </c>
      <c r="F37" s="102">
        <f>-ROUND(VLOOKUP(K37&amp;"_"&amp;L37,挑战模式!$A$3:$Z$27,4,FALSE)*M37,0)</f>
        <v>-270</v>
      </c>
      <c r="G37" s="94">
        <v>0</v>
      </c>
      <c r="H37" s="94">
        <v>0</v>
      </c>
      <c r="I37" s="94">
        <v>0</v>
      </c>
      <c r="J37" s="94">
        <v>0</v>
      </c>
      <c r="K37" s="110">
        <v>3</v>
      </c>
      <c r="L37" s="110">
        <v>5</v>
      </c>
      <c r="M37" s="110">
        <v>0.1</v>
      </c>
    </row>
    <row r="38" spans="2:13" x14ac:dyDescent="0.2">
      <c r="B38" s="94" t="s">
        <v>834</v>
      </c>
      <c r="C38" s="94"/>
      <c r="D38" s="94" t="s">
        <v>829</v>
      </c>
      <c r="E38" s="94" t="s">
        <v>624</v>
      </c>
      <c r="F38" s="102">
        <f>-ROUND(VLOOKUP(K38&amp;"_"&amp;L38,挑战模式!$A$3:$Z$27,4,FALSE)*M38,0)</f>
        <v>-540</v>
      </c>
      <c r="G38" s="94">
        <v>0</v>
      </c>
      <c r="H38" s="94">
        <v>0</v>
      </c>
      <c r="I38" s="94">
        <v>0</v>
      </c>
      <c r="J38" s="94">
        <v>0</v>
      </c>
      <c r="K38" s="110">
        <v>4</v>
      </c>
      <c r="L38" s="110">
        <v>5</v>
      </c>
      <c r="M38" s="110">
        <v>0.2</v>
      </c>
    </row>
    <row r="39" spans="2:13" x14ac:dyDescent="0.2">
      <c r="B39" s="94" t="s">
        <v>835</v>
      </c>
      <c r="C39" s="94"/>
      <c r="D39" s="94" t="s">
        <v>829</v>
      </c>
      <c r="E39" s="94" t="s">
        <v>624</v>
      </c>
      <c r="F39" s="102">
        <f>-ROUND(VLOOKUP(K39&amp;"_"&amp;L39,挑战模式!$A$3:$Z$27,4,FALSE)*M39,0)</f>
        <v>-540</v>
      </c>
      <c r="G39" s="94">
        <v>0</v>
      </c>
      <c r="H39" s="94">
        <v>0</v>
      </c>
      <c r="I39" s="94">
        <v>0</v>
      </c>
      <c r="J39" s="94">
        <v>0</v>
      </c>
      <c r="K39" s="110">
        <v>5</v>
      </c>
      <c r="L39" s="110">
        <v>5</v>
      </c>
      <c r="M39" s="110">
        <v>0.2</v>
      </c>
    </row>
  </sheetData>
  <mergeCells count="2">
    <mergeCell ref="E1:J1"/>
    <mergeCell ref="E3:J3"/>
  </mergeCells>
  <phoneticPr fontId="4" type="noConversion"/>
  <conditionalFormatting sqref="B14:B16">
    <cfRule type="duplicateValues" dxfId="3" priority="1"/>
  </conditionalFormatting>
  <conditionalFormatting sqref="B17:B19">
    <cfRule type="duplicateValues" dxfId="2" priority="2"/>
  </conditionalFormatting>
  <conditionalFormatting sqref="B24:B32">
    <cfRule type="duplicateValues" dxfId="1" priority="4"/>
  </conditionalFormatting>
  <conditionalFormatting sqref="B33:B39">
    <cfRule type="duplicateValues" dxfId="0" priority="3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9956-3830-4D5A-AE1E-B085976BE059}">
  <dimension ref="A1:T50"/>
  <sheetViews>
    <sheetView topLeftCell="A15" workbookViewId="0">
      <selection activeCell="M6" sqref="M6:P50"/>
    </sheetView>
  </sheetViews>
  <sheetFormatPr defaultRowHeight="14.25" x14ac:dyDescent="0.2"/>
  <sheetData>
    <row r="1" spans="1:19" x14ac:dyDescent="0.2">
      <c r="A1" s="48" t="s">
        <v>67</v>
      </c>
      <c r="B1" s="48"/>
      <c r="C1" s="48"/>
      <c r="D1" s="48" t="s">
        <v>154</v>
      </c>
      <c r="E1" s="48" t="s">
        <v>255</v>
      </c>
      <c r="F1" s="72" t="s">
        <v>256</v>
      </c>
      <c r="G1" s="72" t="s">
        <v>257</v>
      </c>
      <c r="H1" s="48" t="s">
        <v>258</v>
      </c>
      <c r="I1" s="48" t="s">
        <v>259</v>
      </c>
      <c r="J1" s="48" t="s">
        <v>260</v>
      </c>
      <c r="K1" s="48" t="s">
        <v>261</v>
      </c>
      <c r="L1" s="48" t="s">
        <v>181</v>
      </c>
      <c r="M1" s="48" t="s">
        <v>262</v>
      </c>
      <c r="N1" s="48" t="s">
        <v>263</v>
      </c>
      <c r="O1" s="48" t="s">
        <v>264</v>
      </c>
      <c r="P1" s="48" t="s">
        <v>265</v>
      </c>
      <c r="Q1" s="48" t="s">
        <v>266</v>
      </c>
      <c r="R1" s="48" t="s">
        <v>267</v>
      </c>
      <c r="S1" s="48" t="s">
        <v>268</v>
      </c>
    </row>
    <row r="2" spans="1:19" x14ac:dyDescent="0.2">
      <c r="A2" s="48" t="s">
        <v>67</v>
      </c>
      <c r="B2" s="48"/>
      <c r="C2" s="48"/>
      <c r="D2" s="48"/>
      <c r="E2" s="48"/>
      <c r="F2" s="72"/>
      <c r="G2" s="72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</row>
    <row r="3" spans="1:19" x14ac:dyDescent="0.2">
      <c r="A3" s="49" t="s">
        <v>71</v>
      </c>
      <c r="B3" s="49"/>
      <c r="C3" s="49"/>
      <c r="D3" s="49" t="s">
        <v>269</v>
      </c>
      <c r="E3" s="49" t="s">
        <v>270</v>
      </c>
      <c r="F3" s="73" t="s">
        <v>271</v>
      </c>
      <c r="G3" s="73" t="s">
        <v>272</v>
      </c>
      <c r="H3" s="49" t="s">
        <v>74</v>
      </c>
      <c r="I3" s="49" t="s">
        <v>273</v>
      </c>
      <c r="J3" s="49" t="s">
        <v>274</v>
      </c>
      <c r="K3" s="49" t="s">
        <v>275</v>
      </c>
      <c r="L3" s="49" t="s">
        <v>275</v>
      </c>
      <c r="M3" s="49" t="s">
        <v>73</v>
      </c>
      <c r="N3" s="49" t="s">
        <v>275</v>
      </c>
      <c r="O3" s="49" t="s">
        <v>73</v>
      </c>
      <c r="P3" s="49" t="s">
        <v>73</v>
      </c>
      <c r="Q3" s="49" t="s">
        <v>276</v>
      </c>
      <c r="R3" s="49" t="s">
        <v>73</v>
      </c>
      <c r="S3" s="74" t="s">
        <v>277</v>
      </c>
    </row>
    <row r="4" spans="1:19" x14ac:dyDescent="0.2">
      <c r="A4" s="49" t="s">
        <v>75</v>
      </c>
      <c r="B4" s="49"/>
      <c r="C4" s="49"/>
      <c r="D4" s="49"/>
      <c r="E4" s="49"/>
      <c r="F4" s="73"/>
      <c r="G4" s="73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</row>
    <row r="5" spans="1:19" x14ac:dyDescent="0.2">
      <c r="A5" s="75" t="s">
        <v>77</v>
      </c>
      <c r="B5" s="75"/>
      <c r="C5" s="75"/>
      <c r="D5" s="75" t="s">
        <v>104</v>
      </c>
      <c r="E5" s="75" t="s">
        <v>278</v>
      </c>
      <c r="F5" s="75" t="s">
        <v>279</v>
      </c>
      <c r="G5" s="75" t="s">
        <v>280</v>
      </c>
      <c r="H5" s="75" t="s">
        <v>281</v>
      </c>
      <c r="I5" s="75" t="s">
        <v>282</v>
      </c>
      <c r="J5" s="75" t="s">
        <v>260</v>
      </c>
      <c r="K5" s="75" t="s">
        <v>283</v>
      </c>
      <c r="L5" s="75" t="s">
        <v>284</v>
      </c>
      <c r="M5" s="75" t="s">
        <v>285</v>
      </c>
      <c r="N5" s="75" t="s">
        <v>286</v>
      </c>
      <c r="O5" s="75" t="s">
        <v>287</v>
      </c>
      <c r="P5" s="75" t="s">
        <v>288</v>
      </c>
      <c r="Q5" s="75" t="s">
        <v>289</v>
      </c>
      <c r="R5" s="75" t="s">
        <v>290</v>
      </c>
      <c r="S5" s="75" t="s">
        <v>268</v>
      </c>
    </row>
    <row r="6" spans="1:19" x14ac:dyDescent="0.2">
      <c r="A6" s="76"/>
      <c r="B6" s="54" t="s">
        <v>33</v>
      </c>
      <c r="C6">
        <v>1</v>
      </c>
      <c r="D6" s="76" t="s">
        <v>292</v>
      </c>
      <c r="E6" s="76" t="s">
        <v>293</v>
      </c>
      <c r="F6" s="77" t="s">
        <v>294</v>
      </c>
      <c r="G6" s="77" t="s">
        <v>291</v>
      </c>
      <c r="H6" s="78"/>
      <c r="I6" s="76"/>
      <c r="J6" s="76" t="s">
        <v>295</v>
      </c>
      <c r="K6" s="76">
        <v>1</v>
      </c>
      <c r="L6" s="76">
        <v>1</v>
      </c>
      <c r="M6" s="55">
        <f>VLOOKUP(B6,防御塔!$A$2:$N$17,2,FALSE)*3^(C6-1)</f>
        <v>100</v>
      </c>
      <c r="N6" s="76"/>
      <c r="O6" s="76">
        <v>0</v>
      </c>
      <c r="P6" s="55">
        <f t="shared" ref="P6:P50" si="0">INT(M6*0.8)</f>
        <v>80</v>
      </c>
      <c r="Q6" s="76" t="s">
        <v>296</v>
      </c>
      <c r="R6" s="76">
        <v>3</v>
      </c>
      <c r="S6" s="76" t="s">
        <v>297</v>
      </c>
    </row>
    <row r="7" spans="1:19" x14ac:dyDescent="0.2">
      <c r="A7" s="76"/>
      <c r="B7" s="54" t="s">
        <v>33</v>
      </c>
      <c r="C7">
        <v>2</v>
      </c>
      <c r="D7" s="76" t="s">
        <v>296</v>
      </c>
      <c r="E7" s="76" t="s">
        <v>293</v>
      </c>
      <c r="F7" s="77" t="s">
        <v>294</v>
      </c>
      <c r="G7" s="77" t="s">
        <v>298</v>
      </c>
      <c r="H7" s="76"/>
      <c r="I7" s="76"/>
      <c r="J7" s="76" t="s">
        <v>299</v>
      </c>
      <c r="K7" s="76">
        <v>1</v>
      </c>
      <c r="L7" s="76">
        <v>2</v>
      </c>
      <c r="M7" s="55">
        <f>VLOOKUP(B7,防御塔!$A$2:$N$17,2,FALSE)*3^(C7-1)</f>
        <v>300</v>
      </c>
      <c r="N7" s="76"/>
      <c r="O7" s="76">
        <v>0</v>
      </c>
      <c r="P7" s="55">
        <f t="shared" si="0"/>
        <v>240</v>
      </c>
      <c r="Q7" s="76" t="s">
        <v>300</v>
      </c>
      <c r="R7" s="76">
        <v>3</v>
      </c>
      <c r="S7" s="76" t="s">
        <v>297</v>
      </c>
    </row>
    <row r="8" spans="1:19" x14ac:dyDescent="0.2">
      <c r="A8" s="76"/>
      <c r="B8" s="54" t="s">
        <v>33</v>
      </c>
      <c r="C8">
        <v>3</v>
      </c>
      <c r="D8" s="76" t="s">
        <v>300</v>
      </c>
      <c r="E8" s="76" t="s">
        <v>293</v>
      </c>
      <c r="F8" s="77" t="s">
        <v>294</v>
      </c>
      <c r="G8" s="77" t="s">
        <v>301</v>
      </c>
      <c r="H8" s="76"/>
      <c r="I8" s="76"/>
      <c r="J8" s="76" t="s">
        <v>302</v>
      </c>
      <c r="K8" s="76">
        <v>1</v>
      </c>
      <c r="L8" s="76">
        <v>3</v>
      </c>
      <c r="M8" s="55">
        <f>VLOOKUP(B8,防御塔!$A$2:$N$17,2,FALSE)*3^(C8-1)</f>
        <v>900</v>
      </c>
      <c r="N8" s="76"/>
      <c r="O8" s="76">
        <v>0</v>
      </c>
      <c r="P8" s="55">
        <f t="shared" si="0"/>
        <v>720</v>
      </c>
      <c r="Q8" s="76"/>
      <c r="R8" s="76"/>
      <c r="S8" s="76" t="s">
        <v>297</v>
      </c>
    </row>
    <row r="9" spans="1:19" x14ac:dyDescent="0.2">
      <c r="A9" s="76"/>
      <c r="B9" s="54" t="s">
        <v>34</v>
      </c>
      <c r="C9">
        <v>1</v>
      </c>
      <c r="D9" s="76" t="s">
        <v>303</v>
      </c>
      <c r="E9" s="76" t="s">
        <v>293</v>
      </c>
      <c r="F9" s="76" t="s">
        <v>304</v>
      </c>
      <c r="G9" s="76" t="s">
        <v>291</v>
      </c>
      <c r="H9" s="76"/>
      <c r="I9" s="76"/>
      <c r="J9" s="76" t="s">
        <v>305</v>
      </c>
      <c r="K9" s="76">
        <v>1</v>
      </c>
      <c r="L9" s="76">
        <v>1</v>
      </c>
      <c r="M9" s="55">
        <f>VLOOKUP(B9,防御塔!$A$2:$N$17,2,FALSE)*3^(C9-1)</f>
        <v>100</v>
      </c>
      <c r="N9" s="76"/>
      <c r="O9" s="76">
        <v>0</v>
      </c>
      <c r="P9" s="55">
        <f t="shared" si="0"/>
        <v>80</v>
      </c>
      <c r="Q9" s="76" t="s">
        <v>306</v>
      </c>
      <c r="R9" s="76">
        <v>3</v>
      </c>
      <c r="S9" s="76" t="s">
        <v>297</v>
      </c>
    </row>
    <row r="10" spans="1:19" x14ac:dyDescent="0.2">
      <c r="A10" s="76"/>
      <c r="B10" s="54" t="s">
        <v>34</v>
      </c>
      <c r="C10">
        <v>2</v>
      </c>
      <c r="D10" s="76" t="s">
        <v>306</v>
      </c>
      <c r="E10" s="76" t="s">
        <v>293</v>
      </c>
      <c r="F10" s="76" t="s">
        <v>304</v>
      </c>
      <c r="G10" s="76" t="s">
        <v>298</v>
      </c>
      <c r="H10" s="76"/>
      <c r="I10" s="76"/>
      <c r="J10" s="76" t="s">
        <v>307</v>
      </c>
      <c r="K10" s="76">
        <v>1</v>
      </c>
      <c r="L10" s="76">
        <v>2</v>
      </c>
      <c r="M10" s="55">
        <f>VLOOKUP(B10,防御塔!$A$2:$N$17,2,FALSE)*3^(C10-1)</f>
        <v>300</v>
      </c>
      <c r="N10" s="76"/>
      <c r="O10" s="76">
        <v>0</v>
      </c>
      <c r="P10" s="55">
        <f t="shared" si="0"/>
        <v>240</v>
      </c>
      <c r="Q10" s="76" t="s">
        <v>308</v>
      </c>
      <c r="R10" s="76">
        <v>3</v>
      </c>
      <c r="S10" s="76" t="s">
        <v>297</v>
      </c>
    </row>
    <row r="11" spans="1:19" x14ac:dyDescent="0.2">
      <c r="A11" s="76"/>
      <c r="B11" s="54" t="s">
        <v>34</v>
      </c>
      <c r="C11">
        <v>3</v>
      </c>
      <c r="D11" s="76" t="s">
        <v>308</v>
      </c>
      <c r="E11" s="76" t="s">
        <v>293</v>
      </c>
      <c r="F11" s="76" t="s">
        <v>304</v>
      </c>
      <c r="G11" s="76" t="s">
        <v>301</v>
      </c>
      <c r="H11" s="76"/>
      <c r="I11" s="76"/>
      <c r="J11" s="76" t="s">
        <v>309</v>
      </c>
      <c r="K11" s="76">
        <v>1</v>
      </c>
      <c r="L11" s="76">
        <v>3</v>
      </c>
      <c r="M11" s="55">
        <f>VLOOKUP(B11,防御塔!$A$2:$N$17,2,FALSE)*3^(C11-1)</f>
        <v>900</v>
      </c>
      <c r="N11" s="76"/>
      <c r="O11" s="76">
        <v>0</v>
      </c>
      <c r="P11" s="55">
        <f t="shared" si="0"/>
        <v>720</v>
      </c>
      <c r="Q11" s="76"/>
      <c r="R11" s="76"/>
      <c r="S11" s="76" t="s">
        <v>297</v>
      </c>
    </row>
    <row r="12" spans="1:19" x14ac:dyDescent="0.2">
      <c r="A12" s="76"/>
      <c r="B12" s="54" t="s">
        <v>35</v>
      </c>
      <c r="C12">
        <v>1</v>
      </c>
      <c r="D12" s="76" t="s">
        <v>310</v>
      </c>
      <c r="E12" s="76" t="s">
        <v>293</v>
      </c>
      <c r="F12" s="77" t="s">
        <v>311</v>
      </c>
      <c r="G12" s="77" t="s">
        <v>291</v>
      </c>
      <c r="H12" s="76"/>
      <c r="I12" s="76"/>
      <c r="J12" s="76" t="s">
        <v>312</v>
      </c>
      <c r="K12" s="76">
        <v>1</v>
      </c>
      <c r="L12" s="76">
        <v>1</v>
      </c>
      <c r="M12" s="55">
        <f>VLOOKUP(B12,防御塔!$A$2:$N$17,2,FALSE)*3^(C12-1)</f>
        <v>100</v>
      </c>
      <c r="N12" s="76"/>
      <c r="O12" s="76">
        <v>0</v>
      </c>
      <c r="P12" s="55">
        <f t="shared" si="0"/>
        <v>80</v>
      </c>
      <c r="Q12" s="76" t="s">
        <v>313</v>
      </c>
      <c r="R12" s="76">
        <v>3</v>
      </c>
      <c r="S12" s="76" t="s">
        <v>297</v>
      </c>
    </row>
    <row r="13" spans="1:19" x14ac:dyDescent="0.2">
      <c r="A13" s="76"/>
      <c r="B13" s="54" t="s">
        <v>35</v>
      </c>
      <c r="C13">
        <v>2</v>
      </c>
      <c r="D13" s="76" t="s">
        <v>313</v>
      </c>
      <c r="E13" s="76" t="s">
        <v>293</v>
      </c>
      <c r="F13" s="77" t="s">
        <v>311</v>
      </c>
      <c r="G13" s="77" t="s">
        <v>298</v>
      </c>
      <c r="H13" s="76"/>
      <c r="I13" s="76"/>
      <c r="J13" s="76" t="s">
        <v>314</v>
      </c>
      <c r="K13" s="76">
        <v>1</v>
      </c>
      <c r="L13" s="76">
        <v>2</v>
      </c>
      <c r="M13" s="55">
        <f>VLOOKUP(B13,防御塔!$A$2:$N$17,2,FALSE)*3^(C13-1)</f>
        <v>300</v>
      </c>
      <c r="N13" s="76"/>
      <c r="O13" s="76">
        <v>0</v>
      </c>
      <c r="P13" s="55">
        <f t="shared" si="0"/>
        <v>240</v>
      </c>
      <c r="Q13" s="76" t="s">
        <v>315</v>
      </c>
      <c r="R13" s="76">
        <v>3</v>
      </c>
      <c r="S13" s="76" t="s">
        <v>297</v>
      </c>
    </row>
    <row r="14" spans="1:19" x14ac:dyDescent="0.2">
      <c r="A14" s="76"/>
      <c r="B14" s="54" t="s">
        <v>35</v>
      </c>
      <c r="C14">
        <v>3</v>
      </c>
      <c r="D14" s="76" t="s">
        <v>315</v>
      </c>
      <c r="E14" s="76" t="s">
        <v>293</v>
      </c>
      <c r="F14" s="77" t="s">
        <v>311</v>
      </c>
      <c r="G14" s="77" t="s">
        <v>301</v>
      </c>
      <c r="H14" s="76"/>
      <c r="I14" s="76"/>
      <c r="J14" s="76" t="s">
        <v>316</v>
      </c>
      <c r="K14" s="76">
        <v>1</v>
      </c>
      <c r="L14" s="76">
        <v>3</v>
      </c>
      <c r="M14" s="55">
        <f>VLOOKUP(B14,防御塔!$A$2:$N$17,2,FALSE)*3^(C14-1)</f>
        <v>900</v>
      </c>
      <c r="N14" s="76"/>
      <c r="O14" s="76">
        <v>0</v>
      </c>
      <c r="P14" s="55">
        <f t="shared" si="0"/>
        <v>720</v>
      </c>
      <c r="Q14" s="76"/>
      <c r="R14" s="76"/>
      <c r="S14" s="76" t="s">
        <v>297</v>
      </c>
    </row>
    <row r="15" spans="1:19" x14ac:dyDescent="0.2">
      <c r="A15" s="76"/>
      <c r="B15" s="54" t="s">
        <v>36</v>
      </c>
      <c r="C15">
        <v>1</v>
      </c>
      <c r="D15" s="76" t="s">
        <v>317</v>
      </c>
      <c r="E15" s="76" t="s">
        <v>293</v>
      </c>
      <c r="F15" s="76" t="s">
        <v>304</v>
      </c>
      <c r="G15" s="76" t="s">
        <v>291</v>
      </c>
      <c r="H15" s="76"/>
      <c r="I15" s="76"/>
      <c r="J15" s="76" t="s">
        <v>318</v>
      </c>
      <c r="K15" s="76">
        <v>1</v>
      </c>
      <c r="L15" s="76">
        <v>1</v>
      </c>
      <c r="M15" s="55">
        <f>VLOOKUP(B15,防御塔!$A$2:$N$17,2,FALSE)*3^(C15-1)</f>
        <v>200</v>
      </c>
      <c r="N15" s="76"/>
      <c r="O15" s="76">
        <v>0</v>
      </c>
      <c r="P15" s="55">
        <f t="shared" si="0"/>
        <v>160</v>
      </c>
      <c r="Q15" s="76" t="s">
        <v>319</v>
      </c>
      <c r="R15" s="76">
        <v>3</v>
      </c>
      <c r="S15" s="76" t="s">
        <v>297</v>
      </c>
    </row>
    <row r="16" spans="1:19" x14ac:dyDescent="0.2">
      <c r="A16" s="76"/>
      <c r="B16" s="54" t="s">
        <v>36</v>
      </c>
      <c r="C16">
        <v>2</v>
      </c>
      <c r="D16" s="76" t="s">
        <v>319</v>
      </c>
      <c r="E16" s="76" t="s">
        <v>293</v>
      </c>
      <c r="F16" s="76" t="s">
        <v>304</v>
      </c>
      <c r="G16" s="76" t="s">
        <v>298</v>
      </c>
      <c r="H16" s="76"/>
      <c r="I16" s="76"/>
      <c r="J16" s="76" t="s">
        <v>320</v>
      </c>
      <c r="K16" s="76">
        <v>1</v>
      </c>
      <c r="L16" s="76">
        <v>2</v>
      </c>
      <c r="M16" s="55">
        <f>VLOOKUP(B16,防御塔!$A$2:$N$17,2,FALSE)*3^(C16-1)</f>
        <v>600</v>
      </c>
      <c r="N16" s="76"/>
      <c r="O16" s="76">
        <v>0</v>
      </c>
      <c r="P16" s="55">
        <f t="shared" si="0"/>
        <v>480</v>
      </c>
      <c r="Q16" s="76" t="s">
        <v>321</v>
      </c>
      <c r="R16" s="76">
        <v>3</v>
      </c>
      <c r="S16" s="76" t="s">
        <v>297</v>
      </c>
    </row>
    <row r="17" spans="1:20" x14ac:dyDescent="0.2">
      <c r="A17" s="76"/>
      <c r="B17" s="54" t="s">
        <v>36</v>
      </c>
      <c r="C17">
        <v>3</v>
      </c>
      <c r="D17" s="76" t="s">
        <v>321</v>
      </c>
      <c r="E17" s="76" t="s">
        <v>293</v>
      </c>
      <c r="F17" s="76" t="s">
        <v>304</v>
      </c>
      <c r="G17" s="76" t="s">
        <v>301</v>
      </c>
      <c r="H17" s="76"/>
      <c r="I17" s="76"/>
      <c r="J17" s="76" t="s">
        <v>322</v>
      </c>
      <c r="K17" s="76">
        <v>1</v>
      </c>
      <c r="L17" s="76">
        <v>3</v>
      </c>
      <c r="M17" s="55">
        <f>VLOOKUP(B17,防御塔!$A$2:$N$17,2,FALSE)*3^(C17-1)</f>
        <v>1800</v>
      </c>
      <c r="N17" s="76"/>
      <c r="O17" s="76">
        <v>0</v>
      </c>
      <c r="P17" s="55">
        <f t="shared" si="0"/>
        <v>1440</v>
      </c>
      <c r="Q17" s="76"/>
      <c r="R17" s="76"/>
      <c r="S17" s="76" t="s">
        <v>297</v>
      </c>
    </row>
    <row r="18" spans="1:20" x14ac:dyDescent="0.2">
      <c r="A18" s="76"/>
      <c r="B18" s="54" t="s">
        <v>37</v>
      </c>
      <c r="C18">
        <v>1</v>
      </c>
      <c r="D18" s="76" t="s">
        <v>323</v>
      </c>
      <c r="E18" s="76" t="s">
        <v>293</v>
      </c>
      <c r="F18" s="77" t="s">
        <v>294</v>
      </c>
      <c r="G18" s="77" t="s">
        <v>291</v>
      </c>
      <c r="H18" s="76"/>
      <c r="I18" s="76"/>
      <c r="J18" s="76" t="s">
        <v>324</v>
      </c>
      <c r="K18" s="76">
        <v>1</v>
      </c>
      <c r="L18" s="76">
        <v>1</v>
      </c>
      <c r="M18" s="55">
        <f>VLOOKUP(B18,防御塔!$A$2:$N$17,2,FALSE)*3^(C18-1)</f>
        <v>300</v>
      </c>
      <c r="N18" s="76"/>
      <c r="O18" s="76">
        <v>0</v>
      </c>
      <c r="P18" s="55">
        <f t="shared" si="0"/>
        <v>240</v>
      </c>
      <c r="Q18" s="76" t="s">
        <v>325</v>
      </c>
      <c r="R18" s="76">
        <v>3</v>
      </c>
      <c r="S18" s="76" t="s">
        <v>297</v>
      </c>
    </row>
    <row r="19" spans="1:20" x14ac:dyDescent="0.2">
      <c r="A19" s="76"/>
      <c r="B19" s="54" t="s">
        <v>37</v>
      </c>
      <c r="C19">
        <v>2</v>
      </c>
      <c r="D19" s="76" t="s">
        <v>325</v>
      </c>
      <c r="E19" s="76" t="s">
        <v>293</v>
      </c>
      <c r="F19" s="77" t="s">
        <v>294</v>
      </c>
      <c r="G19" s="77" t="s">
        <v>298</v>
      </c>
      <c r="H19" s="76"/>
      <c r="I19" s="76"/>
      <c r="J19" s="76" t="s">
        <v>326</v>
      </c>
      <c r="K19" s="76">
        <v>1</v>
      </c>
      <c r="L19" s="76">
        <v>2</v>
      </c>
      <c r="M19" s="55">
        <f>VLOOKUP(B19,防御塔!$A$2:$N$17,2,FALSE)*3^(C19-1)</f>
        <v>900</v>
      </c>
      <c r="N19" s="76"/>
      <c r="O19" s="76">
        <v>0</v>
      </c>
      <c r="P19" s="55">
        <f t="shared" si="0"/>
        <v>720</v>
      </c>
      <c r="Q19" s="76" t="s">
        <v>327</v>
      </c>
      <c r="R19" s="76">
        <v>3</v>
      </c>
      <c r="S19" s="76" t="s">
        <v>297</v>
      </c>
    </row>
    <row r="20" spans="1:20" x14ac:dyDescent="0.2">
      <c r="A20" s="76"/>
      <c r="B20" s="54" t="s">
        <v>37</v>
      </c>
      <c r="C20">
        <v>3</v>
      </c>
      <c r="D20" s="76" t="s">
        <v>327</v>
      </c>
      <c r="E20" s="76" t="s">
        <v>293</v>
      </c>
      <c r="F20" s="77" t="s">
        <v>294</v>
      </c>
      <c r="G20" s="77" t="s">
        <v>301</v>
      </c>
      <c r="H20" s="76"/>
      <c r="I20" s="76"/>
      <c r="J20" s="76" t="s">
        <v>328</v>
      </c>
      <c r="K20" s="76">
        <v>1</v>
      </c>
      <c r="L20" s="76">
        <v>3</v>
      </c>
      <c r="M20" s="55">
        <f>VLOOKUP(B20,防御塔!$A$2:$N$17,2,FALSE)*3^(C20-1)</f>
        <v>2700</v>
      </c>
      <c r="N20" s="76"/>
      <c r="O20" s="76">
        <v>0</v>
      </c>
      <c r="P20" s="55">
        <f t="shared" si="0"/>
        <v>2160</v>
      </c>
      <c r="Q20" s="76"/>
      <c r="R20" s="76"/>
      <c r="S20" s="76" t="s">
        <v>297</v>
      </c>
    </row>
    <row r="21" spans="1:20" x14ac:dyDescent="0.2">
      <c r="A21" s="76"/>
      <c r="B21" s="54" t="s">
        <v>38</v>
      </c>
      <c r="C21">
        <v>1</v>
      </c>
      <c r="D21" s="76" t="s">
        <v>329</v>
      </c>
      <c r="E21" s="76" t="s">
        <v>293</v>
      </c>
      <c r="F21" s="77" t="s">
        <v>294</v>
      </c>
      <c r="G21" s="77" t="s">
        <v>291</v>
      </c>
      <c r="H21" s="76"/>
      <c r="I21" s="76"/>
      <c r="J21" s="76" t="s">
        <v>330</v>
      </c>
      <c r="K21" s="76">
        <v>1</v>
      </c>
      <c r="L21" s="76">
        <v>1</v>
      </c>
      <c r="M21" s="55">
        <f>VLOOKUP(B21,防御塔!$A$2:$N$17,2,FALSE)*3^(C21-1)</f>
        <v>200</v>
      </c>
      <c r="N21" s="76"/>
      <c r="O21" s="76">
        <v>0</v>
      </c>
      <c r="P21" s="55">
        <f t="shared" si="0"/>
        <v>160</v>
      </c>
      <c r="Q21" s="76" t="s">
        <v>331</v>
      </c>
      <c r="R21" s="76">
        <v>3</v>
      </c>
      <c r="S21" s="76" t="s">
        <v>297</v>
      </c>
    </row>
    <row r="22" spans="1:20" x14ac:dyDescent="0.2">
      <c r="A22" s="76"/>
      <c r="B22" s="54" t="s">
        <v>38</v>
      </c>
      <c r="C22">
        <v>2</v>
      </c>
      <c r="D22" s="76" t="s">
        <v>331</v>
      </c>
      <c r="E22" s="76" t="s">
        <v>293</v>
      </c>
      <c r="F22" s="77" t="s">
        <v>294</v>
      </c>
      <c r="G22" s="77" t="s">
        <v>298</v>
      </c>
      <c r="H22" s="76"/>
      <c r="I22" s="76"/>
      <c r="J22" s="76" t="s">
        <v>332</v>
      </c>
      <c r="K22" s="76">
        <v>1</v>
      </c>
      <c r="L22" s="76">
        <v>2</v>
      </c>
      <c r="M22" s="55">
        <f>VLOOKUP(B22,防御塔!$A$2:$N$17,2,FALSE)*3^(C22-1)</f>
        <v>600</v>
      </c>
      <c r="N22" s="76"/>
      <c r="O22" s="76">
        <v>0</v>
      </c>
      <c r="P22" s="55">
        <f t="shared" si="0"/>
        <v>480</v>
      </c>
      <c r="Q22" s="76" t="s">
        <v>333</v>
      </c>
      <c r="R22" s="76">
        <v>3</v>
      </c>
      <c r="S22" s="76" t="s">
        <v>297</v>
      </c>
    </row>
    <row r="23" spans="1:20" x14ac:dyDescent="0.2">
      <c r="A23" s="76"/>
      <c r="B23" s="54" t="s">
        <v>38</v>
      </c>
      <c r="C23">
        <v>3</v>
      </c>
      <c r="D23" s="76" t="s">
        <v>333</v>
      </c>
      <c r="E23" s="76" t="s">
        <v>293</v>
      </c>
      <c r="F23" s="77" t="s">
        <v>294</v>
      </c>
      <c r="G23" s="77" t="s">
        <v>301</v>
      </c>
      <c r="H23" s="76"/>
      <c r="I23" s="76"/>
      <c r="J23" s="76" t="s">
        <v>334</v>
      </c>
      <c r="K23" s="76">
        <v>1</v>
      </c>
      <c r="L23" s="76">
        <v>3</v>
      </c>
      <c r="M23" s="55">
        <f>VLOOKUP(B23,防御塔!$A$2:$N$17,2,FALSE)*3^(C23-1)</f>
        <v>1800</v>
      </c>
      <c r="N23" s="76"/>
      <c r="O23" s="76">
        <v>0</v>
      </c>
      <c r="P23" s="55">
        <f t="shared" si="0"/>
        <v>1440</v>
      </c>
      <c r="Q23" s="76"/>
      <c r="R23" s="76"/>
      <c r="S23" s="76" t="s">
        <v>297</v>
      </c>
    </row>
    <row r="24" spans="1:20" x14ac:dyDescent="0.2">
      <c r="A24" s="76"/>
      <c r="B24" s="54" t="s">
        <v>39</v>
      </c>
      <c r="C24">
        <v>1</v>
      </c>
      <c r="D24" s="76" t="s">
        <v>335</v>
      </c>
      <c r="E24" s="76" t="s">
        <v>293</v>
      </c>
      <c r="F24" s="77" t="s">
        <v>336</v>
      </c>
      <c r="G24" s="77" t="s">
        <v>291</v>
      </c>
      <c r="H24" s="76"/>
      <c r="I24" s="76"/>
      <c r="J24" s="76" t="s">
        <v>337</v>
      </c>
      <c r="K24" s="76">
        <v>1</v>
      </c>
      <c r="L24" s="76">
        <v>1</v>
      </c>
      <c r="M24" s="55">
        <f>VLOOKUP(B24,防御塔!$A$2:$N$17,2,FALSE)*3^(C24-1)</f>
        <v>100</v>
      </c>
      <c r="N24" s="76"/>
      <c r="O24" s="76">
        <v>0</v>
      </c>
      <c r="P24" s="55">
        <f t="shared" si="0"/>
        <v>80</v>
      </c>
      <c r="Q24" s="76" t="s">
        <v>338</v>
      </c>
      <c r="R24" s="76">
        <v>3</v>
      </c>
      <c r="S24" s="76" t="s">
        <v>297</v>
      </c>
    </row>
    <row r="25" spans="1:20" x14ac:dyDescent="0.2">
      <c r="A25" s="76"/>
      <c r="B25" s="54" t="s">
        <v>39</v>
      </c>
      <c r="C25">
        <v>2</v>
      </c>
      <c r="D25" s="76" t="s">
        <v>338</v>
      </c>
      <c r="E25" s="76" t="s">
        <v>293</v>
      </c>
      <c r="F25" s="77" t="s">
        <v>336</v>
      </c>
      <c r="G25" s="77" t="s">
        <v>298</v>
      </c>
      <c r="H25" s="76"/>
      <c r="I25" s="76"/>
      <c r="J25" s="76" t="s">
        <v>339</v>
      </c>
      <c r="K25" s="76">
        <v>1</v>
      </c>
      <c r="L25" s="76">
        <v>2</v>
      </c>
      <c r="M25" s="55">
        <f>VLOOKUP(B25,防御塔!$A$2:$N$17,2,FALSE)*3^(C25-1)</f>
        <v>300</v>
      </c>
      <c r="N25" s="76"/>
      <c r="O25" s="76">
        <v>0</v>
      </c>
      <c r="P25" s="55">
        <f t="shared" si="0"/>
        <v>240</v>
      </c>
      <c r="Q25" s="76" t="s">
        <v>340</v>
      </c>
      <c r="R25" s="76">
        <v>3</v>
      </c>
      <c r="S25" s="76" t="s">
        <v>297</v>
      </c>
    </row>
    <row r="26" spans="1:20" x14ac:dyDescent="0.2">
      <c r="A26" s="76"/>
      <c r="B26" s="54" t="s">
        <v>39</v>
      </c>
      <c r="C26">
        <v>3</v>
      </c>
      <c r="D26" s="76" t="s">
        <v>340</v>
      </c>
      <c r="E26" s="76" t="s">
        <v>293</v>
      </c>
      <c r="F26" s="77" t="s">
        <v>336</v>
      </c>
      <c r="G26" s="77" t="s">
        <v>301</v>
      </c>
      <c r="H26" s="76"/>
      <c r="I26" s="76"/>
      <c r="J26" s="76" t="s">
        <v>341</v>
      </c>
      <c r="K26" s="76">
        <v>1</v>
      </c>
      <c r="L26" s="76">
        <v>3</v>
      </c>
      <c r="M26" s="55">
        <f>VLOOKUP(B26,防御塔!$A$2:$N$17,2,FALSE)*3^(C26-1)</f>
        <v>900</v>
      </c>
      <c r="N26" s="76"/>
      <c r="O26" s="76">
        <v>0</v>
      </c>
      <c r="P26" s="55">
        <f t="shared" si="0"/>
        <v>720</v>
      </c>
      <c r="Q26" s="76"/>
      <c r="R26" s="76"/>
      <c r="S26" s="76" t="s">
        <v>297</v>
      </c>
    </row>
    <row r="27" spans="1:20" x14ac:dyDescent="0.2">
      <c r="A27" s="76"/>
      <c r="B27" s="54" t="s">
        <v>40</v>
      </c>
      <c r="C27">
        <v>1</v>
      </c>
      <c r="D27" s="76" t="s">
        <v>342</v>
      </c>
      <c r="E27" s="76" t="s">
        <v>293</v>
      </c>
      <c r="F27" s="79" t="s">
        <v>343</v>
      </c>
      <c r="G27" s="47" t="s">
        <v>291</v>
      </c>
      <c r="H27" s="76"/>
      <c r="I27" s="76"/>
      <c r="J27" s="76" t="s">
        <v>344</v>
      </c>
      <c r="K27" s="76">
        <v>1</v>
      </c>
      <c r="L27" s="76">
        <v>1</v>
      </c>
      <c r="M27" s="55">
        <f>VLOOKUP(B27,防御塔!$A$2:$N$17,2,FALSE)*3^(C27-1)</f>
        <v>100</v>
      </c>
      <c r="N27" s="76"/>
      <c r="O27" s="76">
        <v>0</v>
      </c>
      <c r="P27" s="55">
        <f t="shared" si="0"/>
        <v>80</v>
      </c>
      <c r="Q27" s="76" t="s">
        <v>345</v>
      </c>
      <c r="R27" s="76">
        <v>3</v>
      </c>
      <c r="S27" s="76" t="s">
        <v>297</v>
      </c>
    </row>
    <row r="28" spans="1:20" x14ac:dyDescent="0.2">
      <c r="A28" s="76"/>
      <c r="B28" s="54" t="s">
        <v>40</v>
      </c>
      <c r="C28">
        <v>2</v>
      </c>
      <c r="D28" s="76" t="s">
        <v>345</v>
      </c>
      <c r="E28" s="76" t="s">
        <v>293</v>
      </c>
      <c r="F28" s="79" t="s">
        <v>343</v>
      </c>
      <c r="G28" s="47" t="s">
        <v>298</v>
      </c>
      <c r="H28" s="76"/>
      <c r="I28" s="76"/>
      <c r="J28" s="76" t="s">
        <v>346</v>
      </c>
      <c r="K28" s="76">
        <v>1</v>
      </c>
      <c r="L28" s="76">
        <v>2</v>
      </c>
      <c r="M28" s="55">
        <f>VLOOKUP(B28,防御塔!$A$2:$N$17,2,FALSE)*3^(C28-1)</f>
        <v>300</v>
      </c>
      <c r="N28" s="76"/>
      <c r="O28" s="76">
        <v>0</v>
      </c>
      <c r="P28" s="55">
        <f t="shared" si="0"/>
        <v>240</v>
      </c>
      <c r="Q28" s="76" t="s">
        <v>347</v>
      </c>
      <c r="R28" s="76">
        <v>3</v>
      </c>
      <c r="S28" s="76" t="s">
        <v>297</v>
      </c>
    </row>
    <row r="29" spans="1:20" x14ac:dyDescent="0.2">
      <c r="A29" s="76"/>
      <c r="B29" s="54" t="s">
        <v>40</v>
      </c>
      <c r="C29">
        <v>3</v>
      </c>
      <c r="D29" s="76" t="s">
        <v>347</v>
      </c>
      <c r="E29" s="76" t="s">
        <v>293</v>
      </c>
      <c r="F29" s="79" t="s">
        <v>343</v>
      </c>
      <c r="G29" s="47" t="s">
        <v>301</v>
      </c>
      <c r="H29" s="76"/>
      <c r="I29" s="76"/>
      <c r="J29" s="76" t="s">
        <v>348</v>
      </c>
      <c r="K29" s="76">
        <v>1</v>
      </c>
      <c r="L29" s="76">
        <v>3</v>
      </c>
      <c r="M29" s="55">
        <f>VLOOKUP(B29,防御塔!$A$2:$N$17,2,FALSE)*3^(C29-1)</f>
        <v>900</v>
      </c>
      <c r="N29" s="76"/>
      <c r="O29" s="76">
        <v>0</v>
      </c>
      <c r="P29" s="55">
        <f t="shared" si="0"/>
        <v>720</v>
      </c>
      <c r="Q29" s="76"/>
      <c r="R29" s="76"/>
      <c r="S29" s="76" t="s">
        <v>297</v>
      </c>
    </row>
    <row r="30" spans="1:20" x14ac:dyDescent="0.2">
      <c r="A30" s="76"/>
      <c r="B30" s="54" t="s">
        <v>1344</v>
      </c>
      <c r="C30" s="76">
        <v>1</v>
      </c>
      <c r="D30" s="76" t="s">
        <v>1346</v>
      </c>
      <c r="E30" s="76" t="s">
        <v>293</v>
      </c>
      <c r="F30" s="77" t="s">
        <v>1347</v>
      </c>
      <c r="G30" s="77" t="s">
        <v>291</v>
      </c>
      <c r="H30" s="76"/>
      <c r="I30" s="76"/>
      <c r="J30" s="76" t="s">
        <v>1348</v>
      </c>
      <c r="K30" s="76">
        <v>1</v>
      </c>
      <c r="L30" s="76">
        <v>1</v>
      </c>
      <c r="M30" s="55">
        <f>VLOOKUP(B30,防御塔!$A$2:$N$17,2,FALSE)*3^(C30-1)</f>
        <v>300</v>
      </c>
      <c r="N30" s="76"/>
      <c r="O30" s="76">
        <v>0</v>
      </c>
      <c r="P30" s="55">
        <f t="shared" si="0"/>
        <v>240</v>
      </c>
      <c r="Q30" s="76" t="s">
        <v>1349</v>
      </c>
      <c r="R30" s="76">
        <v>3</v>
      </c>
      <c r="S30" s="76" t="s">
        <v>297</v>
      </c>
      <c r="T30" s="76"/>
    </row>
    <row r="31" spans="1:20" x14ac:dyDescent="0.2">
      <c r="A31" s="76"/>
      <c r="B31" s="54" t="s">
        <v>1344</v>
      </c>
      <c r="C31" s="76">
        <v>2</v>
      </c>
      <c r="D31" s="76" t="s">
        <v>1349</v>
      </c>
      <c r="E31" s="76" t="s">
        <v>293</v>
      </c>
      <c r="F31" s="77" t="s">
        <v>1347</v>
      </c>
      <c r="G31" s="77" t="s">
        <v>298</v>
      </c>
      <c r="H31" s="76"/>
      <c r="I31" s="76"/>
      <c r="J31" s="76" t="s">
        <v>1350</v>
      </c>
      <c r="K31" s="76">
        <v>1</v>
      </c>
      <c r="L31" s="76">
        <v>2</v>
      </c>
      <c r="M31" s="55">
        <f>VLOOKUP(B31,防御塔!$A$2:$N$17,2,FALSE)*3^(C31-1)</f>
        <v>900</v>
      </c>
      <c r="N31" s="76"/>
      <c r="O31" s="76">
        <v>0</v>
      </c>
      <c r="P31" s="55">
        <f t="shared" si="0"/>
        <v>720</v>
      </c>
      <c r="Q31" s="76" t="s">
        <v>1351</v>
      </c>
      <c r="R31" s="76">
        <v>3</v>
      </c>
      <c r="S31" s="76" t="s">
        <v>297</v>
      </c>
      <c r="T31" s="76"/>
    </row>
    <row r="32" spans="1:20" x14ac:dyDescent="0.2">
      <c r="A32" s="76"/>
      <c r="B32" s="54" t="s">
        <v>1344</v>
      </c>
      <c r="C32" s="76">
        <v>3</v>
      </c>
      <c r="D32" s="76" t="s">
        <v>1351</v>
      </c>
      <c r="E32" s="76" t="s">
        <v>293</v>
      </c>
      <c r="F32" s="77" t="s">
        <v>1347</v>
      </c>
      <c r="G32" s="77" t="s">
        <v>301</v>
      </c>
      <c r="H32" s="76"/>
      <c r="I32" s="76"/>
      <c r="J32" s="76" t="s">
        <v>1352</v>
      </c>
      <c r="K32" s="76">
        <v>1</v>
      </c>
      <c r="L32" s="76">
        <v>3</v>
      </c>
      <c r="M32" s="55">
        <f>VLOOKUP(B32,防御塔!$A$2:$N$17,2,FALSE)*3^(C32-1)</f>
        <v>2700</v>
      </c>
      <c r="N32" s="76"/>
      <c r="O32" s="76">
        <v>0</v>
      </c>
      <c r="P32" s="55">
        <f t="shared" si="0"/>
        <v>2160</v>
      </c>
      <c r="Q32" s="76"/>
      <c r="R32" s="76"/>
      <c r="S32" s="76" t="s">
        <v>297</v>
      </c>
      <c r="T32" s="76"/>
    </row>
    <row r="33" spans="1:20" x14ac:dyDescent="0.2">
      <c r="A33" s="76"/>
      <c r="B33" s="54" t="s">
        <v>1345</v>
      </c>
      <c r="C33" s="76">
        <v>1</v>
      </c>
      <c r="D33" s="76" t="s">
        <v>1353</v>
      </c>
      <c r="E33" s="76" t="s">
        <v>293</v>
      </c>
      <c r="F33" s="77" t="s">
        <v>1354</v>
      </c>
      <c r="G33" s="77" t="s">
        <v>291</v>
      </c>
      <c r="H33" s="76"/>
      <c r="I33" s="76"/>
      <c r="J33" s="76" t="s">
        <v>1355</v>
      </c>
      <c r="K33" s="76">
        <v>1</v>
      </c>
      <c r="L33" s="76">
        <v>1</v>
      </c>
      <c r="M33" s="55">
        <f>VLOOKUP(B33,防御塔!$A$2:$N$17,2,FALSE)*3^(C33-1)</f>
        <v>200</v>
      </c>
      <c r="N33" s="76"/>
      <c r="O33" s="76">
        <v>0</v>
      </c>
      <c r="P33" s="55">
        <f t="shared" si="0"/>
        <v>160</v>
      </c>
      <c r="Q33" s="76" t="s">
        <v>1356</v>
      </c>
      <c r="R33" s="76">
        <v>3</v>
      </c>
      <c r="S33" s="76" t="s">
        <v>297</v>
      </c>
      <c r="T33" s="76"/>
    </row>
    <row r="34" spans="1:20" x14ac:dyDescent="0.2">
      <c r="A34" s="76"/>
      <c r="B34" s="54" t="s">
        <v>1345</v>
      </c>
      <c r="C34" s="76">
        <v>2</v>
      </c>
      <c r="D34" s="76" t="s">
        <v>1356</v>
      </c>
      <c r="E34" s="76" t="s">
        <v>293</v>
      </c>
      <c r="F34" s="77" t="s">
        <v>1354</v>
      </c>
      <c r="G34" s="77" t="s">
        <v>298</v>
      </c>
      <c r="H34" s="76"/>
      <c r="I34" s="76"/>
      <c r="J34" s="76" t="s">
        <v>1357</v>
      </c>
      <c r="K34" s="76">
        <v>1</v>
      </c>
      <c r="L34" s="76">
        <v>2</v>
      </c>
      <c r="M34" s="55">
        <f>VLOOKUP(B34,防御塔!$A$2:$N$17,2,FALSE)*3^(C34-1)</f>
        <v>600</v>
      </c>
      <c r="N34" s="76"/>
      <c r="O34" s="76">
        <v>0</v>
      </c>
      <c r="P34" s="55">
        <f t="shared" si="0"/>
        <v>480</v>
      </c>
      <c r="Q34" s="76" t="s">
        <v>1358</v>
      </c>
      <c r="R34" s="76">
        <v>3</v>
      </c>
      <c r="S34" s="76" t="s">
        <v>297</v>
      </c>
      <c r="T34" s="76"/>
    </row>
    <row r="35" spans="1:20" x14ac:dyDescent="0.2">
      <c r="A35" s="76"/>
      <c r="B35" s="54" t="s">
        <v>1345</v>
      </c>
      <c r="C35" s="76">
        <v>3</v>
      </c>
      <c r="D35" s="76" t="s">
        <v>1358</v>
      </c>
      <c r="E35" s="76" t="s">
        <v>293</v>
      </c>
      <c r="F35" s="77" t="s">
        <v>1354</v>
      </c>
      <c r="G35" s="77" t="s">
        <v>301</v>
      </c>
      <c r="H35" s="76"/>
      <c r="I35" s="76"/>
      <c r="J35" s="76" t="s">
        <v>1359</v>
      </c>
      <c r="K35" s="76">
        <v>1</v>
      </c>
      <c r="L35" s="76">
        <v>3</v>
      </c>
      <c r="M35" s="55">
        <f>VLOOKUP(B35,防御塔!$A$2:$N$17,2,FALSE)*3^(C35-1)</f>
        <v>1800</v>
      </c>
      <c r="N35" s="76"/>
      <c r="O35" s="76">
        <v>0</v>
      </c>
      <c r="P35" s="55">
        <f t="shared" si="0"/>
        <v>1440</v>
      </c>
      <c r="Q35" s="76"/>
      <c r="R35" s="76"/>
      <c r="S35" s="76" t="s">
        <v>297</v>
      </c>
      <c r="T35" s="76"/>
    </row>
    <row r="36" spans="1:20" x14ac:dyDescent="0.2">
      <c r="B36" s="54" t="s">
        <v>1363</v>
      </c>
      <c r="C36" s="76">
        <v>1</v>
      </c>
      <c r="D36" s="76" t="s">
        <v>1364</v>
      </c>
      <c r="E36" s="76" t="s">
        <v>293</v>
      </c>
      <c r="F36" s="77" t="s">
        <v>336</v>
      </c>
      <c r="G36" s="77" t="s">
        <v>291</v>
      </c>
      <c r="J36" s="76" t="s">
        <v>1369</v>
      </c>
      <c r="K36" s="76">
        <v>1</v>
      </c>
      <c r="L36" s="76">
        <v>1</v>
      </c>
      <c r="M36" s="55">
        <f>VLOOKUP(B36,防御塔!$A$2:$N$17,2,FALSE)*3^(C36-1)</f>
        <v>100</v>
      </c>
      <c r="N36" s="76"/>
      <c r="O36" s="76">
        <v>0</v>
      </c>
      <c r="P36" s="55">
        <f t="shared" si="0"/>
        <v>80</v>
      </c>
      <c r="Q36" s="76" t="s">
        <v>1367</v>
      </c>
      <c r="R36" s="76">
        <v>3</v>
      </c>
      <c r="S36" s="76" t="s">
        <v>297</v>
      </c>
    </row>
    <row r="37" spans="1:20" x14ac:dyDescent="0.2">
      <c r="B37" s="54" t="s">
        <v>1363</v>
      </c>
      <c r="C37" s="76">
        <v>2</v>
      </c>
      <c r="D37" s="76" t="s">
        <v>1365</v>
      </c>
      <c r="E37" s="76" t="s">
        <v>293</v>
      </c>
      <c r="F37" s="77" t="s">
        <v>336</v>
      </c>
      <c r="G37" s="77" t="s">
        <v>298</v>
      </c>
      <c r="J37" s="76" t="s">
        <v>1370</v>
      </c>
      <c r="K37" s="76">
        <v>1</v>
      </c>
      <c r="L37" s="76">
        <v>2</v>
      </c>
      <c r="M37" s="55">
        <f>VLOOKUP(B37,防御塔!$A$2:$N$17,2,FALSE)*3^(C37-1)</f>
        <v>300</v>
      </c>
      <c r="N37" s="76"/>
      <c r="O37" s="76">
        <v>0</v>
      </c>
      <c r="P37" s="55">
        <f t="shared" si="0"/>
        <v>240</v>
      </c>
      <c r="Q37" s="76" t="s">
        <v>1368</v>
      </c>
      <c r="R37" s="76">
        <v>3</v>
      </c>
      <c r="S37" s="76" t="s">
        <v>297</v>
      </c>
    </row>
    <row r="38" spans="1:20" x14ac:dyDescent="0.2">
      <c r="B38" s="54" t="s">
        <v>1363</v>
      </c>
      <c r="C38" s="76">
        <v>3</v>
      </c>
      <c r="D38" s="76" t="s">
        <v>1366</v>
      </c>
      <c r="E38" s="76" t="s">
        <v>293</v>
      </c>
      <c r="F38" s="77" t="s">
        <v>336</v>
      </c>
      <c r="G38" s="77" t="s">
        <v>301</v>
      </c>
      <c r="J38" s="76" t="s">
        <v>1371</v>
      </c>
      <c r="K38" s="76">
        <v>1</v>
      </c>
      <c r="L38" s="76">
        <v>3</v>
      </c>
      <c r="M38" s="55">
        <f>VLOOKUP(B38,防御塔!$A$2:$N$17,2,FALSE)*3^(C38-1)</f>
        <v>900</v>
      </c>
      <c r="N38" s="76"/>
      <c r="O38" s="76">
        <v>0</v>
      </c>
      <c r="P38" s="55">
        <f t="shared" si="0"/>
        <v>720</v>
      </c>
      <c r="Q38" s="76"/>
      <c r="R38" s="76"/>
      <c r="S38" s="76" t="s">
        <v>297</v>
      </c>
    </row>
    <row r="39" spans="1:20" x14ac:dyDescent="0.2">
      <c r="B39" s="54" t="s">
        <v>2971</v>
      </c>
      <c r="C39" s="76">
        <v>1</v>
      </c>
      <c r="D39" s="76" t="s">
        <v>2972</v>
      </c>
      <c r="E39" s="76" t="s">
        <v>293</v>
      </c>
      <c r="F39" s="77" t="s">
        <v>3003</v>
      </c>
      <c r="G39" s="77" t="s">
        <v>291</v>
      </c>
      <c r="J39" s="76" t="s">
        <v>2982</v>
      </c>
      <c r="K39" s="76">
        <v>1</v>
      </c>
      <c r="L39" s="76">
        <v>1</v>
      </c>
      <c r="M39" s="55">
        <f>VLOOKUP(B39,防御塔!$A$2:$N$17,2,FALSE)*3^(C39-1)</f>
        <v>200</v>
      </c>
      <c r="O39" s="76">
        <v>0</v>
      </c>
      <c r="P39" s="55">
        <f t="shared" si="0"/>
        <v>160</v>
      </c>
      <c r="Q39" s="76" t="s">
        <v>2991</v>
      </c>
      <c r="R39" s="76">
        <v>3</v>
      </c>
      <c r="S39" s="76" t="s">
        <v>297</v>
      </c>
    </row>
    <row r="40" spans="1:20" x14ac:dyDescent="0.2">
      <c r="B40" s="54" t="s">
        <v>2971</v>
      </c>
      <c r="C40" s="76">
        <v>2</v>
      </c>
      <c r="D40" s="76" t="s">
        <v>2973</v>
      </c>
      <c r="E40" s="76" t="s">
        <v>293</v>
      </c>
      <c r="F40" s="77" t="s">
        <v>3003</v>
      </c>
      <c r="G40" s="77" t="s">
        <v>298</v>
      </c>
      <c r="J40" s="76" t="s">
        <v>2983</v>
      </c>
      <c r="K40" s="76">
        <v>1</v>
      </c>
      <c r="L40" s="76">
        <v>2</v>
      </c>
      <c r="M40" s="55">
        <f>VLOOKUP(B40,防御塔!$A$2:$N$17,2,FALSE)*3^(C40-1)</f>
        <v>600</v>
      </c>
      <c r="O40" s="76">
        <v>0</v>
      </c>
      <c r="P40" s="55">
        <f t="shared" si="0"/>
        <v>480</v>
      </c>
      <c r="Q40" s="76" t="s">
        <v>2992</v>
      </c>
      <c r="R40" s="76">
        <v>3</v>
      </c>
      <c r="S40" s="76" t="s">
        <v>297</v>
      </c>
    </row>
    <row r="41" spans="1:20" x14ac:dyDescent="0.2">
      <c r="B41" s="54" t="s">
        <v>2971</v>
      </c>
      <c r="C41" s="76">
        <v>3</v>
      </c>
      <c r="D41" s="76" t="s">
        <v>2974</v>
      </c>
      <c r="E41" s="76" t="s">
        <v>293</v>
      </c>
      <c r="F41" s="77" t="s">
        <v>3003</v>
      </c>
      <c r="G41" s="77" t="s">
        <v>301</v>
      </c>
      <c r="J41" s="76" t="s">
        <v>2984</v>
      </c>
      <c r="K41" s="76">
        <v>1</v>
      </c>
      <c r="L41" s="76">
        <v>3</v>
      </c>
      <c r="M41" s="55">
        <f>VLOOKUP(B41,防御塔!$A$2:$N$17,2,FALSE)*3^(C41-1)</f>
        <v>1800</v>
      </c>
      <c r="O41" s="76">
        <v>0</v>
      </c>
      <c r="P41" s="55">
        <f t="shared" si="0"/>
        <v>1440</v>
      </c>
      <c r="Q41" s="76"/>
      <c r="R41" s="76"/>
      <c r="S41" s="76" t="s">
        <v>297</v>
      </c>
    </row>
    <row r="42" spans="1:20" x14ac:dyDescent="0.2">
      <c r="B42" s="54" t="s">
        <v>2975</v>
      </c>
      <c r="C42" s="76">
        <v>1</v>
      </c>
      <c r="D42" s="76" t="s">
        <v>2976</v>
      </c>
      <c r="E42" s="76" t="s">
        <v>293</v>
      </c>
      <c r="F42" s="77" t="s">
        <v>3004</v>
      </c>
      <c r="G42" s="77" t="s">
        <v>291</v>
      </c>
      <c r="J42" s="76" t="s">
        <v>2979</v>
      </c>
      <c r="K42" s="76">
        <v>1</v>
      </c>
      <c r="L42" s="76">
        <v>1</v>
      </c>
      <c r="M42" s="55">
        <f>VLOOKUP(B42,防御塔!$A$2:$N$17,2,FALSE)*3^(C42-1)</f>
        <v>200</v>
      </c>
      <c r="O42" s="76">
        <v>0</v>
      </c>
      <c r="P42" s="55">
        <f t="shared" si="0"/>
        <v>160</v>
      </c>
      <c r="Q42" s="76" t="s">
        <v>2993</v>
      </c>
      <c r="R42" s="76">
        <v>3</v>
      </c>
      <c r="S42" s="76" t="s">
        <v>297</v>
      </c>
    </row>
    <row r="43" spans="1:20" x14ac:dyDescent="0.2">
      <c r="B43" s="54" t="s">
        <v>2975</v>
      </c>
      <c r="C43" s="76">
        <v>2</v>
      </c>
      <c r="D43" s="76" t="s">
        <v>2977</v>
      </c>
      <c r="E43" s="76" t="s">
        <v>293</v>
      </c>
      <c r="F43" s="77" t="s">
        <v>3004</v>
      </c>
      <c r="G43" s="77" t="s">
        <v>298</v>
      </c>
      <c r="J43" s="76" t="s">
        <v>2980</v>
      </c>
      <c r="K43" s="76">
        <v>1</v>
      </c>
      <c r="L43" s="76">
        <v>2</v>
      </c>
      <c r="M43" s="55">
        <f>VLOOKUP(B43,防御塔!$A$2:$N$17,2,FALSE)*3^(C43-1)</f>
        <v>600</v>
      </c>
      <c r="O43" s="76">
        <v>0</v>
      </c>
      <c r="P43" s="55">
        <f t="shared" si="0"/>
        <v>480</v>
      </c>
      <c r="Q43" s="76" t="s">
        <v>2994</v>
      </c>
      <c r="R43" s="76">
        <v>3</v>
      </c>
      <c r="S43" s="76" t="s">
        <v>297</v>
      </c>
    </row>
    <row r="44" spans="1:20" x14ac:dyDescent="0.2">
      <c r="B44" s="54" t="s">
        <v>2975</v>
      </c>
      <c r="C44" s="76">
        <v>3</v>
      </c>
      <c r="D44" s="76" t="s">
        <v>2978</v>
      </c>
      <c r="E44" s="76" t="s">
        <v>293</v>
      </c>
      <c r="F44" s="77" t="s">
        <v>3004</v>
      </c>
      <c r="G44" s="77" t="s">
        <v>301</v>
      </c>
      <c r="J44" s="76" t="s">
        <v>2981</v>
      </c>
      <c r="K44" s="76">
        <v>1</v>
      </c>
      <c r="L44" s="76">
        <v>3</v>
      </c>
      <c r="M44" s="55">
        <f>VLOOKUP(B44,防御塔!$A$2:$N$17,2,FALSE)*3^(C44-1)</f>
        <v>1800</v>
      </c>
      <c r="O44" s="76">
        <v>0</v>
      </c>
      <c r="P44" s="55">
        <f t="shared" si="0"/>
        <v>1440</v>
      </c>
      <c r="Q44" s="76"/>
      <c r="R44" s="76"/>
      <c r="S44" s="76" t="s">
        <v>297</v>
      </c>
    </row>
    <row r="45" spans="1:20" x14ac:dyDescent="0.2">
      <c r="B45" s="54" t="s">
        <v>2967</v>
      </c>
      <c r="C45" s="76">
        <v>1</v>
      </c>
      <c r="D45" s="76" t="s">
        <v>2968</v>
      </c>
      <c r="E45" s="76" t="s">
        <v>293</v>
      </c>
      <c r="F45" s="77" t="s">
        <v>3004</v>
      </c>
      <c r="G45" s="77" t="s">
        <v>291</v>
      </c>
      <c r="J45" s="76" t="s">
        <v>2985</v>
      </c>
      <c r="K45" s="76">
        <v>1</v>
      </c>
      <c r="L45" s="76">
        <v>1</v>
      </c>
      <c r="M45" s="55">
        <f>VLOOKUP(B45,防御塔!$A$2:$N$17,2,FALSE)*3^(C45-1)</f>
        <v>200</v>
      </c>
      <c r="O45" s="76">
        <v>0</v>
      </c>
      <c r="P45" s="55">
        <f t="shared" si="0"/>
        <v>160</v>
      </c>
      <c r="Q45" s="76" t="s">
        <v>2995</v>
      </c>
      <c r="R45" s="76">
        <v>3</v>
      </c>
      <c r="S45" s="76" t="s">
        <v>297</v>
      </c>
    </row>
    <row r="46" spans="1:20" x14ac:dyDescent="0.2">
      <c r="B46" s="54" t="s">
        <v>2967</v>
      </c>
      <c r="C46" s="76">
        <v>2</v>
      </c>
      <c r="D46" s="76" t="s">
        <v>2969</v>
      </c>
      <c r="E46" s="76" t="s">
        <v>293</v>
      </c>
      <c r="F46" s="77" t="s">
        <v>3004</v>
      </c>
      <c r="G46" s="77" t="s">
        <v>298</v>
      </c>
      <c r="J46" s="76" t="s">
        <v>2986</v>
      </c>
      <c r="K46" s="76">
        <v>1</v>
      </c>
      <c r="L46" s="76">
        <v>2</v>
      </c>
      <c r="M46" s="55">
        <f>VLOOKUP(B46,防御塔!$A$2:$N$17,2,FALSE)*3^(C46-1)</f>
        <v>600</v>
      </c>
      <c r="O46" s="76">
        <v>0</v>
      </c>
      <c r="P46" s="55">
        <f t="shared" si="0"/>
        <v>480</v>
      </c>
      <c r="Q46" s="76" t="s">
        <v>2996</v>
      </c>
      <c r="R46" s="76">
        <v>3</v>
      </c>
      <c r="S46" s="76" t="s">
        <v>297</v>
      </c>
    </row>
    <row r="47" spans="1:20" x14ac:dyDescent="0.2">
      <c r="B47" s="54" t="s">
        <v>2967</v>
      </c>
      <c r="C47" s="76">
        <v>3</v>
      </c>
      <c r="D47" s="76" t="s">
        <v>2970</v>
      </c>
      <c r="E47" s="76" t="s">
        <v>293</v>
      </c>
      <c r="F47" s="77" t="s">
        <v>3004</v>
      </c>
      <c r="G47" s="77" t="s">
        <v>301</v>
      </c>
      <c r="J47" s="76" t="s">
        <v>2987</v>
      </c>
      <c r="K47" s="76">
        <v>1</v>
      </c>
      <c r="L47" s="76">
        <v>3</v>
      </c>
      <c r="M47" s="55">
        <f>VLOOKUP(B47,防御塔!$A$2:$N$17,2,FALSE)*3^(C47-1)</f>
        <v>1800</v>
      </c>
      <c r="O47" s="76">
        <v>0</v>
      </c>
      <c r="P47" s="55">
        <f t="shared" si="0"/>
        <v>1440</v>
      </c>
      <c r="Q47" s="76"/>
      <c r="R47" s="76"/>
      <c r="S47" s="76" t="s">
        <v>297</v>
      </c>
    </row>
    <row r="48" spans="1:20" x14ac:dyDescent="0.2">
      <c r="B48" s="54" t="s">
        <v>2966</v>
      </c>
      <c r="C48" s="76">
        <v>1</v>
      </c>
      <c r="D48" s="76" t="s">
        <v>2962</v>
      </c>
      <c r="E48" s="76" t="s">
        <v>293</v>
      </c>
      <c r="F48" s="77" t="s">
        <v>3004</v>
      </c>
      <c r="G48" s="77" t="s">
        <v>291</v>
      </c>
      <c r="J48" s="76" t="s">
        <v>2988</v>
      </c>
      <c r="K48" s="76">
        <v>1</v>
      </c>
      <c r="L48" s="76">
        <v>1</v>
      </c>
      <c r="M48" s="55">
        <f>VLOOKUP(B48,防御塔!$A$2:$N$17,2,FALSE)*3^(C48-1)</f>
        <v>200</v>
      </c>
      <c r="O48" s="76">
        <v>0</v>
      </c>
      <c r="P48" s="55">
        <f t="shared" si="0"/>
        <v>160</v>
      </c>
      <c r="Q48" s="76" t="s">
        <v>2997</v>
      </c>
      <c r="R48" s="76">
        <v>3</v>
      </c>
      <c r="S48" s="76" t="s">
        <v>297</v>
      </c>
    </row>
    <row r="49" spans="2:19" x14ac:dyDescent="0.2">
      <c r="B49" s="54" t="s">
        <v>2966</v>
      </c>
      <c r="C49" s="76">
        <v>2</v>
      </c>
      <c r="D49" s="76" t="s">
        <v>2963</v>
      </c>
      <c r="E49" s="76" t="s">
        <v>293</v>
      </c>
      <c r="F49" s="77" t="s">
        <v>3004</v>
      </c>
      <c r="G49" s="77" t="s">
        <v>298</v>
      </c>
      <c r="J49" s="76" t="s">
        <v>2989</v>
      </c>
      <c r="K49" s="76">
        <v>1</v>
      </c>
      <c r="L49" s="76">
        <v>2</v>
      </c>
      <c r="M49" s="55">
        <f>VLOOKUP(B49,防御塔!$A$2:$N$17,2,FALSE)*3^(C49-1)</f>
        <v>600</v>
      </c>
      <c r="O49" s="76">
        <v>0</v>
      </c>
      <c r="P49" s="55">
        <f t="shared" si="0"/>
        <v>480</v>
      </c>
      <c r="Q49" s="76" t="s">
        <v>2998</v>
      </c>
      <c r="R49" s="76">
        <v>3</v>
      </c>
      <c r="S49" s="76" t="s">
        <v>297</v>
      </c>
    </row>
    <row r="50" spans="2:19" x14ac:dyDescent="0.2">
      <c r="B50" s="54" t="s">
        <v>2966</v>
      </c>
      <c r="C50" s="76">
        <v>3</v>
      </c>
      <c r="D50" s="76" t="s">
        <v>2964</v>
      </c>
      <c r="E50" s="76" t="s">
        <v>293</v>
      </c>
      <c r="F50" s="77" t="s">
        <v>3004</v>
      </c>
      <c r="G50" s="77" t="s">
        <v>301</v>
      </c>
      <c r="J50" s="76" t="s">
        <v>2990</v>
      </c>
      <c r="K50" s="76">
        <v>1</v>
      </c>
      <c r="L50" s="76">
        <v>3</v>
      </c>
      <c r="M50" s="55">
        <f>VLOOKUP(B50,防御塔!$A$2:$N$17,2,FALSE)*3^(C50-1)</f>
        <v>1800</v>
      </c>
      <c r="O50" s="76">
        <v>0</v>
      </c>
      <c r="P50" s="55">
        <f t="shared" si="0"/>
        <v>1440</v>
      </c>
      <c r="Q50" s="76"/>
      <c r="R50" s="76"/>
      <c r="S50" s="76" t="s">
        <v>297</v>
      </c>
    </row>
  </sheetData>
  <phoneticPr fontId="4" type="noConversion"/>
  <hyperlinks>
    <hyperlink ref="S3" r:id="rId1" location="ref=AIConfigId@AICfgCategory" xr:uid="{2293361B-65E7-461E-B3B9-5B4B73161BD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039B-ECC6-4A3E-9FB7-35EBB25E7B2D}">
  <dimension ref="A1:AE586"/>
  <sheetViews>
    <sheetView tabSelected="1" topLeftCell="A559" zoomScaleNormal="100" workbookViewId="0">
      <selection activeCell="I72" sqref="I72"/>
    </sheetView>
  </sheetViews>
  <sheetFormatPr defaultColWidth="9" defaultRowHeight="14.25" x14ac:dyDescent="0.2"/>
  <cols>
    <col min="1" max="1" width="9" style="6" customWidth="1"/>
    <col min="2" max="3" width="9" style="6"/>
    <col min="4" max="4" width="9" style="6" bestFit="1" customWidth="1"/>
    <col min="5" max="5" width="15" style="6" customWidth="1"/>
    <col min="6" max="8" width="12.75" style="6" customWidth="1"/>
    <col min="9" max="9" width="33.375" style="6" bestFit="1" customWidth="1"/>
    <col min="10" max="15" width="12.75" style="6" customWidth="1"/>
    <col min="16" max="20" width="9" style="6"/>
    <col min="21" max="21" width="14.875" style="6" customWidth="1"/>
    <col min="22" max="22" width="13" style="6" customWidth="1"/>
    <col min="23" max="24" width="9" style="6"/>
    <col min="25" max="25" width="9.375" style="6" customWidth="1"/>
    <col min="26" max="16384" width="9" style="6"/>
  </cols>
  <sheetData>
    <row r="1" spans="1:30" s="3" customFormat="1" ht="18" x14ac:dyDescent="0.25">
      <c r="A1" s="28" t="s">
        <v>1162</v>
      </c>
    </row>
    <row r="2" spans="1:30" s="4" customFormat="1" x14ac:dyDescent="0.2">
      <c r="A2" s="4" t="s">
        <v>1457</v>
      </c>
    </row>
    <row r="3" spans="1:30" s="137" customFormat="1" x14ac:dyDescent="0.2">
      <c r="A3" s="8" t="s">
        <v>1455</v>
      </c>
      <c r="B3" s="8" t="s">
        <v>1418</v>
      </c>
      <c r="C3" s="8" t="s">
        <v>1420</v>
      </c>
      <c r="D3" s="8" t="s">
        <v>1423</v>
      </c>
      <c r="E3" s="8" t="s">
        <v>1424</v>
      </c>
      <c r="F3" s="8" t="s">
        <v>1425</v>
      </c>
      <c r="G3" s="8" t="s">
        <v>1426</v>
      </c>
      <c r="H3" s="8" t="s">
        <v>1427</v>
      </c>
      <c r="I3" s="8" t="s">
        <v>1428</v>
      </c>
      <c r="J3" s="8" t="s">
        <v>1429</v>
      </c>
      <c r="K3" s="8" t="s">
        <v>1430</v>
      </c>
      <c r="L3" s="8" t="s">
        <v>1431</v>
      </c>
      <c r="M3" s="8" t="s">
        <v>1432</v>
      </c>
      <c r="N3" s="8" t="s">
        <v>1433</v>
      </c>
      <c r="O3" s="8" t="s">
        <v>1436</v>
      </c>
      <c r="P3" s="8" t="s">
        <v>1437</v>
      </c>
      <c r="Q3" s="8" t="s">
        <v>1438</v>
      </c>
      <c r="R3" s="8" t="s">
        <v>1439</v>
      </c>
      <c r="S3" s="8" t="s">
        <v>1440</v>
      </c>
      <c r="T3" s="8" t="s">
        <v>1441</v>
      </c>
      <c r="U3" s="8" t="s">
        <v>1442</v>
      </c>
      <c r="V3" s="8" t="s">
        <v>1443</v>
      </c>
      <c r="W3" s="8" t="s">
        <v>1446</v>
      </c>
      <c r="X3" s="8" t="s">
        <v>1447</v>
      </c>
      <c r="Y3" s="8" t="s">
        <v>1448</v>
      </c>
      <c r="Z3" s="8" t="s">
        <v>1449</v>
      </c>
      <c r="AA3" s="8" t="s">
        <v>1450</v>
      </c>
      <c r="AB3" s="8" t="s">
        <v>1451</v>
      </c>
      <c r="AC3" s="8" t="s">
        <v>1452</v>
      </c>
      <c r="AD3" s="8" t="s">
        <v>1163</v>
      </c>
    </row>
    <row r="4" spans="1:30" s="137" customFormat="1" x14ac:dyDescent="0.2">
      <c r="A4" s="8" t="s">
        <v>1422</v>
      </c>
      <c r="B4" s="8" t="s">
        <v>1419</v>
      </c>
      <c r="C4" s="8" t="s">
        <v>1434</v>
      </c>
      <c r="D4" s="8"/>
      <c r="E4" s="8"/>
      <c r="F4" s="8"/>
      <c r="G4" s="8"/>
      <c r="H4" s="8" t="s">
        <v>1444</v>
      </c>
      <c r="I4" s="8" t="s">
        <v>1435</v>
      </c>
      <c r="J4" s="8"/>
      <c r="K4" s="8"/>
      <c r="L4" s="8"/>
      <c r="M4" s="8"/>
      <c r="N4" s="8"/>
      <c r="O4" s="8" t="s">
        <v>1444</v>
      </c>
      <c r="P4" s="8" t="s">
        <v>1435</v>
      </c>
      <c r="Q4" s="8"/>
      <c r="R4" s="8"/>
      <c r="S4" s="8"/>
      <c r="T4" s="8"/>
      <c r="U4" s="8"/>
      <c r="V4" s="8" t="s">
        <v>1444</v>
      </c>
      <c r="W4" s="8" t="s">
        <v>1435</v>
      </c>
      <c r="X4" s="8"/>
      <c r="Y4" s="8"/>
      <c r="Z4" s="8"/>
      <c r="AA4" s="8"/>
      <c r="AB4" s="8"/>
      <c r="AC4" s="8" t="s">
        <v>1444</v>
      </c>
      <c r="AD4" s="8" t="s">
        <v>1445</v>
      </c>
    </row>
    <row r="5" spans="1:30" s="137" customFormat="1" x14ac:dyDescent="0.2">
      <c r="A5" s="8" t="s">
        <v>1421</v>
      </c>
      <c r="B5" s="8">
        <v>8</v>
      </c>
      <c r="C5" s="8">
        <v>1</v>
      </c>
      <c r="D5" s="8"/>
      <c r="E5" s="8">
        <v>1</v>
      </c>
      <c r="F5" s="8"/>
      <c r="G5" s="8">
        <v>1</v>
      </c>
      <c r="H5" s="8"/>
      <c r="I5" s="8"/>
      <c r="J5" s="8">
        <v>1</v>
      </c>
      <c r="K5" s="8"/>
      <c r="L5" s="8">
        <v>1</v>
      </c>
      <c r="M5" s="8"/>
      <c r="N5" s="8"/>
      <c r="O5" s="8"/>
      <c r="P5" s="8"/>
      <c r="Q5" s="8">
        <v>1</v>
      </c>
      <c r="R5" s="8"/>
      <c r="S5" s="8">
        <v>1</v>
      </c>
      <c r="T5" s="8"/>
      <c r="U5" s="8"/>
      <c r="V5" s="8"/>
      <c r="W5" s="8"/>
      <c r="X5" s="8">
        <v>1</v>
      </c>
      <c r="Y5" s="8"/>
      <c r="Z5" s="8">
        <v>1</v>
      </c>
      <c r="AA5" s="8"/>
      <c r="AB5" s="8"/>
      <c r="AC5" s="8"/>
      <c r="AD5" s="8" t="s">
        <v>1163</v>
      </c>
    </row>
    <row r="6" spans="1:30" s="137" customFormat="1" x14ac:dyDescent="0.2">
      <c r="A6" s="8" t="s">
        <v>1458</v>
      </c>
      <c r="B6" s="8">
        <v>1</v>
      </c>
      <c r="C6" s="8"/>
      <c r="D6" s="8">
        <v>1</v>
      </c>
      <c r="E6" s="8"/>
      <c r="F6" s="8">
        <v>1</v>
      </c>
      <c r="G6" s="8"/>
      <c r="H6" s="8"/>
      <c r="I6" s="8"/>
      <c r="J6" s="8"/>
      <c r="K6" s="8">
        <v>1</v>
      </c>
      <c r="L6" s="8"/>
      <c r="M6" s="8"/>
      <c r="N6" s="8"/>
      <c r="O6" s="8"/>
      <c r="P6" s="8"/>
      <c r="Q6" s="8"/>
      <c r="R6" s="8">
        <v>1</v>
      </c>
      <c r="S6" s="8"/>
      <c r="T6" s="8"/>
      <c r="U6" s="8"/>
      <c r="V6" s="8"/>
      <c r="W6" s="8"/>
      <c r="X6" s="8"/>
      <c r="Y6" s="8">
        <v>1</v>
      </c>
      <c r="Z6" s="8"/>
      <c r="AA6" s="8"/>
      <c r="AB6" s="8"/>
      <c r="AC6" s="8"/>
      <c r="AD6" s="8"/>
    </row>
    <row r="7" spans="1:30" s="137" customFormat="1" x14ac:dyDescent="0.2">
      <c r="A7" s="8" t="s">
        <v>1154</v>
      </c>
      <c r="B7" s="8" t="s">
        <v>1454</v>
      </c>
      <c r="C7" s="8"/>
      <c r="D7" s="8" t="s">
        <v>1454</v>
      </c>
      <c r="E7" s="8"/>
      <c r="F7" s="8" t="s">
        <v>1454</v>
      </c>
      <c r="G7" s="8"/>
      <c r="H7" s="8" t="s">
        <v>1453</v>
      </c>
      <c r="I7" s="8" t="s">
        <v>1454</v>
      </c>
      <c r="J7" s="8"/>
      <c r="K7" s="8" t="s">
        <v>1454</v>
      </c>
      <c r="L7" s="8"/>
      <c r="M7" s="8" t="s">
        <v>1454</v>
      </c>
      <c r="N7" s="8"/>
      <c r="O7" s="8" t="s">
        <v>1453</v>
      </c>
      <c r="P7" s="8" t="s">
        <v>1454</v>
      </c>
      <c r="Q7" s="8"/>
      <c r="R7" s="8" t="s">
        <v>1454</v>
      </c>
      <c r="S7" s="8"/>
      <c r="T7" s="8" t="s">
        <v>1454</v>
      </c>
      <c r="U7" s="8"/>
      <c r="V7" s="8" t="s">
        <v>1453</v>
      </c>
      <c r="W7" s="8" t="s">
        <v>1454</v>
      </c>
      <c r="X7" s="8"/>
      <c r="Y7" s="8" t="s">
        <v>1454</v>
      </c>
      <c r="Z7" s="8"/>
      <c r="AA7" s="8" t="s">
        <v>1454</v>
      </c>
      <c r="AB7" s="8"/>
      <c r="AC7" s="8" t="s">
        <v>1453</v>
      </c>
      <c r="AD7" s="8"/>
    </row>
    <row r="8" spans="1:30" s="137" customFormat="1" x14ac:dyDescent="0.2"/>
    <row r="9" spans="1:30" s="137" customFormat="1" x14ac:dyDescent="0.2">
      <c r="A9" s="137" t="s">
        <v>1524</v>
      </c>
      <c r="B9" s="137" t="s">
        <v>1527</v>
      </c>
      <c r="C9" s="137" t="s">
        <v>1528</v>
      </c>
      <c r="K9" s="141" t="s">
        <v>1842</v>
      </c>
      <c r="L9" s="141" t="s">
        <v>1844</v>
      </c>
      <c r="M9" s="141" t="s">
        <v>1539</v>
      </c>
      <c r="N9" s="141" t="s">
        <v>1862</v>
      </c>
      <c r="O9" s="141" t="s">
        <v>1876</v>
      </c>
      <c r="P9" s="141" t="s">
        <v>1864</v>
      </c>
      <c r="Q9" s="141" t="s">
        <v>1865</v>
      </c>
      <c r="R9" s="141" t="s">
        <v>1866</v>
      </c>
      <c r="S9" s="141" t="s">
        <v>1880</v>
      </c>
      <c r="T9" s="141" t="s">
        <v>1881</v>
      </c>
      <c r="U9" s="141" t="s">
        <v>1888</v>
      </c>
      <c r="V9" s="141" t="s">
        <v>1890</v>
      </c>
    </row>
    <row r="10" spans="1:30" s="137" customFormat="1" x14ac:dyDescent="0.2">
      <c r="A10" s="137" t="s">
        <v>1525</v>
      </c>
      <c r="B10" s="137">
        <v>20</v>
      </c>
      <c r="C10" s="137" t="s">
        <v>1262</v>
      </c>
      <c r="D10" s="137" t="s">
        <v>1263</v>
      </c>
      <c r="E10" s="155" t="s">
        <v>1268</v>
      </c>
      <c r="F10" s="137" t="s">
        <v>1529</v>
      </c>
      <c r="G10" s="155" t="s">
        <v>1530</v>
      </c>
      <c r="H10" s="137" t="s">
        <v>1531</v>
      </c>
      <c r="I10" s="137" t="s">
        <v>875</v>
      </c>
      <c r="J10" s="154" t="s">
        <v>1269</v>
      </c>
      <c r="K10" s="155" t="s">
        <v>2079</v>
      </c>
      <c r="L10" s="155" t="s">
        <v>1843</v>
      </c>
      <c r="M10" s="137" t="s">
        <v>1841</v>
      </c>
      <c r="N10" s="154" t="s">
        <v>1863</v>
      </c>
      <c r="O10" s="154" t="s">
        <v>1877</v>
      </c>
      <c r="P10" s="137" t="s">
        <v>1363</v>
      </c>
      <c r="Q10" s="155" t="s">
        <v>1312</v>
      </c>
      <c r="R10" s="154" t="s">
        <v>1840</v>
      </c>
      <c r="S10" s="155" t="s">
        <v>1879</v>
      </c>
      <c r="T10" s="137" t="s">
        <v>1882</v>
      </c>
      <c r="U10" s="137" t="s">
        <v>1887</v>
      </c>
      <c r="V10" s="155" t="s">
        <v>1889</v>
      </c>
    </row>
    <row r="11" spans="1:30" s="137" customFormat="1" x14ac:dyDescent="0.2">
      <c r="A11" s="137" t="s">
        <v>1526</v>
      </c>
      <c r="B11" s="137">
        <v>10</v>
      </c>
      <c r="C11" s="137" t="s">
        <v>1533</v>
      </c>
      <c r="D11" s="137" t="s">
        <v>1533</v>
      </c>
      <c r="E11" s="137" t="s">
        <v>378</v>
      </c>
      <c r="F11" s="137" t="s">
        <v>377</v>
      </c>
      <c r="G11" s="137" t="s">
        <v>656</v>
      </c>
      <c r="H11" s="137" t="s">
        <v>1533</v>
      </c>
      <c r="I11" s="137" t="s">
        <v>1533</v>
      </c>
      <c r="J11" s="137" t="s">
        <v>378</v>
      </c>
      <c r="K11" s="137" t="s">
        <v>377</v>
      </c>
      <c r="L11" s="137" t="s">
        <v>656</v>
      </c>
    </row>
    <row r="12" spans="1:30" s="137" customFormat="1" x14ac:dyDescent="0.2">
      <c r="A12" s="137" t="s">
        <v>1532</v>
      </c>
      <c r="B12" s="137">
        <v>20</v>
      </c>
      <c r="C12" s="137">
        <v>1</v>
      </c>
      <c r="D12" s="137">
        <v>1</v>
      </c>
      <c r="E12" s="137">
        <v>1</v>
      </c>
      <c r="F12" s="137">
        <v>1</v>
      </c>
      <c r="G12" s="137">
        <v>1</v>
      </c>
      <c r="H12" s="137">
        <v>2</v>
      </c>
      <c r="I12" s="137">
        <v>2</v>
      </c>
      <c r="J12" s="137">
        <v>2</v>
      </c>
      <c r="K12" s="137">
        <v>2</v>
      </c>
      <c r="L12" s="137">
        <v>2</v>
      </c>
      <c r="M12" s="137">
        <v>3</v>
      </c>
      <c r="N12" s="137">
        <v>3</v>
      </c>
      <c r="O12" s="137">
        <v>3</v>
      </c>
      <c r="P12" s="137">
        <v>3</v>
      </c>
      <c r="Q12" s="137">
        <v>3</v>
      </c>
      <c r="R12" s="137">
        <v>4</v>
      </c>
      <c r="S12" s="137">
        <v>4</v>
      </c>
      <c r="T12" s="137">
        <v>4</v>
      </c>
      <c r="U12" s="137">
        <v>4</v>
      </c>
      <c r="V12" s="137">
        <v>4</v>
      </c>
    </row>
    <row r="13" spans="1:30" s="137" customFormat="1" x14ac:dyDescent="0.2">
      <c r="A13" s="137" t="s">
        <v>1534</v>
      </c>
      <c r="B13" s="137">
        <v>7</v>
      </c>
      <c r="C13" s="137" t="s">
        <v>378</v>
      </c>
      <c r="D13" s="137" t="s">
        <v>377</v>
      </c>
      <c r="E13" s="137" t="s">
        <v>656</v>
      </c>
      <c r="F13" s="140" t="s">
        <v>875</v>
      </c>
      <c r="G13" s="140" t="s">
        <v>1535</v>
      </c>
      <c r="H13" s="140" t="s">
        <v>1874</v>
      </c>
      <c r="I13" s="140" t="s">
        <v>1875</v>
      </c>
      <c r="J13" s="140"/>
    </row>
    <row r="14" spans="1:30" s="137" customFormat="1" x14ac:dyDescent="0.2">
      <c r="A14" s="137" t="s">
        <v>1220</v>
      </c>
      <c r="B14" s="137">
        <v>6</v>
      </c>
      <c r="C14" s="140" t="s">
        <v>1536</v>
      </c>
      <c r="D14" s="140" t="s">
        <v>1537</v>
      </c>
      <c r="E14" s="140" t="s">
        <v>1538</v>
      </c>
      <c r="F14" s="140" t="s">
        <v>1872</v>
      </c>
      <c r="G14" s="140" t="s">
        <v>1878</v>
      </c>
      <c r="H14" s="140" t="s">
        <v>1871</v>
      </c>
    </row>
    <row r="15" spans="1:30" s="137" customFormat="1" x14ac:dyDescent="0.2">
      <c r="M15" s="137" t="s">
        <v>1846</v>
      </c>
      <c r="N15" s="137" t="s">
        <v>1845</v>
      </c>
      <c r="O15" s="137" t="s">
        <v>1847</v>
      </c>
      <c r="P15" s="137" t="s">
        <v>1848</v>
      </c>
      <c r="Q15" s="137" t="s">
        <v>1855</v>
      </c>
      <c r="R15" s="137" t="s">
        <v>1867</v>
      </c>
    </row>
    <row r="16" spans="1:30" s="137" customFormat="1" x14ac:dyDescent="0.2">
      <c r="M16" s="137" t="s">
        <v>1849</v>
      </c>
      <c r="N16" s="137" t="s">
        <v>1883</v>
      </c>
      <c r="Q16" s="137" t="s">
        <v>1856</v>
      </c>
      <c r="R16" s="137" t="s">
        <v>1870</v>
      </c>
    </row>
    <row r="17" spans="1:18" s="137" customFormat="1" x14ac:dyDescent="0.2">
      <c r="M17" s="137" t="s">
        <v>1850</v>
      </c>
      <c r="N17" s="137" t="s">
        <v>1857</v>
      </c>
      <c r="Q17" s="137" t="s">
        <v>1857</v>
      </c>
      <c r="R17" s="137" t="s">
        <v>1868</v>
      </c>
    </row>
    <row r="18" spans="1:18" s="137" customFormat="1" x14ac:dyDescent="0.2">
      <c r="M18" s="137" t="s">
        <v>1851</v>
      </c>
      <c r="N18" s="137" t="s">
        <v>1884</v>
      </c>
      <c r="Q18" s="137" t="s">
        <v>1858</v>
      </c>
      <c r="R18" s="137" t="s">
        <v>1869</v>
      </c>
    </row>
    <row r="19" spans="1:18" s="137" customFormat="1" x14ac:dyDescent="0.2">
      <c r="M19" s="137" t="s">
        <v>1852</v>
      </c>
      <c r="N19" s="137" t="s">
        <v>1885</v>
      </c>
      <c r="Q19" s="137" t="s">
        <v>1859</v>
      </c>
      <c r="R19" s="137" t="s">
        <v>1873</v>
      </c>
    </row>
    <row r="20" spans="1:18" s="137" customFormat="1" x14ac:dyDescent="0.2">
      <c r="M20" s="137" t="s">
        <v>1853</v>
      </c>
      <c r="N20" s="137" t="s">
        <v>1886</v>
      </c>
      <c r="Q20" s="137" t="s">
        <v>1860</v>
      </c>
    </row>
    <row r="21" spans="1:18" s="137" customFormat="1" x14ac:dyDescent="0.2">
      <c r="M21" s="137" t="s">
        <v>1854</v>
      </c>
      <c r="N21" s="6"/>
      <c r="O21" s="6"/>
      <c r="P21" s="6"/>
      <c r="Q21" s="137" t="s">
        <v>1861</v>
      </c>
    </row>
    <row r="23" spans="1:18" s="4" customFormat="1" x14ac:dyDescent="0.2">
      <c r="A23" s="4" t="s">
        <v>1456</v>
      </c>
    </row>
    <row r="24" spans="1:18" x14ac:dyDescent="0.2">
      <c r="A24" s="137" t="s">
        <v>1459</v>
      </c>
    </row>
    <row r="25" spans="1:18" x14ac:dyDescent="0.2">
      <c r="A25" s="8" t="s">
        <v>1464</v>
      </c>
      <c r="B25" s="182" t="s">
        <v>1468</v>
      </c>
      <c r="C25" s="183"/>
      <c r="D25" s="183"/>
      <c r="E25" s="183"/>
      <c r="F25" s="183"/>
      <c r="G25" s="184"/>
      <c r="H25" s="185" t="s">
        <v>1473</v>
      </c>
      <c r="I25" s="185"/>
      <c r="J25" s="185"/>
      <c r="K25" s="185"/>
    </row>
    <row r="26" spans="1:18" x14ac:dyDescent="0.2">
      <c r="A26" s="8" t="s">
        <v>1460</v>
      </c>
      <c r="B26" s="8" t="s">
        <v>1434</v>
      </c>
      <c r="C26" s="8" t="s">
        <v>1465</v>
      </c>
      <c r="D26" s="8" t="s">
        <v>1466</v>
      </c>
      <c r="E26" s="136"/>
      <c r="F26" s="136"/>
      <c r="G26" s="136"/>
      <c r="H26" s="8" t="s">
        <v>1474</v>
      </c>
      <c r="I26" s="8" t="s">
        <v>1475</v>
      </c>
      <c r="J26" s="8"/>
      <c r="K26" s="136"/>
    </row>
    <row r="27" spans="1:18" x14ac:dyDescent="0.2">
      <c r="A27" s="8" t="s">
        <v>1461</v>
      </c>
      <c r="B27" s="8" t="s">
        <v>865</v>
      </c>
      <c r="C27" s="8"/>
      <c r="D27" s="8"/>
      <c r="E27" s="136"/>
      <c r="F27" s="136"/>
      <c r="G27" s="136"/>
      <c r="H27" s="8" t="s">
        <v>1474</v>
      </c>
      <c r="I27" s="8" t="s">
        <v>1475</v>
      </c>
      <c r="J27" s="8"/>
      <c r="K27" s="136"/>
    </row>
    <row r="28" spans="1:18" x14ac:dyDescent="0.2">
      <c r="A28" s="8" t="s">
        <v>1462</v>
      </c>
      <c r="B28" s="8" t="s">
        <v>1220</v>
      </c>
      <c r="C28" s="8" t="s">
        <v>1467</v>
      </c>
      <c r="D28" s="138" t="s">
        <v>1470</v>
      </c>
      <c r="E28" s="138" t="s">
        <v>1478</v>
      </c>
      <c r="F28" s="136"/>
      <c r="G28" s="136"/>
      <c r="H28" s="8" t="s">
        <v>1474</v>
      </c>
      <c r="I28" s="8" t="s">
        <v>1475</v>
      </c>
      <c r="J28" s="138"/>
      <c r="K28" s="136"/>
    </row>
    <row r="29" spans="1:18" x14ac:dyDescent="0.2">
      <c r="A29" s="8" t="s">
        <v>1463</v>
      </c>
      <c r="B29" s="8" t="s">
        <v>1469</v>
      </c>
      <c r="C29" s="138" t="s">
        <v>1471</v>
      </c>
      <c r="D29" s="138" t="s">
        <v>1472</v>
      </c>
      <c r="E29" s="136"/>
      <c r="F29" s="136"/>
      <c r="G29" s="136"/>
      <c r="H29" s="8" t="s">
        <v>1476</v>
      </c>
      <c r="I29" s="8" t="s">
        <v>1477</v>
      </c>
      <c r="J29" s="138"/>
      <c r="K29" s="136"/>
    </row>
    <row r="31" spans="1:18" x14ac:dyDescent="0.2">
      <c r="A31" s="137" t="s">
        <v>1479</v>
      </c>
    </row>
    <row r="32" spans="1:18" x14ac:dyDescent="0.2">
      <c r="A32" s="8" t="s">
        <v>1417</v>
      </c>
      <c r="B32" s="8" t="s">
        <v>1241</v>
      </c>
      <c r="C32" s="136" t="s">
        <v>1480</v>
      </c>
      <c r="D32" s="136" t="s">
        <v>1154</v>
      </c>
    </row>
    <row r="33" spans="1:31" x14ac:dyDescent="0.2">
      <c r="A33" s="8" t="s">
        <v>1463</v>
      </c>
      <c r="B33" s="8" t="s">
        <v>1481</v>
      </c>
      <c r="C33" s="136" t="s">
        <v>1484</v>
      </c>
      <c r="D33" s="136" t="s">
        <v>1485</v>
      </c>
    </row>
    <row r="34" spans="1:31" x14ac:dyDescent="0.2">
      <c r="A34" s="8" t="s">
        <v>1483</v>
      </c>
      <c r="B34" s="8" t="s">
        <v>1482</v>
      </c>
      <c r="C34" s="136" t="s">
        <v>1486</v>
      </c>
      <c r="D34" s="136" t="s">
        <v>1487</v>
      </c>
    </row>
    <row r="35" spans="1:31" x14ac:dyDescent="0.2">
      <c r="A35" s="137"/>
      <c r="B35" s="137"/>
    </row>
    <row r="36" spans="1:31" x14ac:dyDescent="0.2">
      <c r="A36" s="137" t="s">
        <v>1514</v>
      </c>
      <c r="B36" s="137"/>
    </row>
    <row r="37" spans="1:31" x14ac:dyDescent="0.2">
      <c r="A37" s="137" t="s">
        <v>1515</v>
      </c>
      <c r="B37" s="137" t="s">
        <v>1517</v>
      </c>
      <c r="C37" s="137" t="s">
        <v>1518</v>
      </c>
      <c r="D37" s="137" t="s">
        <v>1516</v>
      </c>
      <c r="E37" s="137" t="s">
        <v>1521</v>
      </c>
      <c r="F37" s="137" t="s">
        <v>1522</v>
      </c>
    </row>
    <row r="38" spans="1:31" x14ac:dyDescent="0.2">
      <c r="A38" s="137" t="s">
        <v>1519</v>
      </c>
      <c r="B38" s="137">
        <v>120</v>
      </c>
      <c r="C38" s="137">
        <v>120</v>
      </c>
      <c r="D38" s="137" t="s">
        <v>1520</v>
      </c>
      <c r="E38" s="6">
        <v>30</v>
      </c>
      <c r="F38" s="137">
        <v>120</v>
      </c>
    </row>
    <row r="39" spans="1:31" x14ac:dyDescent="0.2">
      <c r="A39" s="137"/>
      <c r="B39" s="137"/>
    </row>
    <row r="40" spans="1:31" x14ac:dyDescent="0.2">
      <c r="A40" s="137"/>
      <c r="B40" s="137"/>
    </row>
    <row r="41" spans="1:31" x14ac:dyDescent="0.2">
      <c r="A41" s="137"/>
      <c r="B41" s="137"/>
    </row>
    <row r="43" spans="1:31" s="3" customFormat="1" ht="18" x14ac:dyDescent="0.25">
      <c r="A43" s="28" t="s">
        <v>10</v>
      </c>
    </row>
    <row r="44" spans="1:31" s="3" customFormat="1" ht="18" x14ac:dyDescent="0.25">
      <c r="A44" s="28"/>
    </row>
    <row r="45" spans="1:31" s="4" customFormat="1" x14ac:dyDescent="0.2">
      <c r="A45" s="4" t="s">
        <v>25</v>
      </c>
    </row>
    <row r="47" spans="1:31" s="3" customFormat="1" ht="15" thickBot="1" x14ac:dyDescent="0.25">
      <c r="A47" s="5" t="s">
        <v>56</v>
      </c>
      <c r="N47" s="3" t="s">
        <v>1132</v>
      </c>
      <c r="S47" s="3" t="s">
        <v>1139</v>
      </c>
      <c r="Z47" s="3" t="s">
        <v>1143</v>
      </c>
      <c r="AC47" s="3" t="s">
        <v>1144</v>
      </c>
      <c r="AE47" s="3" t="s">
        <v>1154</v>
      </c>
    </row>
    <row r="48" spans="1:31" x14ac:dyDescent="0.2">
      <c r="A48" s="37"/>
      <c r="B48" s="29" t="s">
        <v>32</v>
      </c>
      <c r="C48" s="30" t="s">
        <v>27</v>
      </c>
      <c r="D48" s="34" t="s">
        <v>28</v>
      </c>
      <c r="J48" s="6" t="s">
        <v>1160</v>
      </c>
      <c r="N48" s="6" t="s">
        <v>1133</v>
      </c>
      <c r="O48" s="6" t="s">
        <v>1134</v>
      </c>
      <c r="P48" s="6" t="s">
        <v>1135</v>
      </c>
      <c r="Q48" s="6" t="s">
        <v>1136</v>
      </c>
      <c r="S48" s="6" t="s">
        <v>1140</v>
      </c>
      <c r="T48" s="6" t="s">
        <v>1145</v>
      </c>
      <c r="U48" s="6" t="s">
        <v>61</v>
      </c>
      <c r="Z48" s="6" t="s">
        <v>1146</v>
      </c>
      <c r="AE48" s="6" t="s">
        <v>1155</v>
      </c>
    </row>
    <row r="49" spans="1:31" x14ac:dyDescent="0.2">
      <c r="A49" s="38" t="s">
        <v>29</v>
      </c>
      <c r="B49" s="31">
        <v>0.1</v>
      </c>
      <c r="C49" s="7">
        <v>5</v>
      </c>
      <c r="D49" s="35">
        <v>3</v>
      </c>
      <c r="J49" s="6" t="s">
        <v>1161</v>
      </c>
      <c r="N49" s="6" t="s">
        <v>1137</v>
      </c>
      <c r="O49" s="6" t="s">
        <v>1134</v>
      </c>
      <c r="P49" s="6" t="s">
        <v>1135</v>
      </c>
      <c r="Q49" s="6" t="s">
        <v>1136</v>
      </c>
      <c r="S49" s="6" t="s">
        <v>1141</v>
      </c>
      <c r="T49" s="6" t="s">
        <v>1145</v>
      </c>
      <c r="U49" s="6" t="s">
        <v>61</v>
      </c>
      <c r="AE49" s="6" t="s">
        <v>1155</v>
      </c>
    </row>
    <row r="50" spans="1:31" x14ac:dyDescent="0.2">
      <c r="A50" s="38" t="s">
        <v>30</v>
      </c>
      <c r="B50" s="31">
        <v>0.1</v>
      </c>
      <c r="C50" s="7">
        <v>10</v>
      </c>
      <c r="D50" s="35">
        <v>5</v>
      </c>
      <c r="N50" s="6" t="s">
        <v>1138</v>
      </c>
      <c r="O50" s="6" t="s">
        <v>1134</v>
      </c>
      <c r="P50" s="6" t="s">
        <v>1135</v>
      </c>
      <c r="Q50" s="6" t="s">
        <v>1136</v>
      </c>
      <c r="S50" s="6" t="s">
        <v>1142</v>
      </c>
      <c r="T50" s="6" t="s">
        <v>1145</v>
      </c>
      <c r="U50" s="6" t="s">
        <v>61</v>
      </c>
      <c r="AE50" s="6" t="s">
        <v>1155</v>
      </c>
    </row>
    <row r="51" spans="1:31" ht="15" thickBot="1" x14ac:dyDescent="0.25">
      <c r="A51" s="39" t="s">
        <v>31</v>
      </c>
      <c r="B51" s="32">
        <v>0.1</v>
      </c>
      <c r="C51" s="33">
        <v>20</v>
      </c>
      <c r="D51" s="36">
        <v>5</v>
      </c>
    </row>
    <row r="52" spans="1:31" x14ac:dyDescent="0.2">
      <c r="N52" s="3" t="s">
        <v>1157</v>
      </c>
      <c r="S52" s="3" t="s">
        <v>1147</v>
      </c>
    </row>
    <row r="53" spans="1:31" x14ac:dyDescent="0.2">
      <c r="A53" s="5" t="s">
        <v>664</v>
      </c>
      <c r="B53" s="3"/>
      <c r="C53" s="3"/>
      <c r="D53" s="3"/>
      <c r="N53" s="6" t="s">
        <v>1158</v>
      </c>
      <c r="S53" s="6" t="s">
        <v>1148</v>
      </c>
      <c r="T53" s="6" t="s">
        <v>1151</v>
      </c>
    </row>
    <row r="54" spans="1:31" x14ac:dyDescent="0.2">
      <c r="A54" s="2"/>
      <c r="B54" s="2" t="s">
        <v>53</v>
      </c>
      <c r="C54" s="2" t="s">
        <v>54</v>
      </c>
      <c r="D54" s="2" t="s">
        <v>55</v>
      </c>
      <c r="S54" s="125" t="s">
        <v>1149</v>
      </c>
      <c r="T54" s="125" t="s">
        <v>1152</v>
      </c>
      <c r="U54" s="125"/>
      <c r="V54" s="125"/>
      <c r="W54" s="125"/>
      <c r="X54" s="125"/>
      <c r="Z54" s="6" t="s">
        <v>1156</v>
      </c>
    </row>
    <row r="55" spans="1:31" x14ac:dyDescent="0.2">
      <c r="A55" s="2" t="s">
        <v>57</v>
      </c>
      <c r="B55" s="7">
        <v>1</v>
      </c>
      <c r="C55" s="80">
        <f>B55*3</f>
        <v>3</v>
      </c>
      <c r="D55" s="80">
        <f>C55*8</f>
        <v>24</v>
      </c>
      <c r="S55" s="6" t="s">
        <v>1150</v>
      </c>
      <c r="T55" s="6" t="s">
        <v>1153</v>
      </c>
      <c r="Z55" s="6" t="s">
        <v>1159</v>
      </c>
    </row>
    <row r="57" spans="1:31" s="4" customFormat="1" x14ac:dyDescent="0.2">
      <c r="A57" s="4" t="s">
        <v>18</v>
      </c>
    </row>
    <row r="58" spans="1:31" x14ac:dyDescent="0.2">
      <c r="A58" s="8"/>
      <c r="B58" s="8" t="s">
        <v>58</v>
      </c>
      <c r="C58" s="8" t="s">
        <v>59</v>
      </c>
      <c r="D58" s="8" t="s">
        <v>24</v>
      </c>
      <c r="E58" s="8" t="s">
        <v>1109</v>
      </c>
      <c r="F58" s="8" t="s">
        <v>3669</v>
      </c>
      <c r="G58" s="8" t="s">
        <v>83</v>
      </c>
      <c r="J58" s="8" t="s">
        <v>3669</v>
      </c>
      <c r="K58" s="8" t="s">
        <v>83</v>
      </c>
      <c r="L58" s="8" t="s">
        <v>58</v>
      </c>
    </row>
    <row r="59" spans="1:31" x14ac:dyDescent="0.2">
      <c r="A59" s="8" t="s">
        <v>48</v>
      </c>
      <c r="B59" s="9">
        <v>1</v>
      </c>
      <c r="C59" s="9">
        <v>1</v>
      </c>
      <c r="D59" s="7" t="s">
        <v>51</v>
      </c>
      <c r="E59" s="7" t="s">
        <v>51</v>
      </c>
      <c r="F59" s="7" t="s">
        <v>51</v>
      </c>
      <c r="G59" s="7">
        <v>200</v>
      </c>
      <c r="J59" s="7" t="s">
        <v>1134</v>
      </c>
      <c r="K59" s="7">
        <v>100</v>
      </c>
      <c r="L59" s="7">
        <v>2</v>
      </c>
    </row>
    <row r="60" spans="1:31" x14ac:dyDescent="0.2">
      <c r="A60" s="8" t="s">
        <v>33</v>
      </c>
      <c r="B60" s="9">
        <f>VLOOKUP(F60,$J$59:$L$61,3,FALSE)</f>
        <v>2</v>
      </c>
      <c r="C60" s="9">
        <f>B60</f>
        <v>2</v>
      </c>
      <c r="D60" s="7" t="s">
        <v>49</v>
      </c>
      <c r="E60" s="7" t="s">
        <v>1116</v>
      </c>
      <c r="F60" s="7" t="s">
        <v>1134</v>
      </c>
      <c r="G60" s="7">
        <f>VLOOKUP(F60,$J$59:$L$61,2,FALSE)</f>
        <v>100</v>
      </c>
      <c r="J60" s="7" t="s">
        <v>1135</v>
      </c>
      <c r="K60" s="7">
        <v>200</v>
      </c>
      <c r="L60" s="7">
        <v>1.75</v>
      </c>
    </row>
    <row r="61" spans="1:31" x14ac:dyDescent="0.2">
      <c r="A61" s="8" t="s">
        <v>34</v>
      </c>
      <c r="B61" s="9">
        <f t="shared" ref="B61:B74" si="0">VLOOKUP(F61,$J$59:$L$61,3,FALSE)</f>
        <v>2</v>
      </c>
      <c r="C61" s="9">
        <f t="shared" ref="C61:C70" si="1">B61</f>
        <v>2</v>
      </c>
      <c r="D61" s="7" t="s">
        <v>49</v>
      </c>
      <c r="E61" s="7" t="s">
        <v>1110</v>
      </c>
      <c r="F61" s="7" t="s">
        <v>1134</v>
      </c>
      <c r="G61" s="7">
        <f t="shared" ref="G61:G74" si="2">VLOOKUP(F61,$J$59:$L$61,2,FALSE)</f>
        <v>100</v>
      </c>
      <c r="J61" s="7" t="s">
        <v>1136</v>
      </c>
      <c r="K61" s="7">
        <v>300</v>
      </c>
      <c r="L61" s="7">
        <v>1.5</v>
      </c>
    </row>
    <row r="62" spans="1:31" x14ac:dyDescent="0.2">
      <c r="A62" s="8" t="s">
        <v>35</v>
      </c>
      <c r="B62" s="9">
        <f t="shared" si="0"/>
        <v>2</v>
      </c>
      <c r="C62" s="9">
        <f t="shared" si="1"/>
        <v>2</v>
      </c>
      <c r="D62" s="7" t="s">
        <v>43</v>
      </c>
      <c r="E62" s="7" t="s">
        <v>1111</v>
      </c>
      <c r="F62" s="7" t="s">
        <v>1134</v>
      </c>
      <c r="G62" s="7">
        <f t="shared" si="2"/>
        <v>100</v>
      </c>
    </row>
    <row r="63" spans="1:31" x14ac:dyDescent="0.2">
      <c r="A63" s="8" t="s">
        <v>36</v>
      </c>
      <c r="B63" s="9">
        <f t="shared" si="0"/>
        <v>1.75</v>
      </c>
      <c r="C63" s="9">
        <f>B63/1.5</f>
        <v>1.1666666666666667</v>
      </c>
      <c r="D63" s="7" t="s">
        <v>44</v>
      </c>
      <c r="E63" s="7" t="s">
        <v>1112</v>
      </c>
      <c r="F63" s="7" t="s">
        <v>1135</v>
      </c>
      <c r="G63" s="7">
        <f t="shared" si="2"/>
        <v>200</v>
      </c>
    </row>
    <row r="64" spans="1:31" x14ac:dyDescent="0.2">
      <c r="A64" s="8" t="s">
        <v>37</v>
      </c>
      <c r="B64" s="9">
        <f t="shared" si="0"/>
        <v>1.5</v>
      </c>
      <c r="C64" s="9">
        <f t="shared" si="1"/>
        <v>1.5</v>
      </c>
      <c r="D64" s="7" t="s">
        <v>50</v>
      </c>
      <c r="E64" s="7" t="s">
        <v>1130</v>
      </c>
      <c r="F64" s="7" t="s">
        <v>1136</v>
      </c>
      <c r="G64" s="7">
        <f t="shared" si="2"/>
        <v>300</v>
      </c>
    </row>
    <row r="65" spans="1:13" x14ac:dyDescent="0.2">
      <c r="A65" s="8" t="s">
        <v>38</v>
      </c>
      <c r="B65" s="9">
        <f t="shared" si="0"/>
        <v>1.75</v>
      </c>
      <c r="C65" s="9">
        <f>B65/1.5</f>
        <v>1.1666666666666667</v>
      </c>
      <c r="D65" s="7" t="s">
        <v>95</v>
      </c>
      <c r="E65" s="7" t="s">
        <v>1131</v>
      </c>
      <c r="F65" s="7" t="s">
        <v>1135</v>
      </c>
      <c r="G65" s="7">
        <f t="shared" si="2"/>
        <v>200</v>
      </c>
    </row>
    <row r="66" spans="1:13" x14ac:dyDescent="0.2">
      <c r="A66" s="8" t="s">
        <v>39</v>
      </c>
      <c r="B66" s="9">
        <v>1</v>
      </c>
      <c r="C66" s="9">
        <f t="shared" si="1"/>
        <v>1</v>
      </c>
      <c r="D66" s="7" t="s">
        <v>41</v>
      </c>
      <c r="E66" s="7" t="s">
        <v>1113</v>
      </c>
      <c r="F66" s="7" t="s">
        <v>1134</v>
      </c>
      <c r="G66" s="7">
        <f t="shared" si="2"/>
        <v>100</v>
      </c>
    </row>
    <row r="67" spans="1:13" x14ac:dyDescent="0.2">
      <c r="A67" s="8" t="s">
        <v>40</v>
      </c>
      <c r="B67" s="9">
        <v>1</v>
      </c>
      <c r="C67" s="9">
        <f t="shared" si="1"/>
        <v>1</v>
      </c>
      <c r="D67" s="7" t="s">
        <v>42</v>
      </c>
      <c r="E67" s="7" t="s">
        <v>1114</v>
      </c>
      <c r="F67" s="7" t="s">
        <v>1134</v>
      </c>
      <c r="G67" s="7">
        <f t="shared" si="2"/>
        <v>100</v>
      </c>
    </row>
    <row r="68" spans="1:13" x14ac:dyDescent="0.2">
      <c r="A68" s="8" t="s">
        <v>1311</v>
      </c>
      <c r="B68" s="9">
        <f t="shared" si="0"/>
        <v>1.5</v>
      </c>
      <c r="C68" s="9">
        <f t="shared" si="1"/>
        <v>1.5</v>
      </c>
      <c r="D68" s="7" t="s">
        <v>1104</v>
      </c>
      <c r="E68" s="7" t="s">
        <v>1523</v>
      </c>
      <c r="F68" s="7" t="s">
        <v>1136</v>
      </c>
      <c r="G68" s="7">
        <f t="shared" si="2"/>
        <v>300</v>
      </c>
    </row>
    <row r="69" spans="1:13" x14ac:dyDescent="0.2">
      <c r="A69" s="8" t="s">
        <v>1363</v>
      </c>
      <c r="B69" s="9">
        <f t="shared" si="0"/>
        <v>2</v>
      </c>
      <c r="C69" s="9">
        <f t="shared" si="1"/>
        <v>2</v>
      </c>
      <c r="D69" s="7" t="s">
        <v>1313</v>
      </c>
      <c r="E69" s="7" t="s">
        <v>388</v>
      </c>
      <c r="F69" s="7" t="s">
        <v>1134</v>
      </c>
      <c r="G69" s="7">
        <f t="shared" si="2"/>
        <v>100</v>
      </c>
    </row>
    <row r="70" spans="1:13" x14ac:dyDescent="0.2">
      <c r="A70" s="8" t="s">
        <v>1312</v>
      </c>
      <c r="B70" s="9">
        <f t="shared" si="0"/>
        <v>1.75</v>
      </c>
      <c r="C70" s="9">
        <f t="shared" si="1"/>
        <v>1.75</v>
      </c>
      <c r="D70" s="7" t="s">
        <v>868</v>
      </c>
      <c r="E70" s="7" t="s">
        <v>1334</v>
      </c>
      <c r="F70" s="7" t="s">
        <v>1135</v>
      </c>
      <c r="G70" s="7">
        <f t="shared" si="2"/>
        <v>200</v>
      </c>
    </row>
    <row r="71" spans="1:13" x14ac:dyDescent="0.2">
      <c r="A71" s="8" t="s">
        <v>2967</v>
      </c>
      <c r="B71" s="9">
        <f t="shared" si="0"/>
        <v>1.75</v>
      </c>
      <c r="C71" s="9">
        <f>B71/1.5</f>
        <v>1.1666666666666667</v>
      </c>
      <c r="D71" s="7" t="s">
        <v>1891</v>
      </c>
      <c r="E71" s="7" t="s">
        <v>1892</v>
      </c>
      <c r="F71" s="7" t="s">
        <v>1135</v>
      </c>
      <c r="G71" s="7">
        <f t="shared" si="2"/>
        <v>200</v>
      </c>
    </row>
    <row r="72" spans="1:13" x14ac:dyDescent="0.2">
      <c r="A72" s="8" t="s">
        <v>2965</v>
      </c>
      <c r="B72" s="9">
        <v>1</v>
      </c>
      <c r="C72" s="9">
        <f>B72/1.5</f>
        <v>0.66666666666666663</v>
      </c>
      <c r="D72" s="7" t="s">
        <v>1893</v>
      </c>
      <c r="E72" s="7" t="s">
        <v>1895</v>
      </c>
      <c r="F72" s="7" t="s">
        <v>1135</v>
      </c>
      <c r="G72" s="7">
        <f t="shared" si="2"/>
        <v>200</v>
      </c>
    </row>
    <row r="73" spans="1:13" x14ac:dyDescent="0.2">
      <c r="A73" s="8" t="s">
        <v>3002</v>
      </c>
      <c r="B73" s="9">
        <f t="shared" si="0"/>
        <v>1.75</v>
      </c>
      <c r="C73" s="9">
        <f t="shared" ref="C73:C74" si="3">B73</f>
        <v>1.75</v>
      </c>
      <c r="D73" s="7" t="s">
        <v>2961</v>
      </c>
      <c r="E73" s="7" t="s">
        <v>1897</v>
      </c>
      <c r="F73" s="7" t="s">
        <v>1135</v>
      </c>
      <c r="G73" s="7">
        <f t="shared" si="2"/>
        <v>200</v>
      </c>
    </row>
    <row r="74" spans="1:13" x14ac:dyDescent="0.2">
      <c r="A74" s="8" t="s">
        <v>2971</v>
      </c>
      <c r="B74" s="9">
        <f t="shared" si="0"/>
        <v>1.75</v>
      </c>
      <c r="C74" s="9">
        <f t="shared" si="3"/>
        <v>1.75</v>
      </c>
      <c r="D74" s="7" t="s">
        <v>1894</v>
      </c>
      <c r="E74" s="7" t="s">
        <v>1896</v>
      </c>
      <c r="F74" s="7" t="s">
        <v>1135</v>
      </c>
      <c r="G74" s="7">
        <f t="shared" si="2"/>
        <v>200</v>
      </c>
    </row>
    <row r="75" spans="1:13" x14ac:dyDescent="0.2">
      <c r="A75" s="8"/>
      <c r="B75" s="9"/>
      <c r="C75" s="9"/>
      <c r="D75" s="7"/>
      <c r="E75" s="7"/>
      <c r="F75" s="7"/>
      <c r="G75" s="7"/>
    </row>
    <row r="76" spans="1:13" x14ac:dyDescent="0.2">
      <c r="D76" s="3"/>
      <c r="E76" s="3"/>
      <c r="F76" s="3"/>
      <c r="G76" s="3"/>
      <c r="M76" s="114"/>
    </row>
    <row r="77" spans="1:13" x14ac:dyDescent="0.2">
      <c r="A77" s="8"/>
      <c r="B77" s="8" t="s">
        <v>52</v>
      </c>
      <c r="C77" s="8" t="s">
        <v>379</v>
      </c>
      <c r="E77" s="3"/>
      <c r="F77" s="3"/>
      <c r="G77" s="3"/>
      <c r="M77" s="3"/>
    </row>
    <row r="78" spans="1:13" x14ac:dyDescent="0.2">
      <c r="A78" s="8" t="s">
        <v>45</v>
      </c>
      <c r="B78" s="10">
        <v>1</v>
      </c>
      <c r="C78" s="11">
        <f>B78*1</f>
        <v>1</v>
      </c>
      <c r="E78" s="3"/>
      <c r="F78" s="3"/>
      <c r="G78" s="3"/>
      <c r="M78" s="114"/>
    </row>
    <row r="79" spans="1:13" x14ac:dyDescent="0.2">
      <c r="A79" s="8" t="s">
        <v>46</v>
      </c>
      <c r="B79" s="10">
        <v>0.9</v>
      </c>
      <c r="C79" s="11">
        <f>B79*3</f>
        <v>2.7</v>
      </c>
      <c r="E79" s="3"/>
      <c r="F79" s="3"/>
      <c r="G79" s="3"/>
    </row>
    <row r="80" spans="1:13" x14ac:dyDescent="0.2">
      <c r="A80" s="8" t="s">
        <v>47</v>
      </c>
      <c r="B80" s="10">
        <v>0.9</v>
      </c>
      <c r="C80" s="11">
        <f>B80*9</f>
        <v>8.1</v>
      </c>
      <c r="E80" s="3"/>
      <c r="F80" s="3"/>
      <c r="G80" s="3"/>
    </row>
    <row r="82" spans="1:9" s="4" customFormat="1" x14ac:dyDescent="0.2">
      <c r="A82" s="4" t="s">
        <v>26</v>
      </c>
    </row>
    <row r="83" spans="1:9" x14ac:dyDescent="0.2">
      <c r="A83" s="5" t="s">
        <v>390</v>
      </c>
    </row>
    <row r="84" spans="1:9" x14ac:dyDescent="0.2">
      <c r="A84" s="83" t="s">
        <v>405</v>
      </c>
      <c r="B84" s="83" t="s">
        <v>406</v>
      </c>
      <c r="C84" s="83" t="s">
        <v>408</v>
      </c>
      <c r="D84" s="83" t="s">
        <v>407</v>
      </c>
      <c r="E84" s="8" t="s">
        <v>427</v>
      </c>
      <c r="F84" s="8" t="s">
        <v>429</v>
      </c>
      <c r="G84" s="8" t="s">
        <v>430</v>
      </c>
      <c r="H84" s="8" t="s">
        <v>564</v>
      </c>
      <c r="I84" s="8" t="s">
        <v>2960</v>
      </c>
    </row>
    <row r="85" spans="1:9" x14ac:dyDescent="0.2">
      <c r="A85" s="2">
        <v>1</v>
      </c>
      <c r="B85" s="89" t="s">
        <v>573</v>
      </c>
      <c r="C85" s="89" t="s">
        <v>572</v>
      </c>
      <c r="D85" s="2" t="s">
        <v>410</v>
      </c>
      <c r="E85" s="7">
        <v>0.25</v>
      </c>
      <c r="F85" s="7">
        <v>0.25</v>
      </c>
      <c r="G85" s="7">
        <v>2</v>
      </c>
      <c r="H85" s="7">
        <v>1</v>
      </c>
      <c r="I85" s="7"/>
    </row>
    <row r="86" spans="1:9" x14ac:dyDescent="0.2">
      <c r="A86" s="2">
        <v>2</v>
      </c>
      <c r="B86" s="89" t="s">
        <v>574</v>
      </c>
      <c r="C86" s="89" t="s">
        <v>411</v>
      </c>
      <c r="D86" s="2" t="s">
        <v>410</v>
      </c>
      <c r="E86" s="7">
        <v>1</v>
      </c>
      <c r="F86" s="7">
        <v>1</v>
      </c>
      <c r="G86" s="7">
        <v>2</v>
      </c>
      <c r="H86" s="7">
        <v>1.5</v>
      </c>
      <c r="I86" s="7"/>
    </row>
    <row r="87" spans="1:9" x14ac:dyDescent="0.2">
      <c r="A87" s="2">
        <v>3</v>
      </c>
      <c r="B87" s="89" t="s">
        <v>575</v>
      </c>
      <c r="C87" s="89" t="s">
        <v>412</v>
      </c>
      <c r="D87" s="2" t="s">
        <v>410</v>
      </c>
      <c r="E87" s="7">
        <v>20</v>
      </c>
      <c r="F87" s="7">
        <v>20</v>
      </c>
      <c r="G87" s="7">
        <v>1.25</v>
      </c>
      <c r="H87" s="7">
        <v>2.5</v>
      </c>
      <c r="I87" s="7"/>
    </row>
    <row r="88" spans="1:9" x14ac:dyDescent="0.2">
      <c r="A88" s="2">
        <v>4</v>
      </c>
      <c r="B88" s="89" t="s">
        <v>576</v>
      </c>
      <c r="C88" s="89" t="s">
        <v>413</v>
      </c>
      <c r="D88" s="2" t="s">
        <v>410</v>
      </c>
      <c r="E88" s="7">
        <v>0.25</v>
      </c>
      <c r="F88" s="7">
        <v>0.25</v>
      </c>
      <c r="G88" s="7">
        <v>2</v>
      </c>
      <c r="H88" s="7">
        <v>1</v>
      </c>
      <c r="I88" s="7"/>
    </row>
    <row r="89" spans="1:9" x14ac:dyDescent="0.2">
      <c r="A89" s="2">
        <v>5</v>
      </c>
      <c r="B89" s="89" t="s">
        <v>577</v>
      </c>
      <c r="C89" s="89" t="s">
        <v>414</v>
      </c>
      <c r="D89" s="2" t="s">
        <v>410</v>
      </c>
      <c r="E89" s="7">
        <v>0.5</v>
      </c>
      <c r="F89" s="7">
        <v>0.25</v>
      </c>
      <c r="G89" s="7">
        <v>2</v>
      </c>
      <c r="H89" s="7">
        <v>1.5</v>
      </c>
      <c r="I89" s="7"/>
    </row>
    <row r="90" spans="1:9" x14ac:dyDescent="0.2">
      <c r="A90" s="2">
        <v>6</v>
      </c>
      <c r="B90" s="89" t="s">
        <v>578</v>
      </c>
      <c r="C90" s="89" t="s">
        <v>415</v>
      </c>
      <c r="D90" s="2" t="s">
        <v>384</v>
      </c>
      <c r="E90" s="7">
        <v>0.5</v>
      </c>
      <c r="F90" s="7">
        <v>0.5</v>
      </c>
      <c r="G90" s="7">
        <v>3</v>
      </c>
      <c r="H90" s="7">
        <v>1</v>
      </c>
      <c r="I90" s="7"/>
    </row>
    <row r="91" spans="1:9" x14ac:dyDescent="0.2">
      <c r="A91" s="2">
        <v>7</v>
      </c>
      <c r="B91" s="89" t="s">
        <v>579</v>
      </c>
      <c r="C91" s="89" t="s">
        <v>416</v>
      </c>
      <c r="D91" s="2" t="s">
        <v>384</v>
      </c>
      <c r="E91" s="7">
        <v>1</v>
      </c>
      <c r="F91" s="7">
        <v>0.5</v>
      </c>
      <c r="G91" s="7">
        <v>3</v>
      </c>
      <c r="H91" s="7">
        <v>1.5</v>
      </c>
      <c r="I91" s="7"/>
    </row>
    <row r="92" spans="1:9" x14ac:dyDescent="0.2">
      <c r="A92" s="2">
        <v>8</v>
      </c>
      <c r="B92" s="89" t="s">
        <v>580</v>
      </c>
      <c r="C92" s="89" t="s">
        <v>417</v>
      </c>
      <c r="D92" s="2" t="s">
        <v>384</v>
      </c>
      <c r="E92" s="7">
        <v>10</v>
      </c>
      <c r="F92" s="7">
        <v>10</v>
      </c>
      <c r="G92" s="7">
        <v>1.25</v>
      </c>
      <c r="H92" s="7">
        <v>2.5</v>
      </c>
      <c r="I92" s="7"/>
    </row>
    <row r="93" spans="1:9" x14ac:dyDescent="0.2">
      <c r="A93" s="2">
        <v>9</v>
      </c>
      <c r="B93" s="89" t="s">
        <v>581</v>
      </c>
      <c r="C93" s="89" t="s">
        <v>418</v>
      </c>
      <c r="D93" s="2" t="s">
        <v>387</v>
      </c>
      <c r="E93" s="7">
        <v>1.5</v>
      </c>
      <c r="F93" s="7">
        <v>1</v>
      </c>
      <c r="G93" s="7">
        <v>2</v>
      </c>
      <c r="H93" s="7">
        <v>1</v>
      </c>
      <c r="I93" s="7" t="s">
        <v>3267</v>
      </c>
    </row>
    <row r="94" spans="1:9" x14ac:dyDescent="0.2">
      <c r="A94" s="2">
        <v>10</v>
      </c>
      <c r="B94" s="89" t="s">
        <v>582</v>
      </c>
      <c r="C94" s="89" t="s">
        <v>419</v>
      </c>
      <c r="D94" s="2" t="s">
        <v>387</v>
      </c>
      <c r="E94" s="7">
        <v>3</v>
      </c>
      <c r="F94" s="7">
        <v>1</v>
      </c>
      <c r="G94" s="7">
        <v>2</v>
      </c>
      <c r="H94" s="7">
        <v>1.5</v>
      </c>
      <c r="I94" s="7" t="s">
        <v>3267</v>
      </c>
    </row>
    <row r="95" spans="1:9" x14ac:dyDescent="0.2">
      <c r="A95" s="2">
        <v>11</v>
      </c>
      <c r="B95" s="89" t="s">
        <v>583</v>
      </c>
      <c r="C95" s="89" t="s">
        <v>420</v>
      </c>
      <c r="D95" s="2" t="s">
        <v>387</v>
      </c>
      <c r="E95" s="7">
        <v>20</v>
      </c>
      <c r="F95" s="7">
        <v>20</v>
      </c>
      <c r="G95" s="7">
        <v>1.25</v>
      </c>
      <c r="H95" s="7">
        <v>2.5</v>
      </c>
      <c r="I95" s="7" t="s">
        <v>3267</v>
      </c>
    </row>
    <row r="96" spans="1:9" x14ac:dyDescent="0.2">
      <c r="A96" s="2">
        <v>12</v>
      </c>
      <c r="B96" s="89" t="s">
        <v>584</v>
      </c>
      <c r="C96" s="89" t="s">
        <v>421</v>
      </c>
      <c r="D96" s="2" t="s">
        <v>409</v>
      </c>
      <c r="E96" s="7">
        <v>0.5</v>
      </c>
      <c r="F96" s="7">
        <v>0.5</v>
      </c>
      <c r="G96" s="7">
        <v>2</v>
      </c>
      <c r="H96" s="7">
        <v>1</v>
      </c>
      <c r="I96" s="7" t="s">
        <v>3268</v>
      </c>
    </row>
    <row r="97" spans="1:9" x14ac:dyDescent="0.2">
      <c r="A97" s="2">
        <v>13</v>
      </c>
      <c r="B97" s="89" t="s">
        <v>585</v>
      </c>
      <c r="C97" s="89" t="s">
        <v>422</v>
      </c>
      <c r="D97" s="2" t="s">
        <v>409</v>
      </c>
      <c r="E97" s="7">
        <v>1</v>
      </c>
      <c r="F97" s="7">
        <v>0.5</v>
      </c>
      <c r="G97" s="7">
        <v>2</v>
      </c>
      <c r="H97" s="7">
        <v>1.5</v>
      </c>
      <c r="I97" s="7" t="s">
        <v>3268</v>
      </c>
    </row>
    <row r="98" spans="1:9" x14ac:dyDescent="0.2">
      <c r="A98" s="2">
        <v>14</v>
      </c>
      <c r="B98" s="89" t="s">
        <v>586</v>
      </c>
      <c r="C98" s="89" t="s">
        <v>423</v>
      </c>
      <c r="D98" s="2" t="s">
        <v>409</v>
      </c>
      <c r="E98" s="7">
        <v>20</v>
      </c>
      <c r="F98" s="7">
        <v>10</v>
      </c>
      <c r="G98" s="7">
        <v>1.25</v>
      </c>
      <c r="H98" s="7">
        <v>2.5</v>
      </c>
      <c r="I98" s="7" t="s">
        <v>3268</v>
      </c>
    </row>
    <row r="99" spans="1:9" x14ac:dyDescent="0.2">
      <c r="A99" s="2">
        <v>15</v>
      </c>
      <c r="B99" s="89" t="s">
        <v>587</v>
      </c>
      <c r="C99" s="89" t="s">
        <v>424</v>
      </c>
      <c r="D99" s="2" t="s">
        <v>410</v>
      </c>
      <c r="E99" s="7">
        <v>1</v>
      </c>
      <c r="F99" s="7">
        <v>1</v>
      </c>
      <c r="G99" s="7">
        <v>2</v>
      </c>
      <c r="H99" s="7">
        <v>1</v>
      </c>
      <c r="I99" s="7"/>
    </row>
    <row r="100" spans="1:9" x14ac:dyDescent="0.2">
      <c r="A100" s="2">
        <v>16</v>
      </c>
      <c r="B100" s="89" t="s">
        <v>588</v>
      </c>
      <c r="C100" s="89" t="s">
        <v>425</v>
      </c>
      <c r="D100" s="2" t="s">
        <v>388</v>
      </c>
      <c r="E100" s="7">
        <v>2</v>
      </c>
      <c r="F100" s="7">
        <v>1</v>
      </c>
      <c r="G100" s="7">
        <v>2</v>
      </c>
      <c r="H100" s="7">
        <v>1.5</v>
      </c>
      <c r="I100" s="7" t="s">
        <v>3269</v>
      </c>
    </row>
    <row r="101" spans="1:9" x14ac:dyDescent="0.2">
      <c r="A101" s="2">
        <v>17</v>
      </c>
      <c r="B101" s="89" t="s">
        <v>589</v>
      </c>
      <c r="C101" s="89" t="s">
        <v>426</v>
      </c>
      <c r="D101" s="2" t="s">
        <v>388</v>
      </c>
      <c r="E101" s="7">
        <v>20</v>
      </c>
      <c r="F101" s="7">
        <v>20</v>
      </c>
      <c r="G101" s="7">
        <v>1.25</v>
      </c>
      <c r="H101" s="7">
        <v>2.5</v>
      </c>
      <c r="I101" s="7" t="s">
        <v>3269</v>
      </c>
    </row>
    <row r="102" spans="1:9" x14ac:dyDescent="0.2">
      <c r="A102" s="2">
        <v>18</v>
      </c>
      <c r="B102" s="89" t="s">
        <v>869</v>
      </c>
      <c r="C102" s="89" t="s">
        <v>872</v>
      </c>
      <c r="D102" s="2" t="s">
        <v>875</v>
      </c>
      <c r="E102" s="7">
        <v>1</v>
      </c>
      <c r="F102" s="7">
        <v>1</v>
      </c>
      <c r="G102" s="7">
        <v>2</v>
      </c>
      <c r="H102" s="7">
        <v>1</v>
      </c>
      <c r="I102" s="7" t="s">
        <v>3270</v>
      </c>
    </row>
    <row r="103" spans="1:9" x14ac:dyDescent="0.2">
      <c r="A103" s="2">
        <v>19</v>
      </c>
      <c r="B103" s="89" t="s">
        <v>870</v>
      </c>
      <c r="C103" s="89" t="s">
        <v>873</v>
      </c>
      <c r="D103" s="2" t="s">
        <v>875</v>
      </c>
      <c r="E103" s="7">
        <v>2</v>
      </c>
      <c r="F103" s="7">
        <v>1</v>
      </c>
      <c r="G103" s="7">
        <v>2</v>
      </c>
      <c r="H103" s="7">
        <v>1.5</v>
      </c>
      <c r="I103" s="7" t="s">
        <v>3273</v>
      </c>
    </row>
    <row r="104" spans="1:9" x14ac:dyDescent="0.2">
      <c r="A104" s="2">
        <v>20</v>
      </c>
      <c r="B104" s="89" t="s">
        <v>871</v>
      </c>
      <c r="C104" s="89" t="s">
        <v>874</v>
      </c>
      <c r="D104" s="2" t="s">
        <v>875</v>
      </c>
      <c r="E104" s="7">
        <v>4</v>
      </c>
      <c r="F104" s="7">
        <v>1</v>
      </c>
      <c r="G104" s="7">
        <v>2</v>
      </c>
      <c r="H104" s="7">
        <v>2.5</v>
      </c>
      <c r="I104" s="7" t="s">
        <v>3274</v>
      </c>
    </row>
    <row r="105" spans="1:9" x14ac:dyDescent="0.2">
      <c r="A105" s="2">
        <v>21</v>
      </c>
      <c r="B105" s="89" t="s">
        <v>1977</v>
      </c>
      <c r="C105" s="89" t="s">
        <v>1980</v>
      </c>
      <c r="D105" s="2" t="s">
        <v>1989</v>
      </c>
      <c r="E105" s="7">
        <v>8</v>
      </c>
      <c r="F105" s="7">
        <v>10</v>
      </c>
      <c r="G105" s="7">
        <v>2</v>
      </c>
      <c r="H105" s="7">
        <v>1</v>
      </c>
      <c r="I105" s="7"/>
    </row>
    <row r="106" spans="1:9" x14ac:dyDescent="0.2">
      <c r="A106" s="2">
        <v>22</v>
      </c>
      <c r="B106" s="89" t="s">
        <v>1978</v>
      </c>
      <c r="C106" s="89" t="s">
        <v>1981</v>
      </c>
      <c r="D106" s="2" t="s">
        <v>1989</v>
      </c>
      <c r="E106" s="7">
        <v>8</v>
      </c>
      <c r="F106" s="7">
        <v>15</v>
      </c>
      <c r="G106" s="7">
        <v>2</v>
      </c>
      <c r="H106" s="7">
        <v>1.5</v>
      </c>
      <c r="I106" s="7"/>
    </row>
    <row r="107" spans="1:9" x14ac:dyDescent="0.2">
      <c r="A107" s="2">
        <v>23</v>
      </c>
      <c r="B107" s="89" t="s">
        <v>1979</v>
      </c>
      <c r="C107" s="89" t="s">
        <v>1982</v>
      </c>
      <c r="D107" s="2" t="s">
        <v>1989</v>
      </c>
      <c r="E107" s="7">
        <v>8</v>
      </c>
      <c r="F107" s="7">
        <v>20</v>
      </c>
      <c r="G107" s="7">
        <v>2</v>
      </c>
      <c r="H107" s="7">
        <v>2.5</v>
      </c>
      <c r="I107" s="7"/>
    </row>
    <row r="108" spans="1:9" x14ac:dyDescent="0.2">
      <c r="A108" s="2">
        <v>21</v>
      </c>
      <c r="B108" s="89" t="s">
        <v>1968</v>
      </c>
      <c r="C108" s="89" t="s">
        <v>1983</v>
      </c>
      <c r="D108" s="2" t="s">
        <v>1990</v>
      </c>
      <c r="E108" s="7">
        <v>5</v>
      </c>
      <c r="F108" s="7">
        <v>1</v>
      </c>
      <c r="G108" s="7">
        <v>2</v>
      </c>
      <c r="H108" s="7">
        <v>1</v>
      </c>
      <c r="I108" s="7" t="s">
        <v>3271</v>
      </c>
    </row>
    <row r="109" spans="1:9" x14ac:dyDescent="0.2">
      <c r="A109" s="2">
        <v>22</v>
      </c>
      <c r="B109" s="89" t="s">
        <v>1969</v>
      </c>
      <c r="C109" s="89" t="s">
        <v>1984</v>
      </c>
      <c r="D109" s="2" t="s">
        <v>1990</v>
      </c>
      <c r="E109" s="7">
        <v>10</v>
      </c>
      <c r="F109" s="7">
        <v>1</v>
      </c>
      <c r="G109" s="7">
        <v>2</v>
      </c>
      <c r="H109" s="7">
        <v>1.5</v>
      </c>
      <c r="I109" s="7" t="s">
        <v>3275</v>
      </c>
    </row>
    <row r="110" spans="1:9" x14ac:dyDescent="0.2">
      <c r="A110" s="2">
        <v>23</v>
      </c>
      <c r="B110" s="89" t="s">
        <v>1970</v>
      </c>
      <c r="C110" s="89" t="s">
        <v>1985</v>
      </c>
      <c r="D110" s="2" t="s">
        <v>1990</v>
      </c>
      <c r="E110" s="7">
        <v>20</v>
      </c>
      <c r="F110" s="7">
        <v>1</v>
      </c>
      <c r="G110" s="7">
        <v>2</v>
      </c>
      <c r="H110" s="7">
        <v>2.5</v>
      </c>
      <c r="I110" s="7" t="s">
        <v>3276</v>
      </c>
    </row>
    <row r="111" spans="1:9" x14ac:dyDescent="0.2">
      <c r="A111" s="2">
        <v>21</v>
      </c>
      <c r="B111" s="89" t="s">
        <v>1971</v>
      </c>
      <c r="C111" s="89" t="s">
        <v>1986</v>
      </c>
      <c r="D111" s="2" t="s">
        <v>1991</v>
      </c>
      <c r="E111" s="7">
        <v>1</v>
      </c>
      <c r="F111" s="7">
        <v>1</v>
      </c>
      <c r="G111" s="7">
        <v>2</v>
      </c>
      <c r="H111" s="7">
        <v>1</v>
      </c>
      <c r="I111" s="7" t="s">
        <v>3272</v>
      </c>
    </row>
    <row r="112" spans="1:9" x14ac:dyDescent="0.2">
      <c r="A112" s="2">
        <v>22</v>
      </c>
      <c r="B112" s="89" t="s">
        <v>1972</v>
      </c>
      <c r="C112" s="89" t="s">
        <v>1987</v>
      </c>
      <c r="D112" s="2" t="s">
        <v>1991</v>
      </c>
      <c r="E112" s="7">
        <v>2</v>
      </c>
      <c r="F112" s="7">
        <v>1</v>
      </c>
      <c r="G112" s="7">
        <v>2</v>
      </c>
      <c r="H112" s="7">
        <v>1.5</v>
      </c>
      <c r="I112" s="7" t="s">
        <v>3277</v>
      </c>
    </row>
    <row r="113" spans="1:9" x14ac:dyDescent="0.2">
      <c r="A113" s="2">
        <v>23</v>
      </c>
      <c r="B113" s="89" t="s">
        <v>1973</v>
      </c>
      <c r="C113" s="89" t="s">
        <v>1988</v>
      </c>
      <c r="D113" s="2" t="s">
        <v>1991</v>
      </c>
      <c r="E113" s="7">
        <v>4</v>
      </c>
      <c r="F113" s="7">
        <v>1</v>
      </c>
      <c r="G113" s="7">
        <v>2</v>
      </c>
      <c r="H113" s="7">
        <v>2.5</v>
      </c>
      <c r="I113" s="7" t="s">
        <v>3278</v>
      </c>
    </row>
    <row r="117" spans="1:9" ht="18" x14ac:dyDescent="0.25">
      <c r="A117" s="28" t="s">
        <v>16</v>
      </c>
    </row>
    <row r="118" spans="1:9" s="4" customFormat="1" x14ac:dyDescent="0.2">
      <c r="A118" s="4" t="s">
        <v>17</v>
      </c>
    </row>
    <row r="119" spans="1:9" x14ac:dyDescent="0.2">
      <c r="A119" s="8" t="s">
        <v>634</v>
      </c>
    </row>
    <row r="120" spans="1:9" x14ac:dyDescent="0.2">
      <c r="A120" s="7" t="s">
        <v>3020</v>
      </c>
    </row>
    <row r="122" spans="1:9" x14ac:dyDescent="0.2">
      <c r="A122" s="5" t="s">
        <v>389</v>
      </c>
      <c r="E122" s="5"/>
    </row>
    <row r="123" spans="1:9" x14ac:dyDescent="0.2">
      <c r="A123" s="8" t="s">
        <v>380</v>
      </c>
      <c r="B123" s="8" t="s">
        <v>381</v>
      </c>
      <c r="C123" s="8" t="s">
        <v>391</v>
      </c>
      <c r="D123" s="182" t="s">
        <v>26</v>
      </c>
      <c r="E123" s="183"/>
      <c r="F123" s="183"/>
      <c r="G123" s="184"/>
    </row>
    <row r="124" spans="1:9" x14ac:dyDescent="0.2">
      <c r="A124" s="2">
        <v>1</v>
      </c>
      <c r="B124" s="82">
        <v>3</v>
      </c>
      <c r="C124" s="82" t="s">
        <v>1198</v>
      </c>
      <c r="D124" s="82" t="s">
        <v>590</v>
      </c>
      <c r="E124" s="82"/>
      <c r="F124" s="82"/>
      <c r="G124" s="82"/>
    </row>
    <row r="125" spans="1:9" x14ac:dyDescent="0.2">
      <c r="A125" s="2">
        <v>2</v>
      </c>
      <c r="B125" s="82">
        <v>9</v>
      </c>
      <c r="C125" s="82" t="s">
        <v>1199</v>
      </c>
      <c r="D125" s="82" t="s">
        <v>594</v>
      </c>
      <c r="E125" s="82" t="s">
        <v>591</v>
      </c>
      <c r="F125" s="82" t="s">
        <v>593</v>
      </c>
      <c r="G125" s="82"/>
    </row>
    <row r="126" spans="1:9" x14ac:dyDescent="0.2">
      <c r="A126" s="2"/>
      <c r="B126" s="82"/>
      <c r="C126" s="82"/>
      <c r="D126" s="82"/>
      <c r="E126" s="82"/>
      <c r="F126" s="82"/>
      <c r="G126" s="82"/>
    </row>
    <row r="128" spans="1:9" s="4" customFormat="1" x14ac:dyDescent="0.2">
      <c r="A128" s="4" t="s">
        <v>12</v>
      </c>
    </row>
    <row r="129" spans="1:26" x14ac:dyDescent="0.2">
      <c r="A129" s="5" t="s">
        <v>636</v>
      </c>
      <c r="E129" s="5"/>
    </row>
    <row r="130" spans="1:26" x14ac:dyDescent="0.2">
      <c r="A130" s="8" t="s">
        <v>62</v>
      </c>
      <c r="B130" s="8" t="s">
        <v>381</v>
      </c>
      <c r="C130" s="8" t="s">
        <v>391</v>
      </c>
      <c r="D130" s="182" t="s">
        <v>634</v>
      </c>
      <c r="E130" s="183"/>
      <c r="F130" s="183"/>
      <c r="G130" s="183"/>
      <c r="H130" s="183"/>
      <c r="I130" s="183"/>
      <c r="J130" s="183"/>
      <c r="K130" s="184"/>
      <c r="L130" s="8" t="s">
        <v>637</v>
      </c>
      <c r="M130" s="8" t="s">
        <v>638</v>
      </c>
      <c r="N130" s="8" t="s">
        <v>639</v>
      </c>
      <c r="O130" s="8" t="s">
        <v>640</v>
      </c>
      <c r="P130" s="8" t="s">
        <v>641</v>
      </c>
    </row>
    <row r="131" spans="1:26" x14ac:dyDescent="0.2">
      <c r="A131" s="2">
        <v>1</v>
      </c>
      <c r="B131" s="82" t="s">
        <v>1540</v>
      </c>
      <c r="C131" s="82"/>
      <c r="D131" s="7" t="s">
        <v>157</v>
      </c>
      <c r="E131" s="7" t="s">
        <v>635</v>
      </c>
      <c r="F131" s="135" t="s">
        <v>644</v>
      </c>
      <c r="G131" s="82" t="s">
        <v>642</v>
      </c>
      <c r="H131" s="7"/>
      <c r="I131" s="7"/>
      <c r="J131" s="7"/>
      <c r="K131" s="7"/>
      <c r="L131" s="82" t="s">
        <v>30</v>
      </c>
      <c r="M131" s="82" t="s">
        <v>393</v>
      </c>
      <c r="N131" s="82" t="s">
        <v>645</v>
      </c>
      <c r="O131" s="82" t="s">
        <v>646</v>
      </c>
      <c r="P131" s="82" t="s">
        <v>647</v>
      </c>
      <c r="Q131" s="113" t="s">
        <v>836</v>
      </c>
    </row>
    <row r="132" spans="1:26" x14ac:dyDescent="0.2">
      <c r="A132" s="2">
        <v>2</v>
      </c>
      <c r="B132" s="82" t="s">
        <v>1540</v>
      </c>
      <c r="C132" s="82"/>
      <c r="D132" s="7" t="s">
        <v>157</v>
      </c>
      <c r="E132" s="7" t="s">
        <v>635</v>
      </c>
      <c r="F132" s="7" t="s">
        <v>644</v>
      </c>
      <c r="G132" s="82" t="s">
        <v>642</v>
      </c>
      <c r="H132" s="7" t="s">
        <v>176</v>
      </c>
      <c r="I132" s="7"/>
      <c r="J132" s="7"/>
      <c r="K132" s="7"/>
      <c r="L132" s="82" t="s">
        <v>49</v>
      </c>
      <c r="M132" s="82" t="s">
        <v>648</v>
      </c>
      <c r="N132" s="82" t="s">
        <v>649</v>
      </c>
      <c r="O132" s="82" t="s">
        <v>645</v>
      </c>
      <c r="P132" s="82" t="s">
        <v>647</v>
      </c>
      <c r="Q132" s="113" t="s">
        <v>837</v>
      </c>
    </row>
    <row r="133" spans="1:26" x14ac:dyDescent="0.2">
      <c r="A133" s="2">
        <v>3</v>
      </c>
      <c r="B133" s="82" t="s">
        <v>1541</v>
      </c>
      <c r="C133" s="82"/>
      <c r="D133" s="7" t="s">
        <v>157</v>
      </c>
      <c r="E133" s="7" t="s">
        <v>635</v>
      </c>
      <c r="F133" s="7" t="s">
        <v>644</v>
      </c>
      <c r="G133" s="82" t="s">
        <v>642</v>
      </c>
      <c r="H133" s="7" t="s">
        <v>176</v>
      </c>
      <c r="I133" s="134" t="s">
        <v>253</v>
      </c>
      <c r="J133" s="7"/>
      <c r="K133" s="7"/>
      <c r="L133" s="82" t="s">
        <v>378</v>
      </c>
      <c r="M133" s="82" t="s">
        <v>650</v>
      </c>
      <c r="N133" s="82" t="s">
        <v>651</v>
      </c>
      <c r="O133" s="82" t="s">
        <v>661</v>
      </c>
      <c r="P133" s="82" t="s">
        <v>645</v>
      </c>
      <c r="Q133" s="113" t="s">
        <v>838</v>
      </c>
    </row>
    <row r="134" spans="1:26" x14ac:dyDescent="0.2">
      <c r="A134" s="2">
        <v>4</v>
      </c>
      <c r="B134" s="82" t="s">
        <v>1542</v>
      </c>
      <c r="C134" s="82"/>
      <c r="D134" s="7" t="s">
        <v>157</v>
      </c>
      <c r="E134" s="7" t="s">
        <v>635</v>
      </c>
      <c r="F134" s="7" t="s">
        <v>644</v>
      </c>
      <c r="G134" s="82" t="s">
        <v>642</v>
      </c>
      <c r="H134" s="7" t="s">
        <v>176</v>
      </c>
      <c r="I134" s="82" t="s">
        <v>253</v>
      </c>
      <c r="J134" s="82" t="s">
        <v>252</v>
      </c>
      <c r="K134" s="82"/>
      <c r="L134" s="82" t="s">
        <v>377</v>
      </c>
      <c r="M134" s="82" t="s">
        <v>655</v>
      </c>
      <c r="N134" s="82" t="s">
        <v>652</v>
      </c>
      <c r="O134" s="82" t="s">
        <v>653</v>
      </c>
      <c r="P134" s="82" t="s">
        <v>654</v>
      </c>
      <c r="Q134" s="113" t="s">
        <v>839</v>
      </c>
    </row>
    <row r="135" spans="1:26" x14ac:dyDescent="0.2">
      <c r="A135" s="2">
        <v>5</v>
      </c>
      <c r="B135" s="82" t="s">
        <v>1543</v>
      </c>
      <c r="C135" s="82"/>
      <c r="D135" s="7" t="s">
        <v>157</v>
      </c>
      <c r="E135" s="7" t="s">
        <v>635</v>
      </c>
      <c r="F135" s="7" t="s">
        <v>644</v>
      </c>
      <c r="G135" s="82" t="s">
        <v>642</v>
      </c>
      <c r="H135" s="7" t="s">
        <v>176</v>
      </c>
      <c r="I135" s="82" t="s">
        <v>253</v>
      </c>
      <c r="J135" s="82" t="s">
        <v>252</v>
      </c>
      <c r="K135" s="82" t="s">
        <v>643</v>
      </c>
      <c r="L135" s="82" t="s">
        <v>656</v>
      </c>
      <c r="M135" s="82" t="s">
        <v>657</v>
      </c>
      <c r="N135" s="82" t="s">
        <v>658</v>
      </c>
      <c r="O135" s="82" t="s">
        <v>659</v>
      </c>
      <c r="P135" s="82" t="s">
        <v>660</v>
      </c>
      <c r="Q135" s="113" t="s">
        <v>840</v>
      </c>
    </row>
    <row r="136" spans="1:26" x14ac:dyDescent="0.2">
      <c r="A136" s="2">
        <v>6</v>
      </c>
      <c r="B136" s="144" t="s">
        <v>1545</v>
      </c>
      <c r="C136" s="144"/>
      <c r="D136" s="144"/>
      <c r="E136" s="144"/>
      <c r="F136" s="144"/>
      <c r="G136" s="144"/>
      <c r="H136" s="144"/>
      <c r="I136" s="144"/>
      <c r="J136" s="144"/>
      <c r="K136" s="144"/>
      <c r="L136" s="144"/>
      <c r="M136" s="144"/>
      <c r="N136" s="144"/>
      <c r="O136" s="144"/>
      <c r="P136" s="144"/>
      <c r="Q136" s="145"/>
    </row>
    <row r="137" spans="1:26" x14ac:dyDescent="0.2">
      <c r="A137" s="2">
        <v>7</v>
      </c>
      <c r="B137" s="144" t="s">
        <v>1545</v>
      </c>
      <c r="C137" s="144"/>
      <c r="D137" s="144"/>
      <c r="E137" s="144"/>
      <c r="F137" s="144"/>
      <c r="G137" s="144"/>
      <c r="H137" s="144"/>
      <c r="I137" s="144"/>
      <c r="J137" s="144"/>
      <c r="K137" s="144"/>
      <c r="L137" s="144"/>
      <c r="M137" s="144"/>
      <c r="N137" s="144"/>
      <c r="O137" s="144"/>
      <c r="P137" s="144"/>
      <c r="Q137" s="145"/>
    </row>
    <row r="138" spans="1:26" x14ac:dyDescent="0.2">
      <c r="A138" s="2">
        <v>8</v>
      </c>
      <c r="B138" s="144" t="s">
        <v>1544</v>
      </c>
      <c r="C138" s="144"/>
      <c r="D138" s="144"/>
      <c r="E138" s="144"/>
      <c r="F138" s="144"/>
      <c r="G138" s="144"/>
      <c r="H138" s="144"/>
      <c r="I138" s="144"/>
      <c r="J138" s="144"/>
      <c r="K138" s="144"/>
      <c r="L138" s="144"/>
      <c r="M138" s="144"/>
      <c r="N138" s="144"/>
      <c r="O138" s="144"/>
      <c r="P138" s="144"/>
      <c r="Q138" s="145"/>
    </row>
    <row r="139" spans="1:26" x14ac:dyDescent="0.2">
      <c r="A139" s="2">
        <v>9</v>
      </c>
      <c r="B139" s="144" t="s">
        <v>1544</v>
      </c>
      <c r="C139" s="144"/>
      <c r="D139" s="144"/>
      <c r="E139" s="144"/>
      <c r="F139" s="144"/>
      <c r="G139" s="144"/>
      <c r="H139" s="144"/>
      <c r="I139" s="144"/>
      <c r="J139" s="144"/>
      <c r="K139" s="144"/>
      <c r="L139" s="144"/>
      <c r="M139" s="144"/>
      <c r="N139" s="144"/>
      <c r="O139" s="144"/>
      <c r="P139" s="144"/>
      <c r="Q139" s="145"/>
    </row>
    <row r="140" spans="1:26" x14ac:dyDescent="0.2">
      <c r="A140" s="2">
        <v>10</v>
      </c>
      <c r="B140" s="144" t="s">
        <v>1546</v>
      </c>
      <c r="C140" s="144"/>
      <c r="D140" s="144"/>
      <c r="E140" s="144"/>
      <c r="F140" s="144"/>
      <c r="G140" s="144"/>
      <c r="H140" s="144"/>
      <c r="I140" s="144"/>
      <c r="J140" s="144"/>
      <c r="K140" s="144"/>
      <c r="L140" s="144"/>
      <c r="M140" s="144"/>
      <c r="N140" s="144"/>
      <c r="O140" s="144"/>
      <c r="P140" s="144"/>
      <c r="Q140" s="145"/>
    </row>
    <row r="142" spans="1:26" x14ac:dyDescent="0.2">
      <c r="A142" s="5" t="s">
        <v>389</v>
      </c>
      <c r="E142" s="5"/>
    </row>
    <row r="143" spans="1:26" x14ac:dyDescent="0.2">
      <c r="A143" s="8" t="s">
        <v>665</v>
      </c>
      <c r="B143" s="8" t="s">
        <v>62</v>
      </c>
      <c r="C143" s="8" t="s">
        <v>380</v>
      </c>
      <c r="D143" s="8" t="s">
        <v>381</v>
      </c>
      <c r="E143" s="8" t="s">
        <v>391</v>
      </c>
      <c r="F143" s="8" t="s">
        <v>662</v>
      </c>
      <c r="G143" s="182" t="s">
        <v>26</v>
      </c>
      <c r="H143" s="183"/>
      <c r="I143" s="183"/>
      <c r="J143" s="184"/>
      <c r="K143" s="182" t="s">
        <v>663</v>
      </c>
      <c r="L143" s="183"/>
      <c r="M143" s="183"/>
      <c r="N143" s="184"/>
      <c r="Q143" s="68"/>
      <c r="T143" s="6" t="s">
        <v>62</v>
      </c>
      <c r="U143" s="6" t="s">
        <v>1133</v>
      </c>
      <c r="V143" s="6" t="s">
        <v>1145</v>
      </c>
      <c r="W143" s="6" t="s">
        <v>380</v>
      </c>
      <c r="X143" s="6" t="s">
        <v>1178</v>
      </c>
      <c r="Y143" s="6" t="s">
        <v>1179</v>
      </c>
      <c r="Z143" s="6" t="s">
        <v>26</v>
      </c>
    </row>
    <row r="144" spans="1:26" x14ac:dyDescent="0.2">
      <c r="A144" s="2" t="str">
        <f t="shared" ref="A144:A168" si="4">B144&amp;"_"&amp;C144</f>
        <v>1_1</v>
      </c>
      <c r="B144" s="2">
        <v>1</v>
      </c>
      <c r="C144" s="2">
        <v>1</v>
      </c>
      <c r="D144" s="82">
        <v>3</v>
      </c>
      <c r="E144" s="7"/>
      <c r="F144" s="7">
        <v>10</v>
      </c>
      <c r="G144" s="7" t="s">
        <v>573</v>
      </c>
      <c r="H144" s="7"/>
      <c r="I144" s="7"/>
      <c r="J144" s="7"/>
      <c r="K144" s="7">
        <v>1</v>
      </c>
      <c r="L144" s="7"/>
      <c r="M144" s="7"/>
      <c r="N144" s="7"/>
      <c r="T144" s="6">
        <v>1</v>
      </c>
      <c r="U144" s="6" t="s">
        <v>1164</v>
      </c>
      <c r="V144" s="6" t="s">
        <v>1165</v>
      </c>
      <c r="W144" s="6">
        <v>3</v>
      </c>
      <c r="X144" s="6">
        <v>2</v>
      </c>
      <c r="Y144" s="6" t="s">
        <v>1180</v>
      </c>
      <c r="Z144" s="6" t="s">
        <v>1183</v>
      </c>
    </row>
    <row r="145" spans="1:26" x14ac:dyDescent="0.2">
      <c r="A145" s="2" t="str">
        <f t="shared" si="4"/>
        <v>1_2</v>
      </c>
      <c r="B145" s="2">
        <v>1</v>
      </c>
      <c r="C145" s="2">
        <v>2</v>
      </c>
      <c r="D145" s="82">
        <v>5</v>
      </c>
      <c r="E145" s="7"/>
      <c r="F145" s="7">
        <v>20</v>
      </c>
      <c r="G145" s="7" t="s">
        <v>578</v>
      </c>
      <c r="H145" s="7" t="s">
        <v>574</v>
      </c>
      <c r="I145" s="7"/>
      <c r="J145" s="7"/>
      <c r="K145" s="7">
        <v>0.75</v>
      </c>
      <c r="L145" s="7">
        <v>2</v>
      </c>
      <c r="M145" s="7"/>
      <c r="N145" s="7"/>
      <c r="T145" s="6">
        <v>2</v>
      </c>
      <c r="U145" s="6" t="s">
        <v>1166</v>
      </c>
      <c r="V145" s="6" t="s">
        <v>1181</v>
      </c>
      <c r="W145" s="6">
        <v>3</v>
      </c>
      <c r="X145" s="6">
        <v>3</v>
      </c>
      <c r="Y145" s="6" t="s">
        <v>1182</v>
      </c>
      <c r="Z145" s="6" t="s">
        <v>1184</v>
      </c>
    </row>
    <row r="146" spans="1:26" x14ac:dyDescent="0.2">
      <c r="A146" s="2" t="str">
        <f t="shared" si="4"/>
        <v>1_3</v>
      </c>
      <c r="B146" s="2">
        <v>1</v>
      </c>
      <c r="C146" s="2">
        <v>3</v>
      </c>
      <c r="D146" s="82"/>
      <c r="E146" s="7"/>
      <c r="F146" s="7"/>
      <c r="G146" s="7"/>
      <c r="H146" s="7"/>
      <c r="I146" s="7"/>
      <c r="J146" s="7"/>
      <c r="K146" s="7"/>
      <c r="L146" s="7"/>
      <c r="M146" s="7"/>
      <c r="N146" s="7"/>
      <c r="P146" s="6">
        <v>1.3</v>
      </c>
      <c r="T146" s="6">
        <v>3</v>
      </c>
      <c r="U146" s="3" t="s">
        <v>1171</v>
      </c>
      <c r="V146" s="3" t="s">
        <v>1173</v>
      </c>
      <c r="W146" s="6">
        <v>3</v>
      </c>
      <c r="X146" s="6">
        <v>3</v>
      </c>
      <c r="Y146" s="6" t="s">
        <v>1185</v>
      </c>
      <c r="Z146" s="6" t="s">
        <v>1184</v>
      </c>
    </row>
    <row r="147" spans="1:26" x14ac:dyDescent="0.2">
      <c r="A147" s="133" t="str">
        <f t="shared" si="4"/>
        <v>1_4</v>
      </c>
      <c r="B147" s="133">
        <v>1</v>
      </c>
      <c r="C147" s="133">
        <v>4</v>
      </c>
      <c r="D147" s="82"/>
      <c r="E147" s="135"/>
      <c r="F147" s="135"/>
      <c r="G147" s="135"/>
      <c r="H147" s="135"/>
      <c r="I147" s="135"/>
      <c r="J147" s="135"/>
      <c r="K147" s="135"/>
      <c r="L147" s="135"/>
      <c r="M147" s="135"/>
      <c r="N147" s="135"/>
      <c r="T147" s="6">
        <v>4</v>
      </c>
      <c r="U147" s="6" t="s">
        <v>1170</v>
      </c>
      <c r="V147" s="6" t="s">
        <v>1168</v>
      </c>
      <c r="W147" s="6">
        <v>5</v>
      </c>
      <c r="X147" s="6">
        <v>4</v>
      </c>
      <c r="Y147" s="6" t="s">
        <v>1186</v>
      </c>
      <c r="Z147" s="6" t="s">
        <v>1187</v>
      </c>
    </row>
    <row r="148" spans="1:26" x14ac:dyDescent="0.2">
      <c r="A148" s="133" t="str">
        <f t="shared" si="4"/>
        <v>1_5</v>
      </c>
      <c r="B148" s="133">
        <v>1</v>
      </c>
      <c r="C148" s="133">
        <v>5</v>
      </c>
      <c r="D148" s="82"/>
      <c r="E148" s="135"/>
      <c r="F148" s="135"/>
      <c r="G148" s="135"/>
      <c r="H148" s="135"/>
      <c r="I148" s="135"/>
      <c r="J148" s="135"/>
      <c r="K148" s="135"/>
      <c r="L148" s="135"/>
      <c r="M148" s="135"/>
      <c r="N148" s="135"/>
      <c r="T148" s="6">
        <v>5</v>
      </c>
      <c r="U148" s="3" t="s">
        <v>1171</v>
      </c>
      <c r="V148" s="3" t="s">
        <v>1172</v>
      </c>
      <c r="W148" s="6">
        <v>5</v>
      </c>
      <c r="X148" s="6">
        <v>4</v>
      </c>
      <c r="Y148" s="6" t="s">
        <v>1188</v>
      </c>
      <c r="Z148" s="6" t="s">
        <v>1187</v>
      </c>
    </row>
    <row r="149" spans="1:26" x14ac:dyDescent="0.2">
      <c r="A149" s="2" t="str">
        <f t="shared" si="4"/>
        <v>2_1</v>
      </c>
      <c r="B149" s="2">
        <v>2</v>
      </c>
      <c r="C149" s="2">
        <v>1</v>
      </c>
      <c r="D149" s="82">
        <v>1</v>
      </c>
      <c r="E149" s="7" t="s">
        <v>382</v>
      </c>
      <c r="F149" s="7">
        <v>10</v>
      </c>
      <c r="G149" s="7" t="s">
        <v>594</v>
      </c>
      <c r="H149" s="7"/>
      <c r="I149" s="7"/>
      <c r="J149" s="7"/>
      <c r="K149" s="7">
        <v>2</v>
      </c>
      <c r="L149" s="7"/>
      <c r="M149" s="7"/>
      <c r="N149" s="7"/>
      <c r="T149" s="6">
        <v>6</v>
      </c>
      <c r="U149" s="6" t="s">
        <v>1170</v>
      </c>
      <c r="V149" s="6" t="s">
        <v>1167</v>
      </c>
      <c r="W149" s="6">
        <v>5</v>
      </c>
      <c r="X149" s="6">
        <v>5</v>
      </c>
      <c r="Y149" s="6" t="s">
        <v>1189</v>
      </c>
      <c r="Z149" s="6" t="s">
        <v>1190</v>
      </c>
    </row>
    <row r="150" spans="1:26" x14ac:dyDescent="0.2">
      <c r="A150" s="2" t="str">
        <f t="shared" si="4"/>
        <v>2_2</v>
      </c>
      <c r="B150" s="2">
        <v>2</v>
      </c>
      <c r="C150" s="2">
        <v>2</v>
      </c>
      <c r="D150" s="82">
        <v>3.6</v>
      </c>
      <c r="E150" s="7"/>
      <c r="F150" s="7">
        <v>12.5</v>
      </c>
      <c r="G150" s="7" t="s">
        <v>594</v>
      </c>
      <c r="H150" s="7" t="s">
        <v>591</v>
      </c>
      <c r="I150" s="7"/>
      <c r="J150" s="7"/>
      <c r="K150" s="7">
        <v>2</v>
      </c>
      <c r="L150" s="7">
        <v>2</v>
      </c>
      <c r="M150" s="7"/>
      <c r="N150" s="7"/>
      <c r="Q150" s="6">
        <v>0.75</v>
      </c>
      <c r="T150" s="6">
        <v>7</v>
      </c>
      <c r="U150" s="3" t="s">
        <v>1171</v>
      </c>
      <c r="V150" s="3" t="s">
        <v>1174</v>
      </c>
      <c r="W150" s="6">
        <v>5</v>
      </c>
      <c r="X150" s="6">
        <v>5</v>
      </c>
      <c r="Y150" s="6" t="s">
        <v>1191</v>
      </c>
      <c r="Z150" s="6" t="s">
        <v>1192</v>
      </c>
    </row>
    <row r="151" spans="1:26" x14ac:dyDescent="0.2">
      <c r="A151" s="2" t="str">
        <f t="shared" si="4"/>
        <v>2_3</v>
      </c>
      <c r="B151" s="2">
        <v>2</v>
      </c>
      <c r="C151" s="2">
        <v>3</v>
      </c>
      <c r="D151" s="82">
        <v>3.6</v>
      </c>
      <c r="E151" s="7"/>
      <c r="F151" s="7">
        <v>15</v>
      </c>
      <c r="G151" s="7" t="s">
        <v>594</v>
      </c>
      <c r="H151" s="7" t="s">
        <v>592</v>
      </c>
      <c r="I151" s="7" t="s">
        <v>591</v>
      </c>
      <c r="J151" s="7"/>
      <c r="K151" s="7">
        <v>1</v>
      </c>
      <c r="L151" s="7">
        <v>1</v>
      </c>
      <c r="M151" s="7">
        <v>1</v>
      </c>
      <c r="N151" s="7"/>
      <c r="T151" s="6">
        <v>8</v>
      </c>
      <c r="U151" s="6" t="s">
        <v>1170</v>
      </c>
      <c r="V151" s="6" t="s">
        <v>1169</v>
      </c>
      <c r="W151" s="6">
        <v>5</v>
      </c>
      <c r="X151" s="6">
        <v>6</v>
      </c>
      <c r="Y151" s="6" t="s">
        <v>1193</v>
      </c>
      <c r="Z151" s="6" t="s">
        <v>1194</v>
      </c>
    </row>
    <row r="152" spans="1:26" x14ac:dyDescent="0.2">
      <c r="A152" s="133" t="str">
        <f t="shared" si="4"/>
        <v>2_4</v>
      </c>
      <c r="B152" s="133">
        <v>2</v>
      </c>
      <c r="C152" s="133">
        <v>4</v>
      </c>
      <c r="D152" s="82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T152" s="6">
        <v>9</v>
      </c>
      <c r="U152" s="126" t="s">
        <v>1175</v>
      </c>
      <c r="V152" s="126" t="s">
        <v>1176</v>
      </c>
      <c r="W152" s="6">
        <v>8</v>
      </c>
      <c r="X152" s="6">
        <v>8</v>
      </c>
      <c r="Y152" s="6" t="s">
        <v>1195</v>
      </c>
      <c r="Z152" s="6" t="s">
        <v>1196</v>
      </c>
    </row>
    <row r="153" spans="1:26" x14ac:dyDescent="0.2">
      <c r="A153" s="133" t="str">
        <f t="shared" si="4"/>
        <v>2_5</v>
      </c>
      <c r="B153" s="133">
        <v>2</v>
      </c>
      <c r="C153" s="133">
        <v>5</v>
      </c>
      <c r="D153" s="82"/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  <c r="T153" s="6">
        <v>10</v>
      </c>
      <c r="U153" s="126" t="s">
        <v>1175</v>
      </c>
      <c r="V153" s="126" t="s">
        <v>1177</v>
      </c>
      <c r="W153" s="6">
        <v>8</v>
      </c>
      <c r="X153" s="6">
        <v>8</v>
      </c>
      <c r="Y153" s="6" t="s">
        <v>1195</v>
      </c>
      <c r="Z153" s="6" t="s">
        <v>1197</v>
      </c>
    </row>
    <row r="154" spans="1:26" x14ac:dyDescent="0.2">
      <c r="A154" s="2" t="str">
        <f t="shared" si="4"/>
        <v>3_1</v>
      </c>
      <c r="B154" s="2">
        <v>3</v>
      </c>
      <c r="C154" s="2">
        <v>1</v>
      </c>
      <c r="D154" s="82">
        <v>1.21875</v>
      </c>
      <c r="E154" s="7" t="s">
        <v>666</v>
      </c>
      <c r="F154" s="7">
        <v>10</v>
      </c>
      <c r="G154" s="7" t="s">
        <v>597</v>
      </c>
      <c r="H154" s="7"/>
      <c r="I154" s="7"/>
      <c r="J154" s="7"/>
      <c r="K154" s="7">
        <v>2</v>
      </c>
      <c r="L154" s="7"/>
      <c r="M154" s="7"/>
      <c r="N154" s="7"/>
      <c r="U154" s="126"/>
    </row>
    <row r="155" spans="1:26" x14ac:dyDescent="0.2">
      <c r="A155" s="2" t="str">
        <f t="shared" si="4"/>
        <v>3_2</v>
      </c>
      <c r="B155" s="2">
        <v>3</v>
      </c>
      <c r="C155" s="2">
        <v>2</v>
      </c>
      <c r="D155" s="82">
        <v>1.8</v>
      </c>
      <c r="E155" s="7"/>
      <c r="F155" s="7">
        <v>12.5</v>
      </c>
      <c r="G155" s="7" t="s">
        <v>597</v>
      </c>
      <c r="H155" s="7" t="s">
        <v>591</v>
      </c>
      <c r="I155" s="7"/>
      <c r="J155" s="7"/>
      <c r="K155" s="7">
        <v>2</v>
      </c>
      <c r="L155" s="7">
        <v>2</v>
      </c>
      <c r="M155" s="7"/>
      <c r="N155" s="7"/>
    </row>
    <row r="156" spans="1:26" x14ac:dyDescent="0.2">
      <c r="A156" s="2" t="str">
        <f t="shared" si="4"/>
        <v>3_3</v>
      </c>
      <c r="B156" s="2">
        <v>3</v>
      </c>
      <c r="C156" s="2">
        <v>3</v>
      </c>
      <c r="D156" s="82">
        <v>4.5</v>
      </c>
      <c r="E156" s="7"/>
      <c r="F156" s="7">
        <v>15</v>
      </c>
      <c r="G156" s="7" t="s">
        <v>597</v>
      </c>
      <c r="H156" s="7" t="s">
        <v>592</v>
      </c>
      <c r="I156" s="7" t="s">
        <v>591</v>
      </c>
      <c r="J156" s="7"/>
      <c r="K156" s="7">
        <v>2</v>
      </c>
      <c r="L156" s="7">
        <v>1</v>
      </c>
      <c r="M156" s="7">
        <v>2</v>
      </c>
      <c r="N156" s="7"/>
    </row>
    <row r="157" spans="1:26" s="127" customFormat="1" x14ac:dyDescent="0.2">
      <c r="A157" s="133" t="str">
        <f t="shared" si="4"/>
        <v>3_4</v>
      </c>
      <c r="B157" s="133">
        <v>3</v>
      </c>
      <c r="C157" s="133">
        <v>4</v>
      </c>
      <c r="D157" s="134"/>
      <c r="E157" s="135"/>
      <c r="F157" s="135"/>
      <c r="G157" s="135"/>
      <c r="H157" s="135"/>
      <c r="I157" s="135"/>
      <c r="J157" s="135"/>
      <c r="K157" s="135"/>
      <c r="L157" s="135"/>
      <c r="M157" s="135"/>
      <c r="N157" s="135"/>
    </row>
    <row r="158" spans="1:26" s="127" customFormat="1" x14ac:dyDescent="0.2">
      <c r="A158" s="133" t="str">
        <f t="shared" si="4"/>
        <v>3_5</v>
      </c>
      <c r="B158" s="133">
        <v>3</v>
      </c>
      <c r="C158" s="133">
        <v>5</v>
      </c>
      <c r="D158" s="134"/>
      <c r="E158" s="135"/>
      <c r="F158" s="135"/>
      <c r="G158" s="135"/>
      <c r="H158" s="135"/>
      <c r="I158" s="135"/>
      <c r="J158" s="135"/>
      <c r="K158" s="135"/>
      <c r="L158" s="135"/>
      <c r="M158" s="135"/>
      <c r="N158" s="135"/>
    </row>
    <row r="159" spans="1:26" x14ac:dyDescent="0.2">
      <c r="A159" s="2" t="str">
        <f t="shared" si="4"/>
        <v>4_1</v>
      </c>
      <c r="B159" s="2">
        <v>4</v>
      </c>
      <c r="C159" s="2">
        <v>1</v>
      </c>
      <c r="D159" s="82">
        <v>2.5</v>
      </c>
      <c r="E159" s="7" t="s">
        <v>3034</v>
      </c>
      <c r="F159" s="7">
        <v>10</v>
      </c>
      <c r="G159" s="7" t="s">
        <v>601</v>
      </c>
      <c r="H159" s="7" t="s">
        <v>590</v>
      </c>
      <c r="I159" s="7"/>
      <c r="J159" s="7"/>
      <c r="K159" s="7">
        <v>2</v>
      </c>
      <c r="L159" s="7">
        <v>1</v>
      </c>
      <c r="M159" s="7"/>
      <c r="N159" s="7"/>
    </row>
    <row r="160" spans="1:26" x14ac:dyDescent="0.2">
      <c r="A160" s="2" t="str">
        <f t="shared" si="4"/>
        <v>4_2</v>
      </c>
      <c r="B160" s="2">
        <v>4</v>
      </c>
      <c r="C160" s="2">
        <v>2</v>
      </c>
      <c r="D160" s="82">
        <v>4</v>
      </c>
      <c r="E160" s="7"/>
      <c r="F160" s="7">
        <v>12.5</v>
      </c>
      <c r="G160" s="7" t="s">
        <v>601</v>
      </c>
      <c r="H160" s="7" t="s">
        <v>574</v>
      </c>
      <c r="I160" s="7" t="s">
        <v>594</v>
      </c>
      <c r="J160" s="7"/>
      <c r="K160" s="7">
        <v>2</v>
      </c>
      <c r="L160" s="7">
        <v>2</v>
      </c>
      <c r="M160" s="7">
        <v>1</v>
      </c>
      <c r="N160" s="7"/>
    </row>
    <row r="161" spans="1:15" x14ac:dyDescent="0.2">
      <c r="A161" s="2" t="str">
        <f t="shared" si="4"/>
        <v>4_3</v>
      </c>
      <c r="B161" s="2">
        <v>4</v>
      </c>
      <c r="C161" s="2">
        <v>3</v>
      </c>
      <c r="D161" s="82">
        <v>5</v>
      </c>
      <c r="E161" s="7"/>
      <c r="F161" s="7">
        <v>15</v>
      </c>
      <c r="G161" s="7" t="s">
        <v>601</v>
      </c>
      <c r="H161" s="7" t="s">
        <v>576</v>
      </c>
      <c r="I161" s="7" t="s">
        <v>574</v>
      </c>
      <c r="J161" s="7" t="s">
        <v>598</v>
      </c>
      <c r="K161" s="7">
        <v>2</v>
      </c>
      <c r="L161" s="7">
        <v>1</v>
      </c>
      <c r="M161" s="7">
        <v>2</v>
      </c>
      <c r="N161" s="7">
        <v>1</v>
      </c>
    </row>
    <row r="162" spans="1:15" s="127" customFormat="1" x14ac:dyDescent="0.2">
      <c r="A162" s="133" t="str">
        <f t="shared" si="4"/>
        <v>4_4</v>
      </c>
      <c r="B162" s="133">
        <v>4</v>
      </c>
      <c r="C162" s="133">
        <v>4</v>
      </c>
      <c r="D162" s="134"/>
      <c r="E162" s="135"/>
      <c r="F162" s="135"/>
      <c r="G162" s="135"/>
      <c r="H162" s="135"/>
      <c r="I162" s="135"/>
      <c r="J162" s="135"/>
      <c r="K162" s="135"/>
      <c r="L162" s="135"/>
      <c r="M162" s="135"/>
      <c r="N162" s="135"/>
    </row>
    <row r="163" spans="1:15" s="127" customFormat="1" x14ac:dyDescent="0.2">
      <c r="A163" s="133" t="str">
        <f t="shared" si="4"/>
        <v>4_5</v>
      </c>
      <c r="B163" s="133">
        <v>4</v>
      </c>
      <c r="C163" s="133">
        <v>5</v>
      </c>
      <c r="D163" s="134"/>
      <c r="E163" s="135"/>
      <c r="F163" s="135"/>
      <c r="G163" s="135"/>
      <c r="H163" s="135"/>
      <c r="I163" s="135"/>
      <c r="J163" s="135"/>
      <c r="K163" s="135"/>
      <c r="L163" s="135"/>
      <c r="M163" s="135"/>
      <c r="N163" s="135"/>
    </row>
    <row r="164" spans="1:15" x14ac:dyDescent="0.2">
      <c r="A164" s="2" t="str">
        <f t="shared" si="4"/>
        <v>5_1</v>
      </c>
      <c r="B164" s="2">
        <v>5</v>
      </c>
      <c r="C164" s="2">
        <v>1</v>
      </c>
      <c r="D164" s="82">
        <v>4.8</v>
      </c>
      <c r="E164" s="7" t="s">
        <v>3035</v>
      </c>
      <c r="F164" s="7">
        <v>10</v>
      </c>
      <c r="G164" s="7" t="s">
        <v>584</v>
      </c>
      <c r="H164" s="7"/>
      <c r="I164" s="7"/>
      <c r="J164" s="7"/>
      <c r="K164" s="7">
        <v>1.5</v>
      </c>
      <c r="L164" s="7"/>
      <c r="M164" s="7"/>
      <c r="N164" s="7"/>
    </row>
    <row r="165" spans="1:15" x14ac:dyDescent="0.2">
      <c r="A165" s="2" t="str">
        <f t="shared" si="4"/>
        <v>5_2</v>
      </c>
      <c r="B165" s="2">
        <v>5</v>
      </c>
      <c r="C165" s="2">
        <v>2</v>
      </c>
      <c r="D165" s="82">
        <v>5</v>
      </c>
      <c r="E165" s="7"/>
      <c r="F165" s="7">
        <v>12.5</v>
      </c>
      <c r="G165" s="7" t="s">
        <v>584</v>
      </c>
      <c r="H165" s="7" t="s">
        <v>578</v>
      </c>
      <c r="I165" s="7"/>
      <c r="J165" s="7"/>
      <c r="K165" s="7">
        <v>1.5</v>
      </c>
      <c r="L165" s="7">
        <v>1</v>
      </c>
      <c r="M165" s="7"/>
      <c r="N165" s="7"/>
    </row>
    <row r="166" spans="1:15" x14ac:dyDescent="0.2">
      <c r="A166" s="2" t="str">
        <f t="shared" si="4"/>
        <v>5_3</v>
      </c>
      <c r="B166" s="2">
        <v>5</v>
      </c>
      <c r="C166" s="2">
        <v>3</v>
      </c>
      <c r="D166" s="82">
        <v>6</v>
      </c>
      <c r="E166" s="7"/>
      <c r="F166" s="7">
        <v>15</v>
      </c>
      <c r="G166" s="7" t="s">
        <v>584</v>
      </c>
      <c r="H166" s="7" t="s">
        <v>597</v>
      </c>
      <c r="I166" s="7" t="s">
        <v>578</v>
      </c>
      <c r="J166" s="7"/>
      <c r="K166" s="7">
        <v>1.5</v>
      </c>
      <c r="L166" s="7">
        <v>2</v>
      </c>
      <c r="M166" s="7">
        <v>1</v>
      </c>
      <c r="N166" s="7"/>
    </row>
    <row r="167" spans="1:15" s="127" customFormat="1" x14ac:dyDescent="0.2">
      <c r="A167" s="133" t="str">
        <f t="shared" si="4"/>
        <v>5_4</v>
      </c>
      <c r="B167" s="133">
        <v>5</v>
      </c>
      <c r="C167" s="133">
        <v>4</v>
      </c>
      <c r="D167" s="134">
        <v>8</v>
      </c>
      <c r="E167" s="135"/>
      <c r="F167" s="169">
        <v>17.5</v>
      </c>
      <c r="G167" s="169" t="s">
        <v>584</v>
      </c>
      <c r="H167" s="169" t="s">
        <v>595</v>
      </c>
      <c r="I167" s="7" t="s">
        <v>597</v>
      </c>
      <c r="J167" s="169"/>
      <c r="K167" s="169">
        <v>1.5</v>
      </c>
      <c r="L167" s="169">
        <v>1</v>
      </c>
      <c r="M167" s="169">
        <v>2</v>
      </c>
      <c r="N167" s="169"/>
    </row>
    <row r="168" spans="1:15" s="127" customFormat="1" ht="15" thickBot="1" x14ac:dyDescent="0.25">
      <c r="A168" s="142" t="str">
        <f t="shared" si="4"/>
        <v>5_5</v>
      </c>
      <c r="B168" s="142">
        <v>5</v>
      </c>
      <c r="C168" s="142">
        <v>5</v>
      </c>
      <c r="D168" s="134">
        <v>14</v>
      </c>
      <c r="E168" s="143"/>
      <c r="F168" s="170">
        <v>20</v>
      </c>
      <c r="G168" s="170" t="s">
        <v>600</v>
      </c>
      <c r="H168" s="170" t="s">
        <v>581</v>
      </c>
      <c r="I168" s="170" t="s">
        <v>594</v>
      </c>
      <c r="J168" s="170" t="s">
        <v>595</v>
      </c>
      <c r="K168" s="170">
        <v>0.5</v>
      </c>
      <c r="L168" s="170">
        <v>2</v>
      </c>
      <c r="M168" s="170">
        <v>1</v>
      </c>
      <c r="N168" s="170">
        <v>0.4</v>
      </c>
    </row>
    <row r="169" spans="1:15" x14ac:dyDescent="0.2">
      <c r="A169" s="117" t="str">
        <f t="shared" ref="A169:A193" si="5">B169&amp;"_"&amp;C169</f>
        <v>6_1</v>
      </c>
      <c r="B169" s="117">
        <f>B144+5</f>
        <v>6</v>
      </c>
      <c r="C169" s="117">
        <v>1</v>
      </c>
      <c r="D169" s="82">
        <v>5.76</v>
      </c>
      <c r="E169" s="115" t="s">
        <v>3036</v>
      </c>
      <c r="F169" s="115">
        <v>10</v>
      </c>
      <c r="G169" s="115" t="s">
        <v>606</v>
      </c>
      <c r="H169" s="115" t="s">
        <v>597</v>
      </c>
      <c r="I169" s="115"/>
      <c r="J169" s="115"/>
      <c r="K169" s="115">
        <v>1.5</v>
      </c>
      <c r="L169" s="115">
        <v>2</v>
      </c>
      <c r="M169" s="115"/>
      <c r="N169" s="115"/>
      <c r="O169" s="6">
        <v>1.2</v>
      </c>
    </row>
    <row r="170" spans="1:15" x14ac:dyDescent="0.2">
      <c r="A170" s="2" t="str">
        <f t="shared" si="5"/>
        <v>6_2</v>
      </c>
      <c r="B170" s="2">
        <f t="shared" ref="B170:B193" si="6">B145+5</f>
        <v>6</v>
      </c>
      <c r="C170" s="2">
        <v>2</v>
      </c>
      <c r="D170" s="82">
        <v>6</v>
      </c>
      <c r="E170" s="115"/>
      <c r="F170" s="7">
        <v>12.5</v>
      </c>
      <c r="G170" s="7" t="s">
        <v>606</v>
      </c>
      <c r="H170" s="115" t="s">
        <v>578</v>
      </c>
      <c r="I170" s="115" t="s">
        <v>597</v>
      </c>
      <c r="J170" s="7"/>
      <c r="K170" s="7">
        <v>1.5</v>
      </c>
      <c r="L170" s="7">
        <v>1</v>
      </c>
      <c r="M170" s="7">
        <v>2</v>
      </c>
      <c r="N170" s="7"/>
    </row>
    <row r="171" spans="1:15" x14ac:dyDescent="0.2">
      <c r="A171" s="2" t="str">
        <f t="shared" si="5"/>
        <v>6_3</v>
      </c>
      <c r="B171" s="2">
        <f t="shared" si="6"/>
        <v>6</v>
      </c>
      <c r="C171" s="2">
        <v>3</v>
      </c>
      <c r="D171" s="82">
        <v>7.1999999999999993</v>
      </c>
      <c r="E171" s="115"/>
      <c r="F171" s="7">
        <v>15</v>
      </c>
      <c r="G171" s="7" t="s">
        <v>606</v>
      </c>
      <c r="H171" s="7" t="s">
        <v>581</v>
      </c>
      <c r="I171" s="115" t="s">
        <v>578</v>
      </c>
      <c r="J171" s="7" t="s">
        <v>592</v>
      </c>
      <c r="K171" s="7">
        <v>1.5</v>
      </c>
      <c r="L171" s="7">
        <v>2</v>
      </c>
      <c r="M171" s="7">
        <v>1</v>
      </c>
      <c r="N171" s="7">
        <v>0.4</v>
      </c>
    </row>
    <row r="172" spans="1:15" x14ac:dyDescent="0.2">
      <c r="A172" s="2" t="str">
        <f t="shared" si="5"/>
        <v>6_4</v>
      </c>
      <c r="B172" s="2">
        <f t="shared" si="6"/>
        <v>6</v>
      </c>
      <c r="C172" s="2">
        <v>4</v>
      </c>
      <c r="D172" s="82">
        <v>9.6</v>
      </c>
      <c r="E172" s="115"/>
      <c r="F172" s="7">
        <v>17.5</v>
      </c>
      <c r="G172" s="7" t="s">
        <v>606</v>
      </c>
      <c r="H172" s="7" t="s">
        <v>577</v>
      </c>
      <c r="I172" s="115" t="s">
        <v>601</v>
      </c>
      <c r="J172" s="7"/>
      <c r="K172" s="7">
        <v>1.5</v>
      </c>
      <c r="L172" s="7">
        <v>1</v>
      </c>
      <c r="M172" s="7">
        <v>2</v>
      </c>
      <c r="N172" s="7"/>
    </row>
    <row r="173" spans="1:15" x14ac:dyDescent="0.2">
      <c r="A173" s="2" t="str">
        <f t="shared" si="5"/>
        <v>6_5</v>
      </c>
      <c r="B173" s="2">
        <f t="shared" si="6"/>
        <v>6</v>
      </c>
      <c r="C173" s="2">
        <v>5</v>
      </c>
      <c r="D173" s="82">
        <v>16.8</v>
      </c>
      <c r="E173" s="115"/>
      <c r="F173" s="7">
        <v>20</v>
      </c>
      <c r="G173" s="7" t="s">
        <v>606</v>
      </c>
      <c r="H173" s="7" t="s">
        <v>601</v>
      </c>
      <c r="I173" s="115" t="s">
        <v>598</v>
      </c>
      <c r="J173" s="7" t="s">
        <v>577</v>
      </c>
      <c r="K173" s="7">
        <v>0.5</v>
      </c>
      <c r="L173" s="7">
        <v>2</v>
      </c>
      <c r="M173" s="7">
        <v>1</v>
      </c>
      <c r="N173" s="7">
        <v>0.4</v>
      </c>
    </row>
    <row r="174" spans="1:15" x14ac:dyDescent="0.2">
      <c r="A174" s="2" t="str">
        <f t="shared" si="5"/>
        <v>7_1</v>
      </c>
      <c r="B174" s="2">
        <f t="shared" si="6"/>
        <v>7</v>
      </c>
      <c r="C174" s="2">
        <v>1</v>
      </c>
      <c r="D174" s="82">
        <f>D169*1.1</f>
        <v>6.3360000000000003</v>
      </c>
      <c r="E174" s="115" t="s">
        <v>3037</v>
      </c>
      <c r="F174" s="7">
        <v>10</v>
      </c>
      <c r="G174" s="7" t="s">
        <v>588</v>
      </c>
      <c r="H174" s="115"/>
      <c r="I174" s="7"/>
      <c r="J174" s="7"/>
      <c r="K174" s="7">
        <v>1.5</v>
      </c>
      <c r="L174" s="7"/>
      <c r="M174" s="7"/>
      <c r="N174" s="7"/>
    </row>
    <row r="175" spans="1:15" x14ac:dyDescent="0.2">
      <c r="A175" s="2" t="str">
        <f t="shared" si="5"/>
        <v>7_2</v>
      </c>
      <c r="B175" s="2">
        <f t="shared" si="6"/>
        <v>7</v>
      </c>
      <c r="C175" s="2">
        <v>2</v>
      </c>
      <c r="D175" s="82">
        <f t="shared" ref="D175:D188" si="7">D170*1.1</f>
        <v>6.6000000000000005</v>
      </c>
      <c r="E175" s="115"/>
      <c r="F175" s="7">
        <v>12.5</v>
      </c>
      <c r="G175" s="7" t="s">
        <v>588</v>
      </c>
      <c r="H175" s="7" t="s">
        <v>576</v>
      </c>
      <c r="I175" s="115"/>
      <c r="J175" s="7"/>
      <c r="K175" s="7">
        <v>1.5</v>
      </c>
      <c r="L175" s="7">
        <v>0.2</v>
      </c>
      <c r="M175" s="7"/>
      <c r="N175" s="7"/>
    </row>
    <row r="176" spans="1:15" x14ac:dyDescent="0.2">
      <c r="A176" s="2" t="str">
        <f t="shared" si="5"/>
        <v>7_3</v>
      </c>
      <c r="B176" s="2">
        <f t="shared" si="6"/>
        <v>7</v>
      </c>
      <c r="C176" s="2">
        <v>3</v>
      </c>
      <c r="D176" s="82">
        <f t="shared" si="7"/>
        <v>7.92</v>
      </c>
      <c r="E176" s="115"/>
      <c r="F176" s="7">
        <v>15</v>
      </c>
      <c r="G176" s="7" t="s">
        <v>588</v>
      </c>
      <c r="H176" s="7" t="s">
        <v>578</v>
      </c>
      <c r="I176" s="115" t="s">
        <v>584</v>
      </c>
      <c r="J176" s="7"/>
      <c r="K176" s="7">
        <v>1.5</v>
      </c>
      <c r="L176" s="7">
        <v>0.4</v>
      </c>
      <c r="M176" s="7">
        <v>1.5</v>
      </c>
      <c r="N176" s="7"/>
    </row>
    <row r="177" spans="1:14" x14ac:dyDescent="0.2">
      <c r="A177" s="2" t="str">
        <f t="shared" si="5"/>
        <v>7_4</v>
      </c>
      <c r="B177" s="2">
        <f t="shared" si="6"/>
        <v>7</v>
      </c>
      <c r="C177" s="2">
        <v>4</v>
      </c>
      <c r="D177" s="82">
        <f t="shared" si="7"/>
        <v>10.56</v>
      </c>
      <c r="E177" s="115"/>
      <c r="F177" s="7">
        <v>17.5</v>
      </c>
      <c r="G177" s="7" t="s">
        <v>588</v>
      </c>
      <c r="H177" s="7" t="s">
        <v>584</v>
      </c>
      <c r="I177" s="7" t="s">
        <v>595</v>
      </c>
      <c r="J177" s="115"/>
      <c r="K177" s="7">
        <v>1.5</v>
      </c>
      <c r="L177" s="7">
        <v>0.5</v>
      </c>
      <c r="M177" s="7">
        <v>0.5</v>
      </c>
      <c r="N177" s="7"/>
    </row>
    <row r="178" spans="1:14" x14ac:dyDescent="0.2">
      <c r="A178" s="2" t="str">
        <f t="shared" si="5"/>
        <v>7_5</v>
      </c>
      <c r="B178" s="2">
        <f t="shared" si="6"/>
        <v>7</v>
      </c>
      <c r="C178" s="2">
        <v>5</v>
      </c>
      <c r="D178" s="82">
        <f t="shared" si="7"/>
        <v>18.480000000000004</v>
      </c>
      <c r="E178" s="115"/>
      <c r="F178" s="7">
        <v>20</v>
      </c>
      <c r="G178" s="7" t="s">
        <v>588</v>
      </c>
      <c r="H178" s="7" t="s">
        <v>606</v>
      </c>
      <c r="I178" s="7" t="s">
        <v>591</v>
      </c>
      <c r="J178" s="115"/>
      <c r="K178" s="7">
        <v>1.5</v>
      </c>
      <c r="L178" s="7">
        <v>0.5</v>
      </c>
      <c r="M178" s="7">
        <v>2</v>
      </c>
      <c r="N178" s="7"/>
    </row>
    <row r="179" spans="1:14" x14ac:dyDescent="0.2">
      <c r="A179" s="2" t="str">
        <f t="shared" si="5"/>
        <v>8_1</v>
      </c>
      <c r="B179" s="2">
        <f t="shared" si="6"/>
        <v>8</v>
      </c>
      <c r="C179" s="2">
        <v>1</v>
      </c>
      <c r="D179" s="82">
        <v>6</v>
      </c>
      <c r="E179" s="115" t="s">
        <v>3038</v>
      </c>
      <c r="F179" s="7">
        <v>10</v>
      </c>
      <c r="G179" s="7" t="s">
        <v>588</v>
      </c>
      <c r="H179" s="115" t="s">
        <v>600</v>
      </c>
      <c r="I179" s="7"/>
      <c r="J179" s="7"/>
      <c r="K179" s="7">
        <v>1.5</v>
      </c>
      <c r="L179" s="7">
        <v>0.5</v>
      </c>
      <c r="M179" s="7"/>
      <c r="N179" s="7"/>
    </row>
    <row r="180" spans="1:14" x14ac:dyDescent="0.2">
      <c r="A180" s="2" t="str">
        <f t="shared" si="5"/>
        <v>8_2</v>
      </c>
      <c r="B180" s="2">
        <f t="shared" si="6"/>
        <v>8</v>
      </c>
      <c r="C180" s="2">
        <v>2</v>
      </c>
      <c r="D180" s="82">
        <v>9</v>
      </c>
      <c r="E180" s="115"/>
      <c r="F180" s="7">
        <v>12.5</v>
      </c>
      <c r="G180" s="7" t="s">
        <v>588</v>
      </c>
      <c r="H180" s="7" t="s">
        <v>576</v>
      </c>
      <c r="I180" s="115" t="s">
        <v>598</v>
      </c>
      <c r="J180" s="7"/>
      <c r="K180" s="7">
        <v>1.5</v>
      </c>
      <c r="L180" s="7">
        <v>0.2</v>
      </c>
      <c r="M180" s="7">
        <v>1</v>
      </c>
      <c r="N180" s="7"/>
    </row>
    <row r="181" spans="1:14" x14ac:dyDescent="0.2">
      <c r="A181" s="2" t="str">
        <f t="shared" si="5"/>
        <v>8_3</v>
      </c>
      <c r="B181" s="2">
        <f t="shared" si="6"/>
        <v>8</v>
      </c>
      <c r="C181" s="2">
        <v>3</v>
      </c>
      <c r="D181" s="82">
        <v>15</v>
      </c>
      <c r="E181" s="115"/>
      <c r="F181" s="7">
        <v>15</v>
      </c>
      <c r="G181" s="7" t="s">
        <v>588</v>
      </c>
      <c r="H181" s="7" t="s">
        <v>578</v>
      </c>
      <c r="I181" s="115" t="s">
        <v>606</v>
      </c>
      <c r="J181" s="7"/>
      <c r="K181" s="7">
        <v>1.5</v>
      </c>
      <c r="L181" s="7">
        <v>0.4</v>
      </c>
      <c r="M181" s="7">
        <v>1.5</v>
      </c>
      <c r="N181" s="7"/>
    </row>
    <row r="182" spans="1:14" x14ac:dyDescent="0.2">
      <c r="A182" s="2" t="str">
        <f t="shared" si="5"/>
        <v>8_4</v>
      </c>
      <c r="B182" s="2">
        <f t="shared" si="6"/>
        <v>8</v>
      </c>
      <c r="C182" s="2">
        <v>4</v>
      </c>
      <c r="D182" s="82">
        <v>22</v>
      </c>
      <c r="E182" s="115"/>
      <c r="F182" s="7">
        <v>17.5</v>
      </c>
      <c r="G182" s="7" t="s">
        <v>588</v>
      </c>
      <c r="H182" s="7" t="s">
        <v>606</v>
      </c>
      <c r="I182" s="7" t="s">
        <v>595</v>
      </c>
      <c r="J182" s="115"/>
      <c r="K182" s="7">
        <v>1.5</v>
      </c>
      <c r="L182" s="7">
        <v>0.5</v>
      </c>
      <c r="M182" s="7">
        <v>0.5</v>
      </c>
      <c r="N182" s="7"/>
    </row>
    <row r="183" spans="1:14" x14ac:dyDescent="0.2">
      <c r="A183" s="2" t="str">
        <f t="shared" si="5"/>
        <v>8_5</v>
      </c>
      <c r="B183" s="2">
        <f t="shared" si="6"/>
        <v>8</v>
      </c>
      <c r="C183" s="2">
        <v>5</v>
      </c>
      <c r="D183" s="82">
        <v>30</v>
      </c>
      <c r="E183" s="115"/>
      <c r="F183" s="7">
        <v>20</v>
      </c>
      <c r="G183" s="7" t="s">
        <v>588</v>
      </c>
      <c r="H183" s="7" t="s">
        <v>606</v>
      </c>
      <c r="I183" s="7" t="s">
        <v>591</v>
      </c>
      <c r="J183" s="115" t="s">
        <v>595</v>
      </c>
      <c r="K183" s="7">
        <v>1.5</v>
      </c>
      <c r="L183" s="7">
        <v>0.5</v>
      </c>
      <c r="M183" s="7">
        <v>2</v>
      </c>
      <c r="N183" s="7">
        <v>0.5</v>
      </c>
    </row>
    <row r="184" spans="1:14" x14ac:dyDescent="0.2">
      <c r="A184" s="2" t="str">
        <f t="shared" si="5"/>
        <v>9_1</v>
      </c>
      <c r="B184" s="2">
        <f t="shared" si="6"/>
        <v>9</v>
      </c>
      <c r="C184" s="2">
        <v>1</v>
      </c>
      <c r="D184" s="82">
        <f t="shared" si="7"/>
        <v>6.6000000000000005</v>
      </c>
      <c r="E184" s="115" t="s">
        <v>3039</v>
      </c>
      <c r="F184" s="7">
        <v>10</v>
      </c>
      <c r="G184" s="7" t="s">
        <v>597</v>
      </c>
      <c r="H184" s="115" t="s">
        <v>603</v>
      </c>
      <c r="I184" s="7"/>
      <c r="J184" s="7"/>
      <c r="K184" s="7">
        <v>2</v>
      </c>
      <c r="L184" s="115">
        <v>1</v>
      </c>
      <c r="M184" s="7"/>
      <c r="N184" s="7"/>
    </row>
    <row r="185" spans="1:14" x14ac:dyDescent="0.2">
      <c r="A185" s="2" t="str">
        <f t="shared" si="5"/>
        <v>9_2</v>
      </c>
      <c r="B185" s="2">
        <f t="shared" si="6"/>
        <v>9</v>
      </c>
      <c r="C185" s="2">
        <v>2</v>
      </c>
      <c r="D185" s="82">
        <f t="shared" si="7"/>
        <v>9.9</v>
      </c>
      <c r="E185" s="115"/>
      <c r="F185" s="7">
        <v>12.5</v>
      </c>
      <c r="G185" s="7" t="s">
        <v>600</v>
      </c>
      <c r="H185" s="7" t="s">
        <v>598</v>
      </c>
      <c r="I185" s="115"/>
      <c r="J185" s="7"/>
      <c r="K185" s="7">
        <v>0.5</v>
      </c>
      <c r="L185" s="7">
        <v>1</v>
      </c>
      <c r="M185" s="115"/>
      <c r="N185" s="7"/>
    </row>
    <row r="186" spans="1:14" x14ac:dyDescent="0.2">
      <c r="A186" s="2" t="str">
        <f t="shared" si="5"/>
        <v>9_3</v>
      </c>
      <c r="B186" s="2">
        <f t="shared" si="6"/>
        <v>9</v>
      </c>
      <c r="C186" s="2">
        <v>3</v>
      </c>
      <c r="D186" s="82">
        <f t="shared" si="7"/>
        <v>16.5</v>
      </c>
      <c r="E186" s="115"/>
      <c r="F186" s="7">
        <v>15</v>
      </c>
      <c r="G186" s="7" t="s">
        <v>606</v>
      </c>
      <c r="H186" s="7" t="s">
        <v>604</v>
      </c>
      <c r="I186" s="115" t="s">
        <v>603</v>
      </c>
      <c r="J186" s="7"/>
      <c r="K186" s="7">
        <v>0.5</v>
      </c>
      <c r="L186" s="7">
        <v>1.5</v>
      </c>
      <c r="M186" s="115">
        <v>1</v>
      </c>
      <c r="N186" s="7"/>
    </row>
    <row r="187" spans="1:14" x14ac:dyDescent="0.2">
      <c r="A187" s="2" t="str">
        <f t="shared" si="5"/>
        <v>9_4</v>
      </c>
      <c r="B187" s="2">
        <f t="shared" si="6"/>
        <v>9</v>
      </c>
      <c r="C187" s="2">
        <v>4</v>
      </c>
      <c r="D187" s="82">
        <f t="shared" si="7"/>
        <v>24.200000000000003</v>
      </c>
      <c r="E187" s="115"/>
      <c r="F187" s="7">
        <v>17.5</v>
      </c>
      <c r="G187" s="7" t="s">
        <v>601</v>
      </c>
      <c r="H187" s="7" t="s">
        <v>606</v>
      </c>
      <c r="I187" s="115" t="s">
        <v>595</v>
      </c>
      <c r="J187" s="7"/>
      <c r="K187" s="7">
        <v>2</v>
      </c>
      <c r="L187" s="7">
        <v>0.5</v>
      </c>
      <c r="M187" s="115">
        <v>0.5</v>
      </c>
      <c r="N187" s="7"/>
    </row>
    <row r="188" spans="1:14" x14ac:dyDescent="0.2">
      <c r="A188" s="2" t="str">
        <f t="shared" si="5"/>
        <v>9_5</v>
      </c>
      <c r="B188" s="2">
        <f t="shared" si="6"/>
        <v>9</v>
      </c>
      <c r="C188" s="2">
        <v>5</v>
      </c>
      <c r="D188" s="82">
        <f t="shared" si="7"/>
        <v>33</v>
      </c>
      <c r="E188" s="115"/>
      <c r="F188" s="7">
        <v>20</v>
      </c>
      <c r="G188" s="7" t="s">
        <v>601</v>
      </c>
      <c r="H188" s="7" t="s">
        <v>606</v>
      </c>
      <c r="I188" s="115" t="s">
        <v>604</v>
      </c>
      <c r="J188" s="7" t="s">
        <v>603</v>
      </c>
      <c r="K188" s="7">
        <v>2</v>
      </c>
      <c r="L188" s="7">
        <v>0.5</v>
      </c>
      <c r="M188" s="115">
        <v>1.5</v>
      </c>
      <c r="N188" s="7">
        <v>1</v>
      </c>
    </row>
    <row r="189" spans="1:14" x14ac:dyDescent="0.2">
      <c r="A189" s="2" t="str">
        <f t="shared" si="5"/>
        <v>10_1</v>
      </c>
      <c r="B189" s="2">
        <f t="shared" si="6"/>
        <v>10</v>
      </c>
      <c r="C189" s="2">
        <v>1</v>
      </c>
      <c r="D189" s="82">
        <v>15</v>
      </c>
      <c r="E189" s="115" t="s">
        <v>3040</v>
      </c>
      <c r="F189" s="7">
        <v>10</v>
      </c>
      <c r="G189" s="7" t="s">
        <v>600</v>
      </c>
      <c r="H189" s="7" t="s">
        <v>594</v>
      </c>
      <c r="I189" s="7"/>
      <c r="J189" s="7"/>
      <c r="K189" s="7">
        <v>0.5</v>
      </c>
      <c r="L189" s="7">
        <v>0.5</v>
      </c>
      <c r="M189" s="7"/>
      <c r="N189" s="7"/>
    </row>
    <row r="190" spans="1:14" x14ac:dyDescent="0.2">
      <c r="A190" s="2" t="str">
        <f t="shared" si="5"/>
        <v>10_2</v>
      </c>
      <c r="B190" s="2">
        <f t="shared" si="6"/>
        <v>10</v>
      </c>
      <c r="C190" s="2">
        <v>2</v>
      </c>
      <c r="D190" s="82">
        <v>12</v>
      </c>
      <c r="E190" s="115"/>
      <c r="F190" s="7">
        <v>12.5</v>
      </c>
      <c r="G190" s="7" t="s">
        <v>606</v>
      </c>
      <c r="H190" s="7" t="s">
        <v>603</v>
      </c>
      <c r="I190" s="115"/>
      <c r="J190" s="7"/>
      <c r="K190" s="7">
        <v>0.5</v>
      </c>
      <c r="L190" s="7">
        <v>1</v>
      </c>
      <c r="M190" s="7"/>
      <c r="N190" s="7"/>
    </row>
    <row r="191" spans="1:14" x14ac:dyDescent="0.2">
      <c r="A191" s="2" t="str">
        <f t="shared" si="5"/>
        <v>10_3</v>
      </c>
      <c r="B191" s="2">
        <f t="shared" si="6"/>
        <v>10</v>
      </c>
      <c r="C191" s="2">
        <v>3</v>
      </c>
      <c r="D191" s="82">
        <v>13</v>
      </c>
      <c r="E191" s="115"/>
      <c r="F191" s="7">
        <v>15</v>
      </c>
      <c r="G191" s="7" t="s">
        <v>606</v>
      </c>
      <c r="H191" s="7" t="s">
        <v>604</v>
      </c>
      <c r="I191" s="7" t="s">
        <v>591</v>
      </c>
      <c r="J191" s="115"/>
      <c r="K191" s="7">
        <v>0.5</v>
      </c>
      <c r="L191" s="7">
        <v>1</v>
      </c>
      <c r="M191" s="7">
        <v>1</v>
      </c>
      <c r="N191" s="7"/>
    </row>
    <row r="192" spans="1:14" x14ac:dyDescent="0.2">
      <c r="A192" s="2" t="str">
        <f t="shared" si="5"/>
        <v>10_4</v>
      </c>
      <c r="B192" s="2">
        <f t="shared" si="6"/>
        <v>10</v>
      </c>
      <c r="C192" s="2">
        <v>4</v>
      </c>
      <c r="D192" s="82">
        <v>16</v>
      </c>
      <c r="E192" s="115"/>
      <c r="F192" s="7">
        <v>17.5</v>
      </c>
      <c r="G192" s="7" t="s">
        <v>601</v>
      </c>
      <c r="H192" s="7" t="s">
        <v>604</v>
      </c>
      <c r="I192" s="7" t="s">
        <v>598</v>
      </c>
      <c r="J192" s="7"/>
      <c r="K192" s="7">
        <v>2</v>
      </c>
      <c r="L192" s="7">
        <v>1</v>
      </c>
      <c r="M192" s="7">
        <v>0.5</v>
      </c>
      <c r="N192" s="7"/>
    </row>
    <row r="193" spans="1:14" x14ac:dyDescent="0.2">
      <c r="A193" s="2" t="str">
        <f t="shared" si="5"/>
        <v>10_5</v>
      </c>
      <c r="B193" s="2">
        <f t="shared" si="6"/>
        <v>10</v>
      </c>
      <c r="C193" s="2">
        <v>5</v>
      </c>
      <c r="D193" s="82">
        <v>19</v>
      </c>
      <c r="E193" s="115"/>
      <c r="F193" s="7">
        <v>20</v>
      </c>
      <c r="G193" s="7" t="s">
        <v>601</v>
      </c>
      <c r="H193" s="7" t="s">
        <v>606</v>
      </c>
      <c r="I193" s="7" t="s">
        <v>595</v>
      </c>
      <c r="J193" s="115"/>
      <c r="K193" s="7">
        <v>2</v>
      </c>
      <c r="L193" s="7">
        <v>0.5</v>
      </c>
      <c r="M193" s="7">
        <v>0.5</v>
      </c>
      <c r="N193" s="7"/>
    </row>
    <row r="194" spans="1:14" s="127" customFormat="1" x14ac:dyDescent="0.2">
      <c r="A194" s="133" t="str">
        <f t="shared" ref="A194:A196" si="8">B194&amp;"_"&amp;C194</f>
        <v>10_6</v>
      </c>
      <c r="B194" s="133">
        <v>10</v>
      </c>
      <c r="C194" s="133">
        <v>6</v>
      </c>
      <c r="D194" s="134">
        <v>18</v>
      </c>
      <c r="E194" s="168"/>
      <c r="F194" s="135">
        <v>15</v>
      </c>
      <c r="G194" s="7" t="s">
        <v>601</v>
      </c>
      <c r="H194" s="7" t="s">
        <v>606</v>
      </c>
      <c r="I194" s="7" t="s">
        <v>604</v>
      </c>
      <c r="J194" s="168"/>
      <c r="K194" s="135">
        <v>1</v>
      </c>
      <c r="L194" s="135">
        <v>0.5</v>
      </c>
      <c r="M194" s="135">
        <v>1.5</v>
      </c>
      <c r="N194" s="135"/>
    </row>
    <row r="195" spans="1:14" s="127" customFormat="1" x14ac:dyDescent="0.2">
      <c r="A195" s="133" t="str">
        <f t="shared" si="8"/>
        <v>10_7</v>
      </c>
      <c r="B195" s="133">
        <v>10</v>
      </c>
      <c r="C195" s="133">
        <v>7</v>
      </c>
      <c r="D195" s="134">
        <v>30</v>
      </c>
      <c r="E195" s="168"/>
      <c r="F195" s="135">
        <v>17.5</v>
      </c>
      <c r="G195" s="7" t="s">
        <v>601</v>
      </c>
      <c r="H195" s="7" t="s">
        <v>606</v>
      </c>
      <c r="I195" s="7" t="s">
        <v>604</v>
      </c>
      <c r="J195" s="7" t="s">
        <v>598</v>
      </c>
      <c r="K195" s="135">
        <v>1</v>
      </c>
      <c r="L195" s="135">
        <v>0.5</v>
      </c>
      <c r="M195" s="135">
        <v>1</v>
      </c>
      <c r="N195" s="135">
        <v>0.5</v>
      </c>
    </row>
    <row r="196" spans="1:14" s="127" customFormat="1" x14ac:dyDescent="0.2">
      <c r="A196" s="133" t="str">
        <f t="shared" si="8"/>
        <v>10_8</v>
      </c>
      <c r="B196" s="133">
        <v>10</v>
      </c>
      <c r="C196" s="133">
        <v>8</v>
      </c>
      <c r="D196" s="134">
        <v>37</v>
      </c>
      <c r="E196" s="168"/>
      <c r="F196" s="135">
        <v>20</v>
      </c>
      <c r="G196" s="7" t="s">
        <v>601</v>
      </c>
      <c r="H196" s="7" t="s">
        <v>606</v>
      </c>
      <c r="I196" s="7" t="s">
        <v>604</v>
      </c>
      <c r="J196" s="7" t="s">
        <v>605</v>
      </c>
      <c r="K196" s="135">
        <v>1</v>
      </c>
      <c r="L196" s="135">
        <v>0.5</v>
      </c>
      <c r="M196" s="135">
        <v>0.5</v>
      </c>
      <c r="N196" s="135">
        <v>0</v>
      </c>
    </row>
    <row r="202" spans="1:14" s="4" customFormat="1" x14ac:dyDescent="0.2">
      <c r="A202" s="4" t="s">
        <v>13</v>
      </c>
    </row>
    <row r="203" spans="1:14" x14ac:dyDescent="0.2">
      <c r="A203" s="5" t="s">
        <v>3134</v>
      </c>
      <c r="E203" s="5"/>
    </row>
    <row r="204" spans="1:14" x14ac:dyDescent="0.2">
      <c r="A204" s="8" t="s">
        <v>380</v>
      </c>
      <c r="B204" s="8" t="s">
        <v>381</v>
      </c>
      <c r="C204" s="8" t="s">
        <v>391</v>
      </c>
      <c r="D204" s="182" t="s">
        <v>392</v>
      </c>
      <c r="E204" s="183"/>
      <c r="F204" s="183"/>
      <c r="G204" s="184"/>
      <c r="H204" s="137" t="s">
        <v>1749</v>
      </c>
      <c r="L204" s="137" t="s">
        <v>1735</v>
      </c>
      <c r="M204" s="137" t="s">
        <v>1736</v>
      </c>
      <c r="N204" s="137" t="s">
        <v>380</v>
      </c>
    </row>
    <row r="205" spans="1:14" x14ac:dyDescent="0.2">
      <c r="A205" s="2">
        <v>1</v>
      </c>
      <c r="B205" s="82">
        <v>2.5</v>
      </c>
      <c r="C205" s="82"/>
      <c r="D205" s="82" t="s">
        <v>590</v>
      </c>
      <c r="E205" s="82"/>
      <c r="F205" s="82"/>
      <c r="G205" s="82"/>
      <c r="H205" s="6" t="s">
        <v>45</v>
      </c>
      <c r="L205" s="137">
        <v>4</v>
      </c>
      <c r="M205" s="137">
        <v>15</v>
      </c>
      <c r="N205" s="137" t="s">
        <v>1744</v>
      </c>
    </row>
    <row r="206" spans="1:14" x14ac:dyDescent="0.2">
      <c r="A206" s="2">
        <v>2</v>
      </c>
      <c r="B206" s="80">
        <f>B205+$L$205</f>
        <v>6.5</v>
      </c>
      <c r="C206" s="7"/>
      <c r="D206" s="82" t="s">
        <v>590</v>
      </c>
      <c r="E206" s="82" t="s">
        <v>591</v>
      </c>
      <c r="F206" s="82"/>
      <c r="G206" s="82"/>
      <c r="H206" s="6" t="s">
        <v>45</v>
      </c>
      <c r="L206" s="137">
        <v>2.5</v>
      </c>
      <c r="M206" s="137">
        <v>40</v>
      </c>
      <c r="N206" s="150" t="s">
        <v>1745</v>
      </c>
    </row>
    <row r="207" spans="1:14" x14ac:dyDescent="0.2">
      <c r="A207" s="2">
        <v>3</v>
      </c>
      <c r="B207" s="80">
        <f>B206+$L$205</f>
        <v>10.5</v>
      </c>
      <c r="C207" s="7" t="s">
        <v>393</v>
      </c>
      <c r="D207" s="82" t="s">
        <v>591</v>
      </c>
      <c r="E207" s="82" t="s">
        <v>592</v>
      </c>
      <c r="F207" s="82"/>
      <c r="G207" s="82"/>
      <c r="H207" s="6" t="s">
        <v>45</v>
      </c>
      <c r="L207" s="137">
        <v>7.5</v>
      </c>
      <c r="M207" s="137">
        <v>5</v>
      </c>
      <c r="N207" s="137" t="s">
        <v>1746</v>
      </c>
    </row>
    <row r="208" spans="1:14" x14ac:dyDescent="0.2">
      <c r="A208" s="2">
        <v>4</v>
      </c>
      <c r="B208" s="80">
        <f>B207+$M$205</f>
        <v>25.5</v>
      </c>
      <c r="C208" s="7" t="s">
        <v>383</v>
      </c>
      <c r="D208" s="82" t="s">
        <v>593</v>
      </c>
      <c r="E208" s="82" t="s">
        <v>592</v>
      </c>
      <c r="F208" s="82"/>
      <c r="G208" s="82"/>
      <c r="H208" s="6" t="s">
        <v>1750</v>
      </c>
      <c r="L208" s="137">
        <v>10</v>
      </c>
      <c r="M208" s="137">
        <v>40</v>
      </c>
      <c r="N208" s="137" t="s">
        <v>1747</v>
      </c>
    </row>
    <row r="209" spans="1:14" x14ac:dyDescent="0.2">
      <c r="A209" s="2">
        <v>5</v>
      </c>
      <c r="B209" s="82">
        <v>15</v>
      </c>
      <c r="C209" s="7"/>
      <c r="D209" s="82" t="s">
        <v>591</v>
      </c>
      <c r="E209" s="82" t="s">
        <v>594</v>
      </c>
      <c r="F209" s="82"/>
      <c r="G209" s="82"/>
      <c r="H209" s="6" t="s">
        <v>1750</v>
      </c>
      <c r="L209" s="137">
        <v>10</v>
      </c>
      <c r="M209" s="137">
        <v>40</v>
      </c>
      <c r="N209" s="137" t="s">
        <v>1748</v>
      </c>
    </row>
    <row r="210" spans="1:14" x14ac:dyDescent="0.2">
      <c r="A210" s="2">
        <v>6</v>
      </c>
      <c r="B210" s="80">
        <f>B209+$L$206</f>
        <v>17.5</v>
      </c>
      <c r="C210" s="7"/>
      <c r="D210" s="82" t="s">
        <v>591</v>
      </c>
      <c r="E210" s="82" t="s">
        <v>594</v>
      </c>
      <c r="F210" s="82"/>
      <c r="G210" s="82"/>
      <c r="H210" s="6" t="s">
        <v>1750</v>
      </c>
      <c r="L210" s="137"/>
      <c r="M210" s="137"/>
      <c r="N210" s="137"/>
    </row>
    <row r="211" spans="1:14" x14ac:dyDescent="0.2">
      <c r="A211" s="2">
        <v>7</v>
      </c>
      <c r="B211" s="80">
        <f>B210+$L$206</f>
        <v>20</v>
      </c>
      <c r="C211" s="7"/>
      <c r="D211" s="82" t="s">
        <v>590</v>
      </c>
      <c r="E211" s="82" t="s">
        <v>594</v>
      </c>
      <c r="F211" s="82"/>
      <c r="G211" s="82"/>
      <c r="H211" s="6" t="s">
        <v>1750</v>
      </c>
      <c r="L211" s="137"/>
      <c r="M211" s="137"/>
      <c r="N211" s="137"/>
    </row>
    <row r="212" spans="1:14" x14ac:dyDescent="0.2">
      <c r="A212" s="2">
        <v>8</v>
      </c>
      <c r="B212" s="80">
        <f>B211+$M$206</f>
        <v>60</v>
      </c>
      <c r="C212" s="7" t="s">
        <v>383</v>
      </c>
      <c r="D212" s="82" t="s">
        <v>595</v>
      </c>
      <c r="E212" s="82" t="s">
        <v>596</v>
      </c>
      <c r="F212" s="82"/>
      <c r="G212" s="82"/>
      <c r="H212" s="6" t="s">
        <v>1751</v>
      </c>
      <c r="L212" s="137"/>
      <c r="M212" s="137"/>
      <c r="N212" s="137"/>
    </row>
    <row r="213" spans="1:14" x14ac:dyDescent="0.2">
      <c r="A213" s="2">
        <v>9</v>
      </c>
      <c r="B213" s="82">
        <v>30</v>
      </c>
      <c r="C213" s="7" t="s">
        <v>385</v>
      </c>
      <c r="D213" s="82" t="s">
        <v>591</v>
      </c>
      <c r="E213" s="82" t="s">
        <v>597</v>
      </c>
      <c r="F213" s="82"/>
      <c r="G213" s="82"/>
      <c r="H213" s="6" t="s">
        <v>1751</v>
      </c>
      <c r="L213" s="137"/>
      <c r="M213" s="137"/>
      <c r="N213" s="137"/>
    </row>
    <row r="214" spans="1:14" x14ac:dyDescent="0.2">
      <c r="A214" s="2">
        <v>10</v>
      </c>
      <c r="B214" s="80">
        <f>B213+$L$207</f>
        <v>37.5</v>
      </c>
      <c r="C214" s="7"/>
      <c r="D214" s="82" t="s">
        <v>591</v>
      </c>
      <c r="E214" s="82" t="s">
        <v>597</v>
      </c>
      <c r="F214" s="82"/>
      <c r="G214" s="82"/>
      <c r="H214" s="6" t="s">
        <v>1751</v>
      </c>
      <c r="L214" s="137"/>
      <c r="M214" s="137"/>
      <c r="N214" s="137"/>
    </row>
    <row r="215" spans="1:14" x14ac:dyDescent="0.2">
      <c r="A215" s="2">
        <v>11</v>
      </c>
      <c r="B215" s="80">
        <f>B214+$L$207</f>
        <v>45</v>
      </c>
      <c r="C215" s="7"/>
      <c r="D215" s="82" t="s">
        <v>597</v>
      </c>
      <c r="E215" s="82" t="s">
        <v>598</v>
      </c>
      <c r="F215" s="82"/>
      <c r="G215" s="82"/>
      <c r="H215" s="6" t="s">
        <v>1751</v>
      </c>
      <c r="L215" s="137"/>
      <c r="M215" s="137"/>
      <c r="N215" s="137"/>
    </row>
    <row r="216" spans="1:14" x14ac:dyDescent="0.2">
      <c r="A216" s="2">
        <v>12</v>
      </c>
      <c r="B216" s="80">
        <f>B215+$M$207</f>
        <v>50</v>
      </c>
      <c r="C216" s="7" t="s">
        <v>383</v>
      </c>
      <c r="D216" s="82" t="s">
        <v>591</v>
      </c>
      <c r="E216" s="82" t="s">
        <v>597</v>
      </c>
      <c r="F216" s="82" t="s">
        <v>599</v>
      </c>
      <c r="G216" s="82"/>
      <c r="H216" s="6" t="s">
        <v>1754</v>
      </c>
      <c r="L216" s="137"/>
      <c r="M216" s="137"/>
      <c r="N216" s="137"/>
    </row>
    <row r="217" spans="1:14" x14ac:dyDescent="0.2">
      <c r="A217" s="2">
        <v>13</v>
      </c>
      <c r="B217" s="82">
        <v>70</v>
      </c>
      <c r="C217" s="7" t="s">
        <v>394</v>
      </c>
      <c r="D217" s="82" t="s">
        <v>600</v>
      </c>
      <c r="E217" s="82"/>
      <c r="F217" s="82"/>
      <c r="G217" s="82"/>
      <c r="H217" s="6" t="s">
        <v>1754</v>
      </c>
      <c r="L217" s="137"/>
      <c r="M217" s="137"/>
      <c r="N217" s="137"/>
    </row>
    <row r="218" spans="1:14" x14ac:dyDescent="0.2">
      <c r="A218" s="2">
        <v>14</v>
      </c>
      <c r="B218" s="80">
        <f>B217+$L$208</f>
        <v>80</v>
      </c>
      <c r="C218" s="7"/>
      <c r="D218" s="82" t="s">
        <v>600</v>
      </c>
      <c r="E218" s="82" t="s">
        <v>598</v>
      </c>
      <c r="F218" s="82"/>
      <c r="G218" s="82"/>
      <c r="H218" s="6" t="s">
        <v>1754</v>
      </c>
      <c r="L218" s="137"/>
      <c r="M218" s="137"/>
      <c r="N218" s="137"/>
    </row>
    <row r="219" spans="1:14" x14ac:dyDescent="0.2">
      <c r="A219" s="2">
        <v>15</v>
      </c>
      <c r="B219" s="80">
        <f>B218+$L$208</f>
        <v>90</v>
      </c>
      <c r="C219" s="7"/>
      <c r="D219" s="82" t="s">
        <v>600</v>
      </c>
      <c r="E219" s="82" t="s">
        <v>601</v>
      </c>
      <c r="F219" s="82"/>
      <c r="G219" s="82"/>
      <c r="H219" s="6" t="s">
        <v>1754</v>
      </c>
      <c r="L219" s="137"/>
      <c r="M219" s="137"/>
      <c r="N219" s="137"/>
    </row>
    <row r="220" spans="1:14" x14ac:dyDescent="0.2">
      <c r="A220" s="2">
        <v>16</v>
      </c>
      <c r="B220" s="80">
        <f>B219+$M$208</f>
        <v>130</v>
      </c>
      <c r="C220" s="7" t="s">
        <v>383</v>
      </c>
      <c r="D220" s="82" t="s">
        <v>591</v>
      </c>
      <c r="E220" s="82" t="s">
        <v>602</v>
      </c>
      <c r="F220" s="82"/>
      <c r="G220" s="82"/>
      <c r="H220" s="6" t="s">
        <v>1752</v>
      </c>
      <c r="L220" s="137"/>
      <c r="M220" s="137"/>
      <c r="N220" s="137"/>
    </row>
    <row r="221" spans="1:14" x14ac:dyDescent="0.2">
      <c r="A221" s="2">
        <v>17</v>
      </c>
      <c r="B221" s="82">
        <v>100</v>
      </c>
      <c r="C221" s="7" t="s">
        <v>386</v>
      </c>
      <c r="D221" s="82" t="s">
        <v>603</v>
      </c>
      <c r="E221" s="82" t="s">
        <v>604</v>
      </c>
      <c r="F221" s="82"/>
      <c r="G221" s="82"/>
      <c r="H221" s="6" t="s">
        <v>1752</v>
      </c>
      <c r="L221" s="137"/>
      <c r="M221" s="137"/>
      <c r="N221" s="137"/>
    </row>
    <row r="222" spans="1:14" x14ac:dyDescent="0.2">
      <c r="A222" s="2">
        <v>18</v>
      </c>
      <c r="B222" s="80">
        <f>B221+$L$209</f>
        <v>110</v>
      </c>
      <c r="C222" s="7"/>
      <c r="D222" s="82" t="s">
        <v>604</v>
      </c>
      <c r="E222" s="82" t="s">
        <v>598</v>
      </c>
      <c r="F222" s="82"/>
      <c r="G222" s="82"/>
      <c r="H222" s="6" t="s">
        <v>1752</v>
      </c>
      <c r="L222" s="137"/>
      <c r="M222" s="137"/>
      <c r="N222" s="137"/>
    </row>
    <row r="223" spans="1:14" x14ac:dyDescent="0.2">
      <c r="A223" s="2">
        <v>19</v>
      </c>
      <c r="B223" s="80">
        <f>B222+$L$209</f>
        <v>120</v>
      </c>
      <c r="C223" s="7"/>
      <c r="D223" s="82" t="s">
        <v>604</v>
      </c>
      <c r="E223" s="82" t="s">
        <v>598</v>
      </c>
      <c r="F223" s="82" t="s">
        <v>601</v>
      </c>
      <c r="G223" s="82"/>
      <c r="H223" s="6" t="s">
        <v>1752</v>
      </c>
    </row>
    <row r="224" spans="1:14" x14ac:dyDescent="0.2">
      <c r="A224" s="2">
        <v>20</v>
      </c>
      <c r="B224" s="80">
        <f>B223+$M$209</f>
        <v>160</v>
      </c>
      <c r="C224" s="7" t="s">
        <v>383</v>
      </c>
      <c r="D224" s="82" t="s">
        <v>604</v>
      </c>
      <c r="E224" s="82" t="s">
        <v>606</v>
      </c>
      <c r="F224" s="82" t="s">
        <v>601</v>
      </c>
      <c r="G224" s="82" t="s">
        <v>605</v>
      </c>
      <c r="H224" s="6" t="s">
        <v>1753</v>
      </c>
    </row>
    <row r="225" spans="1:14" x14ac:dyDescent="0.2">
      <c r="A225" s="2" t="s">
        <v>1103</v>
      </c>
      <c r="B225" s="120">
        <v>1.5</v>
      </c>
      <c r="C225" s="7"/>
      <c r="D225" s="82"/>
      <c r="E225" s="82"/>
      <c r="F225" s="82"/>
      <c r="G225" s="82"/>
    </row>
    <row r="227" spans="1:14" x14ac:dyDescent="0.2">
      <c r="A227" s="5" t="s">
        <v>1963</v>
      </c>
      <c r="E227" s="5"/>
    </row>
    <row r="228" spans="1:14" x14ac:dyDescent="0.2">
      <c r="A228" s="8" t="s">
        <v>380</v>
      </c>
      <c r="B228" s="8" t="s">
        <v>381</v>
      </c>
      <c r="C228" s="8" t="s">
        <v>391</v>
      </c>
      <c r="D228" s="182" t="s">
        <v>26</v>
      </c>
      <c r="E228" s="183"/>
      <c r="F228" s="183"/>
      <c r="G228" s="184"/>
      <c r="H228" s="182" t="s">
        <v>3136</v>
      </c>
      <c r="I228" s="183"/>
      <c r="J228" s="183"/>
      <c r="K228" s="184"/>
      <c r="L228" s="137" t="s">
        <v>1735</v>
      </c>
      <c r="M228" s="137" t="s">
        <v>1736</v>
      </c>
      <c r="N228" s="137" t="s">
        <v>380</v>
      </c>
    </row>
    <row r="229" spans="1:14" x14ac:dyDescent="0.2">
      <c r="A229" s="2">
        <v>1</v>
      </c>
      <c r="B229" s="82">
        <v>2.5</v>
      </c>
      <c r="C229" s="82"/>
      <c r="D229" s="82" t="s">
        <v>869</v>
      </c>
      <c r="E229" s="82"/>
      <c r="F229" s="82"/>
      <c r="G229" s="82"/>
      <c r="H229" s="82">
        <v>1.5</v>
      </c>
      <c r="I229" s="82"/>
      <c r="J229" s="82"/>
      <c r="K229" s="82"/>
      <c r="L229" s="137">
        <v>4</v>
      </c>
      <c r="M229" s="137">
        <v>15</v>
      </c>
      <c r="N229" s="137" t="s">
        <v>1744</v>
      </c>
    </row>
    <row r="230" spans="1:14" x14ac:dyDescent="0.2">
      <c r="A230" s="2">
        <v>2</v>
      </c>
      <c r="B230" s="80">
        <v>6.5</v>
      </c>
      <c r="C230" s="7"/>
      <c r="D230" s="82" t="s">
        <v>590</v>
      </c>
      <c r="E230" s="82" t="s">
        <v>869</v>
      </c>
      <c r="F230" s="82"/>
      <c r="G230" s="82"/>
      <c r="H230" s="82">
        <v>0.75</v>
      </c>
      <c r="I230" s="82">
        <v>1.5</v>
      </c>
      <c r="J230" s="82"/>
      <c r="K230" s="82"/>
      <c r="L230" s="137">
        <v>2.5</v>
      </c>
      <c r="M230" s="137">
        <v>40</v>
      </c>
      <c r="N230" s="150" t="s">
        <v>1745</v>
      </c>
    </row>
    <row r="231" spans="1:14" x14ac:dyDescent="0.2">
      <c r="A231" s="2">
        <v>3</v>
      </c>
      <c r="B231" s="80">
        <v>10.5</v>
      </c>
      <c r="C231" s="7" t="s">
        <v>393</v>
      </c>
      <c r="D231" s="82" t="s">
        <v>869</v>
      </c>
      <c r="E231" s="82" t="s">
        <v>592</v>
      </c>
      <c r="F231" s="82"/>
      <c r="G231" s="82"/>
      <c r="H231" s="82">
        <v>1.5</v>
      </c>
      <c r="I231" s="82">
        <v>0.2</v>
      </c>
      <c r="J231" s="82"/>
      <c r="K231" s="82"/>
      <c r="L231" s="137">
        <v>7.5</v>
      </c>
      <c r="M231" s="137">
        <v>5</v>
      </c>
      <c r="N231" s="137" t="s">
        <v>1746</v>
      </c>
    </row>
    <row r="232" spans="1:14" x14ac:dyDescent="0.2">
      <c r="A232" s="2">
        <v>4</v>
      </c>
      <c r="B232" s="80">
        <v>25.5</v>
      </c>
      <c r="C232" s="7" t="s">
        <v>383</v>
      </c>
      <c r="D232" s="82" t="s">
        <v>593</v>
      </c>
      <c r="E232" s="82" t="s">
        <v>869</v>
      </c>
      <c r="F232" s="82"/>
      <c r="G232" s="82"/>
      <c r="H232" s="82">
        <v>0</v>
      </c>
      <c r="I232" s="82">
        <v>1</v>
      </c>
      <c r="J232" s="82"/>
      <c r="K232" s="82"/>
      <c r="L232" s="137">
        <v>10</v>
      </c>
      <c r="M232" s="137">
        <v>40</v>
      </c>
      <c r="N232" s="137" t="s">
        <v>1747</v>
      </c>
    </row>
    <row r="233" spans="1:14" x14ac:dyDescent="0.2">
      <c r="A233" s="2">
        <v>5</v>
      </c>
      <c r="B233" s="82">
        <v>15</v>
      </c>
      <c r="C233" s="7"/>
      <c r="D233" s="82" t="s">
        <v>869</v>
      </c>
      <c r="E233" s="82" t="s">
        <v>594</v>
      </c>
      <c r="F233" s="82"/>
      <c r="G233" s="82"/>
      <c r="H233" s="82">
        <v>1</v>
      </c>
      <c r="I233" s="82">
        <v>1</v>
      </c>
      <c r="J233" s="82"/>
      <c r="K233" s="82"/>
      <c r="L233" s="137">
        <v>10</v>
      </c>
      <c r="M233" s="137">
        <v>40</v>
      </c>
      <c r="N233" s="137" t="s">
        <v>1748</v>
      </c>
    </row>
    <row r="234" spans="1:14" x14ac:dyDescent="0.2">
      <c r="A234" s="2">
        <v>6</v>
      </c>
      <c r="B234" s="80">
        <v>25</v>
      </c>
      <c r="C234" s="7"/>
      <c r="D234" s="82" t="s">
        <v>591</v>
      </c>
      <c r="E234" s="82" t="s">
        <v>869</v>
      </c>
      <c r="F234" s="82"/>
      <c r="G234" s="82"/>
      <c r="H234" s="82">
        <v>0.75</v>
      </c>
      <c r="I234" s="82">
        <v>1</v>
      </c>
      <c r="J234" s="82"/>
      <c r="K234" s="82"/>
      <c r="M234" s="137"/>
      <c r="N234" s="137"/>
    </row>
    <row r="235" spans="1:14" x14ac:dyDescent="0.2">
      <c r="A235" s="2">
        <v>7</v>
      </c>
      <c r="B235" s="80">
        <v>30</v>
      </c>
      <c r="C235" s="7"/>
      <c r="D235" s="82" t="s">
        <v>869</v>
      </c>
      <c r="E235" s="82" t="s">
        <v>594</v>
      </c>
      <c r="F235" s="82"/>
      <c r="G235" s="82"/>
      <c r="H235" s="82">
        <v>1</v>
      </c>
      <c r="I235" s="82">
        <v>0.5</v>
      </c>
      <c r="J235" s="82"/>
      <c r="K235" s="82"/>
      <c r="M235" s="137"/>
      <c r="N235" s="137"/>
    </row>
    <row r="236" spans="1:14" x14ac:dyDescent="0.2">
      <c r="A236" s="2">
        <v>8</v>
      </c>
      <c r="B236" s="80">
        <v>40</v>
      </c>
      <c r="C236" s="7" t="s">
        <v>383</v>
      </c>
      <c r="D236" s="82" t="s">
        <v>869</v>
      </c>
      <c r="E236" s="82" t="s">
        <v>596</v>
      </c>
      <c r="F236" s="82"/>
      <c r="G236" s="82"/>
      <c r="H236" s="82">
        <v>1</v>
      </c>
      <c r="I236" s="82">
        <v>0</v>
      </c>
      <c r="J236" s="82"/>
      <c r="K236" s="82"/>
      <c r="M236" s="137"/>
      <c r="N236" s="137"/>
    </row>
    <row r="237" spans="1:14" x14ac:dyDescent="0.2">
      <c r="A237" s="2">
        <v>9</v>
      </c>
      <c r="B237" s="82">
        <v>20</v>
      </c>
      <c r="C237" s="7" t="s">
        <v>385</v>
      </c>
      <c r="D237" s="82" t="s">
        <v>3135</v>
      </c>
      <c r="E237" s="82" t="s">
        <v>597</v>
      </c>
      <c r="F237" s="82"/>
      <c r="G237" s="82"/>
      <c r="H237" s="82">
        <v>1.5</v>
      </c>
      <c r="I237" s="82">
        <v>3</v>
      </c>
      <c r="J237" s="82"/>
      <c r="K237" s="82"/>
      <c r="M237" s="137"/>
      <c r="N237" s="137"/>
    </row>
    <row r="238" spans="1:14" x14ac:dyDescent="0.2">
      <c r="A238" s="2">
        <v>10</v>
      </c>
      <c r="B238" s="80">
        <v>37.5</v>
      </c>
      <c r="C238" s="7"/>
      <c r="D238" s="82" t="s">
        <v>3135</v>
      </c>
      <c r="E238" s="82" t="s">
        <v>597</v>
      </c>
      <c r="F238" s="82"/>
      <c r="G238" s="82"/>
      <c r="H238" s="82">
        <v>1</v>
      </c>
      <c r="I238" s="82">
        <v>3</v>
      </c>
      <c r="J238" s="82"/>
      <c r="K238" s="82"/>
      <c r="M238" s="137"/>
      <c r="N238" s="137"/>
    </row>
    <row r="239" spans="1:14" x14ac:dyDescent="0.2">
      <c r="A239" s="2">
        <v>11</v>
      </c>
      <c r="B239" s="80">
        <v>50</v>
      </c>
      <c r="C239" s="7"/>
      <c r="D239" s="82" t="s">
        <v>3135</v>
      </c>
      <c r="E239" s="82" t="s">
        <v>598</v>
      </c>
      <c r="F239" s="82"/>
      <c r="G239" s="82"/>
      <c r="H239" s="82">
        <v>1</v>
      </c>
      <c r="I239" s="82">
        <v>2</v>
      </c>
      <c r="J239" s="82"/>
      <c r="K239" s="82"/>
      <c r="M239" s="137"/>
      <c r="N239" s="137"/>
    </row>
    <row r="240" spans="1:14" x14ac:dyDescent="0.2">
      <c r="A240" s="2">
        <v>12</v>
      </c>
      <c r="B240" s="80">
        <v>75</v>
      </c>
      <c r="C240" s="7" t="s">
        <v>383</v>
      </c>
      <c r="D240" s="82" t="s">
        <v>3135</v>
      </c>
      <c r="E240" s="82" t="s">
        <v>597</v>
      </c>
      <c r="F240" s="82" t="s">
        <v>599</v>
      </c>
      <c r="G240" s="82"/>
      <c r="H240" s="82">
        <v>1</v>
      </c>
      <c r="I240" s="82">
        <v>3</v>
      </c>
      <c r="J240" s="82">
        <v>0</v>
      </c>
      <c r="K240" s="82"/>
      <c r="M240" s="137"/>
      <c r="N240" s="137"/>
    </row>
    <row r="241" spans="1:14" x14ac:dyDescent="0.2">
      <c r="A241" s="2">
        <v>13</v>
      </c>
      <c r="B241" s="82">
        <v>25</v>
      </c>
      <c r="C241" s="7" t="s">
        <v>394</v>
      </c>
      <c r="D241" s="82" t="s">
        <v>600</v>
      </c>
      <c r="E241" s="82"/>
      <c r="F241" s="82"/>
      <c r="G241" s="82"/>
      <c r="H241" s="82">
        <v>1.5</v>
      </c>
      <c r="I241" s="82"/>
      <c r="J241" s="82"/>
      <c r="K241" s="82"/>
      <c r="M241" s="137"/>
      <c r="N241" s="137"/>
    </row>
    <row r="242" spans="1:14" x14ac:dyDescent="0.2">
      <c r="A242" s="2">
        <v>14</v>
      </c>
      <c r="B242" s="80">
        <v>60</v>
      </c>
      <c r="C242" s="7"/>
      <c r="D242" s="82" t="s">
        <v>600</v>
      </c>
      <c r="E242" s="82" t="s">
        <v>3135</v>
      </c>
      <c r="F242" s="82"/>
      <c r="G242" s="82"/>
      <c r="H242" s="82">
        <v>1.5</v>
      </c>
      <c r="I242" s="82">
        <v>1.5</v>
      </c>
      <c r="J242" s="82"/>
      <c r="K242" s="82"/>
      <c r="M242" s="137"/>
      <c r="N242" s="137"/>
    </row>
    <row r="243" spans="1:14" x14ac:dyDescent="0.2">
      <c r="A243" s="2">
        <v>15</v>
      </c>
      <c r="B243" s="80">
        <v>90</v>
      </c>
      <c r="C243" s="7"/>
      <c r="D243" s="82" t="s">
        <v>600</v>
      </c>
      <c r="E243" s="82" t="s">
        <v>601</v>
      </c>
      <c r="F243" s="82"/>
      <c r="G243" s="82"/>
      <c r="H243" s="82">
        <v>0.5</v>
      </c>
      <c r="I243" s="82">
        <v>2</v>
      </c>
      <c r="J243" s="82"/>
      <c r="K243" s="82"/>
      <c r="M243" s="137"/>
      <c r="N243" s="137"/>
    </row>
    <row r="244" spans="1:14" x14ac:dyDescent="0.2">
      <c r="A244" s="2">
        <v>16</v>
      </c>
      <c r="B244" s="80">
        <v>120</v>
      </c>
      <c r="C244" s="7" t="s">
        <v>383</v>
      </c>
      <c r="D244" s="82" t="s">
        <v>3135</v>
      </c>
      <c r="E244" s="82" t="s">
        <v>602</v>
      </c>
      <c r="F244" s="82"/>
      <c r="G244" s="82"/>
      <c r="H244" s="82">
        <v>1</v>
      </c>
      <c r="I244" s="82">
        <v>0</v>
      </c>
      <c r="J244" s="82"/>
      <c r="K244" s="82"/>
      <c r="M244" s="137"/>
      <c r="N244" s="137"/>
    </row>
    <row r="245" spans="1:14" x14ac:dyDescent="0.2">
      <c r="A245" s="2">
        <v>17</v>
      </c>
      <c r="B245" s="82">
        <v>100</v>
      </c>
      <c r="C245" s="7" t="s">
        <v>386</v>
      </c>
      <c r="D245" s="82" t="s">
        <v>2083</v>
      </c>
      <c r="E245" s="82" t="s">
        <v>604</v>
      </c>
      <c r="F245" s="82"/>
      <c r="G245" s="82"/>
      <c r="H245" s="82">
        <v>1</v>
      </c>
      <c r="I245" s="82">
        <v>3</v>
      </c>
      <c r="J245" s="82"/>
      <c r="K245" s="82"/>
      <c r="M245" s="137"/>
      <c r="N245" s="137"/>
    </row>
    <row r="246" spans="1:14" x14ac:dyDescent="0.2">
      <c r="A246" s="2">
        <v>18</v>
      </c>
      <c r="B246" s="80">
        <v>110</v>
      </c>
      <c r="C246" s="7"/>
      <c r="D246" s="82" t="s">
        <v>604</v>
      </c>
      <c r="E246" s="82" t="s">
        <v>598</v>
      </c>
      <c r="F246" s="82"/>
      <c r="G246" s="82"/>
      <c r="H246" s="82">
        <v>1.5</v>
      </c>
      <c r="I246" s="82">
        <v>0.75</v>
      </c>
      <c r="J246" s="82"/>
      <c r="K246" s="82"/>
      <c r="M246" s="137"/>
      <c r="N246" s="137"/>
    </row>
    <row r="247" spans="1:14" x14ac:dyDescent="0.2">
      <c r="A247" s="2">
        <v>19</v>
      </c>
      <c r="B247" s="80">
        <v>180</v>
      </c>
      <c r="C247" s="7"/>
      <c r="D247" s="82" t="s">
        <v>604</v>
      </c>
      <c r="E247" s="82" t="s">
        <v>2083</v>
      </c>
      <c r="F247" s="82" t="s">
        <v>601</v>
      </c>
      <c r="G247" s="82"/>
      <c r="H247" s="82">
        <v>1.5</v>
      </c>
      <c r="I247" s="82">
        <v>1</v>
      </c>
      <c r="J247" s="82">
        <v>2</v>
      </c>
      <c r="K247" s="82"/>
    </row>
    <row r="248" spans="1:14" x14ac:dyDescent="0.2">
      <c r="A248" s="2">
        <v>20</v>
      </c>
      <c r="B248" s="80">
        <v>300</v>
      </c>
      <c r="C248" s="7" t="s">
        <v>383</v>
      </c>
      <c r="D248" s="82" t="s">
        <v>605</v>
      </c>
      <c r="E248" s="82" t="s">
        <v>606</v>
      </c>
      <c r="F248" s="82" t="s">
        <v>601</v>
      </c>
      <c r="G248" s="82" t="s">
        <v>2083</v>
      </c>
      <c r="H248" s="82">
        <v>0</v>
      </c>
      <c r="I248" s="82">
        <v>0.75</v>
      </c>
      <c r="J248" s="82">
        <v>1</v>
      </c>
      <c r="K248" s="82">
        <v>1</v>
      </c>
    </row>
    <row r="249" spans="1:14" x14ac:dyDescent="0.2">
      <c r="A249" s="2" t="s">
        <v>1103</v>
      </c>
      <c r="B249" s="120">
        <v>1.5</v>
      </c>
      <c r="C249" s="7"/>
      <c r="D249" s="82"/>
      <c r="E249" s="82"/>
      <c r="F249" s="82"/>
      <c r="G249" s="82"/>
      <c r="H249" s="82"/>
      <c r="I249" s="82"/>
      <c r="J249" s="82"/>
      <c r="K249" s="82"/>
    </row>
    <row r="251" spans="1:14" x14ac:dyDescent="0.2">
      <c r="A251" s="5" t="s">
        <v>1974</v>
      </c>
      <c r="E251" s="5"/>
    </row>
    <row r="252" spans="1:14" x14ac:dyDescent="0.2">
      <c r="A252" s="8" t="s">
        <v>380</v>
      </c>
      <c r="B252" s="8" t="s">
        <v>381</v>
      </c>
      <c r="C252" s="8" t="s">
        <v>391</v>
      </c>
      <c r="D252" s="182" t="s">
        <v>26</v>
      </c>
      <c r="E252" s="183"/>
      <c r="F252" s="183"/>
      <c r="G252" s="184"/>
      <c r="H252" s="182" t="s">
        <v>3136</v>
      </c>
      <c r="I252" s="183"/>
      <c r="J252" s="183"/>
      <c r="K252" s="184"/>
      <c r="L252" s="137" t="s">
        <v>1735</v>
      </c>
      <c r="M252" s="137" t="s">
        <v>1736</v>
      </c>
      <c r="N252" s="137" t="s">
        <v>380</v>
      </c>
    </row>
    <row r="253" spans="1:14" x14ac:dyDescent="0.2">
      <c r="A253" s="2">
        <v>1</v>
      </c>
      <c r="B253" s="82">
        <f>无限模式!Y52</f>
        <v>3.75</v>
      </c>
      <c r="C253" s="82"/>
      <c r="D253" s="82" t="s">
        <v>1965</v>
      </c>
      <c r="E253" s="82"/>
      <c r="F253" s="82"/>
      <c r="G253" s="82"/>
      <c r="H253" s="82">
        <v>3</v>
      </c>
      <c r="I253" s="82"/>
      <c r="J253" s="82"/>
      <c r="K253" s="82"/>
      <c r="L253" s="137">
        <v>4</v>
      </c>
      <c r="M253" s="137">
        <v>15</v>
      </c>
      <c r="N253" s="137" t="s">
        <v>1744</v>
      </c>
    </row>
    <row r="254" spans="1:14" x14ac:dyDescent="0.2">
      <c r="A254" s="2">
        <v>2</v>
      </c>
      <c r="B254" s="82">
        <f>无限模式!Y53</f>
        <v>4.875</v>
      </c>
      <c r="C254" s="7"/>
      <c r="D254" s="82" t="s">
        <v>590</v>
      </c>
      <c r="E254" s="82" t="s">
        <v>1965</v>
      </c>
      <c r="F254" s="82"/>
      <c r="G254" s="82"/>
      <c r="H254" s="82">
        <v>0.75</v>
      </c>
      <c r="I254" s="82">
        <v>6</v>
      </c>
      <c r="J254" s="82"/>
      <c r="K254" s="82"/>
      <c r="L254" s="137">
        <v>2.5</v>
      </c>
      <c r="M254" s="137">
        <v>40</v>
      </c>
      <c r="N254" s="150" t="s">
        <v>1745</v>
      </c>
    </row>
    <row r="255" spans="1:14" x14ac:dyDescent="0.2">
      <c r="A255" s="2">
        <v>3</v>
      </c>
      <c r="B255" s="82">
        <f>无限模式!Y54</f>
        <v>7.875</v>
      </c>
      <c r="C255" s="7" t="s">
        <v>393</v>
      </c>
      <c r="D255" s="82" t="s">
        <v>1965</v>
      </c>
      <c r="E255" s="82" t="s">
        <v>592</v>
      </c>
      <c r="F255" s="82"/>
      <c r="G255" s="82"/>
      <c r="H255" s="82">
        <v>6</v>
      </c>
      <c r="I255" s="82">
        <v>0.2</v>
      </c>
      <c r="J255" s="82"/>
      <c r="K255" s="82"/>
      <c r="L255" s="137">
        <v>7.5</v>
      </c>
      <c r="M255" s="137">
        <v>5</v>
      </c>
      <c r="N255" s="137" t="s">
        <v>1746</v>
      </c>
    </row>
    <row r="256" spans="1:14" x14ac:dyDescent="0.2">
      <c r="A256" s="2">
        <v>4</v>
      </c>
      <c r="B256" s="82">
        <f>无限模式!Y55</f>
        <v>11.25</v>
      </c>
      <c r="C256" s="7" t="s">
        <v>383</v>
      </c>
      <c r="D256" s="82" t="s">
        <v>593</v>
      </c>
      <c r="E256" s="82" t="s">
        <v>1965</v>
      </c>
      <c r="F256" s="82"/>
      <c r="G256" s="82"/>
      <c r="H256" s="82">
        <v>0</v>
      </c>
      <c r="I256" s="82">
        <v>6</v>
      </c>
      <c r="J256" s="82"/>
      <c r="K256" s="82"/>
      <c r="L256" s="137">
        <v>10</v>
      </c>
      <c r="M256" s="137">
        <v>40</v>
      </c>
      <c r="N256" s="137" t="s">
        <v>1747</v>
      </c>
    </row>
    <row r="257" spans="1:14" x14ac:dyDescent="0.2">
      <c r="A257" s="2">
        <v>5</v>
      </c>
      <c r="B257" s="82">
        <f>无限模式!Y56</f>
        <v>11.25</v>
      </c>
      <c r="C257" s="7"/>
      <c r="D257" s="82" t="s">
        <v>1965</v>
      </c>
      <c r="E257" s="82" t="s">
        <v>594</v>
      </c>
      <c r="F257" s="82"/>
      <c r="G257" s="82"/>
      <c r="H257" s="82">
        <v>4</v>
      </c>
      <c r="I257" s="82">
        <v>1</v>
      </c>
      <c r="J257" s="82"/>
      <c r="K257" s="82"/>
      <c r="L257" s="137">
        <v>10</v>
      </c>
      <c r="M257" s="137">
        <v>40</v>
      </c>
      <c r="N257" s="137" t="s">
        <v>1748</v>
      </c>
    </row>
    <row r="258" spans="1:14" x14ac:dyDescent="0.2">
      <c r="A258" s="2">
        <v>6</v>
      </c>
      <c r="B258" s="82">
        <f>无限模式!Y57</f>
        <v>18.75</v>
      </c>
      <c r="C258" s="7"/>
      <c r="D258" s="82" t="s">
        <v>591</v>
      </c>
      <c r="E258" s="82" t="s">
        <v>1965</v>
      </c>
      <c r="F258" s="82"/>
      <c r="G258" s="82"/>
      <c r="H258" s="82">
        <v>0.75</v>
      </c>
      <c r="I258" s="82">
        <v>4</v>
      </c>
      <c r="J258" s="82"/>
      <c r="K258" s="82"/>
      <c r="L258" s="137"/>
      <c r="M258" s="137"/>
      <c r="N258" s="137"/>
    </row>
    <row r="259" spans="1:14" x14ac:dyDescent="0.2">
      <c r="A259" s="2">
        <v>7</v>
      </c>
      <c r="B259" s="82">
        <f>无限模式!Y58</f>
        <v>22.5</v>
      </c>
      <c r="C259" s="7"/>
      <c r="D259" s="82" t="s">
        <v>1965</v>
      </c>
      <c r="E259" s="82" t="s">
        <v>594</v>
      </c>
      <c r="F259" s="82"/>
      <c r="G259" s="82"/>
      <c r="H259" s="82">
        <v>4</v>
      </c>
      <c r="I259" s="82">
        <v>0.5</v>
      </c>
      <c r="J259" s="82"/>
      <c r="K259" s="82"/>
      <c r="L259" s="137"/>
      <c r="M259" s="137"/>
      <c r="N259" s="137"/>
    </row>
    <row r="260" spans="1:14" x14ac:dyDescent="0.2">
      <c r="A260" s="2">
        <v>8</v>
      </c>
      <c r="B260" s="82">
        <f>无限模式!Y59</f>
        <v>30</v>
      </c>
      <c r="C260" s="7" t="s">
        <v>383</v>
      </c>
      <c r="D260" s="82" t="s">
        <v>1965</v>
      </c>
      <c r="E260" s="82" t="s">
        <v>596</v>
      </c>
      <c r="F260" s="82"/>
      <c r="G260" s="82"/>
      <c r="H260" s="82">
        <v>4</v>
      </c>
      <c r="I260" s="82">
        <v>0</v>
      </c>
      <c r="J260" s="82"/>
      <c r="K260" s="82"/>
      <c r="L260" s="137"/>
      <c r="M260" s="137"/>
      <c r="N260" s="137"/>
    </row>
    <row r="261" spans="1:14" x14ac:dyDescent="0.2">
      <c r="A261" s="2">
        <v>9</v>
      </c>
      <c r="B261" s="82">
        <f>无限模式!Y60</f>
        <v>15</v>
      </c>
      <c r="C261" s="7" t="s">
        <v>385</v>
      </c>
      <c r="D261" s="82" t="s">
        <v>1966</v>
      </c>
      <c r="E261" s="82" t="s">
        <v>597</v>
      </c>
      <c r="F261" s="82"/>
      <c r="G261" s="82"/>
      <c r="H261" s="82">
        <v>6</v>
      </c>
      <c r="I261" s="82">
        <v>3</v>
      </c>
      <c r="J261" s="82"/>
      <c r="K261" s="82"/>
      <c r="L261" s="137"/>
      <c r="M261" s="137"/>
      <c r="N261" s="137"/>
    </row>
    <row r="262" spans="1:14" x14ac:dyDescent="0.2">
      <c r="A262" s="2">
        <v>10</v>
      </c>
      <c r="B262" s="82">
        <f>无限模式!Y61</f>
        <v>18.75</v>
      </c>
      <c r="C262" s="7"/>
      <c r="D262" s="82" t="s">
        <v>1966</v>
      </c>
      <c r="E262" s="82" t="s">
        <v>597</v>
      </c>
      <c r="F262" s="82"/>
      <c r="G262" s="82"/>
      <c r="H262" s="82">
        <v>6</v>
      </c>
      <c r="I262" s="82">
        <v>3</v>
      </c>
      <c r="J262" s="82"/>
      <c r="K262" s="82"/>
      <c r="L262" s="137"/>
      <c r="M262" s="137"/>
      <c r="N262" s="137"/>
    </row>
    <row r="263" spans="1:14" x14ac:dyDescent="0.2">
      <c r="A263" s="2">
        <v>11</v>
      </c>
      <c r="B263" s="82">
        <f>无限模式!Y62</f>
        <v>26.25</v>
      </c>
      <c r="C263" s="7"/>
      <c r="D263" s="82" t="s">
        <v>1966</v>
      </c>
      <c r="E263" s="82" t="s">
        <v>598</v>
      </c>
      <c r="F263" s="82"/>
      <c r="G263" s="82"/>
      <c r="H263" s="82">
        <v>6</v>
      </c>
      <c r="I263" s="82">
        <v>2</v>
      </c>
      <c r="J263" s="82"/>
      <c r="K263" s="82"/>
      <c r="L263" s="137"/>
      <c r="M263" s="137"/>
      <c r="N263" s="137"/>
    </row>
    <row r="264" spans="1:14" x14ac:dyDescent="0.2">
      <c r="A264" s="2">
        <v>12</v>
      </c>
      <c r="B264" s="82">
        <f>无限模式!Y63</f>
        <v>56.25</v>
      </c>
      <c r="C264" s="7" t="s">
        <v>383</v>
      </c>
      <c r="D264" s="82" t="s">
        <v>1966</v>
      </c>
      <c r="E264" s="82" t="s">
        <v>597</v>
      </c>
      <c r="F264" s="82" t="s">
        <v>599</v>
      </c>
      <c r="G264" s="82"/>
      <c r="H264" s="82">
        <v>6</v>
      </c>
      <c r="I264" s="82">
        <v>3</v>
      </c>
      <c r="J264" s="82">
        <v>0</v>
      </c>
      <c r="K264" s="82"/>
      <c r="L264" s="137"/>
      <c r="M264" s="137"/>
      <c r="N264" s="137"/>
    </row>
    <row r="265" spans="1:14" x14ac:dyDescent="0.2">
      <c r="A265" s="2">
        <v>13</v>
      </c>
      <c r="B265" s="82">
        <f>无限模式!Y64</f>
        <v>18.75</v>
      </c>
      <c r="C265" s="7" t="s">
        <v>394</v>
      </c>
      <c r="D265" s="82" t="s">
        <v>600</v>
      </c>
      <c r="E265" s="82"/>
      <c r="F265" s="82"/>
      <c r="G265" s="82"/>
      <c r="H265" s="82">
        <v>1.5</v>
      </c>
      <c r="I265" s="82"/>
      <c r="J265" s="82"/>
      <c r="K265" s="82"/>
      <c r="L265" s="137"/>
      <c r="M265" s="137"/>
      <c r="N265" s="137"/>
    </row>
    <row r="266" spans="1:14" x14ac:dyDescent="0.2">
      <c r="A266" s="2">
        <v>14</v>
      </c>
      <c r="B266" s="82">
        <f>无限模式!Y65</f>
        <v>45</v>
      </c>
      <c r="C266" s="7"/>
      <c r="D266" s="82" t="s">
        <v>600</v>
      </c>
      <c r="E266" s="82" t="s">
        <v>1966</v>
      </c>
      <c r="F266" s="82"/>
      <c r="G266" s="82"/>
      <c r="H266" s="82">
        <v>1.5</v>
      </c>
      <c r="I266" s="82">
        <v>4</v>
      </c>
      <c r="J266" s="82"/>
      <c r="K266" s="82"/>
      <c r="L266" s="137"/>
      <c r="M266" s="137"/>
      <c r="N266" s="137"/>
    </row>
    <row r="267" spans="1:14" x14ac:dyDescent="0.2">
      <c r="A267" s="2">
        <v>15</v>
      </c>
      <c r="B267" s="82">
        <f>无限模式!Y66</f>
        <v>67.5</v>
      </c>
      <c r="C267" s="7"/>
      <c r="D267" s="82" t="s">
        <v>600</v>
      </c>
      <c r="E267" s="82" t="s">
        <v>601</v>
      </c>
      <c r="F267" s="82"/>
      <c r="G267" s="82"/>
      <c r="H267" s="82">
        <v>0.5</v>
      </c>
      <c r="I267" s="82">
        <v>2</v>
      </c>
      <c r="J267" s="82"/>
      <c r="K267" s="82"/>
      <c r="L267" s="137"/>
      <c r="M267" s="137"/>
      <c r="N267" s="137"/>
    </row>
    <row r="268" spans="1:14" x14ac:dyDescent="0.2">
      <c r="A268" s="2">
        <v>16</v>
      </c>
      <c r="B268" s="82">
        <f>无限模式!Y67</f>
        <v>90</v>
      </c>
      <c r="C268" s="7" t="s">
        <v>383</v>
      </c>
      <c r="D268" s="82" t="s">
        <v>1966</v>
      </c>
      <c r="E268" s="82" t="s">
        <v>602</v>
      </c>
      <c r="F268" s="82"/>
      <c r="G268" s="82"/>
      <c r="H268" s="82">
        <v>4</v>
      </c>
      <c r="I268" s="82">
        <v>0</v>
      </c>
      <c r="J268" s="82"/>
      <c r="K268" s="82"/>
      <c r="L268" s="137"/>
      <c r="M268" s="137"/>
      <c r="N268" s="137"/>
    </row>
    <row r="269" spans="1:14" x14ac:dyDescent="0.2">
      <c r="A269" s="2">
        <v>17</v>
      </c>
      <c r="B269" s="82">
        <f>无限模式!Y68</f>
        <v>75</v>
      </c>
      <c r="C269" s="7" t="s">
        <v>386</v>
      </c>
      <c r="D269" s="82" t="s">
        <v>1967</v>
      </c>
      <c r="E269" s="82" t="s">
        <v>604</v>
      </c>
      <c r="F269" s="82"/>
      <c r="G269" s="82"/>
      <c r="H269" s="82">
        <v>6</v>
      </c>
      <c r="I269" s="82">
        <v>3</v>
      </c>
      <c r="J269" s="82"/>
      <c r="K269" s="82"/>
      <c r="L269" s="137"/>
      <c r="M269" s="137"/>
      <c r="N269" s="137"/>
    </row>
    <row r="270" spans="1:14" x14ac:dyDescent="0.2">
      <c r="A270" s="2">
        <v>18</v>
      </c>
      <c r="B270" s="82">
        <f>无限模式!Y69</f>
        <v>82.5</v>
      </c>
      <c r="C270" s="7"/>
      <c r="D270" s="82" t="s">
        <v>604</v>
      </c>
      <c r="E270" s="82" t="s">
        <v>598</v>
      </c>
      <c r="F270" s="82"/>
      <c r="G270" s="82"/>
      <c r="H270" s="82">
        <v>1.5</v>
      </c>
      <c r="I270" s="82">
        <v>0.75</v>
      </c>
      <c r="J270" s="82"/>
      <c r="K270" s="82"/>
      <c r="L270" s="137"/>
      <c r="M270" s="137"/>
      <c r="N270" s="137"/>
    </row>
    <row r="271" spans="1:14" x14ac:dyDescent="0.2">
      <c r="A271" s="2">
        <v>19</v>
      </c>
      <c r="B271" s="82">
        <f>无限模式!Y70</f>
        <v>135</v>
      </c>
      <c r="C271" s="7"/>
      <c r="D271" s="82" t="s">
        <v>604</v>
      </c>
      <c r="E271" s="82" t="s">
        <v>1967</v>
      </c>
      <c r="F271" s="82" t="s">
        <v>601</v>
      </c>
      <c r="G271" s="82"/>
      <c r="H271" s="82">
        <v>1.5</v>
      </c>
      <c r="I271" s="82">
        <v>6</v>
      </c>
      <c r="J271" s="82">
        <v>2</v>
      </c>
      <c r="K271" s="82"/>
    </row>
    <row r="272" spans="1:14" x14ac:dyDescent="0.2">
      <c r="A272" s="2">
        <v>20</v>
      </c>
      <c r="B272" s="82">
        <f>无限模式!Y71</f>
        <v>225</v>
      </c>
      <c r="C272" s="7" t="s">
        <v>383</v>
      </c>
      <c r="D272" s="82" t="s">
        <v>605</v>
      </c>
      <c r="E272" s="82" t="s">
        <v>606</v>
      </c>
      <c r="F272" s="82" t="s">
        <v>601</v>
      </c>
      <c r="G272" s="82" t="s">
        <v>1967</v>
      </c>
      <c r="H272" s="82">
        <v>0</v>
      </c>
      <c r="I272" s="82">
        <v>0.75</v>
      </c>
      <c r="J272" s="82">
        <v>1</v>
      </c>
      <c r="K272" s="82">
        <v>4</v>
      </c>
    </row>
    <row r="273" spans="1:14" x14ac:dyDescent="0.2">
      <c r="A273" s="2" t="s">
        <v>1103</v>
      </c>
      <c r="B273" s="120">
        <v>1.5</v>
      </c>
      <c r="C273" s="7"/>
      <c r="D273" s="82"/>
      <c r="E273" s="82"/>
      <c r="F273" s="82"/>
      <c r="G273" s="82"/>
      <c r="H273" s="82"/>
      <c r="I273" s="82"/>
      <c r="J273" s="82"/>
      <c r="K273" s="82"/>
    </row>
    <row r="275" spans="1:14" x14ac:dyDescent="0.2">
      <c r="A275" s="5" t="s">
        <v>1975</v>
      </c>
      <c r="E275" s="5"/>
    </row>
    <row r="276" spans="1:14" x14ac:dyDescent="0.2">
      <c r="A276" s="8" t="s">
        <v>380</v>
      </c>
      <c r="B276" s="8" t="s">
        <v>381</v>
      </c>
      <c r="C276" s="8" t="s">
        <v>391</v>
      </c>
      <c r="D276" s="182" t="s">
        <v>26</v>
      </c>
      <c r="E276" s="183"/>
      <c r="F276" s="183"/>
      <c r="G276" s="184"/>
      <c r="H276" s="182" t="s">
        <v>3136</v>
      </c>
      <c r="I276" s="183"/>
      <c r="J276" s="183"/>
      <c r="K276" s="184"/>
      <c r="L276" s="137" t="s">
        <v>1735</v>
      </c>
      <c r="M276" s="137" t="s">
        <v>1736</v>
      </c>
      <c r="N276" s="137" t="s">
        <v>380</v>
      </c>
    </row>
    <row r="277" spans="1:14" x14ac:dyDescent="0.2">
      <c r="A277" s="2">
        <v>1</v>
      </c>
      <c r="B277" s="82">
        <v>6.25</v>
      </c>
      <c r="C277" s="82"/>
      <c r="D277" s="82" t="s">
        <v>1968</v>
      </c>
      <c r="E277" s="82"/>
      <c r="F277" s="82"/>
      <c r="G277" s="82"/>
      <c r="H277" s="82">
        <v>1.5</v>
      </c>
      <c r="I277" s="82"/>
      <c r="J277" s="82"/>
      <c r="K277" s="82"/>
      <c r="L277" s="137">
        <v>4</v>
      </c>
      <c r="M277" s="137">
        <v>15</v>
      </c>
      <c r="N277" s="137" t="s">
        <v>1744</v>
      </c>
    </row>
    <row r="278" spans="1:14" x14ac:dyDescent="0.2">
      <c r="A278" s="2">
        <v>2</v>
      </c>
      <c r="B278" s="82">
        <v>16.25</v>
      </c>
      <c r="C278" s="7"/>
      <c r="D278" s="82" t="s">
        <v>590</v>
      </c>
      <c r="E278" s="82" t="s">
        <v>1968</v>
      </c>
      <c r="F278" s="82"/>
      <c r="G278" s="82"/>
      <c r="H278" s="82">
        <v>0.75</v>
      </c>
      <c r="I278" s="82">
        <v>1.5</v>
      </c>
      <c r="J278" s="82"/>
      <c r="K278" s="82"/>
      <c r="L278" s="137">
        <v>2.5</v>
      </c>
      <c r="M278" s="137">
        <v>40</v>
      </c>
      <c r="N278" s="150" t="s">
        <v>1745</v>
      </c>
    </row>
    <row r="279" spans="1:14" x14ac:dyDescent="0.2">
      <c r="A279" s="2">
        <v>3</v>
      </c>
      <c r="B279" s="82">
        <v>26.25</v>
      </c>
      <c r="C279" s="7" t="s">
        <v>393</v>
      </c>
      <c r="D279" s="82" t="s">
        <v>1968</v>
      </c>
      <c r="E279" s="82" t="s">
        <v>592</v>
      </c>
      <c r="F279" s="82"/>
      <c r="G279" s="82"/>
      <c r="H279" s="82">
        <v>1.5</v>
      </c>
      <c r="I279" s="82">
        <v>0.2</v>
      </c>
      <c r="J279" s="82"/>
      <c r="K279" s="82"/>
      <c r="L279" s="137">
        <v>7.5</v>
      </c>
      <c r="M279" s="137">
        <v>5</v>
      </c>
      <c r="N279" s="137" t="s">
        <v>1746</v>
      </c>
    </row>
    <row r="280" spans="1:14" x14ac:dyDescent="0.2">
      <c r="A280" s="2">
        <v>4</v>
      </c>
      <c r="B280" s="82">
        <v>63.75</v>
      </c>
      <c r="C280" s="7" t="s">
        <v>383</v>
      </c>
      <c r="D280" s="82" t="s">
        <v>593</v>
      </c>
      <c r="E280" s="82" t="s">
        <v>1968</v>
      </c>
      <c r="F280" s="82"/>
      <c r="G280" s="82"/>
      <c r="H280" s="82">
        <v>0</v>
      </c>
      <c r="I280" s="82">
        <v>1</v>
      </c>
      <c r="J280" s="82"/>
      <c r="K280" s="82"/>
      <c r="L280" s="137">
        <v>10</v>
      </c>
      <c r="M280" s="137">
        <v>40</v>
      </c>
      <c r="N280" s="137" t="s">
        <v>1747</v>
      </c>
    </row>
    <row r="281" spans="1:14" x14ac:dyDescent="0.2">
      <c r="A281" s="2">
        <v>5</v>
      </c>
      <c r="B281" s="82">
        <v>37.5</v>
      </c>
      <c r="C281" s="7"/>
      <c r="D281" s="82" t="s">
        <v>1968</v>
      </c>
      <c r="E281" s="82" t="s">
        <v>594</v>
      </c>
      <c r="F281" s="82"/>
      <c r="G281" s="82"/>
      <c r="H281" s="82">
        <v>1</v>
      </c>
      <c r="I281" s="82">
        <v>1</v>
      </c>
      <c r="J281" s="82"/>
      <c r="K281" s="82"/>
      <c r="L281" s="137">
        <v>10</v>
      </c>
      <c r="M281" s="137">
        <v>40</v>
      </c>
      <c r="N281" s="137" t="s">
        <v>1748</v>
      </c>
    </row>
    <row r="282" spans="1:14" x14ac:dyDescent="0.2">
      <c r="A282" s="2">
        <v>6</v>
      </c>
      <c r="B282" s="82">
        <v>62.5</v>
      </c>
      <c r="C282" s="7"/>
      <c r="D282" s="82" t="s">
        <v>591</v>
      </c>
      <c r="E282" s="82" t="s">
        <v>1968</v>
      </c>
      <c r="F282" s="82"/>
      <c r="G282" s="82"/>
      <c r="H282" s="82">
        <v>0.75</v>
      </c>
      <c r="I282" s="82">
        <v>1</v>
      </c>
      <c r="J282" s="82"/>
      <c r="K282" s="82"/>
      <c r="L282" s="137"/>
      <c r="M282" s="137"/>
      <c r="N282" s="137"/>
    </row>
    <row r="283" spans="1:14" x14ac:dyDescent="0.2">
      <c r="A283" s="2">
        <v>7</v>
      </c>
      <c r="B283" s="82">
        <v>75</v>
      </c>
      <c r="C283" s="7"/>
      <c r="D283" s="82" t="s">
        <v>1968</v>
      </c>
      <c r="E283" s="82" t="s">
        <v>594</v>
      </c>
      <c r="F283" s="82"/>
      <c r="G283" s="82"/>
      <c r="H283" s="82">
        <v>1</v>
      </c>
      <c r="I283" s="82">
        <v>0.5</v>
      </c>
      <c r="J283" s="82"/>
      <c r="K283" s="82"/>
      <c r="L283" s="137"/>
      <c r="M283" s="137"/>
      <c r="N283" s="137"/>
    </row>
    <row r="284" spans="1:14" x14ac:dyDescent="0.2">
      <c r="A284" s="2">
        <v>8</v>
      </c>
      <c r="B284" s="82">
        <v>100</v>
      </c>
      <c r="C284" s="7" t="s">
        <v>383</v>
      </c>
      <c r="D284" s="82" t="s">
        <v>1968</v>
      </c>
      <c r="E284" s="82" t="s">
        <v>596</v>
      </c>
      <c r="F284" s="82"/>
      <c r="G284" s="82"/>
      <c r="H284" s="82">
        <v>1</v>
      </c>
      <c r="I284" s="82">
        <v>0</v>
      </c>
      <c r="J284" s="82"/>
      <c r="K284" s="82"/>
      <c r="L284" s="137"/>
      <c r="M284" s="137"/>
      <c r="N284" s="137"/>
    </row>
    <row r="285" spans="1:14" x14ac:dyDescent="0.2">
      <c r="A285" s="2">
        <v>9</v>
      </c>
      <c r="B285" s="82">
        <v>50</v>
      </c>
      <c r="C285" s="7" t="s">
        <v>385</v>
      </c>
      <c r="D285" s="82" t="s">
        <v>1969</v>
      </c>
      <c r="E285" s="82" t="s">
        <v>597</v>
      </c>
      <c r="F285" s="82"/>
      <c r="G285" s="82"/>
      <c r="H285" s="82">
        <v>1.5</v>
      </c>
      <c r="I285" s="82">
        <v>3</v>
      </c>
      <c r="J285" s="82"/>
      <c r="K285" s="82"/>
      <c r="L285" s="137"/>
      <c r="M285" s="137"/>
      <c r="N285" s="137"/>
    </row>
    <row r="286" spans="1:14" x14ac:dyDescent="0.2">
      <c r="A286" s="2">
        <v>10</v>
      </c>
      <c r="B286" s="82">
        <v>93.75</v>
      </c>
      <c r="C286" s="7"/>
      <c r="D286" s="82" t="s">
        <v>1969</v>
      </c>
      <c r="E286" s="82" t="s">
        <v>597</v>
      </c>
      <c r="F286" s="82"/>
      <c r="G286" s="82"/>
      <c r="H286" s="82">
        <v>1</v>
      </c>
      <c r="I286" s="82">
        <v>3</v>
      </c>
      <c r="J286" s="82"/>
      <c r="K286" s="82"/>
      <c r="L286" s="137"/>
      <c r="M286" s="137"/>
      <c r="N286" s="137"/>
    </row>
    <row r="287" spans="1:14" x14ac:dyDescent="0.2">
      <c r="A287" s="2">
        <v>11</v>
      </c>
      <c r="B287" s="82">
        <v>125</v>
      </c>
      <c r="C287" s="7"/>
      <c r="D287" s="82" t="s">
        <v>1969</v>
      </c>
      <c r="E287" s="82" t="s">
        <v>598</v>
      </c>
      <c r="F287" s="82"/>
      <c r="G287" s="82"/>
      <c r="H287" s="82">
        <v>1</v>
      </c>
      <c r="I287" s="82">
        <v>2</v>
      </c>
      <c r="J287" s="82"/>
      <c r="K287" s="82"/>
      <c r="L287" s="137"/>
      <c r="M287" s="137"/>
      <c r="N287" s="137"/>
    </row>
    <row r="288" spans="1:14" x14ac:dyDescent="0.2">
      <c r="A288" s="2">
        <v>12</v>
      </c>
      <c r="B288" s="82">
        <v>187.5</v>
      </c>
      <c r="C288" s="7" t="s">
        <v>383</v>
      </c>
      <c r="D288" s="82" t="s">
        <v>1969</v>
      </c>
      <c r="E288" s="82" t="s">
        <v>597</v>
      </c>
      <c r="F288" s="82" t="s">
        <v>599</v>
      </c>
      <c r="G288" s="82"/>
      <c r="H288" s="82">
        <v>1</v>
      </c>
      <c r="I288" s="82">
        <v>3</v>
      </c>
      <c r="J288" s="82">
        <v>0</v>
      </c>
      <c r="K288" s="82"/>
      <c r="L288" s="137"/>
      <c r="M288" s="137"/>
      <c r="N288" s="137"/>
    </row>
    <row r="289" spans="1:14" x14ac:dyDescent="0.2">
      <c r="A289" s="2">
        <v>13</v>
      </c>
      <c r="B289" s="82">
        <v>62.5</v>
      </c>
      <c r="C289" s="7" t="s">
        <v>394</v>
      </c>
      <c r="D289" s="82" t="s">
        <v>600</v>
      </c>
      <c r="E289" s="82"/>
      <c r="F289" s="82"/>
      <c r="G289" s="82"/>
      <c r="H289" s="82">
        <v>1.5</v>
      </c>
      <c r="I289" s="82"/>
      <c r="J289" s="82"/>
      <c r="K289" s="82"/>
      <c r="L289" s="137"/>
      <c r="M289" s="137"/>
      <c r="N289" s="137"/>
    </row>
    <row r="290" spans="1:14" x14ac:dyDescent="0.2">
      <c r="A290" s="2">
        <v>14</v>
      </c>
      <c r="B290" s="82">
        <v>150</v>
      </c>
      <c r="C290" s="7"/>
      <c r="D290" s="82" t="s">
        <v>600</v>
      </c>
      <c r="E290" s="82" t="s">
        <v>1969</v>
      </c>
      <c r="F290" s="82"/>
      <c r="G290" s="82"/>
      <c r="H290" s="82">
        <v>1.5</v>
      </c>
      <c r="I290" s="82">
        <v>1.5</v>
      </c>
      <c r="J290" s="82"/>
      <c r="K290" s="82"/>
      <c r="L290" s="137"/>
      <c r="M290" s="137"/>
      <c r="N290" s="137"/>
    </row>
    <row r="291" spans="1:14" x14ac:dyDescent="0.2">
      <c r="A291" s="2">
        <v>15</v>
      </c>
      <c r="B291" s="82">
        <v>225</v>
      </c>
      <c r="C291" s="7"/>
      <c r="D291" s="82" t="s">
        <v>600</v>
      </c>
      <c r="E291" s="82" t="s">
        <v>601</v>
      </c>
      <c r="F291" s="82"/>
      <c r="G291" s="82"/>
      <c r="H291" s="82">
        <v>0.5</v>
      </c>
      <c r="I291" s="82">
        <v>2</v>
      </c>
      <c r="J291" s="82"/>
      <c r="K291" s="82"/>
      <c r="L291" s="137"/>
      <c r="M291" s="137"/>
      <c r="N291" s="137"/>
    </row>
    <row r="292" spans="1:14" x14ac:dyDescent="0.2">
      <c r="A292" s="2">
        <v>16</v>
      </c>
      <c r="B292" s="82">
        <v>300</v>
      </c>
      <c r="C292" s="7" t="s">
        <v>383</v>
      </c>
      <c r="D292" s="82" t="s">
        <v>1969</v>
      </c>
      <c r="E292" s="82" t="s">
        <v>602</v>
      </c>
      <c r="F292" s="82"/>
      <c r="G292" s="82"/>
      <c r="H292" s="82">
        <v>1</v>
      </c>
      <c r="I292" s="82">
        <v>0</v>
      </c>
      <c r="J292" s="82"/>
      <c r="K292" s="82"/>
      <c r="L292" s="137"/>
      <c r="M292" s="137"/>
      <c r="N292" s="137"/>
    </row>
    <row r="293" spans="1:14" x14ac:dyDescent="0.2">
      <c r="A293" s="2">
        <v>17</v>
      </c>
      <c r="B293" s="82">
        <v>250</v>
      </c>
      <c r="C293" s="7" t="s">
        <v>386</v>
      </c>
      <c r="D293" s="82" t="s">
        <v>1970</v>
      </c>
      <c r="E293" s="82" t="s">
        <v>604</v>
      </c>
      <c r="F293" s="82"/>
      <c r="G293" s="82"/>
      <c r="H293" s="82">
        <v>1</v>
      </c>
      <c r="I293" s="82">
        <v>3</v>
      </c>
      <c r="J293" s="82"/>
      <c r="K293" s="82"/>
      <c r="L293" s="137"/>
      <c r="M293" s="137"/>
      <c r="N293" s="137"/>
    </row>
    <row r="294" spans="1:14" x14ac:dyDescent="0.2">
      <c r="A294" s="2">
        <v>18</v>
      </c>
      <c r="B294" s="82">
        <v>275</v>
      </c>
      <c r="C294" s="7"/>
      <c r="D294" s="82" t="s">
        <v>604</v>
      </c>
      <c r="E294" s="82" t="s">
        <v>598</v>
      </c>
      <c r="F294" s="82"/>
      <c r="G294" s="82"/>
      <c r="H294" s="82">
        <v>1.5</v>
      </c>
      <c r="I294" s="82">
        <v>0.75</v>
      </c>
      <c r="J294" s="82"/>
      <c r="K294" s="82"/>
      <c r="L294" s="137"/>
      <c r="M294" s="137"/>
      <c r="N294" s="137"/>
    </row>
    <row r="295" spans="1:14" x14ac:dyDescent="0.2">
      <c r="A295" s="2">
        <v>19</v>
      </c>
      <c r="B295" s="82">
        <v>450</v>
      </c>
      <c r="C295" s="7"/>
      <c r="D295" s="82" t="s">
        <v>604</v>
      </c>
      <c r="E295" s="82" t="s">
        <v>1970</v>
      </c>
      <c r="F295" s="82" t="s">
        <v>601</v>
      </c>
      <c r="G295" s="82"/>
      <c r="H295" s="82">
        <v>1.5</v>
      </c>
      <c r="I295" s="82">
        <v>1</v>
      </c>
      <c r="J295" s="82">
        <v>2</v>
      </c>
      <c r="K295" s="82"/>
    </row>
    <row r="296" spans="1:14" x14ac:dyDescent="0.2">
      <c r="A296" s="2">
        <v>20</v>
      </c>
      <c r="B296" s="82">
        <v>750</v>
      </c>
      <c r="C296" s="7" t="s">
        <v>383</v>
      </c>
      <c r="D296" s="82" t="s">
        <v>605</v>
      </c>
      <c r="E296" s="82" t="s">
        <v>606</v>
      </c>
      <c r="F296" s="82" t="s">
        <v>601</v>
      </c>
      <c r="G296" s="82" t="s">
        <v>1970</v>
      </c>
      <c r="H296" s="82">
        <v>0</v>
      </c>
      <c r="I296" s="82">
        <v>0.75</v>
      </c>
      <c r="J296" s="82">
        <v>1</v>
      </c>
      <c r="K296" s="82">
        <v>1</v>
      </c>
    </row>
    <row r="297" spans="1:14" x14ac:dyDescent="0.2">
      <c r="A297" s="2" t="s">
        <v>1103</v>
      </c>
      <c r="B297" s="120">
        <v>1.5</v>
      </c>
      <c r="C297" s="7"/>
      <c r="D297" s="82"/>
      <c r="E297" s="82"/>
      <c r="F297" s="82"/>
      <c r="G297" s="82"/>
      <c r="H297" s="82"/>
      <c r="I297" s="82"/>
      <c r="J297" s="82"/>
      <c r="K297" s="82"/>
    </row>
    <row r="299" spans="1:14" x14ac:dyDescent="0.2">
      <c r="A299" s="5" t="s">
        <v>1976</v>
      </c>
      <c r="E299" s="5"/>
    </row>
    <row r="300" spans="1:14" x14ac:dyDescent="0.2">
      <c r="A300" s="8" t="s">
        <v>380</v>
      </c>
      <c r="B300" s="8" t="s">
        <v>381</v>
      </c>
      <c r="C300" s="8" t="s">
        <v>391</v>
      </c>
      <c r="D300" s="182" t="s">
        <v>26</v>
      </c>
      <c r="E300" s="183"/>
      <c r="F300" s="183"/>
      <c r="G300" s="184"/>
      <c r="H300" s="182" t="s">
        <v>3136</v>
      </c>
      <c r="I300" s="183"/>
      <c r="J300" s="183"/>
      <c r="K300" s="184"/>
      <c r="L300" s="137" t="s">
        <v>1735</v>
      </c>
      <c r="M300" s="137" t="s">
        <v>1736</v>
      </c>
      <c r="N300" s="137" t="s">
        <v>380</v>
      </c>
    </row>
    <row r="301" spans="1:14" x14ac:dyDescent="0.2">
      <c r="A301" s="2">
        <v>1</v>
      </c>
      <c r="B301" s="82">
        <v>2.5</v>
      </c>
      <c r="C301" s="82"/>
      <c r="D301" s="82" t="s">
        <v>1971</v>
      </c>
      <c r="E301" s="82"/>
      <c r="F301" s="82"/>
      <c r="G301" s="82"/>
      <c r="H301" s="82">
        <v>1.5</v>
      </c>
      <c r="I301" s="82"/>
      <c r="J301" s="82"/>
      <c r="K301" s="82"/>
      <c r="L301" s="137">
        <v>4</v>
      </c>
      <c r="M301" s="137">
        <v>15</v>
      </c>
      <c r="N301" s="137" t="s">
        <v>1744</v>
      </c>
    </row>
    <row r="302" spans="1:14" x14ac:dyDescent="0.2">
      <c r="A302" s="2">
        <v>2</v>
      </c>
      <c r="B302" s="82">
        <v>6.5</v>
      </c>
      <c r="C302" s="7"/>
      <c r="D302" s="82" t="s">
        <v>590</v>
      </c>
      <c r="E302" s="82" t="s">
        <v>1971</v>
      </c>
      <c r="F302" s="82"/>
      <c r="G302" s="82"/>
      <c r="H302" s="82">
        <v>0.75</v>
      </c>
      <c r="I302" s="82">
        <v>1.5</v>
      </c>
      <c r="J302" s="82"/>
      <c r="K302" s="82"/>
      <c r="L302" s="137">
        <v>2.5</v>
      </c>
      <c r="M302" s="137">
        <v>40</v>
      </c>
      <c r="N302" s="150" t="s">
        <v>1745</v>
      </c>
    </row>
    <row r="303" spans="1:14" x14ac:dyDescent="0.2">
      <c r="A303" s="2">
        <v>3</v>
      </c>
      <c r="B303" s="82">
        <v>10.5</v>
      </c>
      <c r="C303" s="7" t="s">
        <v>393</v>
      </c>
      <c r="D303" s="82" t="s">
        <v>1971</v>
      </c>
      <c r="E303" s="82" t="s">
        <v>592</v>
      </c>
      <c r="F303" s="82"/>
      <c r="G303" s="82"/>
      <c r="H303" s="82">
        <v>1.5</v>
      </c>
      <c r="I303" s="82">
        <v>0.2</v>
      </c>
      <c r="J303" s="82"/>
      <c r="K303" s="82"/>
      <c r="L303" s="137">
        <v>7.5</v>
      </c>
      <c r="M303" s="137">
        <v>5</v>
      </c>
      <c r="N303" s="137" t="s">
        <v>1746</v>
      </c>
    </row>
    <row r="304" spans="1:14" x14ac:dyDescent="0.2">
      <c r="A304" s="2">
        <v>4</v>
      </c>
      <c r="B304" s="82">
        <v>25.5</v>
      </c>
      <c r="C304" s="7" t="s">
        <v>383</v>
      </c>
      <c r="D304" s="82" t="s">
        <v>593</v>
      </c>
      <c r="E304" s="82" t="s">
        <v>1971</v>
      </c>
      <c r="F304" s="82"/>
      <c r="G304" s="82"/>
      <c r="H304" s="82">
        <v>0</v>
      </c>
      <c r="I304" s="82">
        <v>1</v>
      </c>
      <c r="J304" s="82"/>
      <c r="K304" s="82"/>
      <c r="L304" s="137">
        <v>10</v>
      </c>
      <c r="M304" s="137">
        <v>40</v>
      </c>
      <c r="N304" s="137" t="s">
        <v>1747</v>
      </c>
    </row>
    <row r="305" spans="1:14" x14ac:dyDescent="0.2">
      <c r="A305" s="2">
        <v>5</v>
      </c>
      <c r="B305" s="82">
        <v>15</v>
      </c>
      <c r="C305" s="7"/>
      <c r="D305" s="82" t="s">
        <v>1971</v>
      </c>
      <c r="E305" s="82" t="s">
        <v>594</v>
      </c>
      <c r="F305" s="82"/>
      <c r="G305" s="82"/>
      <c r="H305" s="82">
        <v>1</v>
      </c>
      <c r="I305" s="82">
        <v>1</v>
      </c>
      <c r="J305" s="82"/>
      <c r="K305" s="82"/>
      <c r="L305" s="137">
        <v>10</v>
      </c>
      <c r="M305" s="137">
        <v>40</v>
      </c>
      <c r="N305" s="137" t="s">
        <v>1748</v>
      </c>
    </row>
    <row r="306" spans="1:14" x14ac:dyDescent="0.2">
      <c r="A306" s="2">
        <v>6</v>
      </c>
      <c r="B306" s="82">
        <v>25</v>
      </c>
      <c r="C306" s="7"/>
      <c r="D306" s="82" t="s">
        <v>591</v>
      </c>
      <c r="E306" s="82" t="s">
        <v>1971</v>
      </c>
      <c r="F306" s="82"/>
      <c r="G306" s="82"/>
      <c r="H306" s="82">
        <v>0.75</v>
      </c>
      <c r="I306" s="82">
        <v>1</v>
      </c>
      <c r="J306" s="82"/>
      <c r="K306" s="82"/>
      <c r="L306" s="137"/>
      <c r="M306" s="137"/>
      <c r="N306" s="137"/>
    </row>
    <row r="307" spans="1:14" x14ac:dyDescent="0.2">
      <c r="A307" s="2">
        <v>7</v>
      </c>
      <c r="B307" s="82">
        <v>30</v>
      </c>
      <c r="C307" s="7"/>
      <c r="D307" s="82" t="s">
        <v>1971</v>
      </c>
      <c r="E307" s="82" t="s">
        <v>594</v>
      </c>
      <c r="F307" s="82"/>
      <c r="G307" s="82"/>
      <c r="H307" s="82">
        <v>1</v>
      </c>
      <c r="I307" s="82">
        <v>0.5</v>
      </c>
      <c r="J307" s="82"/>
      <c r="K307" s="82"/>
      <c r="L307" s="137"/>
      <c r="M307" s="137"/>
      <c r="N307" s="137"/>
    </row>
    <row r="308" spans="1:14" x14ac:dyDescent="0.2">
      <c r="A308" s="2">
        <v>8</v>
      </c>
      <c r="B308" s="82">
        <v>40</v>
      </c>
      <c r="C308" s="7" t="s">
        <v>383</v>
      </c>
      <c r="D308" s="82" t="s">
        <v>1971</v>
      </c>
      <c r="E308" s="82" t="s">
        <v>596</v>
      </c>
      <c r="F308" s="82"/>
      <c r="G308" s="82"/>
      <c r="H308" s="82">
        <v>1</v>
      </c>
      <c r="I308" s="82">
        <v>0</v>
      </c>
      <c r="J308" s="82"/>
      <c r="K308" s="82"/>
      <c r="L308" s="137"/>
      <c r="M308" s="137"/>
      <c r="N308" s="137"/>
    </row>
    <row r="309" spans="1:14" x14ac:dyDescent="0.2">
      <c r="A309" s="2">
        <v>9</v>
      </c>
      <c r="B309" s="82">
        <v>20</v>
      </c>
      <c r="C309" s="7" t="s">
        <v>385</v>
      </c>
      <c r="D309" s="82" t="s">
        <v>1972</v>
      </c>
      <c r="E309" s="82" t="s">
        <v>597</v>
      </c>
      <c r="F309" s="82"/>
      <c r="G309" s="82"/>
      <c r="H309" s="82">
        <v>1.5</v>
      </c>
      <c r="I309" s="82">
        <v>3</v>
      </c>
      <c r="J309" s="82"/>
      <c r="K309" s="82"/>
      <c r="L309" s="137"/>
      <c r="M309" s="137"/>
      <c r="N309" s="137"/>
    </row>
    <row r="310" spans="1:14" x14ac:dyDescent="0.2">
      <c r="A310" s="2">
        <v>10</v>
      </c>
      <c r="B310" s="82">
        <v>37.5</v>
      </c>
      <c r="C310" s="7"/>
      <c r="D310" s="82" t="s">
        <v>1972</v>
      </c>
      <c r="E310" s="82" t="s">
        <v>597</v>
      </c>
      <c r="F310" s="82"/>
      <c r="G310" s="82"/>
      <c r="H310" s="82">
        <v>1</v>
      </c>
      <c r="I310" s="82">
        <v>3</v>
      </c>
      <c r="J310" s="82"/>
      <c r="K310" s="82"/>
      <c r="L310" s="137"/>
      <c r="M310" s="137"/>
      <c r="N310" s="137"/>
    </row>
    <row r="311" spans="1:14" x14ac:dyDescent="0.2">
      <c r="A311" s="2">
        <v>11</v>
      </c>
      <c r="B311" s="82">
        <v>50</v>
      </c>
      <c r="C311" s="7"/>
      <c r="D311" s="82" t="s">
        <v>1972</v>
      </c>
      <c r="E311" s="82" t="s">
        <v>598</v>
      </c>
      <c r="F311" s="82"/>
      <c r="G311" s="82"/>
      <c r="H311" s="82">
        <v>1</v>
      </c>
      <c r="I311" s="82">
        <v>2</v>
      </c>
      <c r="J311" s="82"/>
      <c r="K311" s="82"/>
      <c r="L311" s="137"/>
      <c r="M311" s="137"/>
      <c r="N311" s="137"/>
    </row>
    <row r="312" spans="1:14" x14ac:dyDescent="0.2">
      <c r="A312" s="2">
        <v>12</v>
      </c>
      <c r="B312" s="82">
        <v>75</v>
      </c>
      <c r="C312" s="7" t="s">
        <v>383</v>
      </c>
      <c r="D312" s="82" t="s">
        <v>1972</v>
      </c>
      <c r="E312" s="82" t="s">
        <v>597</v>
      </c>
      <c r="F312" s="82" t="s">
        <v>599</v>
      </c>
      <c r="G312" s="82"/>
      <c r="H312" s="82">
        <v>1</v>
      </c>
      <c r="I312" s="82">
        <v>3</v>
      </c>
      <c r="J312" s="82">
        <v>0</v>
      </c>
      <c r="K312" s="82"/>
      <c r="L312" s="137"/>
      <c r="M312" s="137"/>
      <c r="N312" s="137"/>
    </row>
    <row r="313" spans="1:14" x14ac:dyDescent="0.2">
      <c r="A313" s="2">
        <v>13</v>
      </c>
      <c r="B313" s="82">
        <v>25</v>
      </c>
      <c r="C313" s="7" t="s">
        <v>394</v>
      </c>
      <c r="D313" s="82" t="s">
        <v>600</v>
      </c>
      <c r="E313" s="82"/>
      <c r="F313" s="82"/>
      <c r="G313" s="82"/>
      <c r="H313" s="82">
        <v>1.5</v>
      </c>
      <c r="I313" s="82"/>
      <c r="J313" s="82"/>
      <c r="K313" s="82"/>
      <c r="L313" s="137"/>
      <c r="M313" s="137"/>
      <c r="N313" s="137"/>
    </row>
    <row r="314" spans="1:14" x14ac:dyDescent="0.2">
      <c r="A314" s="2">
        <v>14</v>
      </c>
      <c r="B314" s="82">
        <v>60</v>
      </c>
      <c r="C314" s="7"/>
      <c r="D314" s="82" t="s">
        <v>600</v>
      </c>
      <c r="E314" s="82" t="s">
        <v>1972</v>
      </c>
      <c r="F314" s="82"/>
      <c r="G314" s="82"/>
      <c r="H314" s="82">
        <v>1.5</v>
      </c>
      <c r="I314" s="82">
        <v>1.5</v>
      </c>
      <c r="J314" s="82"/>
      <c r="K314" s="82"/>
      <c r="L314" s="137"/>
      <c r="M314" s="137"/>
      <c r="N314" s="137"/>
    </row>
    <row r="315" spans="1:14" x14ac:dyDescent="0.2">
      <c r="A315" s="2">
        <v>15</v>
      </c>
      <c r="B315" s="82">
        <v>90</v>
      </c>
      <c r="C315" s="7"/>
      <c r="D315" s="82" t="s">
        <v>600</v>
      </c>
      <c r="E315" s="82" t="s">
        <v>601</v>
      </c>
      <c r="F315" s="82"/>
      <c r="G315" s="82"/>
      <c r="H315" s="82">
        <v>0.5</v>
      </c>
      <c r="I315" s="82">
        <v>2</v>
      </c>
      <c r="J315" s="82"/>
      <c r="K315" s="82"/>
      <c r="L315" s="137"/>
      <c r="M315" s="137"/>
      <c r="N315" s="137"/>
    </row>
    <row r="316" spans="1:14" x14ac:dyDescent="0.2">
      <c r="A316" s="2">
        <v>16</v>
      </c>
      <c r="B316" s="82">
        <v>120</v>
      </c>
      <c r="C316" s="7" t="s">
        <v>383</v>
      </c>
      <c r="D316" s="82" t="s">
        <v>1972</v>
      </c>
      <c r="E316" s="82" t="s">
        <v>602</v>
      </c>
      <c r="F316" s="82"/>
      <c r="G316" s="82"/>
      <c r="H316" s="82">
        <v>1</v>
      </c>
      <c r="I316" s="82">
        <v>0</v>
      </c>
      <c r="J316" s="82"/>
      <c r="K316" s="82"/>
      <c r="L316" s="137"/>
      <c r="M316" s="137"/>
      <c r="N316" s="137"/>
    </row>
    <row r="317" spans="1:14" x14ac:dyDescent="0.2">
      <c r="A317" s="2">
        <v>17</v>
      </c>
      <c r="B317" s="82">
        <v>100</v>
      </c>
      <c r="C317" s="7" t="s">
        <v>386</v>
      </c>
      <c r="D317" s="82" t="s">
        <v>1973</v>
      </c>
      <c r="E317" s="82" t="s">
        <v>604</v>
      </c>
      <c r="F317" s="82"/>
      <c r="G317" s="82"/>
      <c r="H317" s="82">
        <v>1</v>
      </c>
      <c r="I317" s="82">
        <v>3</v>
      </c>
      <c r="J317" s="82"/>
      <c r="K317" s="82"/>
      <c r="L317" s="137"/>
      <c r="M317" s="137"/>
      <c r="N317" s="137"/>
    </row>
    <row r="318" spans="1:14" x14ac:dyDescent="0.2">
      <c r="A318" s="2">
        <v>18</v>
      </c>
      <c r="B318" s="82">
        <v>110</v>
      </c>
      <c r="C318" s="7"/>
      <c r="D318" s="82" t="s">
        <v>604</v>
      </c>
      <c r="E318" s="82" t="s">
        <v>598</v>
      </c>
      <c r="F318" s="82"/>
      <c r="G318" s="82"/>
      <c r="H318" s="82">
        <v>1.5</v>
      </c>
      <c r="I318" s="82">
        <v>0.75</v>
      </c>
      <c r="J318" s="82"/>
      <c r="K318" s="82"/>
      <c r="L318" s="137"/>
      <c r="M318" s="137"/>
      <c r="N318" s="137"/>
    </row>
    <row r="319" spans="1:14" x14ac:dyDescent="0.2">
      <c r="A319" s="2">
        <v>19</v>
      </c>
      <c r="B319" s="82">
        <v>180</v>
      </c>
      <c r="C319" s="7"/>
      <c r="D319" s="82" t="s">
        <v>604</v>
      </c>
      <c r="E319" s="82" t="s">
        <v>1973</v>
      </c>
      <c r="F319" s="82" t="s">
        <v>601</v>
      </c>
      <c r="G319" s="82"/>
      <c r="H319" s="82">
        <v>1.5</v>
      </c>
      <c r="I319" s="82">
        <v>1</v>
      </c>
      <c r="J319" s="82">
        <v>2</v>
      </c>
      <c r="K319" s="82"/>
    </row>
    <row r="320" spans="1:14" x14ac:dyDescent="0.2">
      <c r="A320" s="2">
        <v>20</v>
      </c>
      <c r="B320" s="80">
        <v>300</v>
      </c>
      <c r="C320" s="7" t="s">
        <v>383</v>
      </c>
      <c r="D320" s="82" t="s">
        <v>605</v>
      </c>
      <c r="E320" s="82" t="s">
        <v>606</v>
      </c>
      <c r="F320" s="82" t="s">
        <v>601</v>
      </c>
      <c r="G320" s="82" t="s">
        <v>1973</v>
      </c>
      <c r="H320" s="82">
        <v>0</v>
      </c>
      <c r="I320" s="82">
        <v>0.75</v>
      </c>
      <c r="J320" s="82">
        <v>1</v>
      </c>
      <c r="K320" s="82">
        <v>1</v>
      </c>
    </row>
    <row r="321" spans="1:16" x14ac:dyDescent="0.2">
      <c r="A321" s="2" t="s">
        <v>1103</v>
      </c>
      <c r="B321" s="120">
        <v>1.5</v>
      </c>
      <c r="C321" s="7"/>
      <c r="D321" s="82"/>
      <c r="E321" s="82"/>
      <c r="F321" s="82"/>
      <c r="G321" s="82"/>
      <c r="H321" s="82"/>
      <c r="I321" s="82"/>
      <c r="J321" s="82"/>
      <c r="K321" s="82"/>
    </row>
    <row r="324" spans="1:16" s="4" customFormat="1" x14ac:dyDescent="0.2">
      <c r="A324" s="4" t="s">
        <v>1571</v>
      </c>
    </row>
    <row r="325" spans="1:16" x14ac:dyDescent="0.2">
      <c r="A325" s="5" t="s">
        <v>389</v>
      </c>
      <c r="E325" s="5"/>
      <c r="L325" s="6" t="s">
        <v>1735</v>
      </c>
      <c r="M325" s="6" t="s">
        <v>1736</v>
      </c>
      <c r="N325" s="6" t="s">
        <v>380</v>
      </c>
    </row>
    <row r="326" spans="1:16" x14ac:dyDescent="0.2">
      <c r="A326" s="8" t="s">
        <v>380</v>
      </c>
      <c r="B326" s="8" t="s">
        <v>381</v>
      </c>
      <c r="C326" s="8" t="s">
        <v>391</v>
      </c>
      <c r="D326" s="182" t="s">
        <v>26</v>
      </c>
      <c r="E326" s="183"/>
      <c r="F326" s="183"/>
      <c r="G326" s="184"/>
      <c r="H326" s="182" t="s">
        <v>404</v>
      </c>
      <c r="I326" s="183"/>
      <c r="J326" s="183"/>
      <c r="K326" s="184"/>
      <c r="L326" s="6">
        <v>2.7</v>
      </c>
      <c r="M326" s="6">
        <v>30</v>
      </c>
      <c r="N326" s="6" t="s">
        <v>1737</v>
      </c>
    </row>
    <row r="327" spans="1:16" x14ac:dyDescent="0.2">
      <c r="A327" s="2">
        <v>1</v>
      </c>
      <c r="B327" s="82">
        <v>5</v>
      </c>
      <c r="C327" s="82"/>
      <c r="D327" s="82" t="s">
        <v>590</v>
      </c>
      <c r="E327" s="82"/>
      <c r="F327" s="82"/>
      <c r="G327" s="82"/>
      <c r="H327" s="7">
        <v>0.75</v>
      </c>
      <c r="I327" s="7"/>
      <c r="J327" s="7"/>
      <c r="K327" s="7"/>
      <c r="L327" s="6">
        <v>2.5</v>
      </c>
      <c r="M327" s="6">
        <v>20</v>
      </c>
      <c r="N327" s="149" t="s">
        <v>1738</v>
      </c>
    </row>
    <row r="328" spans="1:16" x14ac:dyDescent="0.2">
      <c r="A328" s="2">
        <v>2</v>
      </c>
      <c r="B328" s="80">
        <f>IF(C328="BOSS",B327+$M$326,B327+$L$326)</f>
        <v>7.7</v>
      </c>
      <c r="C328" s="7"/>
      <c r="D328" s="82" t="s">
        <v>590</v>
      </c>
      <c r="E328" s="82" t="s">
        <v>591</v>
      </c>
      <c r="F328" s="82"/>
      <c r="G328" s="82"/>
      <c r="H328" s="7">
        <v>0.75</v>
      </c>
      <c r="I328" s="7">
        <v>1.5</v>
      </c>
      <c r="J328" s="7"/>
      <c r="K328" s="7"/>
      <c r="L328" s="6">
        <v>5</v>
      </c>
      <c r="M328" s="6">
        <v>20</v>
      </c>
      <c r="N328" s="6" t="s">
        <v>1739</v>
      </c>
    </row>
    <row r="329" spans="1:16" x14ac:dyDescent="0.2">
      <c r="A329" s="2">
        <v>3</v>
      </c>
      <c r="B329" s="80">
        <f t="shared" ref="B329:B331" si="9">IF(C329="BOSS",B328+$M$326,B328+$L$326)</f>
        <v>10.4</v>
      </c>
      <c r="C329" s="7" t="s">
        <v>393</v>
      </c>
      <c r="D329" s="82" t="s">
        <v>591</v>
      </c>
      <c r="E329" s="82" t="s">
        <v>592</v>
      </c>
      <c r="F329" s="82"/>
      <c r="G329" s="82"/>
      <c r="H329" s="7">
        <v>1.5</v>
      </c>
      <c r="I329" s="7">
        <v>0.2</v>
      </c>
      <c r="J329" s="7"/>
      <c r="K329" s="7"/>
      <c r="L329" s="6">
        <v>10</v>
      </c>
      <c r="M329" s="6">
        <v>40</v>
      </c>
      <c r="N329" s="6" t="s">
        <v>1740</v>
      </c>
    </row>
    <row r="330" spans="1:16" x14ac:dyDescent="0.2">
      <c r="A330" s="2">
        <v>4</v>
      </c>
      <c r="B330" s="80">
        <f t="shared" si="9"/>
        <v>13.100000000000001</v>
      </c>
      <c r="C330" s="7"/>
      <c r="D330" s="82" t="s">
        <v>590</v>
      </c>
      <c r="E330" s="82" t="s">
        <v>594</v>
      </c>
      <c r="F330" s="82"/>
      <c r="G330" s="82"/>
      <c r="H330" s="7">
        <v>0.75</v>
      </c>
      <c r="I330" s="7">
        <v>1</v>
      </c>
      <c r="J330" s="7"/>
      <c r="K330" s="7"/>
    </row>
    <row r="331" spans="1:16" s="3" customFormat="1" x14ac:dyDescent="0.2">
      <c r="A331" s="147">
        <v>5</v>
      </c>
      <c r="B331" s="80">
        <f t="shared" si="9"/>
        <v>43.1</v>
      </c>
      <c r="C331" s="139" t="s">
        <v>383</v>
      </c>
      <c r="D331" s="148" t="s">
        <v>593</v>
      </c>
      <c r="E331" s="148" t="s">
        <v>592</v>
      </c>
      <c r="F331" s="148"/>
      <c r="G331" s="148"/>
      <c r="H331" s="139">
        <v>0</v>
      </c>
      <c r="I331" s="139">
        <v>0.4</v>
      </c>
      <c r="J331" s="139"/>
      <c r="K331" s="139"/>
    </row>
    <row r="332" spans="1:16" x14ac:dyDescent="0.2">
      <c r="A332" s="2">
        <v>6</v>
      </c>
      <c r="B332" s="82">
        <v>15</v>
      </c>
      <c r="C332" s="7"/>
      <c r="D332" s="82" t="s">
        <v>591</v>
      </c>
      <c r="E332" s="82" t="s">
        <v>594</v>
      </c>
      <c r="F332" s="82"/>
      <c r="G332" s="82"/>
      <c r="H332" s="7">
        <v>0.75</v>
      </c>
      <c r="I332" s="7">
        <v>0.75</v>
      </c>
      <c r="J332" s="7"/>
      <c r="K332" s="7"/>
      <c r="N332" s="6" t="s">
        <v>380</v>
      </c>
    </row>
    <row r="333" spans="1:16" x14ac:dyDescent="0.2">
      <c r="A333" s="2">
        <v>7</v>
      </c>
      <c r="B333" s="80">
        <f t="shared" ref="B333:B336" si="10">IF(C333="BOSS",B332+$M$327,B332+$L$327)</f>
        <v>17.5</v>
      </c>
      <c r="C333" s="7"/>
      <c r="D333" s="82" t="s">
        <v>591</v>
      </c>
      <c r="E333" s="82" t="s">
        <v>594</v>
      </c>
      <c r="F333" s="82"/>
      <c r="G333" s="82"/>
      <c r="H333" s="7">
        <v>0.5</v>
      </c>
      <c r="I333" s="7">
        <v>0.75</v>
      </c>
      <c r="J333" s="7"/>
      <c r="K333" s="7"/>
      <c r="N333" s="6">
        <v>20</v>
      </c>
      <c r="O333" s="6">
        <f>B346</f>
        <v>130</v>
      </c>
      <c r="P333" s="6">
        <v>1.3</v>
      </c>
    </row>
    <row r="334" spans="1:16" x14ac:dyDescent="0.2">
      <c r="A334" s="2">
        <v>8</v>
      </c>
      <c r="B334" s="80">
        <f t="shared" si="10"/>
        <v>20</v>
      </c>
      <c r="C334" s="7"/>
      <c r="D334" s="82" t="s">
        <v>591</v>
      </c>
      <c r="E334" s="82" t="s">
        <v>597</v>
      </c>
      <c r="F334" s="82"/>
      <c r="G334" s="82"/>
      <c r="H334" s="7">
        <v>1</v>
      </c>
      <c r="I334" s="7">
        <v>3</v>
      </c>
      <c r="J334" s="7"/>
      <c r="K334" s="7"/>
      <c r="N334" s="6">
        <v>21</v>
      </c>
      <c r="O334" s="6">
        <f>O333*$P$333</f>
        <v>169</v>
      </c>
    </row>
    <row r="335" spans="1:16" x14ac:dyDescent="0.2">
      <c r="A335" s="2">
        <v>9</v>
      </c>
      <c r="B335" s="80">
        <f t="shared" si="10"/>
        <v>22.5</v>
      </c>
      <c r="C335" s="7" t="s">
        <v>385</v>
      </c>
      <c r="D335" s="82" t="s">
        <v>591</v>
      </c>
      <c r="E335" s="82" t="s">
        <v>597</v>
      </c>
      <c r="F335" s="82"/>
      <c r="G335" s="82"/>
      <c r="H335" s="7">
        <v>0.2</v>
      </c>
      <c r="I335" s="7">
        <v>3</v>
      </c>
      <c r="J335" s="7"/>
      <c r="K335" s="7"/>
      <c r="N335" s="6">
        <v>22</v>
      </c>
      <c r="O335" s="6">
        <f t="shared" ref="O335:O347" si="11">O334*$P$333</f>
        <v>219.70000000000002</v>
      </c>
    </row>
    <row r="336" spans="1:16" s="3" customFormat="1" x14ac:dyDescent="0.2">
      <c r="A336" s="147">
        <v>10</v>
      </c>
      <c r="B336" s="80">
        <f t="shared" si="10"/>
        <v>42.5</v>
      </c>
      <c r="C336" s="139" t="s">
        <v>383</v>
      </c>
      <c r="D336" s="82" t="s">
        <v>597</v>
      </c>
      <c r="E336" s="148" t="s">
        <v>596</v>
      </c>
      <c r="F336" s="148"/>
      <c r="G336" s="148"/>
      <c r="H336" s="139">
        <v>3</v>
      </c>
      <c r="I336" s="139">
        <v>0</v>
      </c>
      <c r="J336" s="139"/>
      <c r="K336" s="139"/>
      <c r="N336" s="6">
        <v>23</v>
      </c>
      <c r="O336" s="6">
        <f t="shared" si="11"/>
        <v>285.61</v>
      </c>
    </row>
    <row r="337" spans="1:18" x14ac:dyDescent="0.2">
      <c r="A337" s="2">
        <v>11</v>
      </c>
      <c r="B337" s="82">
        <v>40</v>
      </c>
      <c r="C337" s="7"/>
      <c r="D337" s="82" t="s">
        <v>597</v>
      </c>
      <c r="E337" s="82" t="s">
        <v>598</v>
      </c>
      <c r="F337" s="82"/>
      <c r="G337" s="82"/>
      <c r="H337" s="7">
        <v>2</v>
      </c>
      <c r="I337" s="7">
        <v>0</v>
      </c>
      <c r="J337" s="7"/>
      <c r="K337" s="7"/>
      <c r="N337" s="6">
        <v>24</v>
      </c>
      <c r="O337" s="6">
        <f t="shared" si="11"/>
        <v>371.29300000000001</v>
      </c>
    </row>
    <row r="338" spans="1:18" x14ac:dyDescent="0.2">
      <c r="A338" s="2">
        <v>12</v>
      </c>
      <c r="B338" s="80">
        <f t="shared" ref="B338:B341" si="12">IF(C338="BOSS",B337+$M$328,B337+$L$328)</f>
        <v>45</v>
      </c>
      <c r="C338" s="7" t="s">
        <v>394</v>
      </c>
      <c r="D338" s="82" t="s">
        <v>600</v>
      </c>
      <c r="E338" s="82"/>
      <c r="F338" s="82"/>
      <c r="G338" s="82"/>
      <c r="H338" s="7">
        <v>1.5</v>
      </c>
      <c r="I338" s="7"/>
      <c r="J338" s="7"/>
      <c r="K338" s="7"/>
      <c r="N338" s="6">
        <v>25</v>
      </c>
      <c r="O338" s="6">
        <f t="shared" si="11"/>
        <v>482.68090000000001</v>
      </c>
    </row>
    <row r="339" spans="1:18" x14ac:dyDescent="0.2">
      <c r="A339" s="2">
        <v>13</v>
      </c>
      <c r="B339" s="80">
        <f t="shared" si="12"/>
        <v>50</v>
      </c>
      <c r="C339" s="7"/>
      <c r="D339" s="82" t="s">
        <v>600</v>
      </c>
      <c r="E339" s="82" t="s">
        <v>598</v>
      </c>
      <c r="F339" s="82"/>
      <c r="G339" s="82"/>
      <c r="H339" s="7">
        <v>1.5</v>
      </c>
      <c r="I339" s="7">
        <v>1.5</v>
      </c>
      <c r="J339" s="7"/>
      <c r="K339" s="7"/>
      <c r="N339" s="6">
        <v>26</v>
      </c>
      <c r="O339" s="6">
        <f t="shared" si="11"/>
        <v>627.48517000000004</v>
      </c>
    </row>
    <row r="340" spans="1:18" x14ac:dyDescent="0.2">
      <c r="A340" s="2">
        <v>14</v>
      </c>
      <c r="B340" s="80">
        <f t="shared" si="12"/>
        <v>55</v>
      </c>
      <c r="C340" s="7"/>
      <c r="D340" s="82" t="s">
        <v>600</v>
      </c>
      <c r="E340" s="82" t="s">
        <v>601</v>
      </c>
      <c r="F340" s="82"/>
      <c r="G340" s="82"/>
      <c r="H340" s="7">
        <v>0.75</v>
      </c>
      <c r="I340" s="7">
        <v>3</v>
      </c>
      <c r="J340" s="7"/>
      <c r="K340" s="7"/>
      <c r="N340" s="6">
        <v>27</v>
      </c>
      <c r="O340" s="6">
        <f t="shared" si="11"/>
        <v>815.73072100000013</v>
      </c>
    </row>
    <row r="341" spans="1:18" s="3" customFormat="1" x14ac:dyDescent="0.2">
      <c r="A341" s="147">
        <v>15</v>
      </c>
      <c r="B341" s="80">
        <f t="shared" si="12"/>
        <v>75</v>
      </c>
      <c r="C341" s="139" t="s">
        <v>383</v>
      </c>
      <c r="D341" s="148" t="s">
        <v>591</v>
      </c>
      <c r="E341" s="148" t="s">
        <v>597</v>
      </c>
      <c r="F341" s="148" t="s">
        <v>599</v>
      </c>
      <c r="G341" s="148"/>
      <c r="H341" s="139">
        <v>0.2</v>
      </c>
      <c r="I341" s="139">
        <v>3</v>
      </c>
      <c r="J341" s="139">
        <v>0</v>
      </c>
      <c r="K341" s="139"/>
      <c r="N341" s="6">
        <v>28</v>
      </c>
      <c r="O341" s="6">
        <f t="shared" si="11"/>
        <v>1060.4499373000001</v>
      </c>
    </row>
    <row r="342" spans="1:18" x14ac:dyDescent="0.2">
      <c r="A342" s="2">
        <v>16</v>
      </c>
      <c r="B342" s="82">
        <v>60</v>
      </c>
      <c r="C342" s="7" t="s">
        <v>386</v>
      </c>
      <c r="D342" s="82" t="s">
        <v>603</v>
      </c>
      <c r="E342" s="82" t="s">
        <v>604</v>
      </c>
      <c r="F342" s="82"/>
      <c r="G342" s="82"/>
      <c r="H342" s="7">
        <v>0.75</v>
      </c>
      <c r="I342" s="7">
        <v>3</v>
      </c>
      <c r="J342" s="7"/>
      <c r="K342" s="7"/>
      <c r="N342" s="6">
        <v>29</v>
      </c>
      <c r="O342" s="6">
        <f t="shared" si="11"/>
        <v>1378.5849184900003</v>
      </c>
    </row>
    <row r="343" spans="1:18" x14ac:dyDescent="0.2">
      <c r="A343" s="2">
        <v>17</v>
      </c>
      <c r="B343" s="80">
        <f t="shared" ref="B343:B346" si="13">IF(C343="BOSS",B342+$M$329,B342+$L$329)</f>
        <v>70</v>
      </c>
      <c r="C343" s="7"/>
      <c r="D343" s="82" t="s">
        <v>604</v>
      </c>
      <c r="E343" s="82" t="s">
        <v>598</v>
      </c>
      <c r="F343" s="82"/>
      <c r="G343" s="82"/>
      <c r="H343" s="7">
        <v>1.5</v>
      </c>
      <c r="I343" s="7">
        <v>0.75</v>
      </c>
      <c r="J343" s="7"/>
      <c r="K343" s="7"/>
      <c r="N343" s="6">
        <v>30</v>
      </c>
      <c r="O343" s="6">
        <f t="shared" si="11"/>
        <v>1792.1603940370005</v>
      </c>
    </row>
    <row r="344" spans="1:18" x14ac:dyDescent="0.2">
      <c r="A344" s="2">
        <v>18</v>
      </c>
      <c r="B344" s="80">
        <f t="shared" si="13"/>
        <v>80</v>
      </c>
      <c r="C344" s="7"/>
      <c r="D344" s="82" t="s">
        <v>604</v>
      </c>
      <c r="E344" s="82" t="s">
        <v>598</v>
      </c>
      <c r="F344" s="82" t="s">
        <v>601</v>
      </c>
      <c r="G344" s="82"/>
      <c r="H344" s="7">
        <v>1.5</v>
      </c>
      <c r="I344" s="7">
        <v>0.75</v>
      </c>
      <c r="J344" s="7">
        <v>2</v>
      </c>
      <c r="K344" s="7"/>
      <c r="N344" s="6">
        <v>31</v>
      </c>
      <c r="O344" s="6">
        <f t="shared" si="11"/>
        <v>2329.8085122481007</v>
      </c>
    </row>
    <row r="345" spans="1:18" x14ac:dyDescent="0.2">
      <c r="A345" s="2">
        <v>19</v>
      </c>
      <c r="B345" s="80">
        <f t="shared" si="13"/>
        <v>90</v>
      </c>
      <c r="C345" s="7"/>
      <c r="D345" s="82" t="s">
        <v>604</v>
      </c>
      <c r="E345" s="82" t="s">
        <v>606</v>
      </c>
      <c r="F345" s="82" t="s">
        <v>601</v>
      </c>
      <c r="G345" s="82"/>
      <c r="H345" s="7">
        <v>1.5</v>
      </c>
      <c r="I345" s="7">
        <v>0.75</v>
      </c>
      <c r="J345" s="7">
        <v>1</v>
      </c>
      <c r="K345" s="7"/>
      <c r="N345" s="6">
        <v>32</v>
      </c>
      <c r="O345" s="6">
        <f t="shared" si="11"/>
        <v>3028.7510659225309</v>
      </c>
    </row>
    <row r="346" spans="1:18" s="3" customFormat="1" x14ac:dyDescent="0.2">
      <c r="A346" s="147">
        <v>20</v>
      </c>
      <c r="B346" s="80">
        <f t="shared" si="13"/>
        <v>130</v>
      </c>
      <c r="C346" s="139" t="s">
        <v>383</v>
      </c>
      <c r="D346" s="148" t="s">
        <v>591</v>
      </c>
      <c r="E346" s="148" t="s">
        <v>602</v>
      </c>
      <c r="F346" s="148" t="s">
        <v>601</v>
      </c>
      <c r="G346" s="148"/>
      <c r="H346" s="139">
        <v>0.2</v>
      </c>
      <c r="I346" s="139">
        <v>0</v>
      </c>
      <c r="J346" s="139">
        <v>1</v>
      </c>
      <c r="K346" s="139"/>
      <c r="N346" s="6">
        <v>33</v>
      </c>
      <c r="O346" s="6">
        <f t="shared" si="11"/>
        <v>3937.37638569929</v>
      </c>
    </row>
    <row r="347" spans="1:18" x14ac:dyDescent="0.2">
      <c r="A347" s="2" t="s">
        <v>1103</v>
      </c>
      <c r="B347" s="120">
        <f>B342/B343</f>
        <v>0.8571428571428571</v>
      </c>
      <c r="C347" s="7"/>
      <c r="D347" s="82"/>
      <c r="E347" s="82"/>
      <c r="F347" s="82"/>
      <c r="G347" s="82"/>
      <c r="H347" s="82"/>
      <c r="I347" s="82"/>
      <c r="J347" s="82"/>
      <c r="K347" s="82"/>
      <c r="N347" s="6">
        <v>34</v>
      </c>
      <c r="O347" s="6">
        <f t="shared" si="11"/>
        <v>5118.5893014090771</v>
      </c>
    </row>
    <row r="350" spans="1:18" s="4" customFormat="1" x14ac:dyDescent="0.2">
      <c r="A350" s="4" t="s">
        <v>1901</v>
      </c>
    </row>
    <row r="351" spans="1:18" x14ac:dyDescent="0.2">
      <c r="A351" s="5" t="s">
        <v>636</v>
      </c>
      <c r="E351" s="5"/>
    </row>
    <row r="352" spans="1:18" x14ac:dyDescent="0.2">
      <c r="A352" s="8" t="s">
        <v>1902</v>
      </c>
      <c r="B352" s="8" t="s">
        <v>1907</v>
      </c>
      <c r="C352" s="8" t="s">
        <v>1906</v>
      </c>
      <c r="D352" s="8" t="s">
        <v>381</v>
      </c>
      <c r="E352" s="8" t="s">
        <v>391</v>
      </c>
      <c r="F352" s="8" t="s">
        <v>2080</v>
      </c>
      <c r="G352" s="8" t="s">
        <v>2081</v>
      </c>
      <c r="H352" s="8" t="s">
        <v>2082</v>
      </c>
      <c r="I352" s="8" t="s">
        <v>637</v>
      </c>
      <c r="J352" s="8" t="s">
        <v>638</v>
      </c>
      <c r="K352" s="8" t="s">
        <v>639</v>
      </c>
      <c r="L352" s="8" t="s">
        <v>640</v>
      </c>
      <c r="M352" s="8" t="s">
        <v>641</v>
      </c>
      <c r="N352" s="8" t="s">
        <v>1908</v>
      </c>
      <c r="O352" s="8" t="s">
        <v>1909</v>
      </c>
      <c r="P352" s="8" t="s">
        <v>1910</v>
      </c>
      <c r="Q352" s="8" t="s">
        <v>1911</v>
      </c>
      <c r="R352" s="8" t="s">
        <v>1912</v>
      </c>
    </row>
    <row r="353" spans="1:18" x14ac:dyDescent="0.2">
      <c r="A353" s="2">
        <v>1</v>
      </c>
      <c r="B353" s="82" t="s">
        <v>1916</v>
      </c>
      <c r="C353" s="82" t="s">
        <v>1916</v>
      </c>
      <c r="D353" s="82" t="s">
        <v>1918</v>
      </c>
      <c r="E353" s="82" t="s">
        <v>1920</v>
      </c>
      <c r="F353" s="7" t="s">
        <v>590</v>
      </c>
      <c r="G353" s="7" t="s">
        <v>591</v>
      </c>
      <c r="H353" s="7" t="s">
        <v>1964</v>
      </c>
      <c r="I353" s="82" t="s">
        <v>1924</v>
      </c>
      <c r="J353" s="82" t="s">
        <v>1925</v>
      </c>
      <c r="K353" s="82" t="s">
        <v>1926</v>
      </c>
      <c r="L353" s="82"/>
      <c r="M353" s="82"/>
      <c r="N353" s="7"/>
      <c r="O353" s="7"/>
      <c r="P353" s="7"/>
      <c r="Q353" s="7"/>
      <c r="R353" s="7"/>
    </row>
    <row r="354" spans="1:18" x14ac:dyDescent="0.2">
      <c r="A354" s="2">
        <v>2</v>
      </c>
      <c r="B354" s="82"/>
      <c r="C354" s="82"/>
      <c r="D354" s="82" t="s">
        <v>1914</v>
      </c>
      <c r="E354" s="82" t="s">
        <v>1921</v>
      </c>
      <c r="F354" s="7" t="s">
        <v>594</v>
      </c>
      <c r="G354" s="7" t="s">
        <v>592</v>
      </c>
      <c r="H354" s="7" t="s">
        <v>1964</v>
      </c>
      <c r="I354" s="82" t="s">
        <v>1928</v>
      </c>
      <c r="J354" s="82" t="s">
        <v>1929</v>
      </c>
      <c r="K354" s="82" t="s">
        <v>1930</v>
      </c>
      <c r="L354" s="82" t="s">
        <v>1926</v>
      </c>
      <c r="M354" s="82" t="s">
        <v>1927</v>
      </c>
      <c r="N354" s="7"/>
      <c r="O354" s="7"/>
      <c r="P354" s="7"/>
      <c r="Q354" s="7"/>
      <c r="R354" s="7"/>
    </row>
    <row r="355" spans="1:18" x14ac:dyDescent="0.2">
      <c r="A355" s="2">
        <v>3</v>
      </c>
      <c r="B355" s="82" t="s">
        <v>1915</v>
      </c>
      <c r="C355" s="82" t="s">
        <v>1915</v>
      </c>
      <c r="D355" s="82" t="s">
        <v>1919</v>
      </c>
      <c r="E355" s="82" t="s">
        <v>1922</v>
      </c>
      <c r="F355" s="7" t="s">
        <v>597</v>
      </c>
      <c r="G355" s="7" t="s">
        <v>870</v>
      </c>
      <c r="H355" s="82"/>
      <c r="I355" s="82" t="s">
        <v>1931</v>
      </c>
      <c r="J355" s="82" t="s">
        <v>1932</v>
      </c>
      <c r="K355" s="82" t="s">
        <v>1933</v>
      </c>
      <c r="L355" s="82"/>
      <c r="M355" s="82"/>
      <c r="N355" s="134"/>
      <c r="O355" s="7"/>
      <c r="P355" s="7"/>
      <c r="Q355" s="7"/>
      <c r="R355" s="7"/>
    </row>
    <row r="356" spans="1:18" x14ac:dyDescent="0.2">
      <c r="A356" s="2">
        <v>4</v>
      </c>
      <c r="B356" s="82"/>
      <c r="C356" s="82"/>
      <c r="D356" s="82" t="s">
        <v>1914</v>
      </c>
      <c r="E356" s="82" t="s">
        <v>1923</v>
      </c>
      <c r="F356" s="7" t="s">
        <v>600</v>
      </c>
      <c r="G356" s="7" t="s">
        <v>597</v>
      </c>
      <c r="H356" s="7" t="s">
        <v>870</v>
      </c>
      <c r="I356" s="82" t="s">
        <v>1934</v>
      </c>
      <c r="J356" s="82" t="s">
        <v>1935</v>
      </c>
      <c r="K356" s="82" t="s">
        <v>1936</v>
      </c>
      <c r="L356" s="82" t="s">
        <v>1937</v>
      </c>
      <c r="M356" s="82" t="s">
        <v>1938</v>
      </c>
      <c r="N356" s="82"/>
      <c r="O356" s="82"/>
      <c r="P356" s="82"/>
      <c r="Q356" s="82"/>
      <c r="R356" s="82"/>
    </row>
    <row r="357" spans="1:18" x14ac:dyDescent="0.2">
      <c r="A357" s="2">
        <v>5</v>
      </c>
      <c r="B357" s="82" t="s">
        <v>1917</v>
      </c>
      <c r="C357" s="82" t="s">
        <v>1915</v>
      </c>
      <c r="D357" s="82" t="s">
        <v>1913</v>
      </c>
      <c r="E357" s="82" t="s">
        <v>1947</v>
      </c>
      <c r="F357" s="7" t="s">
        <v>604</v>
      </c>
      <c r="G357" s="7" t="s">
        <v>605</v>
      </c>
      <c r="H357" s="7" t="s">
        <v>2083</v>
      </c>
      <c r="I357" s="82" t="s">
        <v>1939</v>
      </c>
      <c r="J357" s="82" t="s">
        <v>1940</v>
      </c>
      <c r="K357" s="82" t="s">
        <v>1941</v>
      </c>
      <c r="L357" s="82" t="s">
        <v>1942</v>
      </c>
      <c r="M357" s="82" t="s">
        <v>1945</v>
      </c>
      <c r="N357" s="82" t="s">
        <v>1946</v>
      </c>
      <c r="O357" s="82" t="s">
        <v>1944</v>
      </c>
      <c r="P357" s="82" t="s">
        <v>1943</v>
      </c>
      <c r="Q357" s="82"/>
      <c r="R357" s="82"/>
    </row>
    <row r="359" spans="1:18" x14ac:dyDescent="0.2">
      <c r="A359" s="8" t="s">
        <v>1903</v>
      </c>
      <c r="B359" s="8" t="s">
        <v>381</v>
      </c>
      <c r="C359" s="8" t="s">
        <v>1906</v>
      </c>
      <c r="D359" s="8" t="s">
        <v>1907</v>
      </c>
      <c r="E359" s="8" t="s">
        <v>391</v>
      </c>
      <c r="F359" s="8" t="s">
        <v>2080</v>
      </c>
      <c r="G359" s="8" t="s">
        <v>2081</v>
      </c>
      <c r="H359" s="8" t="s">
        <v>2082</v>
      </c>
      <c r="I359" s="8" t="s">
        <v>637</v>
      </c>
      <c r="J359" s="8" t="s">
        <v>638</v>
      </c>
      <c r="K359" s="8" t="s">
        <v>639</v>
      </c>
      <c r="L359" s="8" t="s">
        <v>640</v>
      </c>
      <c r="M359" s="8" t="s">
        <v>641</v>
      </c>
      <c r="N359" s="156"/>
      <c r="O359" s="156"/>
      <c r="P359" s="157"/>
    </row>
    <row r="360" spans="1:18" x14ac:dyDescent="0.2">
      <c r="A360" s="2">
        <v>1</v>
      </c>
      <c r="B360" s="82" t="s">
        <v>1916</v>
      </c>
      <c r="C360" s="82" t="s">
        <v>1916</v>
      </c>
      <c r="D360" s="82" t="s">
        <v>1918</v>
      </c>
      <c r="E360" s="82" t="s">
        <v>1948</v>
      </c>
      <c r="F360" s="7" t="s">
        <v>590</v>
      </c>
      <c r="G360" s="7" t="s">
        <v>591</v>
      </c>
      <c r="H360" s="7" t="s">
        <v>1965</v>
      </c>
      <c r="I360" s="82" t="s">
        <v>1924</v>
      </c>
      <c r="J360" s="82" t="s">
        <v>1925</v>
      </c>
      <c r="K360" s="82" t="s">
        <v>1926</v>
      </c>
      <c r="L360" s="82"/>
      <c r="M360" s="82"/>
      <c r="N360" s="7"/>
      <c r="O360" s="7"/>
      <c r="P360" s="7"/>
      <c r="Q360" s="7"/>
      <c r="R360" s="7"/>
    </row>
    <row r="361" spans="1:18" x14ac:dyDescent="0.2">
      <c r="A361" s="2">
        <v>2</v>
      </c>
      <c r="B361" s="82"/>
      <c r="C361" s="82"/>
      <c r="D361" s="82" t="s">
        <v>1914</v>
      </c>
      <c r="E361" s="82" t="s">
        <v>1949</v>
      </c>
      <c r="F361" s="7" t="s">
        <v>594</v>
      </c>
      <c r="G361" s="7" t="s">
        <v>592</v>
      </c>
      <c r="H361" s="7" t="s">
        <v>1965</v>
      </c>
      <c r="I361" s="82" t="s">
        <v>1928</v>
      </c>
      <c r="J361" s="82" t="s">
        <v>1929</v>
      </c>
      <c r="K361" s="82" t="s">
        <v>1930</v>
      </c>
      <c r="L361" s="82" t="s">
        <v>1926</v>
      </c>
      <c r="M361" s="82" t="s">
        <v>1927</v>
      </c>
      <c r="N361" s="7"/>
      <c r="O361" s="7"/>
      <c r="P361" s="7"/>
      <c r="Q361" s="7"/>
      <c r="R361" s="7"/>
    </row>
    <row r="362" spans="1:18" x14ac:dyDescent="0.2">
      <c r="A362" s="2">
        <v>3</v>
      </c>
      <c r="B362" s="82" t="s">
        <v>1915</v>
      </c>
      <c r="C362" s="82" t="s">
        <v>1915</v>
      </c>
      <c r="D362" s="82" t="s">
        <v>1919</v>
      </c>
      <c r="E362" s="82" t="s">
        <v>1950</v>
      </c>
      <c r="F362" s="7" t="s">
        <v>597</v>
      </c>
      <c r="G362" s="7" t="s">
        <v>1966</v>
      </c>
      <c r="H362" s="82"/>
      <c r="I362" s="82" t="s">
        <v>1931</v>
      </c>
      <c r="J362" s="82" t="s">
        <v>1932</v>
      </c>
      <c r="K362" s="82" t="s">
        <v>1933</v>
      </c>
      <c r="L362" s="82"/>
      <c r="M362" s="82"/>
      <c r="N362" s="134"/>
      <c r="O362" s="7"/>
      <c r="P362" s="7"/>
      <c r="Q362" s="7"/>
      <c r="R362" s="7"/>
    </row>
    <row r="363" spans="1:18" x14ac:dyDescent="0.2">
      <c r="A363" s="2">
        <v>4</v>
      </c>
      <c r="B363" s="82"/>
      <c r="C363" s="82"/>
      <c r="D363" s="82" t="s">
        <v>1914</v>
      </c>
      <c r="E363" s="82" t="s">
        <v>1951</v>
      </c>
      <c r="F363" s="7" t="s">
        <v>600</v>
      </c>
      <c r="G363" s="7" t="s">
        <v>597</v>
      </c>
      <c r="H363" s="7" t="s">
        <v>1966</v>
      </c>
      <c r="I363" s="82" t="s">
        <v>1934</v>
      </c>
      <c r="J363" s="82" t="s">
        <v>1935</v>
      </c>
      <c r="K363" s="82" t="s">
        <v>1936</v>
      </c>
      <c r="L363" s="82" t="s">
        <v>1937</v>
      </c>
      <c r="M363" s="82" t="s">
        <v>1938</v>
      </c>
      <c r="N363" s="82"/>
      <c r="O363" s="82"/>
      <c r="P363" s="82"/>
      <c r="Q363" s="82"/>
      <c r="R363" s="82"/>
    </row>
    <row r="364" spans="1:18" x14ac:dyDescent="0.2">
      <c r="A364" s="2">
        <v>5</v>
      </c>
      <c r="B364" s="82" t="s">
        <v>1917</v>
      </c>
      <c r="C364" s="82" t="s">
        <v>1915</v>
      </c>
      <c r="D364" s="82" t="s">
        <v>1913</v>
      </c>
      <c r="E364" s="82" t="s">
        <v>1952</v>
      </c>
      <c r="F364" s="7" t="s">
        <v>604</v>
      </c>
      <c r="G364" s="7" t="s">
        <v>605</v>
      </c>
      <c r="H364" s="7" t="s">
        <v>1967</v>
      </c>
      <c r="I364" s="82" t="s">
        <v>1939</v>
      </c>
      <c r="J364" s="82" t="s">
        <v>1940</v>
      </c>
      <c r="K364" s="82" t="s">
        <v>1941</v>
      </c>
      <c r="L364" s="82" t="s">
        <v>1942</v>
      </c>
      <c r="M364" s="82" t="s">
        <v>1945</v>
      </c>
      <c r="N364" s="82" t="s">
        <v>1946</v>
      </c>
      <c r="O364" s="82" t="s">
        <v>1944</v>
      </c>
      <c r="P364" s="82" t="s">
        <v>1943</v>
      </c>
      <c r="Q364" s="82"/>
      <c r="R364" s="82"/>
    </row>
    <row r="366" spans="1:18" x14ac:dyDescent="0.2">
      <c r="A366" s="8" t="s">
        <v>1904</v>
      </c>
      <c r="B366" s="8" t="s">
        <v>381</v>
      </c>
      <c r="C366" s="8" t="s">
        <v>1906</v>
      </c>
      <c r="D366" s="8" t="s">
        <v>1907</v>
      </c>
      <c r="E366" s="8" t="s">
        <v>391</v>
      </c>
      <c r="F366" s="8" t="s">
        <v>2080</v>
      </c>
      <c r="G366" s="8" t="s">
        <v>2081</v>
      </c>
      <c r="H366" s="8" t="s">
        <v>2082</v>
      </c>
      <c r="I366" s="8" t="s">
        <v>637</v>
      </c>
      <c r="J366" s="8" t="s">
        <v>638</v>
      </c>
      <c r="K366" s="8" t="s">
        <v>639</v>
      </c>
      <c r="L366" s="8" t="s">
        <v>640</v>
      </c>
      <c r="M366" s="8" t="s">
        <v>641</v>
      </c>
      <c r="N366" s="156"/>
      <c r="O366" s="156"/>
      <c r="P366" s="157"/>
    </row>
    <row r="367" spans="1:18" x14ac:dyDescent="0.2">
      <c r="A367" s="2">
        <v>1</v>
      </c>
      <c r="B367" s="82" t="s">
        <v>1916</v>
      </c>
      <c r="C367" s="82" t="s">
        <v>1916</v>
      </c>
      <c r="D367" s="82" t="s">
        <v>1918</v>
      </c>
      <c r="E367" s="82" t="s">
        <v>1953</v>
      </c>
      <c r="F367" s="7" t="s">
        <v>590</v>
      </c>
      <c r="G367" s="7" t="s">
        <v>591</v>
      </c>
      <c r="H367" s="7" t="s">
        <v>1968</v>
      </c>
      <c r="I367" s="82" t="s">
        <v>1924</v>
      </c>
      <c r="J367" s="82" t="s">
        <v>1925</v>
      </c>
      <c r="K367" s="82" t="s">
        <v>1926</v>
      </c>
      <c r="L367" s="82"/>
      <c r="M367" s="82"/>
      <c r="N367" s="7"/>
      <c r="O367" s="7"/>
      <c r="P367" s="7"/>
      <c r="Q367" s="7"/>
      <c r="R367" s="7"/>
    </row>
    <row r="368" spans="1:18" x14ac:dyDescent="0.2">
      <c r="A368" s="2">
        <v>2</v>
      </c>
      <c r="B368" s="82"/>
      <c r="C368" s="82"/>
      <c r="D368" s="82" t="s">
        <v>1914</v>
      </c>
      <c r="E368" s="82" t="s">
        <v>1954</v>
      </c>
      <c r="F368" s="7" t="s">
        <v>594</v>
      </c>
      <c r="G368" s="7" t="s">
        <v>592</v>
      </c>
      <c r="H368" s="7" t="s">
        <v>1968</v>
      </c>
      <c r="I368" s="82" t="s">
        <v>1928</v>
      </c>
      <c r="J368" s="82" t="s">
        <v>1929</v>
      </c>
      <c r="K368" s="82" t="s">
        <v>1930</v>
      </c>
      <c r="L368" s="82" t="s">
        <v>1926</v>
      </c>
      <c r="M368" s="82" t="s">
        <v>1927</v>
      </c>
      <c r="N368" s="7"/>
      <c r="O368" s="7"/>
      <c r="P368" s="7"/>
      <c r="Q368" s="7"/>
      <c r="R368" s="7"/>
    </row>
    <row r="369" spans="1:22" x14ac:dyDescent="0.2">
      <c r="A369" s="2">
        <v>3</v>
      </c>
      <c r="B369" s="82" t="s">
        <v>1915</v>
      </c>
      <c r="C369" s="82" t="s">
        <v>1915</v>
      </c>
      <c r="D369" s="82" t="s">
        <v>1919</v>
      </c>
      <c r="E369" s="82" t="s">
        <v>1955</v>
      </c>
      <c r="F369" s="7" t="s">
        <v>597</v>
      </c>
      <c r="G369" s="7" t="s">
        <v>1969</v>
      </c>
      <c r="H369" s="82"/>
      <c r="I369" s="82" t="s">
        <v>1931</v>
      </c>
      <c r="J369" s="82" t="s">
        <v>1932</v>
      </c>
      <c r="K369" s="82" t="s">
        <v>1933</v>
      </c>
      <c r="L369" s="82"/>
      <c r="M369" s="82"/>
      <c r="N369" s="134"/>
      <c r="O369" s="7"/>
      <c r="P369" s="7"/>
      <c r="Q369" s="7"/>
      <c r="R369" s="7"/>
    </row>
    <row r="370" spans="1:22" x14ac:dyDescent="0.2">
      <c r="A370" s="2">
        <v>4</v>
      </c>
      <c r="B370" s="82"/>
      <c r="C370" s="82"/>
      <c r="D370" s="82" t="s">
        <v>1914</v>
      </c>
      <c r="E370" s="82" t="s">
        <v>1956</v>
      </c>
      <c r="F370" s="7" t="s">
        <v>600</v>
      </c>
      <c r="G370" s="7" t="s">
        <v>597</v>
      </c>
      <c r="H370" s="7" t="s">
        <v>1969</v>
      </c>
      <c r="I370" s="82" t="s">
        <v>1934</v>
      </c>
      <c r="J370" s="82" t="s">
        <v>1935</v>
      </c>
      <c r="K370" s="82" t="s">
        <v>1936</v>
      </c>
      <c r="L370" s="82" t="s">
        <v>1937</v>
      </c>
      <c r="M370" s="82" t="s">
        <v>1938</v>
      </c>
      <c r="N370" s="82"/>
      <c r="O370" s="82"/>
      <c r="P370" s="82"/>
      <c r="Q370" s="82"/>
      <c r="R370" s="82"/>
    </row>
    <row r="371" spans="1:22" x14ac:dyDescent="0.2">
      <c r="A371" s="2">
        <v>5</v>
      </c>
      <c r="B371" s="82" t="s">
        <v>1917</v>
      </c>
      <c r="C371" s="82" t="s">
        <v>1915</v>
      </c>
      <c r="D371" s="82" t="s">
        <v>1913</v>
      </c>
      <c r="E371" s="82" t="s">
        <v>1957</v>
      </c>
      <c r="F371" s="7" t="s">
        <v>604</v>
      </c>
      <c r="G371" s="7" t="s">
        <v>605</v>
      </c>
      <c r="H371" s="7" t="s">
        <v>1970</v>
      </c>
      <c r="I371" s="82" t="s">
        <v>1939</v>
      </c>
      <c r="J371" s="82" t="s">
        <v>1940</v>
      </c>
      <c r="K371" s="82" t="s">
        <v>1941</v>
      </c>
      <c r="L371" s="82" t="s">
        <v>1942</v>
      </c>
      <c r="M371" s="82" t="s">
        <v>1945</v>
      </c>
      <c r="N371" s="82" t="s">
        <v>1946</v>
      </c>
      <c r="O371" s="82" t="s">
        <v>1944</v>
      </c>
      <c r="P371" s="82" t="s">
        <v>1943</v>
      </c>
      <c r="Q371" s="82"/>
      <c r="R371" s="82"/>
    </row>
    <row r="373" spans="1:22" x14ac:dyDescent="0.2">
      <c r="A373" s="8" t="s">
        <v>1905</v>
      </c>
      <c r="B373" s="8" t="s">
        <v>381</v>
      </c>
      <c r="C373" s="8" t="s">
        <v>1906</v>
      </c>
      <c r="D373" s="8" t="s">
        <v>1907</v>
      </c>
      <c r="E373" s="8" t="s">
        <v>391</v>
      </c>
      <c r="F373" s="8" t="s">
        <v>2080</v>
      </c>
      <c r="G373" s="8" t="s">
        <v>2081</v>
      </c>
      <c r="H373" s="8" t="s">
        <v>2082</v>
      </c>
      <c r="I373" s="8" t="s">
        <v>637</v>
      </c>
      <c r="J373" s="8" t="s">
        <v>638</v>
      </c>
      <c r="K373" s="8" t="s">
        <v>639</v>
      </c>
      <c r="L373" s="8" t="s">
        <v>640</v>
      </c>
      <c r="M373" s="8" t="s">
        <v>641</v>
      </c>
      <c r="N373" s="156"/>
      <c r="O373" s="156"/>
      <c r="P373" s="157"/>
    </row>
    <row r="374" spans="1:22" x14ac:dyDescent="0.2">
      <c r="A374" s="2">
        <v>1</v>
      </c>
      <c r="B374" s="82" t="s">
        <v>1916</v>
      </c>
      <c r="C374" s="82" t="s">
        <v>1916</v>
      </c>
      <c r="D374" s="82" t="s">
        <v>1918</v>
      </c>
      <c r="E374" s="82" t="s">
        <v>1958</v>
      </c>
      <c r="F374" s="7" t="s">
        <v>590</v>
      </c>
      <c r="G374" s="7" t="s">
        <v>591</v>
      </c>
      <c r="H374" s="7" t="s">
        <v>1971</v>
      </c>
      <c r="I374" s="82" t="s">
        <v>1924</v>
      </c>
      <c r="J374" s="82" t="s">
        <v>1925</v>
      </c>
      <c r="K374" s="82" t="s">
        <v>1926</v>
      </c>
      <c r="L374" s="82"/>
      <c r="M374" s="82"/>
      <c r="N374" s="7"/>
      <c r="O374" s="7"/>
      <c r="P374" s="7"/>
      <c r="Q374" s="7"/>
      <c r="R374" s="7"/>
    </row>
    <row r="375" spans="1:22" x14ac:dyDescent="0.2">
      <c r="A375" s="2">
        <v>2</v>
      </c>
      <c r="B375" s="82"/>
      <c r="C375" s="82"/>
      <c r="D375" s="82" t="s">
        <v>1914</v>
      </c>
      <c r="E375" s="82" t="s">
        <v>1959</v>
      </c>
      <c r="F375" s="7" t="s">
        <v>594</v>
      </c>
      <c r="G375" s="7" t="s">
        <v>592</v>
      </c>
      <c r="H375" s="7" t="s">
        <v>1971</v>
      </c>
      <c r="I375" s="82" t="s">
        <v>1928</v>
      </c>
      <c r="J375" s="82" t="s">
        <v>1929</v>
      </c>
      <c r="K375" s="82" t="s">
        <v>1930</v>
      </c>
      <c r="L375" s="82" t="s">
        <v>1926</v>
      </c>
      <c r="M375" s="82" t="s">
        <v>1927</v>
      </c>
      <c r="N375" s="7"/>
      <c r="O375" s="7"/>
      <c r="P375" s="7"/>
      <c r="Q375" s="7"/>
      <c r="R375" s="7"/>
    </row>
    <row r="376" spans="1:22" x14ac:dyDescent="0.2">
      <c r="A376" s="2">
        <v>3</v>
      </c>
      <c r="B376" s="82" t="s">
        <v>1915</v>
      </c>
      <c r="C376" s="82" t="s">
        <v>1915</v>
      </c>
      <c r="D376" s="82" t="s">
        <v>1919</v>
      </c>
      <c r="E376" s="82" t="s">
        <v>1960</v>
      </c>
      <c r="F376" s="7" t="s">
        <v>597</v>
      </c>
      <c r="G376" s="7" t="s">
        <v>1972</v>
      </c>
      <c r="H376" s="82"/>
      <c r="I376" s="82" t="s">
        <v>1931</v>
      </c>
      <c r="J376" s="82" t="s">
        <v>1932</v>
      </c>
      <c r="K376" s="82" t="s">
        <v>1933</v>
      </c>
      <c r="L376" s="82"/>
      <c r="M376" s="82"/>
      <c r="N376" s="134"/>
      <c r="O376" s="7"/>
      <c r="P376" s="7"/>
      <c r="Q376" s="7"/>
      <c r="R376" s="7"/>
    </row>
    <row r="377" spans="1:22" x14ac:dyDescent="0.2">
      <c r="A377" s="2">
        <v>4</v>
      </c>
      <c r="B377" s="82"/>
      <c r="C377" s="82"/>
      <c r="D377" s="82" t="s">
        <v>1914</v>
      </c>
      <c r="E377" s="82" t="s">
        <v>1961</v>
      </c>
      <c r="F377" s="7" t="s">
        <v>600</v>
      </c>
      <c r="G377" s="7" t="s">
        <v>597</v>
      </c>
      <c r="H377" s="7" t="s">
        <v>1972</v>
      </c>
      <c r="I377" s="82" t="s">
        <v>1934</v>
      </c>
      <c r="J377" s="82" t="s">
        <v>1935</v>
      </c>
      <c r="K377" s="82" t="s">
        <v>1936</v>
      </c>
      <c r="L377" s="82" t="s">
        <v>1937</v>
      </c>
      <c r="M377" s="82" t="s">
        <v>1938</v>
      </c>
      <c r="N377" s="82"/>
      <c r="O377" s="82"/>
      <c r="P377" s="82"/>
      <c r="Q377" s="82"/>
      <c r="R377" s="82"/>
    </row>
    <row r="378" spans="1:22" x14ac:dyDescent="0.2">
      <c r="A378" s="2">
        <v>5</v>
      </c>
      <c r="B378" s="82" t="s">
        <v>1917</v>
      </c>
      <c r="C378" s="82" t="s">
        <v>1915</v>
      </c>
      <c r="D378" s="82" t="s">
        <v>1913</v>
      </c>
      <c r="E378" s="82" t="s">
        <v>1962</v>
      </c>
      <c r="F378" s="7" t="s">
        <v>604</v>
      </c>
      <c r="G378" s="7" t="s">
        <v>605</v>
      </c>
      <c r="H378" s="7" t="s">
        <v>1973</v>
      </c>
      <c r="I378" s="82" t="s">
        <v>1939</v>
      </c>
      <c r="J378" s="82" t="s">
        <v>1940</v>
      </c>
      <c r="K378" s="82" t="s">
        <v>1941</v>
      </c>
      <c r="L378" s="82" t="s">
        <v>1942</v>
      </c>
      <c r="M378" s="82" t="s">
        <v>1945</v>
      </c>
      <c r="N378" s="82" t="s">
        <v>1946</v>
      </c>
      <c r="O378" s="82" t="s">
        <v>1944</v>
      </c>
      <c r="P378" s="82" t="s">
        <v>1943</v>
      </c>
      <c r="Q378" s="82"/>
      <c r="R378" s="82"/>
    </row>
    <row r="380" spans="1:22" x14ac:dyDescent="0.2">
      <c r="A380" s="5" t="s">
        <v>1963</v>
      </c>
      <c r="E380" s="5"/>
    </row>
    <row r="381" spans="1:22" x14ac:dyDescent="0.2">
      <c r="A381" s="8" t="s">
        <v>665</v>
      </c>
      <c r="B381" s="8" t="s">
        <v>62</v>
      </c>
      <c r="C381" s="8" t="s">
        <v>380</v>
      </c>
      <c r="D381" s="8" t="s">
        <v>381</v>
      </c>
      <c r="E381" s="8" t="s">
        <v>391</v>
      </c>
      <c r="F381" s="8" t="s">
        <v>662</v>
      </c>
      <c r="G381" s="182" t="s">
        <v>26</v>
      </c>
      <c r="H381" s="183"/>
      <c r="I381" s="183"/>
      <c r="J381" s="184"/>
      <c r="K381" s="182" t="s">
        <v>663</v>
      </c>
      <c r="L381" s="183"/>
      <c r="M381" s="183"/>
      <c r="N381" s="184"/>
      <c r="Q381" s="68"/>
    </row>
    <row r="382" spans="1:22" x14ac:dyDescent="0.2">
      <c r="A382" s="2" t="str">
        <f t="shared" ref="A382:A402" si="14">B382&amp;"_"&amp;C382</f>
        <v>1_1</v>
      </c>
      <c r="B382" s="2">
        <v>1</v>
      </c>
      <c r="C382" s="2">
        <v>1</v>
      </c>
      <c r="D382" s="82">
        <v>3</v>
      </c>
      <c r="E382" s="7"/>
      <c r="F382" s="7">
        <v>10</v>
      </c>
      <c r="G382" s="7" t="s">
        <v>590</v>
      </c>
      <c r="H382" s="7" t="s">
        <v>1964</v>
      </c>
      <c r="I382" s="7"/>
      <c r="J382" s="7"/>
      <c r="K382" s="7">
        <v>2</v>
      </c>
      <c r="L382" s="7">
        <v>3</v>
      </c>
      <c r="M382" s="7"/>
      <c r="N382" s="7"/>
    </row>
    <row r="383" spans="1:22" x14ac:dyDescent="0.2">
      <c r="A383" s="2" t="str">
        <f t="shared" si="14"/>
        <v>1_2</v>
      </c>
      <c r="B383" s="2">
        <v>1</v>
      </c>
      <c r="C383" s="2">
        <v>2</v>
      </c>
      <c r="D383" s="82">
        <v>6</v>
      </c>
      <c r="E383" s="7"/>
      <c r="F383" s="7">
        <v>12.5</v>
      </c>
      <c r="G383" s="7" t="s">
        <v>590</v>
      </c>
      <c r="H383" s="7" t="s">
        <v>1964</v>
      </c>
      <c r="I383" s="7"/>
      <c r="J383" s="7"/>
      <c r="K383" s="7">
        <v>0.5</v>
      </c>
      <c r="L383" s="7">
        <v>3</v>
      </c>
      <c r="M383" s="7"/>
      <c r="N383" s="7"/>
    </row>
    <row r="384" spans="1:22" x14ac:dyDescent="0.2">
      <c r="A384" s="2" t="str">
        <f t="shared" si="14"/>
        <v>1_3</v>
      </c>
      <c r="B384" s="2">
        <v>1</v>
      </c>
      <c r="C384" s="2">
        <v>3</v>
      </c>
      <c r="D384" s="82">
        <v>10</v>
      </c>
      <c r="E384" s="7"/>
      <c r="F384" s="7">
        <v>15</v>
      </c>
      <c r="G384" s="7" t="s">
        <v>590</v>
      </c>
      <c r="H384" s="7" t="s">
        <v>591</v>
      </c>
      <c r="I384" s="7" t="s">
        <v>1964</v>
      </c>
      <c r="J384" s="7"/>
      <c r="K384" s="7">
        <v>0.5</v>
      </c>
      <c r="L384" s="7">
        <v>3</v>
      </c>
      <c r="M384" s="7">
        <v>1.5</v>
      </c>
      <c r="N384" s="7"/>
      <c r="U384" s="3"/>
      <c r="V384" s="3"/>
    </row>
    <row r="385" spans="1:22" x14ac:dyDescent="0.2">
      <c r="A385" s="2" t="str">
        <f t="shared" si="14"/>
        <v>2_1</v>
      </c>
      <c r="B385" s="2">
        <v>2</v>
      </c>
      <c r="C385" s="2">
        <v>1</v>
      </c>
      <c r="D385" s="82">
        <v>5</v>
      </c>
      <c r="E385" s="7"/>
      <c r="F385" s="7">
        <v>10</v>
      </c>
      <c r="G385" s="7" t="s">
        <v>594</v>
      </c>
      <c r="H385" s="7" t="s">
        <v>1964</v>
      </c>
      <c r="I385" s="7"/>
      <c r="J385" s="7"/>
      <c r="K385" s="7">
        <v>2</v>
      </c>
      <c r="L385" s="7">
        <v>2</v>
      </c>
      <c r="M385" s="7"/>
      <c r="N385" s="7"/>
    </row>
    <row r="386" spans="1:22" x14ac:dyDescent="0.2">
      <c r="A386" s="2" t="str">
        <f t="shared" si="14"/>
        <v>2_2</v>
      </c>
      <c r="B386" s="2">
        <v>2</v>
      </c>
      <c r="C386" s="2">
        <v>2</v>
      </c>
      <c r="D386" s="82">
        <v>8</v>
      </c>
      <c r="E386" s="7"/>
      <c r="F386" s="7">
        <v>12.5</v>
      </c>
      <c r="G386" s="7" t="s">
        <v>594</v>
      </c>
      <c r="H386" s="7" t="s">
        <v>591</v>
      </c>
      <c r="I386" s="7" t="s">
        <v>1964</v>
      </c>
      <c r="J386" s="7"/>
      <c r="K386" s="7">
        <v>2</v>
      </c>
      <c r="L386" s="7">
        <v>2</v>
      </c>
      <c r="M386" s="7">
        <v>2</v>
      </c>
      <c r="N386" s="7"/>
      <c r="U386" s="3"/>
      <c r="V386" s="3"/>
    </row>
    <row r="387" spans="1:22" x14ac:dyDescent="0.2">
      <c r="A387" s="2" t="str">
        <f t="shared" si="14"/>
        <v>2_3</v>
      </c>
      <c r="B387" s="2">
        <v>2</v>
      </c>
      <c r="C387" s="2">
        <v>3</v>
      </c>
      <c r="D387" s="82">
        <v>10</v>
      </c>
      <c r="E387" s="7"/>
      <c r="F387" s="7">
        <v>15</v>
      </c>
      <c r="G387" s="7" t="s">
        <v>594</v>
      </c>
      <c r="H387" s="7" t="s">
        <v>592</v>
      </c>
      <c r="I387" s="7" t="s">
        <v>1964</v>
      </c>
      <c r="J387" s="7"/>
      <c r="K387" s="7">
        <v>1</v>
      </c>
      <c r="L387" s="7">
        <v>1</v>
      </c>
      <c r="M387" s="7">
        <v>1</v>
      </c>
      <c r="N387" s="7"/>
    </row>
    <row r="388" spans="1:22" x14ac:dyDescent="0.2">
      <c r="A388" s="2" t="str">
        <f t="shared" si="14"/>
        <v>2_4</v>
      </c>
      <c r="B388" s="2">
        <v>2</v>
      </c>
      <c r="C388" s="2">
        <v>4</v>
      </c>
      <c r="D388" s="82">
        <v>15</v>
      </c>
      <c r="E388" s="7"/>
      <c r="F388" s="7">
        <v>17.5</v>
      </c>
      <c r="G388" s="7" t="s">
        <v>594</v>
      </c>
      <c r="H388" s="7" t="s">
        <v>592</v>
      </c>
      <c r="I388" s="7" t="s">
        <v>591</v>
      </c>
      <c r="J388" s="7" t="s">
        <v>1964</v>
      </c>
      <c r="K388" s="7">
        <v>1</v>
      </c>
      <c r="L388" s="7">
        <v>1</v>
      </c>
      <c r="M388" s="7">
        <v>2</v>
      </c>
      <c r="N388" s="7">
        <v>1</v>
      </c>
    </row>
    <row r="389" spans="1:22" x14ac:dyDescent="0.2">
      <c r="A389" s="2" t="str">
        <f t="shared" si="14"/>
        <v>2_5</v>
      </c>
      <c r="B389" s="2">
        <v>2</v>
      </c>
      <c r="C389" s="2">
        <v>5</v>
      </c>
      <c r="D389" s="82">
        <v>25</v>
      </c>
      <c r="E389" s="7"/>
      <c r="F389" s="7">
        <v>20</v>
      </c>
      <c r="G389" s="7" t="s">
        <v>594</v>
      </c>
      <c r="H389" s="7" t="s">
        <v>592</v>
      </c>
      <c r="I389" s="7" t="s">
        <v>591</v>
      </c>
      <c r="J389" s="7" t="s">
        <v>1964</v>
      </c>
      <c r="K389" s="7">
        <v>1</v>
      </c>
      <c r="L389" s="7">
        <v>0.5</v>
      </c>
      <c r="M389" s="7">
        <v>1</v>
      </c>
      <c r="N389" s="7">
        <v>1</v>
      </c>
    </row>
    <row r="390" spans="1:22" x14ac:dyDescent="0.2">
      <c r="A390" s="2" t="str">
        <f t="shared" si="14"/>
        <v>3_1</v>
      </c>
      <c r="B390" s="2">
        <v>3</v>
      </c>
      <c r="C390" s="2">
        <v>1</v>
      </c>
      <c r="D390" s="82">
        <v>6</v>
      </c>
      <c r="E390" s="7"/>
      <c r="F390" s="7">
        <v>10</v>
      </c>
      <c r="G390" s="7" t="s">
        <v>597</v>
      </c>
      <c r="H390" s="7" t="s">
        <v>870</v>
      </c>
      <c r="I390" s="7"/>
      <c r="J390" s="7"/>
      <c r="K390" s="7">
        <v>2</v>
      </c>
      <c r="L390" s="7">
        <v>2</v>
      </c>
      <c r="M390" s="7"/>
      <c r="N390" s="7"/>
      <c r="U390" s="126"/>
    </row>
    <row r="391" spans="1:22" x14ac:dyDescent="0.2">
      <c r="A391" s="2" t="str">
        <f t="shared" si="14"/>
        <v>3_2</v>
      </c>
      <c r="B391" s="2">
        <v>3</v>
      </c>
      <c r="C391" s="2">
        <v>2</v>
      </c>
      <c r="D391" s="82">
        <v>7.5</v>
      </c>
      <c r="E391" s="7"/>
      <c r="F391" s="7">
        <v>12.5</v>
      </c>
      <c r="G391" s="7" t="s">
        <v>597</v>
      </c>
      <c r="H391" s="7" t="s">
        <v>591</v>
      </c>
      <c r="I391" s="7" t="s">
        <v>870</v>
      </c>
      <c r="J391" s="7"/>
      <c r="K391" s="7">
        <v>2</v>
      </c>
      <c r="L391" s="7">
        <v>2</v>
      </c>
      <c r="M391" s="7">
        <v>2</v>
      </c>
      <c r="N391" s="7"/>
    </row>
    <row r="392" spans="1:22" x14ac:dyDescent="0.2">
      <c r="A392" s="2" t="str">
        <f t="shared" si="14"/>
        <v>3_3</v>
      </c>
      <c r="B392" s="2">
        <v>3</v>
      </c>
      <c r="C392" s="2">
        <v>3</v>
      </c>
      <c r="D392" s="82">
        <v>9</v>
      </c>
      <c r="E392" s="7"/>
      <c r="F392" s="7">
        <v>15</v>
      </c>
      <c r="G392" s="7" t="s">
        <v>597</v>
      </c>
      <c r="H392" s="7" t="s">
        <v>592</v>
      </c>
      <c r="I392" s="7" t="s">
        <v>870</v>
      </c>
      <c r="J392" s="7"/>
      <c r="K392" s="7">
        <v>2</v>
      </c>
      <c r="L392" s="7">
        <v>1</v>
      </c>
      <c r="M392" s="7">
        <v>2</v>
      </c>
      <c r="N392" s="7"/>
    </row>
    <row r="393" spans="1:22" x14ac:dyDescent="0.2">
      <c r="A393" s="2" t="str">
        <f t="shared" si="14"/>
        <v>4_1</v>
      </c>
      <c r="B393" s="2">
        <v>4</v>
      </c>
      <c r="C393" s="2">
        <v>1</v>
      </c>
      <c r="D393" s="82">
        <v>7.5</v>
      </c>
      <c r="E393" s="7"/>
      <c r="F393" s="7">
        <v>10</v>
      </c>
      <c r="G393" s="7" t="s">
        <v>600</v>
      </c>
      <c r="H393" s="7" t="s">
        <v>870</v>
      </c>
      <c r="I393" s="7"/>
      <c r="J393" s="7"/>
      <c r="K393" s="7">
        <v>1.5</v>
      </c>
      <c r="L393" s="7">
        <v>2</v>
      </c>
      <c r="M393" s="7"/>
      <c r="N393" s="7"/>
    </row>
    <row r="394" spans="1:22" x14ac:dyDescent="0.2">
      <c r="A394" s="2" t="str">
        <f t="shared" si="14"/>
        <v>4_2</v>
      </c>
      <c r="B394" s="2">
        <v>4</v>
      </c>
      <c r="C394" s="2">
        <v>2</v>
      </c>
      <c r="D394" s="82">
        <v>17</v>
      </c>
      <c r="E394" s="7"/>
      <c r="F394" s="7">
        <v>12.5</v>
      </c>
      <c r="G394" s="7" t="s">
        <v>600</v>
      </c>
      <c r="H394" s="7" t="s">
        <v>591</v>
      </c>
      <c r="I394" s="7" t="s">
        <v>870</v>
      </c>
      <c r="J394" s="7"/>
      <c r="K394" s="7">
        <v>1.5</v>
      </c>
      <c r="L394" s="7">
        <v>0.5</v>
      </c>
      <c r="M394" s="7">
        <v>2</v>
      </c>
      <c r="N394" s="7"/>
    </row>
    <row r="395" spans="1:22" x14ac:dyDescent="0.2">
      <c r="A395" s="2" t="str">
        <f t="shared" si="14"/>
        <v>4_3</v>
      </c>
      <c r="B395" s="2">
        <v>4</v>
      </c>
      <c r="C395" s="2">
        <v>3</v>
      </c>
      <c r="D395" s="82">
        <v>8</v>
      </c>
      <c r="E395" s="7"/>
      <c r="F395" s="7">
        <v>15</v>
      </c>
      <c r="G395" s="7" t="s">
        <v>600</v>
      </c>
      <c r="H395" s="7" t="s">
        <v>592</v>
      </c>
      <c r="I395" s="7" t="s">
        <v>870</v>
      </c>
      <c r="J395" s="7"/>
      <c r="K395" s="7">
        <v>1.5</v>
      </c>
      <c r="L395" s="7">
        <v>0.5</v>
      </c>
      <c r="M395" s="7">
        <v>2</v>
      </c>
      <c r="N395" s="7"/>
    </row>
    <row r="396" spans="1:22" x14ac:dyDescent="0.2">
      <c r="A396" s="2" t="str">
        <f t="shared" si="14"/>
        <v>4_4</v>
      </c>
      <c r="B396" s="2">
        <v>4</v>
      </c>
      <c r="C396" s="2">
        <v>4</v>
      </c>
      <c r="D396" s="82">
        <v>21</v>
      </c>
      <c r="E396" s="7"/>
      <c r="F396" s="7">
        <v>17.5</v>
      </c>
      <c r="G396" s="7" t="s">
        <v>600</v>
      </c>
      <c r="H396" s="7" t="s">
        <v>594</v>
      </c>
      <c r="I396" s="7" t="s">
        <v>870</v>
      </c>
      <c r="J396" s="7"/>
      <c r="K396" s="7">
        <v>1.5</v>
      </c>
      <c r="L396" s="7">
        <v>0.4</v>
      </c>
      <c r="M396" s="7">
        <v>1</v>
      </c>
      <c r="N396" s="7"/>
    </row>
    <row r="397" spans="1:22" x14ac:dyDescent="0.2">
      <c r="A397" s="2" t="str">
        <f t="shared" si="14"/>
        <v>4_5</v>
      </c>
      <c r="B397" s="2">
        <v>4</v>
      </c>
      <c r="C397" s="2">
        <v>5</v>
      </c>
      <c r="D397" s="82">
        <v>22</v>
      </c>
      <c r="E397" s="7"/>
      <c r="F397" s="7">
        <v>20</v>
      </c>
      <c r="G397" s="7" t="s">
        <v>600</v>
      </c>
      <c r="H397" s="7" t="s">
        <v>597</v>
      </c>
      <c r="I397" s="7" t="s">
        <v>870</v>
      </c>
      <c r="J397" s="7"/>
      <c r="K397" s="7">
        <v>0.5</v>
      </c>
      <c r="L397" s="7">
        <v>2</v>
      </c>
      <c r="M397" s="7">
        <v>1</v>
      </c>
      <c r="N397" s="7"/>
    </row>
    <row r="398" spans="1:22" x14ac:dyDescent="0.2">
      <c r="A398" s="2" t="str">
        <f t="shared" si="14"/>
        <v>5_1</v>
      </c>
      <c r="B398" s="2">
        <v>5</v>
      </c>
      <c r="C398" s="2">
        <v>1</v>
      </c>
      <c r="D398" s="82">
        <v>15</v>
      </c>
      <c r="E398" s="7"/>
      <c r="F398" s="7">
        <v>10</v>
      </c>
      <c r="G398" s="7" t="s">
        <v>604</v>
      </c>
      <c r="H398" s="7" t="s">
        <v>870</v>
      </c>
      <c r="I398" s="7"/>
      <c r="J398" s="7"/>
      <c r="K398" s="7">
        <v>1.5</v>
      </c>
      <c r="L398" s="7">
        <v>2</v>
      </c>
      <c r="M398" s="7"/>
      <c r="N398" s="7"/>
    </row>
    <row r="399" spans="1:22" x14ac:dyDescent="0.2">
      <c r="A399" s="2" t="str">
        <f t="shared" si="14"/>
        <v>5_2</v>
      </c>
      <c r="B399" s="2">
        <v>5</v>
      </c>
      <c r="C399" s="2">
        <v>2</v>
      </c>
      <c r="D399" s="82">
        <v>15</v>
      </c>
      <c r="E399" s="7"/>
      <c r="F399" s="7">
        <v>12.5</v>
      </c>
      <c r="G399" s="7" t="s">
        <v>604</v>
      </c>
      <c r="H399" s="7" t="s">
        <v>592</v>
      </c>
      <c r="I399" s="7" t="s">
        <v>870</v>
      </c>
      <c r="J399" s="7"/>
      <c r="K399" s="7">
        <v>1.5</v>
      </c>
      <c r="L399" s="7">
        <v>0.5</v>
      </c>
      <c r="M399" s="7">
        <v>2</v>
      </c>
      <c r="N399" s="7"/>
    </row>
    <row r="400" spans="1:22" x14ac:dyDescent="0.2">
      <c r="A400" s="2" t="str">
        <f t="shared" si="14"/>
        <v>5_3</v>
      </c>
      <c r="B400" s="2">
        <v>5</v>
      </c>
      <c r="C400" s="2">
        <v>3</v>
      </c>
      <c r="D400" s="82">
        <v>18</v>
      </c>
      <c r="E400" s="7"/>
      <c r="F400" s="7">
        <v>15</v>
      </c>
      <c r="G400" s="7" t="s">
        <v>604</v>
      </c>
      <c r="H400" s="7" t="s">
        <v>594</v>
      </c>
      <c r="I400" s="7" t="s">
        <v>600</v>
      </c>
      <c r="J400" s="7" t="s">
        <v>870</v>
      </c>
      <c r="K400" s="7">
        <v>1.5</v>
      </c>
      <c r="L400" s="7">
        <v>0.4</v>
      </c>
      <c r="M400" s="7">
        <v>1.5</v>
      </c>
      <c r="N400" s="7">
        <v>2</v>
      </c>
    </row>
    <row r="401" spans="1:22" x14ac:dyDescent="0.2">
      <c r="A401" s="2" t="str">
        <f t="shared" si="14"/>
        <v>5_4</v>
      </c>
      <c r="B401" s="2">
        <v>5</v>
      </c>
      <c r="C401" s="2">
        <v>4</v>
      </c>
      <c r="D401" s="82">
        <v>20</v>
      </c>
      <c r="E401" s="7"/>
      <c r="F401" s="7">
        <v>17.5</v>
      </c>
      <c r="G401" s="7" t="s">
        <v>604</v>
      </c>
      <c r="H401" s="7" t="s">
        <v>600</v>
      </c>
      <c r="I401" s="7" t="s">
        <v>870</v>
      </c>
      <c r="J401" s="7"/>
      <c r="K401" s="7">
        <v>1.5</v>
      </c>
      <c r="L401" s="7">
        <v>0.5</v>
      </c>
      <c r="M401" s="7">
        <v>2</v>
      </c>
      <c r="N401" s="7"/>
    </row>
    <row r="402" spans="1:22" x14ac:dyDescent="0.2">
      <c r="A402" s="2" t="str">
        <f t="shared" si="14"/>
        <v>5_5</v>
      </c>
      <c r="B402" s="2">
        <v>5</v>
      </c>
      <c r="C402" s="2">
        <v>5</v>
      </c>
      <c r="D402" s="82">
        <v>20</v>
      </c>
      <c r="E402" s="7"/>
      <c r="F402" s="7">
        <v>20</v>
      </c>
      <c r="G402" s="7" t="s">
        <v>604</v>
      </c>
      <c r="H402" s="7" t="s">
        <v>600</v>
      </c>
      <c r="I402" s="7" t="s">
        <v>597</v>
      </c>
      <c r="J402" s="7" t="s">
        <v>870</v>
      </c>
      <c r="K402" s="7">
        <v>1.5</v>
      </c>
      <c r="L402" s="7">
        <v>0.5</v>
      </c>
      <c r="M402" s="7">
        <v>2</v>
      </c>
      <c r="N402" s="7">
        <v>1</v>
      </c>
    </row>
    <row r="403" spans="1:22" x14ac:dyDescent="0.2">
      <c r="A403" s="2" t="str">
        <f t="shared" ref="A403:A405" si="15">B403&amp;"_"&amp;C403</f>
        <v>5_6</v>
      </c>
      <c r="B403" s="2">
        <v>5</v>
      </c>
      <c r="C403" s="2">
        <v>6</v>
      </c>
      <c r="D403" s="82">
        <v>30</v>
      </c>
      <c r="E403" s="7"/>
      <c r="F403" s="7">
        <v>22.5</v>
      </c>
      <c r="G403" s="7" t="s">
        <v>604</v>
      </c>
      <c r="H403" s="7" t="s">
        <v>601</v>
      </c>
      <c r="I403" s="7" t="s">
        <v>598</v>
      </c>
      <c r="J403" s="7" t="s">
        <v>870</v>
      </c>
      <c r="K403" s="7">
        <v>1.5</v>
      </c>
      <c r="L403" s="7">
        <v>2</v>
      </c>
      <c r="M403" s="7">
        <v>1.5</v>
      </c>
      <c r="N403" s="7">
        <v>1</v>
      </c>
    </row>
    <row r="404" spans="1:22" x14ac:dyDescent="0.2">
      <c r="A404" s="2" t="str">
        <f t="shared" si="15"/>
        <v>5_7</v>
      </c>
      <c r="B404" s="2">
        <v>5</v>
      </c>
      <c r="C404" s="2">
        <v>7</v>
      </c>
      <c r="D404" s="82">
        <v>45</v>
      </c>
      <c r="E404" s="7"/>
      <c r="F404" s="7">
        <v>25</v>
      </c>
      <c r="G404" s="7" t="s">
        <v>604</v>
      </c>
      <c r="H404" s="7" t="s">
        <v>606</v>
      </c>
      <c r="I404" s="7" t="s">
        <v>595</v>
      </c>
      <c r="J404" s="7" t="s">
        <v>870</v>
      </c>
      <c r="K404" s="7">
        <v>1</v>
      </c>
      <c r="L404" s="7">
        <v>1</v>
      </c>
      <c r="M404" s="7">
        <v>0.5</v>
      </c>
      <c r="N404" s="7">
        <v>1</v>
      </c>
    </row>
    <row r="405" spans="1:22" x14ac:dyDescent="0.2">
      <c r="A405" s="2" t="str">
        <f t="shared" si="15"/>
        <v>5_8</v>
      </c>
      <c r="B405" s="2">
        <v>5</v>
      </c>
      <c r="C405" s="2">
        <v>8</v>
      </c>
      <c r="D405" s="82">
        <v>42</v>
      </c>
      <c r="E405" s="7"/>
      <c r="F405" s="7">
        <v>27.5</v>
      </c>
      <c r="G405" s="7" t="s">
        <v>605</v>
      </c>
      <c r="H405" s="7" t="s">
        <v>606</v>
      </c>
      <c r="I405" s="7" t="s">
        <v>601</v>
      </c>
      <c r="J405" s="7" t="s">
        <v>871</v>
      </c>
      <c r="K405" s="7">
        <v>0</v>
      </c>
      <c r="L405" s="7">
        <v>0.5</v>
      </c>
      <c r="M405" s="7">
        <v>2</v>
      </c>
      <c r="N405" s="7">
        <v>3</v>
      </c>
    </row>
    <row r="407" spans="1:22" x14ac:dyDescent="0.2">
      <c r="A407" s="5" t="s">
        <v>1974</v>
      </c>
      <c r="E407" s="5"/>
    </row>
    <row r="408" spans="1:22" x14ac:dyDescent="0.2">
      <c r="A408" s="8" t="s">
        <v>665</v>
      </c>
      <c r="B408" s="8" t="s">
        <v>62</v>
      </c>
      <c r="C408" s="8" t="s">
        <v>380</v>
      </c>
      <c r="D408" s="8" t="s">
        <v>381</v>
      </c>
      <c r="E408" s="8" t="s">
        <v>391</v>
      </c>
      <c r="F408" s="8" t="s">
        <v>662</v>
      </c>
      <c r="G408" s="182" t="s">
        <v>26</v>
      </c>
      <c r="H408" s="183"/>
      <c r="I408" s="183"/>
      <c r="J408" s="184"/>
      <c r="K408" s="182" t="s">
        <v>663</v>
      </c>
      <c r="L408" s="183"/>
      <c r="M408" s="183"/>
      <c r="N408" s="184"/>
      <c r="Q408" s="68"/>
    </row>
    <row r="409" spans="1:22" x14ac:dyDescent="0.2">
      <c r="A409" s="2" t="str">
        <f t="shared" ref="A409:A432" si="16">B409&amp;"_"&amp;C409</f>
        <v>1_1</v>
      </c>
      <c r="B409" s="2">
        <v>1</v>
      </c>
      <c r="C409" s="2">
        <v>1</v>
      </c>
      <c r="D409" s="82">
        <v>3.5</v>
      </c>
      <c r="E409" s="7"/>
      <c r="F409" s="7">
        <v>10</v>
      </c>
      <c r="G409" s="7" t="s">
        <v>590</v>
      </c>
      <c r="H409" s="7" t="s">
        <v>1965</v>
      </c>
      <c r="I409" s="7"/>
      <c r="J409" s="7"/>
      <c r="K409" s="7">
        <v>2</v>
      </c>
      <c r="L409" s="7">
        <v>6</v>
      </c>
      <c r="M409" s="7"/>
      <c r="N409" s="7"/>
    </row>
    <row r="410" spans="1:22" x14ac:dyDescent="0.2">
      <c r="A410" s="2" t="str">
        <f t="shared" si="16"/>
        <v>1_2</v>
      </c>
      <c r="B410" s="2">
        <v>1</v>
      </c>
      <c r="C410" s="2">
        <v>2</v>
      </c>
      <c r="D410" s="82">
        <v>3.5</v>
      </c>
      <c r="E410" s="7"/>
      <c r="F410" s="7">
        <v>12.5</v>
      </c>
      <c r="G410" s="7" t="s">
        <v>590</v>
      </c>
      <c r="H410" s="7" t="s">
        <v>1965</v>
      </c>
      <c r="I410" s="7"/>
      <c r="J410" s="7"/>
      <c r="K410" s="7">
        <v>0.5</v>
      </c>
      <c r="L410" s="7">
        <v>6</v>
      </c>
      <c r="M410" s="7"/>
      <c r="N410" s="7"/>
    </row>
    <row r="411" spans="1:22" x14ac:dyDescent="0.2">
      <c r="A411" s="2" t="str">
        <f t="shared" si="16"/>
        <v>1_3</v>
      </c>
      <c r="B411" s="2">
        <v>1</v>
      </c>
      <c r="C411" s="2">
        <v>3</v>
      </c>
      <c r="D411" s="82">
        <v>4.5</v>
      </c>
      <c r="E411" s="7"/>
      <c r="F411" s="7">
        <v>15</v>
      </c>
      <c r="G411" s="7" t="s">
        <v>590</v>
      </c>
      <c r="H411" s="7" t="s">
        <v>591</v>
      </c>
      <c r="I411" s="7" t="s">
        <v>1965</v>
      </c>
      <c r="J411" s="7"/>
      <c r="K411" s="7">
        <v>0.5</v>
      </c>
      <c r="L411" s="7">
        <v>3</v>
      </c>
      <c r="M411" s="7">
        <v>6</v>
      </c>
      <c r="N411" s="7"/>
      <c r="U411" s="3"/>
      <c r="V411" s="3"/>
    </row>
    <row r="412" spans="1:22" x14ac:dyDescent="0.2">
      <c r="A412" s="2" t="str">
        <f t="shared" si="16"/>
        <v>2_1</v>
      </c>
      <c r="B412" s="2">
        <v>2</v>
      </c>
      <c r="C412" s="2">
        <v>1</v>
      </c>
      <c r="D412" s="82">
        <v>4</v>
      </c>
      <c r="E412" s="7"/>
      <c r="F412" s="7">
        <v>10</v>
      </c>
      <c r="G412" s="7" t="s">
        <v>594</v>
      </c>
      <c r="H412" s="7" t="s">
        <v>1965</v>
      </c>
      <c r="I412" s="7"/>
      <c r="J412" s="7"/>
      <c r="K412" s="7">
        <v>2</v>
      </c>
      <c r="L412" s="7">
        <v>6</v>
      </c>
      <c r="M412" s="7"/>
      <c r="N412" s="7"/>
      <c r="Q412" s="68"/>
    </row>
    <row r="413" spans="1:22" x14ac:dyDescent="0.2">
      <c r="A413" s="2" t="str">
        <f t="shared" si="16"/>
        <v>2_2</v>
      </c>
      <c r="B413" s="2">
        <v>2</v>
      </c>
      <c r="C413" s="2">
        <v>2</v>
      </c>
      <c r="D413" s="82">
        <v>4</v>
      </c>
      <c r="E413" s="7"/>
      <c r="F413" s="7">
        <v>12.5</v>
      </c>
      <c r="G413" s="7" t="s">
        <v>594</v>
      </c>
      <c r="H413" s="7" t="s">
        <v>591</v>
      </c>
      <c r="I413" s="7" t="s">
        <v>1965</v>
      </c>
      <c r="J413" s="7"/>
      <c r="K413" s="7">
        <v>2</v>
      </c>
      <c r="L413" s="7">
        <v>2</v>
      </c>
      <c r="M413" s="7">
        <v>6</v>
      </c>
      <c r="N413" s="7"/>
      <c r="U413" s="3"/>
      <c r="V413" s="3"/>
    </row>
    <row r="414" spans="1:22" x14ac:dyDescent="0.2">
      <c r="A414" s="2" t="str">
        <f t="shared" si="16"/>
        <v>2_3</v>
      </c>
      <c r="B414" s="2">
        <v>2</v>
      </c>
      <c r="C414" s="2">
        <v>3</v>
      </c>
      <c r="D414" s="82">
        <v>4</v>
      </c>
      <c r="E414" s="7"/>
      <c r="F414" s="7">
        <v>15</v>
      </c>
      <c r="G414" s="7" t="s">
        <v>594</v>
      </c>
      <c r="H414" s="7" t="s">
        <v>592</v>
      </c>
      <c r="I414" s="7" t="s">
        <v>1965</v>
      </c>
      <c r="J414" s="7"/>
      <c r="K414" s="7">
        <v>1</v>
      </c>
      <c r="L414" s="7">
        <v>1</v>
      </c>
      <c r="M414" s="7">
        <v>6</v>
      </c>
      <c r="N414" s="7"/>
    </row>
    <row r="415" spans="1:22" x14ac:dyDescent="0.2">
      <c r="A415" s="2" t="str">
        <f t="shared" si="16"/>
        <v>2_4</v>
      </c>
      <c r="B415" s="2">
        <v>2</v>
      </c>
      <c r="C415" s="2">
        <v>4</v>
      </c>
      <c r="D415" s="82">
        <v>6</v>
      </c>
      <c r="E415" s="7"/>
      <c r="F415" s="7">
        <v>17.5</v>
      </c>
      <c r="G415" s="7" t="s">
        <v>594</v>
      </c>
      <c r="H415" s="7" t="s">
        <v>592</v>
      </c>
      <c r="I415" s="7" t="s">
        <v>591</v>
      </c>
      <c r="J415" s="7" t="s">
        <v>1965</v>
      </c>
      <c r="K415" s="7">
        <v>1</v>
      </c>
      <c r="L415" s="7">
        <v>1</v>
      </c>
      <c r="M415" s="7">
        <v>2</v>
      </c>
      <c r="N415" s="7">
        <v>4</v>
      </c>
    </row>
    <row r="416" spans="1:22" x14ac:dyDescent="0.2">
      <c r="A416" s="2" t="str">
        <f t="shared" si="16"/>
        <v>2_5</v>
      </c>
      <c r="B416" s="2">
        <v>2</v>
      </c>
      <c r="C416" s="2">
        <v>5</v>
      </c>
      <c r="D416" s="82">
        <v>9</v>
      </c>
      <c r="E416" s="7"/>
      <c r="F416" s="7">
        <v>20</v>
      </c>
      <c r="G416" s="7" t="s">
        <v>594</v>
      </c>
      <c r="H416" s="7" t="s">
        <v>592</v>
      </c>
      <c r="I416" s="7" t="s">
        <v>591</v>
      </c>
      <c r="J416" s="7" t="s">
        <v>1965</v>
      </c>
      <c r="K416" s="7">
        <v>1</v>
      </c>
      <c r="L416" s="7">
        <v>0.5</v>
      </c>
      <c r="M416" s="7">
        <v>1</v>
      </c>
      <c r="N416" s="7">
        <v>4</v>
      </c>
    </row>
    <row r="417" spans="1:21" x14ac:dyDescent="0.2">
      <c r="A417" s="2" t="str">
        <f t="shared" si="16"/>
        <v>3_1</v>
      </c>
      <c r="B417" s="2">
        <v>3</v>
      </c>
      <c r="C417" s="2">
        <v>1</v>
      </c>
      <c r="D417" s="82">
        <v>5.5</v>
      </c>
      <c r="E417" s="7"/>
      <c r="F417" s="7">
        <v>10</v>
      </c>
      <c r="G417" s="7" t="s">
        <v>597</v>
      </c>
      <c r="H417" s="7" t="s">
        <v>1966</v>
      </c>
      <c r="I417" s="7"/>
      <c r="J417" s="7"/>
      <c r="K417" s="7">
        <v>2</v>
      </c>
      <c r="L417" s="7">
        <v>6</v>
      </c>
      <c r="M417" s="7"/>
      <c r="N417" s="7"/>
      <c r="U417" s="126"/>
    </row>
    <row r="418" spans="1:21" x14ac:dyDescent="0.2">
      <c r="A418" s="2" t="str">
        <f t="shared" si="16"/>
        <v>3_2</v>
      </c>
      <c r="B418" s="2">
        <v>3</v>
      </c>
      <c r="C418" s="2">
        <v>2</v>
      </c>
      <c r="D418" s="82">
        <v>5.5</v>
      </c>
      <c r="E418" s="7"/>
      <c r="F418" s="7">
        <v>12.5</v>
      </c>
      <c r="G418" s="7" t="s">
        <v>597</v>
      </c>
      <c r="H418" s="7" t="s">
        <v>591</v>
      </c>
      <c r="I418" s="7" t="s">
        <v>1966</v>
      </c>
      <c r="J418" s="7"/>
      <c r="K418" s="7">
        <v>2</v>
      </c>
      <c r="L418" s="7">
        <v>2</v>
      </c>
      <c r="M418" s="7">
        <v>6</v>
      </c>
      <c r="N418" s="7"/>
    </row>
    <row r="419" spans="1:21" x14ac:dyDescent="0.2">
      <c r="A419" s="2" t="str">
        <f t="shared" si="16"/>
        <v>3_3</v>
      </c>
      <c r="B419" s="2">
        <v>3</v>
      </c>
      <c r="C419" s="2">
        <v>3</v>
      </c>
      <c r="D419" s="82">
        <v>6.25</v>
      </c>
      <c r="E419" s="7"/>
      <c r="F419" s="7">
        <v>15</v>
      </c>
      <c r="G419" s="7" t="s">
        <v>597</v>
      </c>
      <c r="H419" s="7" t="s">
        <v>592</v>
      </c>
      <c r="I419" s="7" t="s">
        <v>1966</v>
      </c>
      <c r="J419" s="7"/>
      <c r="K419" s="7">
        <v>2</v>
      </c>
      <c r="L419" s="7">
        <v>1</v>
      </c>
      <c r="M419" s="7">
        <v>4</v>
      </c>
      <c r="N419" s="7"/>
    </row>
    <row r="420" spans="1:21" x14ac:dyDescent="0.2">
      <c r="A420" s="2" t="str">
        <f t="shared" si="16"/>
        <v>4_1</v>
      </c>
      <c r="B420" s="2">
        <v>4</v>
      </c>
      <c r="C420" s="2">
        <v>1</v>
      </c>
      <c r="D420" s="82">
        <v>10.5</v>
      </c>
      <c r="E420" s="7"/>
      <c r="F420" s="7">
        <v>10</v>
      </c>
      <c r="G420" s="7" t="s">
        <v>600</v>
      </c>
      <c r="H420" s="7" t="s">
        <v>1966</v>
      </c>
      <c r="I420" s="7"/>
      <c r="J420" s="7"/>
      <c r="K420" s="7">
        <v>1.5</v>
      </c>
      <c r="L420" s="7">
        <v>6</v>
      </c>
      <c r="M420" s="7"/>
      <c r="N420" s="7"/>
    </row>
    <row r="421" spans="1:21" x14ac:dyDescent="0.2">
      <c r="A421" s="2" t="str">
        <f t="shared" si="16"/>
        <v>4_2</v>
      </c>
      <c r="B421" s="2">
        <v>4</v>
      </c>
      <c r="C421" s="2">
        <v>2</v>
      </c>
      <c r="D421" s="82">
        <v>18</v>
      </c>
      <c r="E421" s="7"/>
      <c r="F421" s="7">
        <v>12.5</v>
      </c>
      <c r="G421" s="7" t="s">
        <v>600</v>
      </c>
      <c r="H421" s="7" t="s">
        <v>591</v>
      </c>
      <c r="I421" s="7" t="s">
        <v>1966</v>
      </c>
      <c r="J421" s="7"/>
      <c r="K421" s="7">
        <v>1.5</v>
      </c>
      <c r="L421" s="7">
        <v>0.5</v>
      </c>
      <c r="M421" s="7">
        <v>6</v>
      </c>
      <c r="N421" s="7"/>
    </row>
    <row r="422" spans="1:21" x14ac:dyDescent="0.2">
      <c r="A422" s="2" t="str">
        <f t="shared" si="16"/>
        <v>4_3</v>
      </c>
      <c r="B422" s="2">
        <v>4</v>
      </c>
      <c r="C422" s="2">
        <v>3</v>
      </c>
      <c r="D422" s="82">
        <v>10.5</v>
      </c>
      <c r="E422" s="7"/>
      <c r="F422" s="7">
        <v>15</v>
      </c>
      <c r="G422" s="7" t="s">
        <v>600</v>
      </c>
      <c r="H422" s="7" t="s">
        <v>592</v>
      </c>
      <c r="I422" s="7" t="s">
        <v>1966</v>
      </c>
      <c r="J422" s="7"/>
      <c r="K422" s="7">
        <v>1.5</v>
      </c>
      <c r="L422" s="7">
        <v>0.5</v>
      </c>
      <c r="M422" s="7">
        <v>6</v>
      </c>
      <c r="N422" s="7"/>
    </row>
    <row r="423" spans="1:21" x14ac:dyDescent="0.2">
      <c r="A423" s="2" t="str">
        <f t="shared" si="16"/>
        <v>4_4</v>
      </c>
      <c r="B423" s="2">
        <v>4</v>
      </c>
      <c r="C423" s="2">
        <v>4</v>
      </c>
      <c r="D423" s="82">
        <v>19.5</v>
      </c>
      <c r="E423" s="7"/>
      <c r="F423" s="7">
        <v>17.5</v>
      </c>
      <c r="G423" s="7" t="s">
        <v>600</v>
      </c>
      <c r="H423" s="7" t="s">
        <v>594</v>
      </c>
      <c r="I423" s="7" t="s">
        <v>1966</v>
      </c>
      <c r="J423" s="7"/>
      <c r="K423" s="7">
        <v>1.5</v>
      </c>
      <c r="L423" s="7">
        <v>0.4</v>
      </c>
      <c r="M423" s="7">
        <v>4</v>
      </c>
      <c r="N423" s="7"/>
    </row>
    <row r="424" spans="1:21" x14ac:dyDescent="0.2">
      <c r="A424" s="2" t="str">
        <f t="shared" si="16"/>
        <v>4_5</v>
      </c>
      <c r="B424" s="2">
        <v>4</v>
      </c>
      <c r="C424" s="2">
        <v>5</v>
      </c>
      <c r="D424" s="82">
        <v>20</v>
      </c>
      <c r="E424" s="7"/>
      <c r="F424" s="7">
        <v>20</v>
      </c>
      <c r="G424" s="7" t="s">
        <v>600</v>
      </c>
      <c r="H424" s="7" t="s">
        <v>597</v>
      </c>
      <c r="I424" s="7" t="s">
        <v>1966</v>
      </c>
      <c r="J424" s="7"/>
      <c r="K424" s="7">
        <v>0.5</v>
      </c>
      <c r="L424" s="7">
        <v>2</v>
      </c>
      <c r="M424" s="7">
        <v>4</v>
      </c>
      <c r="N424" s="7"/>
    </row>
    <row r="425" spans="1:21" x14ac:dyDescent="0.2">
      <c r="A425" s="2" t="str">
        <f t="shared" si="16"/>
        <v>5_1</v>
      </c>
      <c r="B425" s="2">
        <v>5</v>
      </c>
      <c r="C425" s="2">
        <v>1</v>
      </c>
      <c r="D425" s="82">
        <v>12.65625</v>
      </c>
      <c r="E425" s="7"/>
      <c r="F425" s="7">
        <v>10</v>
      </c>
      <c r="G425" s="7" t="s">
        <v>604</v>
      </c>
      <c r="H425" s="7" t="s">
        <v>1966</v>
      </c>
      <c r="I425" s="7"/>
      <c r="J425" s="7"/>
      <c r="K425" s="7">
        <v>1.5</v>
      </c>
      <c r="L425" s="7">
        <v>6</v>
      </c>
      <c r="M425" s="7"/>
      <c r="N425" s="7"/>
    </row>
    <row r="426" spans="1:21" x14ac:dyDescent="0.2">
      <c r="A426" s="2" t="str">
        <f t="shared" si="16"/>
        <v>5_2</v>
      </c>
      <c r="B426" s="2">
        <v>5</v>
      </c>
      <c r="C426" s="2">
        <v>2</v>
      </c>
      <c r="D426" s="82">
        <v>12.65625</v>
      </c>
      <c r="E426" s="7"/>
      <c r="F426" s="7">
        <v>12.5</v>
      </c>
      <c r="G426" s="7" t="s">
        <v>604</v>
      </c>
      <c r="H426" s="7" t="s">
        <v>592</v>
      </c>
      <c r="I426" s="7" t="s">
        <v>1966</v>
      </c>
      <c r="J426" s="7"/>
      <c r="K426" s="7">
        <v>1.5</v>
      </c>
      <c r="L426" s="7">
        <v>0.5</v>
      </c>
      <c r="M426" s="7">
        <v>6</v>
      </c>
      <c r="N426" s="7"/>
    </row>
    <row r="427" spans="1:21" x14ac:dyDescent="0.2">
      <c r="A427" s="2" t="str">
        <f t="shared" si="16"/>
        <v>5_3</v>
      </c>
      <c r="B427" s="2">
        <v>5</v>
      </c>
      <c r="C427" s="2">
        <v>3</v>
      </c>
      <c r="D427" s="82">
        <v>15.1875</v>
      </c>
      <c r="E427" s="7"/>
      <c r="F427" s="7">
        <v>15</v>
      </c>
      <c r="G427" s="7" t="s">
        <v>604</v>
      </c>
      <c r="H427" s="7" t="s">
        <v>594</v>
      </c>
      <c r="I427" s="7" t="s">
        <v>600</v>
      </c>
      <c r="J427" s="7" t="s">
        <v>1966</v>
      </c>
      <c r="K427" s="7">
        <v>1.5</v>
      </c>
      <c r="L427" s="7">
        <v>0.4</v>
      </c>
      <c r="M427" s="7">
        <v>1.5</v>
      </c>
      <c r="N427" s="7">
        <v>6</v>
      </c>
    </row>
    <row r="428" spans="1:21" x14ac:dyDescent="0.2">
      <c r="A428" s="2" t="str">
        <f t="shared" si="16"/>
        <v>5_4</v>
      </c>
      <c r="B428" s="2">
        <v>5</v>
      </c>
      <c r="C428" s="2">
        <v>4</v>
      </c>
      <c r="D428" s="82">
        <v>15.1875</v>
      </c>
      <c r="E428" s="7"/>
      <c r="F428" s="7">
        <v>17.5</v>
      </c>
      <c r="G428" s="7" t="s">
        <v>604</v>
      </c>
      <c r="H428" s="7" t="s">
        <v>600</v>
      </c>
      <c r="I428" s="7" t="s">
        <v>1966</v>
      </c>
      <c r="J428" s="7"/>
      <c r="K428" s="7">
        <v>1.5</v>
      </c>
      <c r="L428" s="7">
        <v>0.5</v>
      </c>
      <c r="M428" s="7">
        <v>6</v>
      </c>
      <c r="N428" s="7"/>
    </row>
    <row r="429" spans="1:21" x14ac:dyDescent="0.2">
      <c r="A429" s="2" t="str">
        <f t="shared" si="16"/>
        <v>5_5</v>
      </c>
      <c r="B429" s="2">
        <v>5</v>
      </c>
      <c r="C429" s="2">
        <v>5</v>
      </c>
      <c r="D429" s="82">
        <v>22.5</v>
      </c>
      <c r="E429" s="7"/>
      <c r="F429" s="7">
        <v>20</v>
      </c>
      <c r="G429" s="7" t="s">
        <v>604</v>
      </c>
      <c r="H429" s="7" t="s">
        <v>600</v>
      </c>
      <c r="I429" s="7" t="s">
        <v>597</v>
      </c>
      <c r="J429" s="7" t="s">
        <v>1966</v>
      </c>
      <c r="K429" s="7">
        <v>1.5</v>
      </c>
      <c r="L429" s="7">
        <v>0.5</v>
      </c>
      <c r="M429" s="7">
        <v>2</v>
      </c>
      <c r="N429" s="7">
        <v>4</v>
      </c>
    </row>
    <row r="430" spans="1:21" x14ac:dyDescent="0.2">
      <c r="A430" s="2" t="str">
        <f t="shared" si="16"/>
        <v>5_6</v>
      </c>
      <c r="B430" s="2">
        <v>5</v>
      </c>
      <c r="C430" s="2">
        <v>6</v>
      </c>
      <c r="D430" s="82">
        <v>22.5</v>
      </c>
      <c r="E430" s="7"/>
      <c r="F430" s="7">
        <v>22.5</v>
      </c>
      <c r="G430" s="7" t="s">
        <v>604</v>
      </c>
      <c r="H430" s="7" t="s">
        <v>601</v>
      </c>
      <c r="I430" s="7" t="s">
        <v>598</v>
      </c>
      <c r="J430" s="7" t="s">
        <v>1966</v>
      </c>
      <c r="K430" s="7">
        <v>1.5</v>
      </c>
      <c r="L430" s="7">
        <v>2</v>
      </c>
      <c r="M430" s="7">
        <v>1.5</v>
      </c>
      <c r="N430" s="7">
        <v>4</v>
      </c>
    </row>
    <row r="431" spans="1:21" x14ac:dyDescent="0.2">
      <c r="A431" s="2" t="str">
        <f t="shared" si="16"/>
        <v>5_7</v>
      </c>
      <c r="B431" s="2">
        <v>5</v>
      </c>
      <c r="C431" s="2">
        <v>7</v>
      </c>
      <c r="D431" s="82">
        <v>25.3125</v>
      </c>
      <c r="E431" s="7"/>
      <c r="F431" s="7">
        <v>25</v>
      </c>
      <c r="G431" s="7" t="s">
        <v>604</v>
      </c>
      <c r="H431" s="7" t="s">
        <v>606</v>
      </c>
      <c r="I431" s="7" t="s">
        <v>595</v>
      </c>
      <c r="J431" s="7" t="s">
        <v>1966</v>
      </c>
      <c r="K431" s="7">
        <v>1</v>
      </c>
      <c r="L431" s="7">
        <v>1</v>
      </c>
      <c r="M431" s="7">
        <v>0.5</v>
      </c>
      <c r="N431" s="7">
        <v>4</v>
      </c>
    </row>
    <row r="432" spans="1:21" x14ac:dyDescent="0.2">
      <c r="A432" s="2" t="str">
        <f t="shared" si="16"/>
        <v>5_8</v>
      </c>
      <c r="B432" s="2">
        <v>5</v>
      </c>
      <c r="C432" s="2">
        <v>8</v>
      </c>
      <c r="D432" s="82">
        <v>30</v>
      </c>
      <c r="E432" s="7"/>
      <c r="F432" s="7">
        <v>27.5</v>
      </c>
      <c r="G432" s="7" t="s">
        <v>605</v>
      </c>
      <c r="H432" s="7" t="s">
        <v>606</v>
      </c>
      <c r="I432" s="7" t="s">
        <v>601</v>
      </c>
      <c r="J432" s="7" t="s">
        <v>1967</v>
      </c>
      <c r="K432" s="7">
        <v>0</v>
      </c>
      <c r="L432" s="7">
        <v>0.5</v>
      </c>
      <c r="M432" s="7">
        <v>2</v>
      </c>
      <c r="N432" s="7">
        <v>8</v>
      </c>
    </row>
    <row r="434" spans="1:22" x14ac:dyDescent="0.2">
      <c r="A434" s="5" t="s">
        <v>1975</v>
      </c>
      <c r="E434" s="5"/>
    </row>
    <row r="435" spans="1:22" x14ac:dyDescent="0.2">
      <c r="A435" s="8" t="s">
        <v>665</v>
      </c>
      <c r="B435" s="8" t="s">
        <v>62</v>
      </c>
      <c r="C435" s="8" t="s">
        <v>380</v>
      </c>
      <c r="D435" s="8" t="s">
        <v>381</v>
      </c>
      <c r="E435" s="8" t="s">
        <v>391</v>
      </c>
      <c r="F435" s="8" t="s">
        <v>662</v>
      </c>
      <c r="G435" s="182" t="s">
        <v>26</v>
      </c>
      <c r="H435" s="183"/>
      <c r="I435" s="183"/>
      <c r="J435" s="184"/>
      <c r="K435" s="182" t="s">
        <v>663</v>
      </c>
      <c r="L435" s="183"/>
      <c r="M435" s="183"/>
      <c r="N435" s="184"/>
      <c r="Q435" s="68"/>
    </row>
    <row r="436" spans="1:22" x14ac:dyDescent="0.2">
      <c r="A436" s="2" t="str">
        <f t="shared" ref="A436:A459" si="17">B436&amp;"_"&amp;C436</f>
        <v>1_1</v>
      </c>
      <c r="B436" s="2">
        <v>1</v>
      </c>
      <c r="C436" s="2">
        <v>1</v>
      </c>
      <c r="D436" s="82">
        <v>5.7</v>
      </c>
      <c r="E436" s="7"/>
      <c r="F436" s="7">
        <v>10</v>
      </c>
      <c r="G436" s="7" t="s">
        <v>590</v>
      </c>
      <c r="H436" s="7" t="s">
        <v>1968</v>
      </c>
      <c r="I436" s="7"/>
      <c r="J436" s="7"/>
      <c r="K436" s="7">
        <v>2</v>
      </c>
      <c r="L436" s="7">
        <v>3</v>
      </c>
      <c r="M436" s="7"/>
      <c r="N436" s="7"/>
    </row>
    <row r="437" spans="1:22" x14ac:dyDescent="0.2">
      <c r="A437" s="2" t="str">
        <f t="shared" si="17"/>
        <v>1_2</v>
      </c>
      <c r="B437" s="2">
        <v>1</v>
      </c>
      <c r="C437" s="2">
        <v>2</v>
      </c>
      <c r="D437" s="82">
        <v>7.65</v>
      </c>
      <c r="E437" s="7"/>
      <c r="F437" s="7">
        <v>12.5</v>
      </c>
      <c r="G437" s="7" t="s">
        <v>590</v>
      </c>
      <c r="H437" s="7" t="s">
        <v>1968</v>
      </c>
      <c r="I437" s="7"/>
      <c r="J437" s="7"/>
      <c r="K437" s="7">
        <v>0.5</v>
      </c>
      <c r="L437" s="7">
        <v>3</v>
      </c>
      <c r="M437" s="7"/>
      <c r="N437" s="7"/>
    </row>
    <row r="438" spans="1:22" x14ac:dyDescent="0.2">
      <c r="A438" s="2" t="str">
        <f t="shared" si="17"/>
        <v>1_3</v>
      </c>
      <c r="B438" s="2">
        <v>1</v>
      </c>
      <c r="C438" s="2">
        <v>3</v>
      </c>
      <c r="D438" s="82">
        <v>13.9</v>
      </c>
      <c r="E438" s="7"/>
      <c r="F438" s="7">
        <v>15</v>
      </c>
      <c r="G438" s="7" t="s">
        <v>590</v>
      </c>
      <c r="H438" s="7" t="s">
        <v>591</v>
      </c>
      <c r="I438" s="7" t="s">
        <v>1968</v>
      </c>
      <c r="J438" s="7"/>
      <c r="K438" s="7">
        <v>0.5</v>
      </c>
      <c r="L438" s="7">
        <v>3</v>
      </c>
      <c r="M438" s="7">
        <v>1.5</v>
      </c>
      <c r="N438" s="7"/>
      <c r="U438" s="3"/>
      <c r="V438" s="3"/>
    </row>
    <row r="439" spans="1:22" x14ac:dyDescent="0.2">
      <c r="A439" s="2" t="str">
        <f t="shared" si="17"/>
        <v>2_1</v>
      </c>
      <c r="B439" s="2">
        <v>2</v>
      </c>
      <c r="C439" s="2">
        <v>1</v>
      </c>
      <c r="D439" s="82">
        <v>9.15</v>
      </c>
      <c r="E439" s="7"/>
      <c r="F439" s="7">
        <v>10</v>
      </c>
      <c r="G439" s="7" t="s">
        <v>594</v>
      </c>
      <c r="H439" s="7" t="s">
        <v>1968</v>
      </c>
      <c r="I439" s="7"/>
      <c r="J439" s="7"/>
      <c r="K439" s="7">
        <v>2</v>
      </c>
      <c r="L439" s="7">
        <v>2</v>
      </c>
      <c r="M439" s="7"/>
      <c r="N439" s="7"/>
    </row>
    <row r="440" spans="1:22" x14ac:dyDescent="0.2">
      <c r="A440" s="2" t="str">
        <f t="shared" si="17"/>
        <v>2_2</v>
      </c>
      <c r="B440" s="2">
        <v>2</v>
      </c>
      <c r="C440" s="2">
        <v>2</v>
      </c>
      <c r="D440" s="82">
        <v>10.4</v>
      </c>
      <c r="E440" s="7"/>
      <c r="F440" s="7">
        <v>12.5</v>
      </c>
      <c r="G440" s="7" t="s">
        <v>594</v>
      </c>
      <c r="H440" s="7" t="s">
        <v>591</v>
      </c>
      <c r="I440" s="7" t="s">
        <v>1968</v>
      </c>
      <c r="J440" s="7"/>
      <c r="K440" s="7">
        <v>2</v>
      </c>
      <c r="L440" s="7">
        <v>2</v>
      </c>
      <c r="M440" s="7">
        <v>2</v>
      </c>
      <c r="N440" s="7"/>
      <c r="U440" s="3"/>
      <c r="V440" s="3"/>
    </row>
    <row r="441" spans="1:22" x14ac:dyDescent="0.2">
      <c r="A441" s="2" t="str">
        <f t="shared" si="17"/>
        <v>2_3</v>
      </c>
      <c r="B441" s="2">
        <v>2</v>
      </c>
      <c r="C441" s="2">
        <v>3</v>
      </c>
      <c r="D441" s="82">
        <v>16.399999999999999</v>
      </c>
      <c r="E441" s="7"/>
      <c r="F441" s="7">
        <v>15</v>
      </c>
      <c r="G441" s="7" t="s">
        <v>594</v>
      </c>
      <c r="H441" s="7" t="s">
        <v>592</v>
      </c>
      <c r="I441" s="7" t="s">
        <v>1968</v>
      </c>
      <c r="J441" s="7"/>
      <c r="K441" s="7">
        <v>1</v>
      </c>
      <c r="L441" s="7">
        <v>1</v>
      </c>
      <c r="M441" s="7">
        <v>1</v>
      </c>
      <c r="N441" s="7"/>
    </row>
    <row r="442" spans="1:22" x14ac:dyDescent="0.2">
      <c r="A442" s="2" t="str">
        <f t="shared" si="17"/>
        <v>2_4</v>
      </c>
      <c r="B442" s="2">
        <v>2</v>
      </c>
      <c r="C442" s="2">
        <v>4</v>
      </c>
      <c r="D442" s="82">
        <v>20.85</v>
      </c>
      <c r="E442" s="7"/>
      <c r="F442" s="7">
        <v>17.5</v>
      </c>
      <c r="G442" s="7" t="s">
        <v>594</v>
      </c>
      <c r="H442" s="7" t="s">
        <v>592</v>
      </c>
      <c r="I442" s="7" t="s">
        <v>591</v>
      </c>
      <c r="J442" s="7" t="s">
        <v>1968</v>
      </c>
      <c r="K442" s="7">
        <v>1</v>
      </c>
      <c r="L442" s="7">
        <v>1</v>
      </c>
      <c r="M442" s="7">
        <v>2</v>
      </c>
      <c r="N442" s="7">
        <v>1</v>
      </c>
    </row>
    <row r="443" spans="1:22" x14ac:dyDescent="0.2">
      <c r="A443" s="2" t="str">
        <f t="shared" si="17"/>
        <v>2_5</v>
      </c>
      <c r="B443" s="2">
        <v>2</v>
      </c>
      <c r="C443" s="2">
        <v>5</v>
      </c>
      <c r="D443" s="82">
        <v>29.2</v>
      </c>
      <c r="E443" s="7"/>
      <c r="F443" s="7">
        <v>20</v>
      </c>
      <c r="G443" s="7" t="s">
        <v>594</v>
      </c>
      <c r="H443" s="7" t="s">
        <v>592</v>
      </c>
      <c r="I443" s="7" t="s">
        <v>591</v>
      </c>
      <c r="J443" s="7" t="s">
        <v>1968</v>
      </c>
      <c r="K443" s="7">
        <v>1</v>
      </c>
      <c r="L443" s="7">
        <v>0.5</v>
      </c>
      <c r="M443" s="7">
        <v>1</v>
      </c>
      <c r="N443" s="7">
        <v>1</v>
      </c>
    </row>
    <row r="444" spans="1:22" x14ac:dyDescent="0.2">
      <c r="A444" s="2" t="str">
        <f t="shared" si="17"/>
        <v>3_1</v>
      </c>
      <c r="B444" s="2">
        <v>3</v>
      </c>
      <c r="C444" s="2">
        <v>1</v>
      </c>
      <c r="D444" s="82">
        <v>19.7</v>
      </c>
      <c r="E444" s="7"/>
      <c r="F444" s="7">
        <v>10</v>
      </c>
      <c r="G444" s="7" t="s">
        <v>597</v>
      </c>
      <c r="H444" s="7" t="s">
        <v>1969</v>
      </c>
      <c r="I444" s="7"/>
      <c r="J444" s="7"/>
      <c r="K444" s="7">
        <v>2</v>
      </c>
      <c r="L444" s="7">
        <v>2</v>
      </c>
      <c r="M444" s="7"/>
      <c r="N444" s="7"/>
      <c r="U444" s="126"/>
    </row>
    <row r="445" spans="1:22" x14ac:dyDescent="0.2">
      <c r="A445" s="2" t="str">
        <f t="shared" si="17"/>
        <v>3_2</v>
      </c>
      <c r="B445" s="2">
        <v>3</v>
      </c>
      <c r="C445" s="2">
        <v>2</v>
      </c>
      <c r="D445" s="82">
        <v>20.8</v>
      </c>
      <c r="E445" s="7"/>
      <c r="F445" s="7">
        <v>12.5</v>
      </c>
      <c r="G445" s="7" t="s">
        <v>597</v>
      </c>
      <c r="H445" s="7" t="s">
        <v>591</v>
      </c>
      <c r="I445" s="7" t="s">
        <v>1969</v>
      </c>
      <c r="J445" s="7"/>
      <c r="K445" s="7">
        <v>2</v>
      </c>
      <c r="L445" s="7">
        <v>2</v>
      </c>
      <c r="M445" s="7">
        <v>2</v>
      </c>
      <c r="N445" s="7"/>
    </row>
    <row r="446" spans="1:22" x14ac:dyDescent="0.2">
      <c r="A446" s="2" t="str">
        <f t="shared" si="17"/>
        <v>3_3</v>
      </c>
      <c r="B446" s="2">
        <v>3</v>
      </c>
      <c r="C446" s="2">
        <v>3</v>
      </c>
      <c r="D446" s="82">
        <v>27.1</v>
      </c>
      <c r="E446" s="7"/>
      <c r="F446" s="7">
        <v>15</v>
      </c>
      <c r="G446" s="7" t="s">
        <v>597</v>
      </c>
      <c r="H446" s="7" t="s">
        <v>592</v>
      </c>
      <c r="I446" s="7" t="s">
        <v>1969</v>
      </c>
      <c r="J446" s="7"/>
      <c r="K446" s="7">
        <v>2</v>
      </c>
      <c r="L446" s="7">
        <v>1</v>
      </c>
      <c r="M446" s="7">
        <v>2</v>
      </c>
      <c r="N446" s="7"/>
    </row>
    <row r="447" spans="1:22" x14ac:dyDescent="0.2">
      <c r="A447" s="2" t="str">
        <f t="shared" si="17"/>
        <v>4_1</v>
      </c>
      <c r="B447" s="2">
        <v>4</v>
      </c>
      <c r="C447" s="2">
        <v>1</v>
      </c>
      <c r="D447" s="82">
        <v>29.8</v>
      </c>
      <c r="E447" s="7"/>
      <c r="F447" s="7">
        <v>10</v>
      </c>
      <c r="G447" s="7" t="s">
        <v>600</v>
      </c>
      <c r="H447" s="7" t="s">
        <v>1969</v>
      </c>
      <c r="I447" s="7"/>
      <c r="J447" s="7"/>
      <c r="K447" s="7">
        <v>1.5</v>
      </c>
      <c r="L447" s="7">
        <v>2</v>
      </c>
      <c r="M447" s="7"/>
      <c r="N447" s="7"/>
    </row>
    <row r="448" spans="1:22" x14ac:dyDescent="0.2">
      <c r="A448" s="2" t="str">
        <f t="shared" si="17"/>
        <v>4_2</v>
      </c>
      <c r="B448" s="2">
        <v>4</v>
      </c>
      <c r="C448" s="2">
        <v>2</v>
      </c>
      <c r="D448" s="82">
        <v>36.9</v>
      </c>
      <c r="E448" s="7"/>
      <c r="F448" s="7">
        <v>12.5</v>
      </c>
      <c r="G448" s="7" t="s">
        <v>600</v>
      </c>
      <c r="H448" s="7" t="s">
        <v>591</v>
      </c>
      <c r="I448" s="7" t="s">
        <v>1969</v>
      </c>
      <c r="J448" s="7"/>
      <c r="K448" s="7">
        <v>1.5</v>
      </c>
      <c r="L448" s="7">
        <v>0.5</v>
      </c>
      <c r="M448" s="7">
        <v>2</v>
      </c>
      <c r="N448" s="7"/>
    </row>
    <row r="449" spans="1:17" x14ac:dyDescent="0.2">
      <c r="A449" s="2" t="str">
        <f t="shared" si="17"/>
        <v>4_3</v>
      </c>
      <c r="B449" s="2">
        <v>4</v>
      </c>
      <c r="C449" s="2">
        <v>3</v>
      </c>
      <c r="D449" s="82">
        <v>25.9</v>
      </c>
      <c r="E449" s="7"/>
      <c r="F449" s="7">
        <v>15</v>
      </c>
      <c r="G449" s="7" t="s">
        <v>600</v>
      </c>
      <c r="H449" s="7" t="s">
        <v>592</v>
      </c>
      <c r="I449" s="7" t="s">
        <v>1969</v>
      </c>
      <c r="J449" s="7"/>
      <c r="K449" s="7">
        <v>1.5</v>
      </c>
      <c r="L449" s="7">
        <v>0.5</v>
      </c>
      <c r="M449" s="7">
        <v>2</v>
      </c>
      <c r="N449" s="7"/>
    </row>
    <row r="450" spans="1:17" x14ac:dyDescent="0.2">
      <c r="A450" s="2" t="str">
        <f t="shared" si="17"/>
        <v>4_4</v>
      </c>
      <c r="B450" s="2">
        <v>4</v>
      </c>
      <c r="C450" s="2">
        <v>4</v>
      </c>
      <c r="D450" s="82">
        <v>68.3</v>
      </c>
      <c r="E450" s="7"/>
      <c r="F450" s="7">
        <v>17.5</v>
      </c>
      <c r="G450" s="7" t="s">
        <v>600</v>
      </c>
      <c r="H450" s="7" t="s">
        <v>594</v>
      </c>
      <c r="I450" s="7" t="s">
        <v>1969</v>
      </c>
      <c r="J450" s="7"/>
      <c r="K450" s="7">
        <v>1.5</v>
      </c>
      <c r="L450" s="7">
        <v>0.4</v>
      </c>
      <c r="M450" s="7">
        <v>1</v>
      </c>
      <c r="N450" s="7"/>
    </row>
    <row r="451" spans="1:17" x14ac:dyDescent="0.2">
      <c r="A451" s="2" t="str">
        <f t="shared" si="17"/>
        <v>4_5</v>
      </c>
      <c r="B451" s="2">
        <v>4</v>
      </c>
      <c r="C451" s="2">
        <v>5</v>
      </c>
      <c r="D451" s="82">
        <v>68.900000000000006</v>
      </c>
      <c r="E451" s="7"/>
      <c r="F451" s="7">
        <v>20</v>
      </c>
      <c r="G451" s="7" t="s">
        <v>600</v>
      </c>
      <c r="H451" s="7" t="s">
        <v>597</v>
      </c>
      <c r="I451" s="7" t="s">
        <v>1969</v>
      </c>
      <c r="J451" s="7"/>
      <c r="K451" s="7">
        <v>0.5</v>
      </c>
      <c r="L451" s="7">
        <v>2</v>
      </c>
      <c r="M451" s="7">
        <v>1</v>
      </c>
      <c r="N451" s="7"/>
    </row>
    <row r="452" spans="1:17" x14ac:dyDescent="0.2">
      <c r="A452" s="2" t="str">
        <f t="shared" si="17"/>
        <v>5_1</v>
      </c>
      <c r="B452" s="2">
        <v>5</v>
      </c>
      <c r="C452" s="2">
        <v>1</v>
      </c>
      <c r="D452" s="82">
        <v>40</v>
      </c>
      <c r="E452" s="7"/>
      <c r="F452" s="7">
        <v>10</v>
      </c>
      <c r="G452" s="7" t="s">
        <v>604</v>
      </c>
      <c r="H452" s="7" t="s">
        <v>1969</v>
      </c>
      <c r="I452" s="7"/>
      <c r="J452" s="7"/>
      <c r="K452" s="7">
        <v>1.5</v>
      </c>
      <c r="L452" s="7">
        <v>2</v>
      </c>
      <c r="M452" s="7"/>
      <c r="N452" s="7"/>
    </row>
    <row r="453" spans="1:17" x14ac:dyDescent="0.2">
      <c r="A453" s="2" t="str">
        <f t="shared" si="17"/>
        <v>5_2</v>
      </c>
      <c r="B453" s="2">
        <v>5</v>
      </c>
      <c r="C453" s="2">
        <v>2</v>
      </c>
      <c r="D453" s="82">
        <v>36</v>
      </c>
      <c r="E453" s="7"/>
      <c r="F453" s="7">
        <v>12.5</v>
      </c>
      <c r="G453" s="7" t="s">
        <v>604</v>
      </c>
      <c r="H453" s="7" t="s">
        <v>592</v>
      </c>
      <c r="I453" s="7" t="s">
        <v>1969</v>
      </c>
      <c r="J453" s="7"/>
      <c r="K453" s="7">
        <v>1.5</v>
      </c>
      <c r="L453" s="7">
        <v>0.5</v>
      </c>
      <c r="M453" s="7">
        <v>2</v>
      </c>
      <c r="N453" s="7"/>
    </row>
    <row r="454" spans="1:17" x14ac:dyDescent="0.2">
      <c r="A454" s="2" t="str">
        <f t="shared" si="17"/>
        <v>5_3</v>
      </c>
      <c r="B454" s="2">
        <v>5</v>
      </c>
      <c r="C454" s="2">
        <v>3</v>
      </c>
      <c r="D454" s="82">
        <v>37.200000000000003</v>
      </c>
      <c r="E454" s="7"/>
      <c r="F454" s="7">
        <v>15</v>
      </c>
      <c r="G454" s="7" t="s">
        <v>604</v>
      </c>
      <c r="H454" s="7" t="s">
        <v>594</v>
      </c>
      <c r="I454" s="7" t="s">
        <v>600</v>
      </c>
      <c r="J454" s="7" t="s">
        <v>1969</v>
      </c>
      <c r="K454" s="7">
        <v>1.5</v>
      </c>
      <c r="L454" s="7">
        <v>0.4</v>
      </c>
      <c r="M454" s="7">
        <v>1.5</v>
      </c>
      <c r="N454" s="7">
        <v>2</v>
      </c>
    </row>
    <row r="455" spans="1:17" x14ac:dyDescent="0.2">
      <c r="A455" s="2" t="str">
        <f t="shared" si="17"/>
        <v>5_4</v>
      </c>
      <c r="B455" s="2">
        <v>5</v>
      </c>
      <c r="C455" s="2">
        <v>4</v>
      </c>
      <c r="D455" s="82">
        <v>44.2</v>
      </c>
      <c r="E455" s="7"/>
      <c r="F455" s="7">
        <v>17.5</v>
      </c>
      <c r="G455" s="7" t="s">
        <v>604</v>
      </c>
      <c r="H455" s="7" t="s">
        <v>600</v>
      </c>
      <c r="I455" s="7" t="s">
        <v>1969</v>
      </c>
      <c r="J455" s="7"/>
      <c r="K455" s="7">
        <v>1.5</v>
      </c>
      <c r="L455" s="7">
        <v>0.5</v>
      </c>
      <c r="M455" s="7">
        <v>2</v>
      </c>
      <c r="N455" s="7"/>
    </row>
    <row r="456" spans="1:17" x14ac:dyDescent="0.2">
      <c r="A456" s="2" t="str">
        <f t="shared" si="17"/>
        <v>5_5</v>
      </c>
      <c r="B456" s="2">
        <v>5</v>
      </c>
      <c r="C456" s="2">
        <v>5</v>
      </c>
      <c r="D456" s="82">
        <v>51.7</v>
      </c>
      <c r="E456" s="7"/>
      <c r="F456" s="7">
        <v>20</v>
      </c>
      <c r="G456" s="7" t="s">
        <v>604</v>
      </c>
      <c r="H456" s="7" t="s">
        <v>600</v>
      </c>
      <c r="I456" s="7" t="s">
        <v>597</v>
      </c>
      <c r="J456" s="7" t="s">
        <v>1969</v>
      </c>
      <c r="K456" s="7">
        <v>1.5</v>
      </c>
      <c r="L456" s="7">
        <v>0.5</v>
      </c>
      <c r="M456" s="7">
        <v>2</v>
      </c>
      <c r="N456" s="7">
        <v>1</v>
      </c>
    </row>
    <row r="457" spans="1:17" x14ac:dyDescent="0.2">
      <c r="A457" s="2" t="str">
        <f t="shared" si="17"/>
        <v>5_6</v>
      </c>
      <c r="B457" s="2">
        <v>5</v>
      </c>
      <c r="C457" s="2">
        <v>6</v>
      </c>
      <c r="D457" s="82">
        <v>74.5</v>
      </c>
      <c r="E457" s="7"/>
      <c r="F457" s="7">
        <v>22.5</v>
      </c>
      <c r="G457" s="7" t="s">
        <v>604</v>
      </c>
      <c r="H457" s="7" t="s">
        <v>601</v>
      </c>
      <c r="I457" s="7" t="s">
        <v>598</v>
      </c>
      <c r="J457" s="7" t="s">
        <v>1969</v>
      </c>
      <c r="K457" s="7">
        <v>1.5</v>
      </c>
      <c r="L457" s="7">
        <v>2</v>
      </c>
      <c r="M457" s="7">
        <v>1.5</v>
      </c>
      <c r="N457" s="7">
        <v>1</v>
      </c>
    </row>
    <row r="458" spans="1:17" x14ac:dyDescent="0.2">
      <c r="A458" s="2" t="str">
        <f t="shared" si="17"/>
        <v>5_7</v>
      </c>
      <c r="B458" s="2">
        <v>5</v>
      </c>
      <c r="C458" s="2">
        <v>7</v>
      </c>
      <c r="D458" s="82">
        <v>105</v>
      </c>
      <c r="E458" s="7"/>
      <c r="F458" s="7">
        <v>25</v>
      </c>
      <c r="G458" s="7" t="s">
        <v>604</v>
      </c>
      <c r="H458" s="7" t="s">
        <v>606</v>
      </c>
      <c r="I458" s="7" t="s">
        <v>595</v>
      </c>
      <c r="J458" s="7" t="s">
        <v>1969</v>
      </c>
      <c r="K458" s="7">
        <v>1</v>
      </c>
      <c r="L458" s="7">
        <v>1</v>
      </c>
      <c r="M458" s="7">
        <v>0.5</v>
      </c>
      <c r="N458" s="7">
        <v>1</v>
      </c>
    </row>
    <row r="459" spans="1:17" x14ac:dyDescent="0.2">
      <c r="A459" s="2" t="str">
        <f t="shared" si="17"/>
        <v>5_8</v>
      </c>
      <c r="B459" s="2">
        <v>5</v>
      </c>
      <c r="C459" s="2">
        <v>8</v>
      </c>
      <c r="D459" s="82">
        <v>81.5</v>
      </c>
      <c r="E459" s="7"/>
      <c r="F459" s="7">
        <v>27.5</v>
      </c>
      <c r="G459" s="7" t="s">
        <v>605</v>
      </c>
      <c r="H459" s="7" t="s">
        <v>606</v>
      </c>
      <c r="I459" s="7" t="s">
        <v>601</v>
      </c>
      <c r="J459" s="7" t="s">
        <v>1970</v>
      </c>
      <c r="K459" s="7">
        <v>0</v>
      </c>
      <c r="L459" s="7">
        <v>0.5</v>
      </c>
      <c r="M459" s="7">
        <v>2</v>
      </c>
      <c r="N459" s="7">
        <v>3</v>
      </c>
    </row>
    <row r="461" spans="1:17" x14ac:dyDescent="0.2">
      <c r="A461" s="5" t="s">
        <v>1976</v>
      </c>
      <c r="E461" s="5"/>
    </row>
    <row r="462" spans="1:17" x14ac:dyDescent="0.2">
      <c r="A462" s="8" t="s">
        <v>665</v>
      </c>
      <c r="B462" s="8" t="s">
        <v>62</v>
      </c>
      <c r="C462" s="8" t="s">
        <v>380</v>
      </c>
      <c r="D462" s="8" t="s">
        <v>381</v>
      </c>
      <c r="E462" s="8" t="s">
        <v>391</v>
      </c>
      <c r="F462" s="8" t="s">
        <v>662</v>
      </c>
      <c r="G462" s="182" t="s">
        <v>26</v>
      </c>
      <c r="H462" s="183"/>
      <c r="I462" s="183"/>
      <c r="J462" s="184"/>
      <c r="K462" s="182" t="s">
        <v>663</v>
      </c>
      <c r="L462" s="183"/>
      <c r="M462" s="183"/>
      <c r="N462" s="184"/>
      <c r="Q462" s="68"/>
    </row>
    <row r="463" spans="1:17" x14ac:dyDescent="0.2">
      <c r="A463" s="2" t="str">
        <f t="shared" ref="A463:A486" si="18">B463&amp;"_"&amp;C463</f>
        <v>1_1</v>
      </c>
      <c r="B463" s="2">
        <v>1</v>
      </c>
      <c r="C463" s="2">
        <v>1</v>
      </c>
      <c r="D463" s="82">
        <v>3</v>
      </c>
      <c r="E463" s="7"/>
      <c r="F463" s="7">
        <v>10</v>
      </c>
      <c r="G463" s="7" t="s">
        <v>590</v>
      </c>
      <c r="H463" s="7" t="s">
        <v>1971</v>
      </c>
      <c r="I463" s="7"/>
      <c r="J463" s="7"/>
      <c r="K463" s="7">
        <v>2</v>
      </c>
      <c r="L463" s="7">
        <v>3</v>
      </c>
      <c r="M463" s="7"/>
      <c r="N463" s="7"/>
    </row>
    <row r="464" spans="1:17" x14ac:dyDescent="0.2">
      <c r="A464" s="2" t="str">
        <f t="shared" si="18"/>
        <v>1_2</v>
      </c>
      <c r="B464" s="2">
        <v>1</v>
      </c>
      <c r="C464" s="2">
        <v>2</v>
      </c>
      <c r="D464" s="82">
        <v>6</v>
      </c>
      <c r="E464" s="7"/>
      <c r="F464" s="7">
        <v>12.5</v>
      </c>
      <c r="G464" s="7" t="s">
        <v>590</v>
      </c>
      <c r="H464" s="7" t="s">
        <v>1971</v>
      </c>
      <c r="I464" s="7"/>
      <c r="J464" s="7"/>
      <c r="K464" s="7">
        <v>0.5</v>
      </c>
      <c r="L464" s="7">
        <v>3</v>
      </c>
      <c r="M464" s="7"/>
      <c r="N464" s="7"/>
    </row>
    <row r="465" spans="1:22" x14ac:dyDescent="0.2">
      <c r="A465" s="2" t="str">
        <f t="shared" si="18"/>
        <v>1_3</v>
      </c>
      <c r="B465" s="2">
        <v>1</v>
      </c>
      <c r="C465" s="2">
        <v>3</v>
      </c>
      <c r="D465" s="82">
        <v>10</v>
      </c>
      <c r="E465" s="7"/>
      <c r="F465" s="7">
        <v>15</v>
      </c>
      <c r="G465" s="7" t="s">
        <v>590</v>
      </c>
      <c r="H465" s="7" t="s">
        <v>591</v>
      </c>
      <c r="I465" s="7" t="s">
        <v>1971</v>
      </c>
      <c r="J465" s="7"/>
      <c r="K465" s="7">
        <v>0.5</v>
      </c>
      <c r="L465" s="7">
        <v>3</v>
      </c>
      <c r="M465" s="7">
        <v>1.5</v>
      </c>
      <c r="N465" s="7"/>
      <c r="U465" s="3"/>
      <c r="V465" s="3"/>
    </row>
    <row r="466" spans="1:22" x14ac:dyDescent="0.2">
      <c r="A466" s="2" t="str">
        <f t="shared" si="18"/>
        <v>2_1</v>
      </c>
      <c r="B466" s="2">
        <v>2</v>
      </c>
      <c r="C466" s="2">
        <v>1</v>
      </c>
      <c r="D466" s="82">
        <v>5</v>
      </c>
      <c r="E466" s="7"/>
      <c r="F466" s="7">
        <v>10</v>
      </c>
      <c r="G466" s="7" t="s">
        <v>594</v>
      </c>
      <c r="H466" s="7" t="s">
        <v>1971</v>
      </c>
      <c r="I466" s="7"/>
      <c r="J466" s="7"/>
      <c r="K466" s="7">
        <v>2</v>
      </c>
      <c r="L466" s="7">
        <v>2</v>
      </c>
      <c r="M466" s="7"/>
      <c r="N466" s="7"/>
    </row>
    <row r="467" spans="1:22" x14ac:dyDescent="0.2">
      <c r="A467" s="2" t="str">
        <f t="shared" si="18"/>
        <v>2_2</v>
      </c>
      <c r="B467" s="2">
        <v>2</v>
      </c>
      <c r="C467" s="2">
        <v>2</v>
      </c>
      <c r="D467" s="82">
        <v>8</v>
      </c>
      <c r="E467" s="7"/>
      <c r="F467" s="7">
        <v>12.5</v>
      </c>
      <c r="G467" s="7" t="s">
        <v>594</v>
      </c>
      <c r="H467" s="7" t="s">
        <v>591</v>
      </c>
      <c r="I467" s="7" t="s">
        <v>1971</v>
      </c>
      <c r="J467" s="7"/>
      <c r="K467" s="7">
        <v>2</v>
      </c>
      <c r="L467" s="7">
        <v>2</v>
      </c>
      <c r="M467" s="7">
        <v>2</v>
      </c>
      <c r="N467" s="7"/>
      <c r="U467" s="3"/>
      <c r="V467" s="3"/>
    </row>
    <row r="468" spans="1:22" x14ac:dyDescent="0.2">
      <c r="A468" s="2" t="str">
        <f t="shared" si="18"/>
        <v>2_3</v>
      </c>
      <c r="B468" s="2">
        <v>2</v>
      </c>
      <c r="C468" s="2">
        <v>3</v>
      </c>
      <c r="D468" s="82">
        <v>10</v>
      </c>
      <c r="E468" s="7"/>
      <c r="F468" s="7">
        <v>15</v>
      </c>
      <c r="G468" s="7" t="s">
        <v>594</v>
      </c>
      <c r="H468" s="7" t="s">
        <v>592</v>
      </c>
      <c r="I468" s="7" t="s">
        <v>1971</v>
      </c>
      <c r="J468" s="7"/>
      <c r="K468" s="7">
        <v>1</v>
      </c>
      <c r="L468" s="7">
        <v>1</v>
      </c>
      <c r="M468" s="7">
        <v>1</v>
      </c>
      <c r="N468" s="7"/>
    </row>
    <row r="469" spans="1:22" x14ac:dyDescent="0.2">
      <c r="A469" s="2" t="str">
        <f t="shared" si="18"/>
        <v>2_4</v>
      </c>
      <c r="B469" s="2">
        <v>2</v>
      </c>
      <c r="C469" s="2">
        <v>4</v>
      </c>
      <c r="D469" s="82">
        <v>15</v>
      </c>
      <c r="E469" s="7"/>
      <c r="F469" s="7">
        <v>17.5</v>
      </c>
      <c r="G469" s="7" t="s">
        <v>594</v>
      </c>
      <c r="H469" s="7" t="s">
        <v>592</v>
      </c>
      <c r="I469" s="7" t="s">
        <v>591</v>
      </c>
      <c r="J469" s="7" t="s">
        <v>1971</v>
      </c>
      <c r="K469" s="7">
        <v>1</v>
      </c>
      <c r="L469" s="7">
        <v>1</v>
      </c>
      <c r="M469" s="7">
        <v>2</v>
      </c>
      <c r="N469" s="7">
        <v>1</v>
      </c>
    </row>
    <row r="470" spans="1:22" x14ac:dyDescent="0.2">
      <c r="A470" s="2" t="str">
        <f t="shared" si="18"/>
        <v>2_5</v>
      </c>
      <c r="B470" s="2">
        <v>2</v>
      </c>
      <c r="C470" s="2">
        <v>5</v>
      </c>
      <c r="D470" s="82">
        <v>25</v>
      </c>
      <c r="E470" s="7"/>
      <c r="F470" s="7">
        <v>20</v>
      </c>
      <c r="G470" s="7" t="s">
        <v>594</v>
      </c>
      <c r="H470" s="7" t="s">
        <v>592</v>
      </c>
      <c r="I470" s="7" t="s">
        <v>591</v>
      </c>
      <c r="J470" s="7" t="s">
        <v>1971</v>
      </c>
      <c r="K470" s="7">
        <v>1</v>
      </c>
      <c r="L470" s="7">
        <v>0.5</v>
      </c>
      <c r="M470" s="7">
        <v>1</v>
      </c>
      <c r="N470" s="7">
        <v>1</v>
      </c>
    </row>
    <row r="471" spans="1:22" x14ac:dyDescent="0.2">
      <c r="A471" s="2" t="str">
        <f t="shared" si="18"/>
        <v>3_1</v>
      </c>
      <c r="B471" s="2">
        <v>3</v>
      </c>
      <c r="C471" s="2">
        <v>1</v>
      </c>
      <c r="D471" s="82">
        <v>6</v>
      </c>
      <c r="E471" s="7"/>
      <c r="F471" s="7">
        <v>10</v>
      </c>
      <c r="G471" s="7" t="s">
        <v>597</v>
      </c>
      <c r="H471" s="7" t="s">
        <v>1972</v>
      </c>
      <c r="I471" s="7"/>
      <c r="J471" s="7"/>
      <c r="K471" s="7">
        <v>2</v>
      </c>
      <c r="L471" s="7">
        <v>2</v>
      </c>
      <c r="M471" s="7"/>
      <c r="N471" s="7"/>
      <c r="U471" s="126"/>
    </row>
    <row r="472" spans="1:22" x14ac:dyDescent="0.2">
      <c r="A472" s="2" t="str">
        <f t="shared" si="18"/>
        <v>3_2</v>
      </c>
      <c r="B472" s="2">
        <v>3</v>
      </c>
      <c r="C472" s="2">
        <v>2</v>
      </c>
      <c r="D472" s="82">
        <v>7.5</v>
      </c>
      <c r="E472" s="7"/>
      <c r="F472" s="7">
        <v>12.5</v>
      </c>
      <c r="G472" s="7" t="s">
        <v>597</v>
      </c>
      <c r="H472" s="7" t="s">
        <v>591</v>
      </c>
      <c r="I472" s="7" t="s">
        <v>1972</v>
      </c>
      <c r="J472" s="7"/>
      <c r="K472" s="7">
        <v>2</v>
      </c>
      <c r="L472" s="7">
        <v>2</v>
      </c>
      <c r="M472" s="7">
        <v>2</v>
      </c>
      <c r="N472" s="7"/>
    </row>
    <row r="473" spans="1:22" x14ac:dyDescent="0.2">
      <c r="A473" s="2" t="str">
        <f t="shared" si="18"/>
        <v>3_3</v>
      </c>
      <c r="B473" s="2">
        <v>3</v>
      </c>
      <c r="C473" s="2">
        <v>3</v>
      </c>
      <c r="D473" s="82">
        <v>9</v>
      </c>
      <c r="E473" s="7"/>
      <c r="F473" s="7">
        <v>15</v>
      </c>
      <c r="G473" s="7" t="s">
        <v>597</v>
      </c>
      <c r="H473" s="7" t="s">
        <v>592</v>
      </c>
      <c r="I473" s="7" t="s">
        <v>1972</v>
      </c>
      <c r="J473" s="7"/>
      <c r="K473" s="7">
        <v>2</v>
      </c>
      <c r="L473" s="7">
        <v>1</v>
      </c>
      <c r="M473" s="7">
        <v>2</v>
      </c>
      <c r="N473" s="7"/>
    </row>
    <row r="474" spans="1:22" x14ac:dyDescent="0.2">
      <c r="A474" s="2" t="str">
        <f t="shared" si="18"/>
        <v>4_1</v>
      </c>
      <c r="B474" s="2">
        <v>4</v>
      </c>
      <c r="C474" s="2">
        <v>1</v>
      </c>
      <c r="D474" s="82">
        <v>7.5</v>
      </c>
      <c r="E474" s="7"/>
      <c r="F474" s="7">
        <v>10</v>
      </c>
      <c r="G474" s="7" t="s">
        <v>600</v>
      </c>
      <c r="H474" s="7" t="s">
        <v>1972</v>
      </c>
      <c r="I474" s="7"/>
      <c r="J474" s="7"/>
      <c r="K474" s="7">
        <v>1.5</v>
      </c>
      <c r="L474" s="7">
        <v>2</v>
      </c>
      <c r="M474" s="7"/>
      <c r="N474" s="7"/>
    </row>
    <row r="475" spans="1:22" x14ac:dyDescent="0.2">
      <c r="A475" s="2" t="str">
        <f t="shared" si="18"/>
        <v>4_2</v>
      </c>
      <c r="B475" s="2">
        <v>4</v>
      </c>
      <c r="C475" s="2">
        <v>2</v>
      </c>
      <c r="D475" s="82">
        <v>17</v>
      </c>
      <c r="E475" s="7"/>
      <c r="F475" s="7">
        <v>12.5</v>
      </c>
      <c r="G475" s="7" t="s">
        <v>600</v>
      </c>
      <c r="H475" s="7" t="s">
        <v>591</v>
      </c>
      <c r="I475" s="7" t="s">
        <v>1972</v>
      </c>
      <c r="J475" s="7"/>
      <c r="K475" s="7">
        <v>1.5</v>
      </c>
      <c r="L475" s="7">
        <v>0.5</v>
      </c>
      <c r="M475" s="7">
        <v>2</v>
      </c>
      <c r="N475" s="7"/>
    </row>
    <row r="476" spans="1:22" x14ac:dyDescent="0.2">
      <c r="A476" s="2" t="str">
        <f t="shared" si="18"/>
        <v>4_3</v>
      </c>
      <c r="B476" s="2">
        <v>4</v>
      </c>
      <c r="C476" s="2">
        <v>3</v>
      </c>
      <c r="D476" s="82">
        <v>8</v>
      </c>
      <c r="E476" s="7"/>
      <c r="F476" s="7">
        <v>15</v>
      </c>
      <c r="G476" s="7" t="s">
        <v>600</v>
      </c>
      <c r="H476" s="7" t="s">
        <v>592</v>
      </c>
      <c r="I476" s="7" t="s">
        <v>1972</v>
      </c>
      <c r="J476" s="7"/>
      <c r="K476" s="7">
        <v>1.5</v>
      </c>
      <c r="L476" s="7">
        <v>0.5</v>
      </c>
      <c r="M476" s="7">
        <v>2</v>
      </c>
      <c r="N476" s="7"/>
    </row>
    <row r="477" spans="1:22" x14ac:dyDescent="0.2">
      <c r="A477" s="2" t="str">
        <f t="shared" si="18"/>
        <v>4_4</v>
      </c>
      <c r="B477" s="2">
        <v>4</v>
      </c>
      <c r="C477" s="2">
        <v>4</v>
      </c>
      <c r="D477" s="82">
        <v>21</v>
      </c>
      <c r="E477" s="7"/>
      <c r="F477" s="7">
        <v>17.5</v>
      </c>
      <c r="G477" s="7" t="s">
        <v>600</v>
      </c>
      <c r="H477" s="7" t="s">
        <v>594</v>
      </c>
      <c r="I477" s="7" t="s">
        <v>1972</v>
      </c>
      <c r="J477" s="7"/>
      <c r="K477" s="7">
        <v>1.5</v>
      </c>
      <c r="L477" s="7">
        <v>0.4</v>
      </c>
      <c r="M477" s="7">
        <v>1</v>
      </c>
      <c r="N477" s="7"/>
    </row>
    <row r="478" spans="1:22" x14ac:dyDescent="0.2">
      <c r="A478" s="2" t="str">
        <f t="shared" si="18"/>
        <v>4_5</v>
      </c>
      <c r="B478" s="2">
        <v>4</v>
      </c>
      <c r="C478" s="2">
        <v>5</v>
      </c>
      <c r="D478" s="82">
        <v>22</v>
      </c>
      <c r="E478" s="7"/>
      <c r="F478" s="7">
        <v>20</v>
      </c>
      <c r="G478" s="7" t="s">
        <v>600</v>
      </c>
      <c r="H478" s="7" t="s">
        <v>597</v>
      </c>
      <c r="I478" s="7" t="s">
        <v>1972</v>
      </c>
      <c r="J478" s="7"/>
      <c r="K478" s="7">
        <v>0.5</v>
      </c>
      <c r="L478" s="7">
        <v>2</v>
      </c>
      <c r="M478" s="7">
        <v>1</v>
      </c>
      <c r="N478" s="7"/>
    </row>
    <row r="479" spans="1:22" x14ac:dyDescent="0.2">
      <c r="A479" s="2" t="str">
        <f t="shared" si="18"/>
        <v>5_1</v>
      </c>
      <c r="B479" s="2">
        <v>5</v>
      </c>
      <c r="C479" s="2">
        <v>1</v>
      </c>
      <c r="D479" s="82">
        <v>15</v>
      </c>
      <c r="E479" s="7"/>
      <c r="F479" s="7">
        <v>10</v>
      </c>
      <c r="G479" s="7" t="s">
        <v>604</v>
      </c>
      <c r="H479" s="7" t="s">
        <v>1972</v>
      </c>
      <c r="I479" s="7"/>
      <c r="J479" s="7"/>
      <c r="K479" s="7">
        <v>1.5</v>
      </c>
      <c r="L479" s="7">
        <v>2</v>
      </c>
      <c r="M479" s="7"/>
      <c r="N479" s="7"/>
    </row>
    <row r="480" spans="1:22" x14ac:dyDescent="0.2">
      <c r="A480" s="2" t="str">
        <f t="shared" si="18"/>
        <v>5_2</v>
      </c>
      <c r="B480" s="2">
        <v>5</v>
      </c>
      <c r="C480" s="2">
        <v>2</v>
      </c>
      <c r="D480" s="82">
        <v>15</v>
      </c>
      <c r="E480" s="7"/>
      <c r="F480" s="7">
        <v>12.5</v>
      </c>
      <c r="G480" s="7" t="s">
        <v>604</v>
      </c>
      <c r="H480" s="7" t="s">
        <v>592</v>
      </c>
      <c r="I480" s="7" t="s">
        <v>1972</v>
      </c>
      <c r="J480" s="7"/>
      <c r="K480" s="7">
        <v>1.5</v>
      </c>
      <c r="L480" s="7">
        <v>0.5</v>
      </c>
      <c r="M480" s="7">
        <v>2</v>
      </c>
      <c r="N480" s="7"/>
    </row>
    <row r="481" spans="1:14" x14ac:dyDescent="0.2">
      <c r="A481" s="2" t="str">
        <f t="shared" si="18"/>
        <v>5_3</v>
      </c>
      <c r="B481" s="2">
        <v>5</v>
      </c>
      <c r="C481" s="2">
        <v>3</v>
      </c>
      <c r="D481" s="82">
        <v>18</v>
      </c>
      <c r="E481" s="7"/>
      <c r="F481" s="7">
        <v>15</v>
      </c>
      <c r="G481" s="7" t="s">
        <v>604</v>
      </c>
      <c r="H481" s="7" t="s">
        <v>594</v>
      </c>
      <c r="I481" s="7" t="s">
        <v>600</v>
      </c>
      <c r="J481" s="7" t="s">
        <v>1972</v>
      </c>
      <c r="K481" s="7">
        <v>1.5</v>
      </c>
      <c r="L481" s="7">
        <v>0.4</v>
      </c>
      <c r="M481" s="7">
        <v>1.5</v>
      </c>
      <c r="N481" s="7">
        <v>2</v>
      </c>
    </row>
    <row r="482" spans="1:14" x14ac:dyDescent="0.2">
      <c r="A482" s="2" t="str">
        <f t="shared" si="18"/>
        <v>5_4</v>
      </c>
      <c r="B482" s="2">
        <v>5</v>
      </c>
      <c r="C482" s="2">
        <v>4</v>
      </c>
      <c r="D482" s="82">
        <v>20</v>
      </c>
      <c r="E482" s="7"/>
      <c r="F482" s="7">
        <v>17.5</v>
      </c>
      <c r="G482" s="7" t="s">
        <v>604</v>
      </c>
      <c r="H482" s="7" t="s">
        <v>600</v>
      </c>
      <c r="I482" s="7" t="s">
        <v>1972</v>
      </c>
      <c r="J482" s="7"/>
      <c r="K482" s="7">
        <v>1.5</v>
      </c>
      <c r="L482" s="7">
        <v>0.5</v>
      </c>
      <c r="M482" s="7">
        <v>2</v>
      </c>
      <c r="N482" s="7"/>
    </row>
    <row r="483" spans="1:14" x14ac:dyDescent="0.2">
      <c r="A483" s="2" t="str">
        <f t="shared" si="18"/>
        <v>5_5</v>
      </c>
      <c r="B483" s="2">
        <v>5</v>
      </c>
      <c r="C483" s="2">
        <v>5</v>
      </c>
      <c r="D483" s="82">
        <v>20</v>
      </c>
      <c r="E483" s="7"/>
      <c r="F483" s="7">
        <v>20</v>
      </c>
      <c r="G483" s="7" t="s">
        <v>604</v>
      </c>
      <c r="H483" s="7" t="s">
        <v>600</v>
      </c>
      <c r="I483" s="7" t="s">
        <v>597</v>
      </c>
      <c r="J483" s="7" t="s">
        <v>1972</v>
      </c>
      <c r="K483" s="7">
        <v>1.5</v>
      </c>
      <c r="L483" s="7">
        <v>0.5</v>
      </c>
      <c r="M483" s="7">
        <v>2</v>
      </c>
      <c r="N483" s="7">
        <v>1</v>
      </c>
    </row>
    <row r="484" spans="1:14" x14ac:dyDescent="0.2">
      <c r="A484" s="2" t="str">
        <f t="shared" si="18"/>
        <v>5_6</v>
      </c>
      <c r="B484" s="2">
        <v>5</v>
      </c>
      <c r="C484" s="2">
        <v>6</v>
      </c>
      <c r="D484" s="82">
        <v>30</v>
      </c>
      <c r="E484" s="7"/>
      <c r="F484" s="7">
        <v>22.5</v>
      </c>
      <c r="G484" s="7" t="s">
        <v>604</v>
      </c>
      <c r="H484" s="7" t="s">
        <v>601</v>
      </c>
      <c r="I484" s="7" t="s">
        <v>598</v>
      </c>
      <c r="J484" s="7" t="s">
        <v>1972</v>
      </c>
      <c r="K484" s="7">
        <v>1.5</v>
      </c>
      <c r="L484" s="7">
        <v>2</v>
      </c>
      <c r="M484" s="7">
        <v>1.5</v>
      </c>
      <c r="N484" s="7">
        <v>1</v>
      </c>
    </row>
    <row r="485" spans="1:14" x14ac:dyDescent="0.2">
      <c r="A485" s="2" t="str">
        <f t="shared" si="18"/>
        <v>5_7</v>
      </c>
      <c r="B485" s="2">
        <v>5</v>
      </c>
      <c r="C485" s="2">
        <v>7</v>
      </c>
      <c r="D485" s="82">
        <v>45</v>
      </c>
      <c r="E485" s="7"/>
      <c r="F485" s="7">
        <v>25</v>
      </c>
      <c r="G485" s="7" t="s">
        <v>604</v>
      </c>
      <c r="H485" s="7" t="s">
        <v>606</v>
      </c>
      <c r="I485" s="7" t="s">
        <v>595</v>
      </c>
      <c r="J485" s="7" t="s">
        <v>1972</v>
      </c>
      <c r="K485" s="7">
        <v>1</v>
      </c>
      <c r="L485" s="7">
        <v>1</v>
      </c>
      <c r="M485" s="7">
        <v>0.5</v>
      </c>
      <c r="N485" s="7">
        <v>1</v>
      </c>
    </row>
    <row r="486" spans="1:14" x14ac:dyDescent="0.2">
      <c r="A486" s="2" t="str">
        <f t="shared" si="18"/>
        <v>5_8</v>
      </c>
      <c r="B486" s="2">
        <v>5</v>
      </c>
      <c r="C486" s="2">
        <v>8</v>
      </c>
      <c r="D486" s="82">
        <v>42</v>
      </c>
      <c r="E486" s="7"/>
      <c r="F486" s="7">
        <v>27.5</v>
      </c>
      <c r="G486" s="7" t="s">
        <v>605</v>
      </c>
      <c r="H486" s="7" t="s">
        <v>606</v>
      </c>
      <c r="I486" s="7" t="s">
        <v>601</v>
      </c>
      <c r="J486" s="7" t="s">
        <v>1973</v>
      </c>
      <c r="K486" s="7">
        <v>0</v>
      </c>
      <c r="L486" s="7">
        <v>0.5</v>
      </c>
      <c r="M486" s="7">
        <v>2</v>
      </c>
      <c r="N486" s="7">
        <v>3</v>
      </c>
    </row>
    <row r="491" spans="1:14" ht="18" x14ac:dyDescent="0.25">
      <c r="A491" s="28" t="s">
        <v>11</v>
      </c>
    </row>
    <row r="493" spans="1:14" ht="18" x14ac:dyDescent="0.25">
      <c r="A493" s="28" t="s">
        <v>866</v>
      </c>
    </row>
    <row r="494" spans="1:14" s="4" customFormat="1" x14ac:dyDescent="0.2">
      <c r="A494" s="4" t="s">
        <v>865</v>
      </c>
    </row>
    <row r="495" spans="1:14" x14ac:dyDescent="0.2">
      <c r="A495" s="6" t="s">
        <v>2021</v>
      </c>
    </row>
    <row r="496" spans="1:14" x14ac:dyDescent="0.2">
      <c r="A496" s="6" t="s">
        <v>1993</v>
      </c>
    </row>
    <row r="497" spans="1:4" x14ac:dyDescent="0.2">
      <c r="A497" s="6" t="s">
        <v>1994</v>
      </c>
    </row>
    <row r="498" spans="1:4" x14ac:dyDescent="0.2">
      <c r="A498" s="6" t="s">
        <v>2024</v>
      </c>
      <c r="B498" s="162">
        <v>0.5</v>
      </c>
    </row>
    <row r="499" spans="1:4" x14ac:dyDescent="0.2">
      <c r="A499" s="6" t="s">
        <v>2025</v>
      </c>
      <c r="B499" s="6">
        <v>7</v>
      </c>
    </row>
    <row r="501" spans="1:4" x14ac:dyDescent="0.2">
      <c r="A501" s="90" t="s">
        <v>2047</v>
      </c>
    </row>
    <row r="502" spans="1:4" x14ac:dyDescent="0.2">
      <c r="A502" s="6" t="s">
        <v>2058</v>
      </c>
      <c r="B502" s="6" t="s">
        <v>2055</v>
      </c>
      <c r="C502" s="6" t="s">
        <v>2057</v>
      </c>
      <c r="D502" s="6" t="s">
        <v>2056</v>
      </c>
    </row>
    <row r="503" spans="1:4" x14ac:dyDescent="0.2">
      <c r="A503" s="136" t="s">
        <v>2069</v>
      </c>
      <c r="B503" s="6" t="s">
        <v>1881</v>
      </c>
      <c r="C503" s="7">
        <v>200</v>
      </c>
      <c r="D503" s="6">
        <f>1/C503</f>
        <v>5.0000000000000001E-3</v>
      </c>
    </row>
    <row r="504" spans="1:4" x14ac:dyDescent="0.2">
      <c r="A504" s="136" t="s">
        <v>2052</v>
      </c>
      <c r="B504" s="6" t="s">
        <v>2053</v>
      </c>
      <c r="C504" s="7">
        <v>1</v>
      </c>
      <c r="D504" s="6">
        <f t="shared" ref="D504:D513" si="19">1/C504</f>
        <v>1</v>
      </c>
    </row>
    <row r="505" spans="1:4" x14ac:dyDescent="0.2">
      <c r="A505" s="136" t="s">
        <v>2035</v>
      </c>
      <c r="B505" s="6" t="s">
        <v>2050</v>
      </c>
      <c r="C505" s="7">
        <v>3</v>
      </c>
      <c r="D505" s="6">
        <f t="shared" si="19"/>
        <v>0.33333333333333331</v>
      </c>
    </row>
    <row r="506" spans="1:4" x14ac:dyDescent="0.2">
      <c r="A506" s="136" t="s">
        <v>2029</v>
      </c>
      <c r="B506" s="6" t="s">
        <v>2048</v>
      </c>
      <c r="C506" s="7">
        <v>1</v>
      </c>
      <c r="D506" s="6">
        <f t="shared" si="19"/>
        <v>1</v>
      </c>
    </row>
    <row r="507" spans="1:4" x14ac:dyDescent="0.2">
      <c r="A507" s="136" t="s">
        <v>2033</v>
      </c>
      <c r="B507" s="6" t="s">
        <v>2049</v>
      </c>
      <c r="C507" s="7">
        <v>1</v>
      </c>
      <c r="D507" s="6">
        <f t="shared" si="19"/>
        <v>1</v>
      </c>
    </row>
    <row r="508" spans="1:4" x14ac:dyDescent="0.2">
      <c r="A508" s="136" t="s">
        <v>2038</v>
      </c>
      <c r="B508" s="6" t="s">
        <v>2051</v>
      </c>
      <c r="C508" s="7">
        <f>C507/20</f>
        <v>0.05</v>
      </c>
      <c r="D508" s="6">
        <f t="shared" si="19"/>
        <v>20</v>
      </c>
    </row>
    <row r="509" spans="1:4" x14ac:dyDescent="0.2">
      <c r="A509" s="136" t="s">
        <v>2030</v>
      </c>
      <c r="B509" s="6" t="s">
        <v>2054</v>
      </c>
      <c r="C509" s="7">
        <v>200</v>
      </c>
      <c r="D509" s="6">
        <f t="shared" si="19"/>
        <v>5.0000000000000001E-3</v>
      </c>
    </row>
    <row r="510" spans="1:4" x14ac:dyDescent="0.2">
      <c r="A510" s="136" t="s">
        <v>2032</v>
      </c>
      <c r="B510" s="6" t="s">
        <v>2054</v>
      </c>
      <c r="C510" s="7">
        <v>200</v>
      </c>
      <c r="D510" s="6">
        <f t="shared" si="19"/>
        <v>5.0000000000000001E-3</v>
      </c>
    </row>
    <row r="511" spans="1:4" x14ac:dyDescent="0.2">
      <c r="A511" s="136" t="s">
        <v>2034</v>
      </c>
      <c r="B511" s="6" t="s">
        <v>2049</v>
      </c>
      <c r="C511" s="7">
        <v>1</v>
      </c>
      <c r="D511" s="6">
        <f t="shared" si="19"/>
        <v>1</v>
      </c>
    </row>
    <row r="512" spans="1:4" x14ac:dyDescent="0.2">
      <c r="A512" s="136" t="s">
        <v>2037</v>
      </c>
      <c r="B512" s="6" t="s">
        <v>2054</v>
      </c>
      <c r="C512" s="7">
        <v>200</v>
      </c>
      <c r="D512" s="6">
        <f t="shared" si="19"/>
        <v>5.0000000000000001E-3</v>
      </c>
    </row>
    <row r="513" spans="1:9" x14ac:dyDescent="0.2">
      <c r="A513" s="136" t="s">
        <v>2066</v>
      </c>
      <c r="B513" s="6" t="s">
        <v>2067</v>
      </c>
      <c r="C513" s="7">
        <f>0.05*30</f>
        <v>1.5</v>
      </c>
      <c r="D513" s="6">
        <f t="shared" si="19"/>
        <v>0.66666666666666663</v>
      </c>
    </row>
    <row r="515" spans="1:9" x14ac:dyDescent="0.2">
      <c r="A515" s="90" t="s">
        <v>2043</v>
      </c>
    </row>
    <row r="516" spans="1:9" x14ac:dyDescent="0.2">
      <c r="A516" s="136" t="s">
        <v>2028</v>
      </c>
      <c r="B516" s="136" t="s">
        <v>2040</v>
      </c>
      <c r="C516" s="136" t="s">
        <v>2059</v>
      </c>
      <c r="D516" s="136" t="s">
        <v>2060</v>
      </c>
      <c r="E516" s="165" t="s">
        <v>2062</v>
      </c>
      <c r="F516" s="165" t="s">
        <v>2063</v>
      </c>
      <c r="G516" s="165" t="s">
        <v>2064</v>
      </c>
      <c r="H516" s="165" t="s">
        <v>2061</v>
      </c>
      <c r="I516" s="165" t="s">
        <v>2065</v>
      </c>
    </row>
    <row r="517" spans="1:9" x14ac:dyDescent="0.2">
      <c r="A517" s="136" t="s">
        <v>2029</v>
      </c>
      <c r="B517" s="7">
        <v>1</v>
      </c>
      <c r="C517" s="164">
        <f t="shared" ref="C517:C527" si="20">B517/SUM($B$517:$B$527)*$B$498</f>
        <v>4.5454545454545456E-2</v>
      </c>
      <c r="D517" s="6">
        <v>10</v>
      </c>
      <c r="E517" s="6">
        <v>13</v>
      </c>
      <c r="F517" s="6">
        <f>VLOOKUP($A517,$A$503:$D$513,4,FALSE)*D517</f>
        <v>10</v>
      </c>
      <c r="G517" s="6">
        <f>VLOOKUP($A517,$A$503:$D$513,4,FALSE)*E517</f>
        <v>13</v>
      </c>
      <c r="H517" s="6">
        <f>G517-F517</f>
        <v>3</v>
      </c>
      <c r="I517" s="163">
        <f t="shared" ref="I517:I527" si="21">(G517-F517)/F517</f>
        <v>0.3</v>
      </c>
    </row>
    <row r="518" spans="1:9" x14ac:dyDescent="0.2">
      <c r="A518" s="136" t="s">
        <v>2030</v>
      </c>
      <c r="B518" s="7">
        <v>1</v>
      </c>
      <c r="C518" s="164">
        <f t="shared" si="20"/>
        <v>4.5454545454545456E-2</v>
      </c>
      <c r="D518" s="6">
        <v>600</v>
      </c>
      <c r="E518" s="6">
        <v>750</v>
      </c>
      <c r="F518" s="6">
        <f t="shared" ref="F518:G527" si="22">VLOOKUP($A518,$A$503:$D$513,4,FALSE)*D518</f>
        <v>3</v>
      </c>
      <c r="G518" s="6">
        <f t="shared" si="22"/>
        <v>3.75</v>
      </c>
      <c r="H518" s="6">
        <f t="shared" ref="H518:H527" si="23">G518-F518</f>
        <v>0.75</v>
      </c>
      <c r="I518" s="163">
        <f t="shared" si="21"/>
        <v>0.25</v>
      </c>
    </row>
    <row r="519" spans="1:9" x14ac:dyDescent="0.2">
      <c r="A519" s="136" t="s">
        <v>2069</v>
      </c>
      <c r="B519" s="7">
        <v>1</v>
      </c>
      <c r="C519" s="164">
        <f t="shared" si="20"/>
        <v>4.5454545454545456E-2</v>
      </c>
      <c r="D519" s="6">
        <v>200</v>
      </c>
      <c r="E519" s="6">
        <v>230</v>
      </c>
      <c r="F519" s="6">
        <f t="shared" si="22"/>
        <v>1</v>
      </c>
      <c r="G519" s="6">
        <f t="shared" si="22"/>
        <v>1.1500000000000001</v>
      </c>
      <c r="H519" s="6">
        <f t="shared" si="23"/>
        <v>0.15000000000000013</v>
      </c>
      <c r="I519" s="163">
        <f t="shared" si="21"/>
        <v>0.15000000000000013</v>
      </c>
    </row>
    <row r="520" spans="1:9" x14ac:dyDescent="0.2">
      <c r="A520" s="136" t="s">
        <v>2068</v>
      </c>
      <c r="B520" s="7">
        <v>1</v>
      </c>
      <c r="C520" s="164">
        <f t="shared" si="20"/>
        <v>4.5454545454545456E-2</v>
      </c>
      <c r="D520" s="6">
        <v>200</v>
      </c>
      <c r="E520" s="6">
        <v>170</v>
      </c>
      <c r="F520" s="6">
        <f t="shared" si="22"/>
        <v>1</v>
      </c>
      <c r="G520" s="6">
        <f t="shared" si="22"/>
        <v>0.85</v>
      </c>
      <c r="H520" s="6">
        <f t="shared" si="23"/>
        <v>-0.15000000000000002</v>
      </c>
      <c r="I520" s="163">
        <f t="shared" si="21"/>
        <v>-0.15000000000000002</v>
      </c>
    </row>
    <row r="521" spans="1:9" x14ac:dyDescent="0.2">
      <c r="A521" s="136" t="s">
        <v>2033</v>
      </c>
      <c r="B521" s="7">
        <v>1</v>
      </c>
      <c r="C521" s="164">
        <f t="shared" si="20"/>
        <v>4.5454545454545456E-2</v>
      </c>
      <c r="D521" s="6">
        <v>20</v>
      </c>
      <c r="E521" s="6">
        <v>35</v>
      </c>
      <c r="F521" s="6">
        <f t="shared" si="22"/>
        <v>20</v>
      </c>
      <c r="G521" s="6">
        <f t="shared" si="22"/>
        <v>35</v>
      </c>
      <c r="H521" s="6">
        <f t="shared" si="23"/>
        <v>15</v>
      </c>
      <c r="I521" s="163">
        <f t="shared" si="21"/>
        <v>0.75</v>
      </c>
    </row>
    <row r="522" spans="1:9" x14ac:dyDescent="0.2">
      <c r="A522" s="136" t="s">
        <v>2034</v>
      </c>
      <c r="B522" s="7">
        <v>1</v>
      </c>
      <c r="C522" s="164">
        <f t="shared" si="20"/>
        <v>4.5454545454545456E-2</v>
      </c>
      <c r="D522" s="6">
        <v>1</v>
      </c>
      <c r="E522" s="6">
        <v>10</v>
      </c>
      <c r="F522" s="6">
        <f t="shared" si="22"/>
        <v>1</v>
      </c>
      <c r="G522" s="6">
        <f t="shared" si="22"/>
        <v>10</v>
      </c>
      <c r="H522" s="6">
        <f t="shared" si="23"/>
        <v>9</v>
      </c>
      <c r="I522" s="163">
        <f t="shared" si="21"/>
        <v>9</v>
      </c>
    </row>
    <row r="523" spans="1:9" x14ac:dyDescent="0.2">
      <c r="A523" s="136" t="s">
        <v>2035</v>
      </c>
      <c r="B523" s="7">
        <v>1</v>
      </c>
      <c r="C523" s="164">
        <f t="shared" si="20"/>
        <v>4.5454545454545456E-2</v>
      </c>
      <c r="D523" s="6">
        <v>7.5</v>
      </c>
      <c r="E523" s="6">
        <v>10.5</v>
      </c>
      <c r="F523" s="6">
        <f t="shared" si="22"/>
        <v>2.5</v>
      </c>
      <c r="G523" s="6">
        <f t="shared" si="22"/>
        <v>3.5</v>
      </c>
      <c r="H523" s="6">
        <f t="shared" si="23"/>
        <v>1</v>
      </c>
      <c r="I523" s="163">
        <f t="shared" si="21"/>
        <v>0.4</v>
      </c>
    </row>
    <row r="524" spans="1:9" x14ac:dyDescent="0.2">
      <c r="A524" s="136" t="s">
        <v>2052</v>
      </c>
      <c r="B524" s="7">
        <v>1</v>
      </c>
      <c r="C524" s="164">
        <f t="shared" si="20"/>
        <v>4.5454545454545456E-2</v>
      </c>
      <c r="D524" s="6">
        <v>1</v>
      </c>
      <c r="E524" s="6">
        <v>1.1499999999999999</v>
      </c>
      <c r="F524" s="6">
        <f t="shared" si="22"/>
        <v>1</v>
      </c>
      <c r="G524" s="6">
        <f t="shared" si="22"/>
        <v>1.1499999999999999</v>
      </c>
      <c r="H524" s="6">
        <f t="shared" si="23"/>
        <v>0.14999999999999991</v>
      </c>
      <c r="I524" s="163">
        <f t="shared" si="21"/>
        <v>0.14999999999999991</v>
      </c>
    </row>
    <row r="525" spans="1:9" x14ac:dyDescent="0.2">
      <c r="A525" s="136" t="s">
        <v>2037</v>
      </c>
      <c r="B525" s="7">
        <v>1</v>
      </c>
      <c r="C525" s="164">
        <f t="shared" si="20"/>
        <v>4.5454545454545456E-2</v>
      </c>
      <c r="D525" s="6">
        <v>30</v>
      </c>
      <c r="E525" s="6">
        <v>40</v>
      </c>
      <c r="F525" s="6">
        <f t="shared" si="22"/>
        <v>0.15</v>
      </c>
      <c r="G525" s="6">
        <f t="shared" si="22"/>
        <v>0.2</v>
      </c>
      <c r="H525" s="6">
        <f t="shared" si="23"/>
        <v>5.0000000000000017E-2</v>
      </c>
      <c r="I525" s="163">
        <f t="shared" si="21"/>
        <v>0.33333333333333348</v>
      </c>
    </row>
    <row r="526" spans="1:9" x14ac:dyDescent="0.2">
      <c r="A526" s="136" t="s">
        <v>2038</v>
      </c>
      <c r="B526" s="7">
        <v>1</v>
      </c>
      <c r="C526" s="164">
        <f t="shared" si="20"/>
        <v>4.5454545454545456E-2</v>
      </c>
      <c r="D526" s="6">
        <v>1</v>
      </c>
      <c r="E526" s="6">
        <v>2</v>
      </c>
      <c r="F526" s="6">
        <f t="shared" si="22"/>
        <v>20</v>
      </c>
      <c r="G526" s="6">
        <f t="shared" si="22"/>
        <v>40</v>
      </c>
      <c r="H526" s="6">
        <f t="shared" si="23"/>
        <v>20</v>
      </c>
      <c r="I526" s="163">
        <f t="shared" si="21"/>
        <v>1</v>
      </c>
    </row>
    <row r="527" spans="1:9" x14ac:dyDescent="0.2">
      <c r="A527" s="136" t="s">
        <v>2039</v>
      </c>
      <c r="B527" s="7">
        <v>1</v>
      </c>
      <c r="C527" s="164">
        <f t="shared" si="20"/>
        <v>4.5454545454545456E-2</v>
      </c>
      <c r="D527" s="6">
        <v>30</v>
      </c>
      <c r="E527" s="6">
        <v>36</v>
      </c>
      <c r="F527" s="6">
        <f t="shared" si="22"/>
        <v>20</v>
      </c>
      <c r="G527" s="6">
        <f t="shared" si="22"/>
        <v>24</v>
      </c>
      <c r="H527" s="6">
        <f t="shared" si="23"/>
        <v>4</v>
      </c>
      <c r="I527" s="163">
        <f t="shared" si="21"/>
        <v>0.2</v>
      </c>
    </row>
    <row r="529" spans="1:12" x14ac:dyDescent="0.2">
      <c r="A529" s="90" t="s">
        <v>2072</v>
      </c>
    </row>
    <row r="530" spans="1:12" x14ac:dyDescent="0.2">
      <c r="A530" s="136" t="s">
        <v>2076</v>
      </c>
      <c r="B530" s="136" t="s">
        <v>2077</v>
      </c>
      <c r="C530" s="136" t="s">
        <v>2041</v>
      </c>
      <c r="D530" s="136" t="s">
        <v>1886</v>
      </c>
      <c r="E530" s="90" t="s">
        <v>2078</v>
      </c>
    </row>
    <row r="531" spans="1:12" x14ac:dyDescent="0.2">
      <c r="A531" s="136" t="s">
        <v>2042</v>
      </c>
      <c r="B531" s="136">
        <v>11</v>
      </c>
      <c r="C531" s="136">
        <v>1</v>
      </c>
      <c r="D531" s="136">
        <f>ROUND($C$570/($B$531*$C$531+$B$532*$C$532+$B$533*$C$533+$B$534*$C$534+$B$535*$C$535)*C531,-2)</f>
        <v>100</v>
      </c>
      <c r="E531" s="90">
        <f>D531*B531</f>
        <v>1100</v>
      </c>
    </row>
    <row r="532" spans="1:12" x14ac:dyDescent="0.2">
      <c r="A532" s="136" t="s">
        <v>2073</v>
      </c>
      <c r="B532" s="136">
        <v>10</v>
      </c>
      <c r="C532" s="136">
        <v>3</v>
      </c>
      <c r="D532" s="136">
        <f t="shared" ref="D532:D535" si="24">ROUND($C$570/($B$531*$C$531+$B$532*$C$532+$B$533*$C$533+$B$534*$C$534+$B$535*$C$535)*C532,-2)</f>
        <v>300</v>
      </c>
      <c r="E532" s="90">
        <f t="shared" ref="E532:E535" si="25">D532*B532</f>
        <v>3000</v>
      </c>
    </row>
    <row r="533" spans="1:12" x14ac:dyDescent="0.2">
      <c r="A533" s="136" t="s">
        <v>2074</v>
      </c>
      <c r="B533" s="136">
        <v>8</v>
      </c>
      <c r="C533" s="136">
        <v>6</v>
      </c>
      <c r="D533" s="136">
        <f t="shared" si="24"/>
        <v>600</v>
      </c>
      <c r="E533" s="90">
        <f t="shared" si="25"/>
        <v>4800</v>
      </c>
    </row>
    <row r="534" spans="1:12" x14ac:dyDescent="0.2">
      <c r="A534" s="136" t="s">
        <v>2070</v>
      </c>
      <c r="B534" s="136">
        <v>1</v>
      </c>
      <c r="C534" s="136">
        <v>9</v>
      </c>
      <c r="D534" s="136">
        <f t="shared" si="24"/>
        <v>900</v>
      </c>
      <c r="E534" s="90">
        <f t="shared" si="25"/>
        <v>900</v>
      </c>
    </row>
    <row r="535" spans="1:12" x14ac:dyDescent="0.2">
      <c r="A535" s="136" t="s">
        <v>2075</v>
      </c>
      <c r="B535" s="136">
        <v>0</v>
      </c>
      <c r="C535" s="136">
        <v>12</v>
      </c>
      <c r="D535" s="136">
        <f t="shared" si="24"/>
        <v>1200</v>
      </c>
      <c r="E535" s="90">
        <f t="shared" si="25"/>
        <v>0</v>
      </c>
    </row>
    <row r="537" spans="1:12" x14ac:dyDescent="0.2">
      <c r="A537" s="90" t="s">
        <v>2071</v>
      </c>
    </row>
    <row r="538" spans="1:12" x14ac:dyDescent="0.2">
      <c r="A538" s="136" t="s">
        <v>2029</v>
      </c>
      <c r="B538" s="6" t="s">
        <v>2044</v>
      </c>
      <c r="F538" s="136" t="s">
        <v>2030</v>
      </c>
      <c r="G538" s="6" t="s">
        <v>2044</v>
      </c>
      <c r="K538" s="136" t="s">
        <v>2031</v>
      </c>
      <c r="L538" s="6" t="s">
        <v>2044</v>
      </c>
    </row>
    <row r="539" spans="1:12" x14ac:dyDescent="0.2">
      <c r="A539" s="136" t="s">
        <v>2042</v>
      </c>
      <c r="B539" s="6">
        <v>1</v>
      </c>
      <c r="F539" s="136" t="s">
        <v>2042</v>
      </c>
      <c r="G539" s="6">
        <v>50</v>
      </c>
      <c r="K539" s="136" t="s">
        <v>2042</v>
      </c>
      <c r="L539" s="162">
        <v>0.05</v>
      </c>
    </row>
    <row r="540" spans="1:12" x14ac:dyDescent="0.2">
      <c r="A540" s="136" t="s">
        <v>2045</v>
      </c>
      <c r="B540" s="6">
        <v>2</v>
      </c>
      <c r="F540" s="136" t="s">
        <v>2045</v>
      </c>
      <c r="G540" s="6">
        <v>100</v>
      </c>
      <c r="K540" s="136" t="s">
        <v>2045</v>
      </c>
      <c r="L540" s="162">
        <v>0.1</v>
      </c>
    </row>
    <row r="541" spans="1:12" x14ac:dyDescent="0.2">
      <c r="A541" s="136" t="s">
        <v>2046</v>
      </c>
      <c r="B541" s="6">
        <v>3</v>
      </c>
      <c r="F541" s="136" t="s">
        <v>2046</v>
      </c>
      <c r="G541" s="6">
        <v>150</v>
      </c>
      <c r="K541" s="136" t="s">
        <v>2046</v>
      </c>
      <c r="L541" s="162">
        <v>0.15</v>
      </c>
    </row>
    <row r="543" spans="1:12" x14ac:dyDescent="0.2">
      <c r="A543" s="136" t="s">
        <v>2032</v>
      </c>
      <c r="B543" s="6" t="s">
        <v>2044</v>
      </c>
      <c r="F543" s="136" t="s">
        <v>2033</v>
      </c>
      <c r="G543" s="6" t="s">
        <v>2044</v>
      </c>
      <c r="K543" s="136" t="s">
        <v>2034</v>
      </c>
      <c r="L543" s="6" t="s">
        <v>2044</v>
      </c>
    </row>
    <row r="544" spans="1:12" x14ac:dyDescent="0.2">
      <c r="A544" s="136" t="s">
        <v>2042</v>
      </c>
      <c r="B544" s="6">
        <v>10</v>
      </c>
      <c r="F544" s="136" t="s">
        <v>2042</v>
      </c>
      <c r="G544" s="6">
        <v>5</v>
      </c>
      <c r="K544" s="136" t="s">
        <v>2042</v>
      </c>
      <c r="L544" s="6">
        <v>5</v>
      </c>
    </row>
    <row r="545" spans="1:12" x14ac:dyDescent="0.2">
      <c r="A545" s="136" t="s">
        <v>2045</v>
      </c>
      <c r="B545" s="6">
        <v>20</v>
      </c>
      <c r="F545" s="136" t="s">
        <v>2045</v>
      </c>
      <c r="G545" s="6">
        <v>10</v>
      </c>
      <c r="K545" s="136" t="s">
        <v>2045</v>
      </c>
      <c r="L545" s="6">
        <v>10</v>
      </c>
    </row>
    <row r="546" spans="1:12" x14ac:dyDescent="0.2">
      <c r="A546" s="136" t="s">
        <v>2046</v>
      </c>
      <c r="B546" s="6">
        <v>30</v>
      </c>
      <c r="F546" s="136" t="s">
        <v>2046</v>
      </c>
      <c r="G546" s="6">
        <v>15</v>
      </c>
    </row>
    <row r="548" spans="1:12" x14ac:dyDescent="0.2">
      <c r="A548" s="136" t="s">
        <v>2035</v>
      </c>
      <c r="B548" s="6" t="s">
        <v>2044</v>
      </c>
      <c r="F548" s="136" t="s">
        <v>2036</v>
      </c>
      <c r="G548" s="6" t="s">
        <v>2044</v>
      </c>
      <c r="K548" s="136" t="s">
        <v>2037</v>
      </c>
      <c r="L548" s="6" t="s">
        <v>2044</v>
      </c>
    </row>
    <row r="549" spans="1:12" x14ac:dyDescent="0.2">
      <c r="A549" s="136" t="s">
        <v>2042</v>
      </c>
      <c r="B549" s="6">
        <v>1</v>
      </c>
      <c r="F549" s="136" t="s">
        <v>2042</v>
      </c>
      <c r="G549" s="162">
        <v>0.05</v>
      </c>
      <c r="K549" s="136" t="s">
        <v>2042</v>
      </c>
      <c r="L549" s="162">
        <v>0.05</v>
      </c>
    </row>
    <row r="550" spans="1:12" x14ac:dyDescent="0.2">
      <c r="A550" s="136" t="s">
        <v>2045</v>
      </c>
      <c r="B550" s="6">
        <v>2</v>
      </c>
      <c r="F550" s="136" t="s">
        <v>2045</v>
      </c>
      <c r="G550" s="162">
        <v>0.1</v>
      </c>
      <c r="K550" s="136" t="s">
        <v>2045</v>
      </c>
      <c r="L550" s="162">
        <v>0.1</v>
      </c>
    </row>
    <row r="551" spans="1:12" x14ac:dyDescent="0.2">
      <c r="A551" s="136" t="s">
        <v>2046</v>
      </c>
      <c r="B551" s="6">
        <v>3</v>
      </c>
      <c r="F551" s="136" t="s">
        <v>2046</v>
      </c>
      <c r="G551" s="162">
        <v>0.15</v>
      </c>
    </row>
    <row r="553" spans="1:12" x14ac:dyDescent="0.2">
      <c r="A553" s="136" t="s">
        <v>2038</v>
      </c>
      <c r="B553" s="6" t="s">
        <v>2044</v>
      </c>
      <c r="F553" s="136" t="s">
        <v>2039</v>
      </c>
      <c r="G553" s="6" t="s">
        <v>2044</v>
      </c>
    </row>
    <row r="554" spans="1:12" x14ac:dyDescent="0.2">
      <c r="A554" s="136" t="s">
        <v>2042</v>
      </c>
      <c r="B554" s="6">
        <v>1</v>
      </c>
      <c r="F554" s="136" t="s">
        <v>2042</v>
      </c>
      <c r="G554" s="162">
        <v>0.05</v>
      </c>
    </row>
    <row r="555" spans="1:12" x14ac:dyDescent="0.2">
      <c r="F555" s="136" t="s">
        <v>2045</v>
      </c>
      <c r="G555" s="162">
        <v>0.1</v>
      </c>
    </row>
    <row r="556" spans="1:12" x14ac:dyDescent="0.2">
      <c r="F556" s="136" t="s">
        <v>2046</v>
      </c>
      <c r="G556" s="162">
        <v>0.15</v>
      </c>
    </row>
    <row r="557" spans="1:12" x14ac:dyDescent="0.2">
      <c r="F557" s="136" t="s">
        <v>2070</v>
      </c>
      <c r="G557" s="162">
        <v>0.2</v>
      </c>
    </row>
    <row r="558" spans="1:12" x14ac:dyDescent="0.2">
      <c r="G558" s="162"/>
    </row>
    <row r="559" spans="1:12" x14ac:dyDescent="0.2">
      <c r="G559" s="162"/>
    </row>
    <row r="560" spans="1:12" s="4" customFormat="1" x14ac:dyDescent="0.2">
      <c r="A560" s="4" t="s">
        <v>2020</v>
      </c>
    </row>
    <row r="561" spans="1:14" x14ac:dyDescent="0.2">
      <c r="A561" s="6" t="s">
        <v>2021</v>
      </c>
    </row>
    <row r="562" spans="1:14" x14ac:dyDescent="0.2">
      <c r="A562" s="6" t="s">
        <v>2022</v>
      </c>
    </row>
    <row r="563" spans="1:14" x14ac:dyDescent="0.2">
      <c r="A563" s="6" t="s">
        <v>2023</v>
      </c>
    </row>
    <row r="564" spans="1:14" x14ac:dyDescent="0.2">
      <c r="A564" s="6" t="s">
        <v>1999</v>
      </c>
      <c r="B564" s="6">
        <v>5</v>
      </c>
    </row>
    <row r="565" spans="1:14" x14ac:dyDescent="0.2">
      <c r="A565" s="6" t="s">
        <v>1998</v>
      </c>
      <c r="B565" s="6">
        <v>7</v>
      </c>
    </row>
    <row r="568" spans="1:14" x14ac:dyDescent="0.2">
      <c r="A568" s="90" t="s">
        <v>2027</v>
      </c>
    </row>
    <row r="569" spans="1:14" x14ac:dyDescent="0.2">
      <c r="A569" s="8" t="s">
        <v>1997</v>
      </c>
      <c r="B569" s="8" t="s">
        <v>1995</v>
      </c>
      <c r="C569" s="8" t="s">
        <v>1996</v>
      </c>
      <c r="D569" s="90" t="s">
        <v>2019</v>
      </c>
      <c r="F569" s="8" t="s">
        <v>2018</v>
      </c>
      <c r="G569" s="8" t="s">
        <v>1995</v>
      </c>
      <c r="H569" s="8" t="s">
        <v>2018</v>
      </c>
      <c r="I569" s="90" t="s">
        <v>2019</v>
      </c>
    </row>
    <row r="570" spans="1:14" x14ac:dyDescent="0.2">
      <c r="A570" s="8" t="s">
        <v>1527</v>
      </c>
      <c r="B570" s="53">
        <v>1</v>
      </c>
      <c r="C570" s="116">
        <v>10000</v>
      </c>
      <c r="D570" s="90">
        <f>D571+D572</f>
        <v>10350</v>
      </c>
      <c r="F570" s="8" t="s">
        <v>2017</v>
      </c>
      <c r="G570" s="53">
        <v>0.2</v>
      </c>
      <c r="H570" s="116">
        <f>G570*$C$571</f>
        <v>1800</v>
      </c>
      <c r="I570" s="90">
        <f>SUM($C$577:$C$586)</f>
        <v>1600</v>
      </c>
    </row>
    <row r="571" spans="1:14" x14ac:dyDescent="0.2">
      <c r="A571" s="8" t="s">
        <v>2012</v>
      </c>
      <c r="B571" s="53">
        <v>0.9</v>
      </c>
      <c r="C571" s="116">
        <f>$C$570*B571</f>
        <v>9000</v>
      </c>
      <c r="D571" s="90">
        <f>SUM($C$577:$C$586)+SUM($M$577:$M$581)</f>
        <v>9300</v>
      </c>
      <c r="F571" s="8" t="s">
        <v>866</v>
      </c>
      <c r="G571" s="53">
        <v>0.8</v>
      </c>
      <c r="H571" s="116">
        <f>G571*$C$571</f>
        <v>7200</v>
      </c>
      <c r="I571" s="90">
        <f>SUM($M$577:$M$581)</f>
        <v>7700</v>
      </c>
    </row>
    <row r="572" spans="1:14" x14ac:dyDescent="0.2">
      <c r="A572" s="8" t="s">
        <v>2013</v>
      </c>
      <c r="B572" s="53">
        <v>0.1</v>
      </c>
      <c r="C572" s="116">
        <f>$C$570*B572</f>
        <v>1000</v>
      </c>
      <c r="D572" s="90">
        <f>$B$564*$B$565*D577</f>
        <v>1050</v>
      </c>
    </row>
    <row r="575" spans="1:14" x14ac:dyDescent="0.2">
      <c r="A575" s="90" t="s">
        <v>2026</v>
      </c>
    </row>
    <row r="576" spans="1:14" x14ac:dyDescent="0.2">
      <c r="A576" s="8" t="s">
        <v>2000</v>
      </c>
      <c r="B576" s="136" t="s">
        <v>2011</v>
      </c>
      <c r="C576" s="136" t="s">
        <v>2014</v>
      </c>
      <c r="D576" s="136" t="s">
        <v>2015</v>
      </c>
      <c r="F576" s="8" t="s">
        <v>2016</v>
      </c>
      <c r="G576" s="136"/>
      <c r="H576" s="136"/>
      <c r="I576" s="136"/>
      <c r="K576" s="8" t="s">
        <v>866</v>
      </c>
      <c r="L576" s="136" t="s">
        <v>2011</v>
      </c>
      <c r="M576" s="136" t="s">
        <v>2014</v>
      </c>
      <c r="N576" s="136" t="s">
        <v>2015</v>
      </c>
    </row>
    <row r="577" spans="1:14" x14ac:dyDescent="0.2">
      <c r="A577" s="8" t="s">
        <v>2001</v>
      </c>
      <c r="B577" s="116">
        <v>1</v>
      </c>
      <c r="C577" s="136">
        <f t="shared" ref="C577:C586" si="26">ROUND(B577/SUM($B$577:$B$586)*$H$570,-2)</f>
        <v>100</v>
      </c>
      <c r="D577" s="136">
        <f>ROUND($C$572/($B$564*$B$565),-1)</f>
        <v>30</v>
      </c>
      <c r="F577" s="8" t="s">
        <v>2013</v>
      </c>
      <c r="G577" s="136">
        <f t="shared" ref="G577" si="27">ROUND($C$572/($B$564*$B$565),-1)</f>
        <v>30</v>
      </c>
      <c r="H577" s="136"/>
      <c r="I577" s="136"/>
      <c r="K577" s="8" t="s">
        <v>2001</v>
      </c>
      <c r="L577" s="116">
        <v>1</v>
      </c>
      <c r="M577" s="136">
        <f>ROUND(L577/SUM($B$577:$B$586)*$H$571,-2)</f>
        <v>500</v>
      </c>
      <c r="N577" s="136">
        <f t="shared" ref="N577:N581" si="28">ROUND($C$572/($B$564*$B$565),-1)</f>
        <v>30</v>
      </c>
    </row>
    <row r="578" spans="1:14" x14ac:dyDescent="0.2">
      <c r="A578" s="8" t="s">
        <v>2002</v>
      </c>
      <c r="B578" s="116">
        <v>1</v>
      </c>
      <c r="C578" s="136">
        <f t="shared" si="26"/>
        <v>100</v>
      </c>
      <c r="D578" s="136">
        <f t="shared" ref="D578:D586" si="29">ROUND($C$572/($B$564*$B$565),-1)</f>
        <v>30</v>
      </c>
      <c r="K578" s="8" t="s">
        <v>2002</v>
      </c>
      <c r="L578" s="116">
        <v>2</v>
      </c>
      <c r="M578" s="136">
        <f>ROUND(L578/SUM($B$577:$B$586)*$H$571,-2)</f>
        <v>1000</v>
      </c>
      <c r="N578" s="136">
        <f t="shared" si="28"/>
        <v>30</v>
      </c>
    </row>
    <row r="579" spans="1:14" x14ac:dyDescent="0.2">
      <c r="A579" s="8" t="s">
        <v>2003</v>
      </c>
      <c r="B579" s="116">
        <v>1</v>
      </c>
      <c r="C579" s="136">
        <f t="shared" si="26"/>
        <v>100</v>
      </c>
      <c r="D579" s="136">
        <f t="shared" si="29"/>
        <v>30</v>
      </c>
      <c r="K579" s="8" t="s">
        <v>2003</v>
      </c>
      <c r="L579" s="116">
        <v>3</v>
      </c>
      <c r="M579" s="136">
        <f>ROUND(L579/SUM($B$577:$B$586)*$H$571,-2)</f>
        <v>1500</v>
      </c>
      <c r="N579" s="136">
        <f t="shared" si="28"/>
        <v>30</v>
      </c>
    </row>
    <row r="580" spans="1:14" x14ac:dyDescent="0.2">
      <c r="A580" s="8" t="s">
        <v>2004</v>
      </c>
      <c r="B580" s="116">
        <v>1</v>
      </c>
      <c r="C580" s="136">
        <f t="shared" si="26"/>
        <v>100</v>
      </c>
      <c r="D580" s="136">
        <f t="shared" si="29"/>
        <v>30</v>
      </c>
      <c r="K580" s="8" t="s">
        <v>2004</v>
      </c>
      <c r="L580" s="116">
        <v>4</v>
      </c>
      <c r="M580" s="136">
        <f>ROUND(L580/SUM($B$577:$B$586)*$H$571,-2)</f>
        <v>2100</v>
      </c>
      <c r="N580" s="136">
        <f t="shared" si="28"/>
        <v>30</v>
      </c>
    </row>
    <row r="581" spans="1:14" x14ac:dyDescent="0.2">
      <c r="A581" s="8" t="s">
        <v>2005</v>
      </c>
      <c r="B581" s="116">
        <v>3</v>
      </c>
      <c r="C581" s="136">
        <f t="shared" si="26"/>
        <v>400</v>
      </c>
      <c r="D581" s="136">
        <f t="shared" si="29"/>
        <v>30</v>
      </c>
      <c r="K581" s="8" t="s">
        <v>2005</v>
      </c>
      <c r="L581" s="116">
        <v>5</v>
      </c>
      <c r="M581" s="136">
        <f>ROUND(L581/SUM($B$577:$B$586)*$H$571,-2)</f>
        <v>2600</v>
      </c>
      <c r="N581" s="136">
        <f t="shared" si="28"/>
        <v>30</v>
      </c>
    </row>
    <row r="582" spans="1:14" x14ac:dyDescent="0.2">
      <c r="A582" s="8" t="s">
        <v>2006</v>
      </c>
      <c r="B582" s="116">
        <v>1</v>
      </c>
      <c r="C582" s="136">
        <f t="shared" si="26"/>
        <v>100</v>
      </c>
      <c r="D582" s="136">
        <f t="shared" si="29"/>
        <v>30</v>
      </c>
    </row>
    <row r="583" spans="1:14" x14ac:dyDescent="0.2">
      <c r="A583" s="8" t="s">
        <v>2007</v>
      </c>
      <c r="B583" s="116">
        <v>1</v>
      </c>
      <c r="C583" s="136">
        <f t="shared" si="26"/>
        <v>100</v>
      </c>
      <c r="D583" s="136">
        <f t="shared" si="29"/>
        <v>30</v>
      </c>
    </row>
    <row r="584" spans="1:14" x14ac:dyDescent="0.2">
      <c r="A584" s="8" t="s">
        <v>2008</v>
      </c>
      <c r="B584" s="116">
        <v>1</v>
      </c>
      <c r="C584" s="136">
        <f t="shared" si="26"/>
        <v>100</v>
      </c>
      <c r="D584" s="136">
        <f t="shared" si="29"/>
        <v>30</v>
      </c>
    </row>
    <row r="585" spans="1:14" x14ac:dyDescent="0.2">
      <c r="A585" s="8" t="s">
        <v>2009</v>
      </c>
      <c r="B585" s="116">
        <v>1</v>
      </c>
      <c r="C585" s="136">
        <f t="shared" si="26"/>
        <v>100</v>
      </c>
      <c r="D585" s="136">
        <f t="shared" si="29"/>
        <v>30</v>
      </c>
    </row>
    <row r="586" spans="1:14" x14ac:dyDescent="0.2">
      <c r="A586" s="8" t="s">
        <v>2010</v>
      </c>
      <c r="B586" s="116">
        <v>3</v>
      </c>
      <c r="C586" s="136">
        <f t="shared" si="26"/>
        <v>400</v>
      </c>
      <c r="D586" s="136">
        <f t="shared" si="29"/>
        <v>30</v>
      </c>
      <c r="E586" s="90"/>
    </row>
  </sheetData>
  <mergeCells count="25">
    <mergeCell ref="D300:G300"/>
    <mergeCell ref="H300:K300"/>
    <mergeCell ref="G381:J381"/>
    <mergeCell ref="K381:N381"/>
    <mergeCell ref="D326:G326"/>
    <mergeCell ref="H326:K326"/>
    <mergeCell ref="B25:G25"/>
    <mergeCell ref="H25:K25"/>
    <mergeCell ref="D204:G204"/>
    <mergeCell ref="D123:G123"/>
    <mergeCell ref="D130:K130"/>
    <mergeCell ref="G143:J143"/>
    <mergeCell ref="K143:N143"/>
    <mergeCell ref="D228:G228"/>
    <mergeCell ref="H228:K228"/>
    <mergeCell ref="D252:G252"/>
    <mergeCell ref="H252:K252"/>
    <mergeCell ref="D276:G276"/>
    <mergeCell ref="H276:K276"/>
    <mergeCell ref="G408:J408"/>
    <mergeCell ref="K408:N408"/>
    <mergeCell ref="G435:J435"/>
    <mergeCell ref="K435:N435"/>
    <mergeCell ref="G462:J462"/>
    <mergeCell ref="K462:N462"/>
  </mergeCells>
  <phoneticPr fontId="4" type="noConversion"/>
  <conditionalFormatting sqref="B78:B80">
    <cfRule type="dataBar" priority="10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{DD5CDEA9-94BB-47FC-9D11-EF39744231F3}</x14:id>
        </ext>
      </extLst>
    </cfRule>
  </conditionalFormatting>
  <conditionalFormatting sqref="B124:B126">
    <cfRule type="dataBar" priority="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{4C8BDF73-2FA6-49A1-B979-C86E88400865}</x14:id>
        </ext>
      </extLst>
    </cfRule>
  </conditionalFormatting>
  <conditionalFormatting sqref="B131:B140">
    <cfRule type="dataBar" priority="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{167BAA26-4EAF-42A0-8850-0C7247AEC615}</x14:id>
        </ext>
      </extLst>
    </cfRule>
  </conditionalFormatting>
  <conditionalFormatting sqref="B205 B209 B213 B217 B221">
    <cfRule type="dataBar" priority="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{D62D4BC9-97F8-41F7-B6BB-AADEBE4DC9F0}</x14:id>
        </ext>
      </extLst>
    </cfRule>
  </conditionalFormatting>
  <conditionalFormatting sqref="B205:B224">
    <cfRule type="dataBar" priority="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{DCD938B9-BFA4-4ACD-ABC2-296326E0B6B0}</x14:id>
        </ext>
      </extLst>
    </cfRule>
  </conditionalFormatting>
  <conditionalFormatting sqref="B206:B208">
    <cfRule type="dataBar" priority="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{7FE494A3-BFE6-49F4-AF4D-83EBADF5E182}</x14:id>
        </ext>
      </extLst>
    </cfRule>
  </conditionalFormatting>
  <conditionalFormatting sqref="B210:B212 B214:B216 B218:B220 B222:B224">
    <cfRule type="dataBar" priority="7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{446D93BE-C766-4831-9AEE-0EED4B2F9F41}</x14:id>
        </ext>
      </extLst>
    </cfRule>
  </conditionalFormatting>
  <conditionalFormatting sqref="B225">
    <cfRule type="dataBar" priority="1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{24FDAD87-C0C9-414A-8749-31D1BAA80784}</x14:id>
        </ext>
      </extLst>
    </cfRule>
  </conditionalFormatting>
  <conditionalFormatting sqref="B229 B233 B237 B241 B245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{028DF327-C58A-4EE0-AD7C-69A7B963E804}</x14:id>
        </ext>
      </extLst>
    </cfRule>
  </conditionalFormatting>
  <conditionalFormatting sqref="B229:B248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{802AFC50-2727-4E62-AC6F-113F40511446}</x14:id>
        </ext>
      </extLst>
    </cfRule>
  </conditionalFormatting>
  <conditionalFormatting sqref="B230:B232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{5A94482B-B6B1-4C60-B4D6-CE5490B664B9}</x14:id>
        </ext>
      </extLst>
    </cfRule>
  </conditionalFormatting>
  <conditionalFormatting sqref="B234:B236 B238:B240 B242:B244 B246:B248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{28E8DB5A-C9B8-461B-96F3-D63B70F3D583}</x14:id>
        </ext>
      </extLst>
    </cfRule>
  </conditionalFormatting>
  <conditionalFormatting sqref="B249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{BD14D645-5CE2-40AB-B523-A5A1A9444261}</x14:id>
        </ext>
      </extLst>
    </cfRule>
  </conditionalFormatting>
  <conditionalFormatting sqref="B253:B272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{26A86AF4-1CDF-40DA-99A4-116BF8456F87}</x14:id>
        </ext>
      </extLst>
    </cfRule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{915264E0-4DCF-4E39-9DD5-6CA3095DF278}</x14:id>
        </ext>
      </extLst>
    </cfRule>
  </conditionalFormatting>
  <conditionalFormatting sqref="B254:B256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{326F3A38-35C8-4E12-BD27-044C4BB53976}</x14:id>
        </ext>
      </extLst>
    </cfRule>
  </conditionalFormatting>
  <conditionalFormatting sqref="B258:B260 B262:B264 B266:B268 B270:B272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{5D2C5901-4BCF-438F-B558-E0DF6C1C5E89}</x14:id>
        </ext>
      </extLst>
    </cfRule>
  </conditionalFormatting>
  <conditionalFormatting sqref="B273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{C8198474-394B-4AAF-907C-AA381A6EFB9B}</x14:id>
        </ext>
      </extLst>
    </cfRule>
  </conditionalFormatting>
  <conditionalFormatting sqref="B277:B296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{90923E78-B452-4CE1-BA08-5CAE3CE935F5}</x14:id>
        </ext>
      </extLst>
    </cfRule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{FF0363CA-7964-4B2A-BB58-97DC14CC12A3}</x14:id>
        </ext>
      </extLst>
    </cfRule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{552CCF38-CEED-4E10-8E0C-B14BC9D74946}</x14:id>
        </ext>
      </extLst>
    </cfRule>
  </conditionalFormatting>
  <conditionalFormatting sqref="B297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{0F628427-DAAF-409E-9D1F-E1271BCD8C6C}</x14:id>
        </ext>
      </extLst>
    </cfRule>
  </conditionalFormatting>
  <conditionalFormatting sqref="B301 B320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{9B733424-BEBB-4B39-A59C-E81C02079D7F}</x14:id>
        </ext>
      </extLst>
    </cfRule>
  </conditionalFormatting>
  <conditionalFormatting sqref="B301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{989F7735-8238-41C3-99AE-4D9C24C15314}</x14:id>
        </ext>
      </extLst>
    </cfRule>
  </conditionalFormatting>
  <conditionalFormatting sqref="B302:B319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{A9F34575-C124-4C48-AB4C-1356B69F8F3C}</x14:id>
        </ext>
      </extLst>
    </cfRule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{62314B5E-FBF9-49B2-B491-5633A038E72B}</x14:id>
        </ext>
      </extLst>
    </cfRule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{12B07250-4698-46EA-8724-67527E7D82A5}</x14:id>
        </ext>
      </extLst>
    </cfRule>
  </conditionalFormatting>
  <conditionalFormatting sqref="B320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{9648CE89-640D-4440-A090-25BB63C5290C}</x14:id>
        </ext>
      </extLst>
    </cfRule>
  </conditionalFormatting>
  <conditionalFormatting sqref="B321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{A897FD2D-C941-422C-9376-E49C3C23983F}</x14:id>
        </ext>
      </extLst>
    </cfRule>
  </conditionalFormatting>
  <conditionalFormatting sqref="B327:B347">
    <cfRule type="dataBar" priority="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{E887857C-7882-4375-A958-54226BF4F791}</x14:id>
        </ext>
      </extLst>
    </cfRule>
  </conditionalFormatting>
  <conditionalFormatting sqref="B353:B357">
    <cfRule type="dataBar" priority="1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{F413577D-0413-43A0-B724-2B87847BAC77}</x14:id>
        </ext>
      </extLst>
    </cfRule>
  </conditionalFormatting>
  <conditionalFormatting sqref="B360:B364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{BC8228FF-CB59-474C-B309-33A3104388BE}</x14:id>
        </ext>
      </extLst>
    </cfRule>
  </conditionalFormatting>
  <conditionalFormatting sqref="B367:B371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{B623627F-E0E4-48DB-ADE1-C8E4F8051F96}</x14:id>
        </ext>
      </extLst>
    </cfRule>
  </conditionalFormatting>
  <conditionalFormatting sqref="B374:B378">
    <cfRule type="dataBar" priority="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{34B5B370-C7EC-420A-B9BC-6AE871166E9E}</x14:id>
        </ext>
      </extLst>
    </cfRule>
  </conditionalFormatting>
  <conditionalFormatting sqref="B59:C59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{0A59312A-32DE-439E-93DA-87E6ACD8CFA5}</x14:id>
        </ext>
      </extLst>
    </cfRule>
  </conditionalFormatting>
  <conditionalFormatting sqref="B59:C75">
    <cfRule type="dataBar" priority="1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{9E3FC92F-FC09-490B-8686-63C052BA50E8}</x14:id>
        </ext>
      </extLst>
    </cfRule>
    <cfRule type="dataBar" priority="1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{5E98F10C-80F3-4EA6-93B8-A3CCB50053FE}</x14:id>
        </ext>
      </extLst>
    </cfRule>
  </conditionalFormatting>
  <conditionalFormatting sqref="B60:C75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{93C7D234-430A-4211-908D-F7A2EFECA223}</x14:id>
        </ext>
      </extLst>
    </cfRule>
  </conditionalFormatting>
  <conditionalFormatting sqref="C78:C80">
    <cfRule type="dataBar" priority="10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{15344B84-CE0B-4645-A96C-A1EA5637A30D}</x14:id>
        </ext>
      </extLst>
    </cfRule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{D502FBFD-CE44-4943-9D4B-F0A9F003C3B6}</x14:id>
        </ext>
      </extLst>
    </cfRule>
  </conditionalFormatting>
  <conditionalFormatting sqref="C353:C354 C356">
    <cfRule type="dataBar" priority="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{AB292FFE-8811-41BF-BF77-77B7ACFC11CC}</x14:id>
        </ext>
      </extLst>
    </cfRule>
  </conditionalFormatting>
  <conditionalFormatting sqref="C355">
    <cfRule type="dataBar" priority="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{0D5A522F-662E-4D5C-89ED-75D5FFDF867C}</x14:id>
        </ext>
      </extLst>
    </cfRule>
  </conditionalFormatting>
  <conditionalFormatting sqref="C357">
    <cfRule type="dataBar" priority="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{8DDA390B-1641-4E68-B9D0-0153329C008F}</x14:id>
        </ext>
      </extLst>
    </cfRule>
  </conditionalFormatting>
  <conditionalFormatting sqref="C360:C361 C363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{AF737ECA-1C2F-4D32-9FF9-7AD2D519F1E0}</x14:id>
        </ext>
      </extLst>
    </cfRule>
  </conditionalFormatting>
  <conditionalFormatting sqref="C362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{8AD40156-F138-4816-B780-FF114D5453CF}</x14:id>
        </ext>
      </extLst>
    </cfRule>
  </conditionalFormatting>
  <conditionalFormatting sqref="C364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{D869F212-A5F5-428D-A9EB-B703697C7EAC}</x14:id>
        </ext>
      </extLst>
    </cfRule>
  </conditionalFormatting>
  <conditionalFormatting sqref="C367:C368 C370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{12BD5686-3AC2-4E40-AE35-3B2D6C5AAF1F}</x14:id>
        </ext>
      </extLst>
    </cfRule>
  </conditionalFormatting>
  <conditionalFormatting sqref="C369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{A1A94A6D-E1C5-4285-9748-E343BB2D7384}</x14:id>
        </ext>
      </extLst>
    </cfRule>
  </conditionalFormatting>
  <conditionalFormatting sqref="C371">
    <cfRule type="dataBar" priority="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{879A8685-71E1-4432-A91B-24B7D48BC89D}</x14:id>
        </ext>
      </extLst>
    </cfRule>
  </conditionalFormatting>
  <conditionalFormatting sqref="C374:C375 C377">
    <cfRule type="dataBar" priority="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{25281012-1D5C-4041-9481-37AEF610A9C7}</x14:id>
        </ext>
      </extLst>
    </cfRule>
  </conditionalFormatting>
  <conditionalFormatting sqref="C376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{F3613B55-56FE-496C-B9EC-0ADA4AA99301}</x14:id>
        </ext>
      </extLst>
    </cfRule>
  </conditionalFormatting>
  <conditionalFormatting sqref="C378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{BE0E59C3-B6D1-4E8E-890B-9FDD3542DFB6}</x14:id>
        </ext>
      </extLst>
    </cfRule>
  </conditionalFormatting>
  <conditionalFormatting sqref="D144:D196">
    <cfRule type="dataBar" priority="8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{77EB7C4E-EE69-49F8-AD21-508FE8A4B8BD}</x14:id>
        </ext>
      </extLst>
    </cfRule>
  </conditionalFormatting>
  <conditionalFormatting sqref="D353:D357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{7B568356-DFB9-43FA-97A4-4E2B3664D17C}</x14:id>
        </ext>
      </extLst>
    </cfRule>
  </conditionalFormatting>
  <conditionalFormatting sqref="D360:D364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{0FA83254-C945-4256-8B19-24F0E8386ED4}</x14:id>
        </ext>
      </extLst>
    </cfRule>
  </conditionalFormatting>
  <conditionalFormatting sqref="D367:D371">
    <cfRule type="dataBar" priority="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{11A386C3-CD78-40B2-A48F-CFD08626ADF3}</x14:id>
        </ext>
      </extLst>
    </cfRule>
  </conditionalFormatting>
  <conditionalFormatting sqref="D374:D378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{FDE3ADF9-CBEE-4D9F-BDF0-B26FDFF62D3D}</x14:id>
        </ext>
      </extLst>
    </cfRule>
  </conditionalFormatting>
  <conditionalFormatting sqref="D382:D405">
    <cfRule type="dataBar" priority="1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{D62D1775-3E98-4B30-BCD7-ED0E456C6951}</x14:id>
        </ext>
      </extLst>
    </cfRule>
  </conditionalFormatting>
  <conditionalFormatting sqref="D409:D432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{B59DDF34-F5B5-46AD-B503-2C0FD70D6E16}</x14:id>
        </ext>
      </extLst>
    </cfRule>
  </conditionalFormatting>
  <conditionalFormatting sqref="D436:D459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{74654B09-9F8F-477D-95DC-E69AF9623912}</x14:id>
        </ext>
      </extLst>
    </cfRule>
  </conditionalFormatting>
  <conditionalFormatting sqref="D463:D486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{4DE964A2-8663-4CD2-9987-7CC43D424A3D}</x14:id>
        </ext>
      </extLst>
    </cfRule>
  </conditionalFormatting>
  <conditionalFormatting sqref="H327:K346">
    <cfRule type="cellIs" dxfId="26" priority="81" operator="equal">
      <formula>0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5CDEA9-94BB-47FC-9D11-EF39744231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B78:B80</xm:sqref>
        </x14:conditionalFormatting>
        <x14:conditionalFormatting xmlns:xm="http://schemas.microsoft.com/office/excel/2006/main">
          <x14:cfRule type="dataBar" id="{4C8BDF73-2FA6-49A1-B979-C86E884008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B124:B126</xm:sqref>
        </x14:conditionalFormatting>
        <x14:conditionalFormatting xmlns:xm="http://schemas.microsoft.com/office/excel/2006/main">
          <x14:cfRule type="dataBar" id="{167BAA26-4EAF-42A0-8850-0C7247AEC6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B131:B140</xm:sqref>
        </x14:conditionalFormatting>
        <x14:conditionalFormatting xmlns:xm="http://schemas.microsoft.com/office/excel/2006/main">
          <x14:cfRule type="dataBar" id="{D62D4BC9-97F8-41F7-B6BB-AADEBE4DC9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 B209 B213 B217 B221</xm:sqref>
        </x14:conditionalFormatting>
        <x14:conditionalFormatting xmlns:xm="http://schemas.microsoft.com/office/excel/2006/main">
          <x14:cfRule type="dataBar" id="{DCD938B9-BFA4-4ACD-ABC2-296326E0B6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B205:B224</xm:sqref>
        </x14:conditionalFormatting>
        <x14:conditionalFormatting xmlns:xm="http://schemas.microsoft.com/office/excel/2006/main">
          <x14:cfRule type="dataBar" id="{7FE494A3-BFE6-49F4-AF4D-83EBADF5E1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B206:B208</xm:sqref>
        </x14:conditionalFormatting>
        <x14:conditionalFormatting xmlns:xm="http://schemas.microsoft.com/office/excel/2006/main">
          <x14:cfRule type="dataBar" id="{446D93BE-C766-4831-9AEE-0EED4B2F9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B210:B212 B214:B216 B218:B220 B222:B224</xm:sqref>
        </x14:conditionalFormatting>
        <x14:conditionalFormatting xmlns:xm="http://schemas.microsoft.com/office/excel/2006/main">
          <x14:cfRule type="dataBar" id="{24FDAD87-C0C9-414A-8749-31D1BAA807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028DF327-C58A-4EE0-AD7C-69A7B963E8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 B233 B237 B241 B245</xm:sqref>
        </x14:conditionalFormatting>
        <x14:conditionalFormatting xmlns:xm="http://schemas.microsoft.com/office/excel/2006/main">
          <x14:cfRule type="dataBar" id="{802AFC50-2727-4E62-AC6F-113F405114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B229:B248</xm:sqref>
        </x14:conditionalFormatting>
        <x14:conditionalFormatting xmlns:xm="http://schemas.microsoft.com/office/excel/2006/main">
          <x14:cfRule type="dataBar" id="{5A94482B-B6B1-4C60-B4D6-CE5490B664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B230:B232</xm:sqref>
        </x14:conditionalFormatting>
        <x14:conditionalFormatting xmlns:xm="http://schemas.microsoft.com/office/excel/2006/main">
          <x14:cfRule type="dataBar" id="{28E8DB5A-C9B8-461B-96F3-D63B70F3D5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B234:B236 B238:B240 B242:B244 B246:B248</xm:sqref>
        </x14:conditionalFormatting>
        <x14:conditionalFormatting xmlns:xm="http://schemas.microsoft.com/office/excel/2006/main">
          <x14:cfRule type="dataBar" id="{BD14D645-5CE2-40AB-B523-A5A1A94442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26A86AF4-1CDF-40DA-99A4-116BF8456F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15264E0-4DCF-4E39-9DD5-6CA3095DF2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B253:B272</xm:sqref>
        </x14:conditionalFormatting>
        <x14:conditionalFormatting xmlns:xm="http://schemas.microsoft.com/office/excel/2006/main">
          <x14:cfRule type="dataBar" id="{326F3A38-35C8-4E12-BD27-044C4BB53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B254:B256</xm:sqref>
        </x14:conditionalFormatting>
        <x14:conditionalFormatting xmlns:xm="http://schemas.microsoft.com/office/excel/2006/main">
          <x14:cfRule type="dataBar" id="{5D2C5901-4BCF-438F-B558-E0DF6C1C5E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B258:B260 B262:B264 B266:B268 B270:B272</xm:sqref>
        </x14:conditionalFormatting>
        <x14:conditionalFormatting xmlns:xm="http://schemas.microsoft.com/office/excel/2006/main">
          <x14:cfRule type="dataBar" id="{C8198474-394B-4AAF-907C-AA381A6EFB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B273</xm:sqref>
        </x14:conditionalFormatting>
        <x14:conditionalFormatting xmlns:xm="http://schemas.microsoft.com/office/excel/2006/main">
          <x14:cfRule type="dataBar" id="{90923E78-B452-4CE1-BA08-5CAE3CE935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F0363CA-7964-4B2A-BB58-97DC14CC1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52CCF38-CEED-4E10-8E0C-B14BC9D749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B277:B296</xm:sqref>
        </x14:conditionalFormatting>
        <x14:conditionalFormatting xmlns:xm="http://schemas.microsoft.com/office/excel/2006/main">
          <x14:cfRule type="dataBar" id="{0F628427-DAAF-409E-9D1F-E1271BCD8C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B297</xm:sqref>
        </x14:conditionalFormatting>
        <x14:conditionalFormatting xmlns:xm="http://schemas.microsoft.com/office/excel/2006/main">
          <x14:cfRule type="dataBar" id="{9B733424-BEBB-4B39-A59C-E81C02079D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B301 B320</xm:sqref>
        </x14:conditionalFormatting>
        <x14:conditionalFormatting xmlns:xm="http://schemas.microsoft.com/office/excel/2006/main">
          <x14:cfRule type="dataBar" id="{989F7735-8238-41C3-99AE-4D9C24C153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B301</xm:sqref>
        </x14:conditionalFormatting>
        <x14:conditionalFormatting xmlns:xm="http://schemas.microsoft.com/office/excel/2006/main">
          <x14:cfRule type="dataBar" id="{A9F34575-C124-4C48-AB4C-1356B69F8F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2314B5E-FBF9-49B2-B491-5633A038E7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2B07250-4698-46EA-8724-67527E7D82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B302:B319</xm:sqref>
        </x14:conditionalFormatting>
        <x14:conditionalFormatting xmlns:xm="http://schemas.microsoft.com/office/excel/2006/main">
          <x14:cfRule type="dataBar" id="{9648CE89-640D-4440-A090-25BB63C529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B320</xm:sqref>
        </x14:conditionalFormatting>
        <x14:conditionalFormatting xmlns:xm="http://schemas.microsoft.com/office/excel/2006/main">
          <x14:cfRule type="dataBar" id="{A897FD2D-C941-422C-9376-E49C3C2398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B321</xm:sqref>
        </x14:conditionalFormatting>
        <x14:conditionalFormatting xmlns:xm="http://schemas.microsoft.com/office/excel/2006/main">
          <x14:cfRule type="dataBar" id="{E887857C-7882-4375-A958-54226BF4F7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B327:B347</xm:sqref>
        </x14:conditionalFormatting>
        <x14:conditionalFormatting xmlns:xm="http://schemas.microsoft.com/office/excel/2006/main">
          <x14:cfRule type="dataBar" id="{F413577D-0413-43A0-B724-2B87847BAC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B353:B357</xm:sqref>
        </x14:conditionalFormatting>
        <x14:conditionalFormatting xmlns:xm="http://schemas.microsoft.com/office/excel/2006/main">
          <x14:cfRule type="dataBar" id="{BC8228FF-CB59-474C-B309-33A3104388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B360:B364</xm:sqref>
        </x14:conditionalFormatting>
        <x14:conditionalFormatting xmlns:xm="http://schemas.microsoft.com/office/excel/2006/main">
          <x14:cfRule type="dataBar" id="{B623627F-E0E4-48DB-ADE1-C8E4F8051F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B367:B371</xm:sqref>
        </x14:conditionalFormatting>
        <x14:conditionalFormatting xmlns:xm="http://schemas.microsoft.com/office/excel/2006/main">
          <x14:cfRule type="dataBar" id="{34B5B370-C7EC-420A-B9BC-6AE871166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B374:B378</xm:sqref>
        </x14:conditionalFormatting>
        <x14:conditionalFormatting xmlns:xm="http://schemas.microsoft.com/office/excel/2006/main">
          <x14:cfRule type="dataBar" id="{0A59312A-32DE-439E-93DA-87E6ACD8C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B59:C59</xm:sqref>
        </x14:conditionalFormatting>
        <x14:conditionalFormatting xmlns:xm="http://schemas.microsoft.com/office/excel/2006/main">
          <x14:cfRule type="dataBar" id="{9E3FC92F-FC09-490B-8686-63C052BA50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E98F10C-80F3-4EA6-93B8-A3CCB50053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B59:C75</xm:sqref>
        </x14:conditionalFormatting>
        <x14:conditionalFormatting xmlns:xm="http://schemas.microsoft.com/office/excel/2006/main">
          <x14:cfRule type="dataBar" id="{93C7D234-430A-4211-908D-F7A2EFECA2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B60:C75</xm:sqref>
        </x14:conditionalFormatting>
        <x14:conditionalFormatting xmlns:xm="http://schemas.microsoft.com/office/excel/2006/main">
          <x14:cfRule type="dataBar" id="{15344B84-CE0B-4645-A96C-A1EA5637A3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502FBFD-CE44-4943-9D4B-F0A9F003C3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C78:C80</xm:sqref>
        </x14:conditionalFormatting>
        <x14:conditionalFormatting xmlns:xm="http://schemas.microsoft.com/office/excel/2006/main">
          <x14:cfRule type="dataBar" id="{AB292FFE-8811-41BF-BF77-77B7ACFC11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C353:C354 C356</xm:sqref>
        </x14:conditionalFormatting>
        <x14:conditionalFormatting xmlns:xm="http://schemas.microsoft.com/office/excel/2006/main">
          <x14:cfRule type="dataBar" id="{0D5A522F-662E-4D5C-89ED-75D5FFDF86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C355</xm:sqref>
        </x14:conditionalFormatting>
        <x14:conditionalFormatting xmlns:xm="http://schemas.microsoft.com/office/excel/2006/main">
          <x14:cfRule type="dataBar" id="{8DDA390B-1641-4E68-B9D0-0153329C00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C357</xm:sqref>
        </x14:conditionalFormatting>
        <x14:conditionalFormatting xmlns:xm="http://schemas.microsoft.com/office/excel/2006/main">
          <x14:cfRule type="dataBar" id="{AF737ECA-1C2F-4D32-9FF9-7AD2D519F1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C360:C361 C363</xm:sqref>
        </x14:conditionalFormatting>
        <x14:conditionalFormatting xmlns:xm="http://schemas.microsoft.com/office/excel/2006/main">
          <x14:cfRule type="dataBar" id="{8AD40156-F138-4816-B780-FF114D5453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C362</xm:sqref>
        </x14:conditionalFormatting>
        <x14:conditionalFormatting xmlns:xm="http://schemas.microsoft.com/office/excel/2006/main">
          <x14:cfRule type="dataBar" id="{D869F212-A5F5-428D-A9EB-B703697C7E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C364</xm:sqref>
        </x14:conditionalFormatting>
        <x14:conditionalFormatting xmlns:xm="http://schemas.microsoft.com/office/excel/2006/main">
          <x14:cfRule type="dataBar" id="{12BD5686-3AC2-4E40-AE35-3B2D6C5AAF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C367:C368 C370</xm:sqref>
        </x14:conditionalFormatting>
        <x14:conditionalFormatting xmlns:xm="http://schemas.microsoft.com/office/excel/2006/main">
          <x14:cfRule type="dataBar" id="{A1A94A6D-E1C5-4285-9748-E343BB2D73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C369</xm:sqref>
        </x14:conditionalFormatting>
        <x14:conditionalFormatting xmlns:xm="http://schemas.microsoft.com/office/excel/2006/main">
          <x14:cfRule type="dataBar" id="{879A8685-71E1-4432-A91B-24B7D48BC8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C371</xm:sqref>
        </x14:conditionalFormatting>
        <x14:conditionalFormatting xmlns:xm="http://schemas.microsoft.com/office/excel/2006/main">
          <x14:cfRule type="dataBar" id="{25281012-1D5C-4041-9481-37AEF610A9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C374:C375 C377</xm:sqref>
        </x14:conditionalFormatting>
        <x14:conditionalFormatting xmlns:xm="http://schemas.microsoft.com/office/excel/2006/main">
          <x14:cfRule type="dataBar" id="{F3613B55-56FE-496C-B9EC-0ADA4AA993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C376</xm:sqref>
        </x14:conditionalFormatting>
        <x14:conditionalFormatting xmlns:xm="http://schemas.microsoft.com/office/excel/2006/main">
          <x14:cfRule type="dataBar" id="{BE0E59C3-B6D1-4E8E-890B-9FDD3542DF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C378</xm:sqref>
        </x14:conditionalFormatting>
        <x14:conditionalFormatting xmlns:xm="http://schemas.microsoft.com/office/excel/2006/main">
          <x14:cfRule type="dataBar" id="{77EB7C4E-EE69-49F8-AD21-508FE8A4B8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D144:D196</xm:sqref>
        </x14:conditionalFormatting>
        <x14:conditionalFormatting xmlns:xm="http://schemas.microsoft.com/office/excel/2006/main">
          <x14:cfRule type="dataBar" id="{7B568356-DFB9-43FA-97A4-4E2B3664D1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D353:D357</xm:sqref>
        </x14:conditionalFormatting>
        <x14:conditionalFormatting xmlns:xm="http://schemas.microsoft.com/office/excel/2006/main">
          <x14:cfRule type="dataBar" id="{0FA83254-C945-4256-8B19-24F0E8386E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D360:D364</xm:sqref>
        </x14:conditionalFormatting>
        <x14:conditionalFormatting xmlns:xm="http://schemas.microsoft.com/office/excel/2006/main">
          <x14:cfRule type="dataBar" id="{11A386C3-CD78-40B2-A48F-CFD08626AD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D367:D371</xm:sqref>
        </x14:conditionalFormatting>
        <x14:conditionalFormatting xmlns:xm="http://schemas.microsoft.com/office/excel/2006/main">
          <x14:cfRule type="dataBar" id="{FDE3ADF9-CBEE-4D9F-BDF0-B26FDFF62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D374:D378</xm:sqref>
        </x14:conditionalFormatting>
        <x14:conditionalFormatting xmlns:xm="http://schemas.microsoft.com/office/excel/2006/main">
          <x14:cfRule type="dataBar" id="{D62D1775-3E98-4B30-BCD7-ED0E456C69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D382:D405</xm:sqref>
        </x14:conditionalFormatting>
        <x14:conditionalFormatting xmlns:xm="http://schemas.microsoft.com/office/excel/2006/main">
          <x14:cfRule type="dataBar" id="{B59DDF34-F5B5-46AD-B503-2C0FD70D6E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D409:D432</xm:sqref>
        </x14:conditionalFormatting>
        <x14:conditionalFormatting xmlns:xm="http://schemas.microsoft.com/office/excel/2006/main">
          <x14:cfRule type="dataBar" id="{74654B09-9F8F-477D-95DC-E69AF96239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D436:D459</xm:sqref>
        </x14:conditionalFormatting>
        <x14:conditionalFormatting xmlns:xm="http://schemas.microsoft.com/office/excel/2006/main">
          <x14:cfRule type="dataBar" id="{4DE964A2-8663-4CD2-9987-7CC43D424A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D463:D486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016A0-4698-49DE-8765-E38F066FA467}">
  <dimension ref="A1:T61"/>
  <sheetViews>
    <sheetView zoomScale="85" zoomScaleNormal="85" workbookViewId="0">
      <selection activeCell="A22" sqref="A22:C26"/>
    </sheetView>
  </sheetViews>
  <sheetFormatPr defaultRowHeight="14.25" x14ac:dyDescent="0.2"/>
  <cols>
    <col min="1" max="1" width="16" style="84" customWidth="1"/>
    <col min="2" max="2" width="37.625" style="84" customWidth="1"/>
    <col min="3" max="3" width="52.625" style="84" bestFit="1" customWidth="1"/>
    <col min="4" max="5" width="14.75" style="84" customWidth="1"/>
    <col min="6" max="6" width="9" style="84"/>
    <col min="7" max="8" width="9" style="94"/>
    <col min="9" max="17" width="9" style="84"/>
    <col min="18" max="18" width="18" style="84" customWidth="1"/>
    <col min="19" max="19" width="26.25" style="84" bestFit="1" customWidth="1"/>
    <col min="20" max="20" width="21.375" style="84" bestFit="1" customWidth="1"/>
    <col min="21" max="16384" width="9" style="84"/>
  </cols>
  <sheetData>
    <row r="1" spans="1:16" x14ac:dyDescent="0.2">
      <c r="A1" s="151" t="s">
        <v>1759</v>
      </c>
      <c r="B1" s="151" t="s">
        <v>1760</v>
      </c>
      <c r="C1" s="151" t="s">
        <v>1761</v>
      </c>
      <c r="D1" s="151" t="s">
        <v>1762</v>
      </c>
      <c r="E1" s="151" t="s">
        <v>391</v>
      </c>
      <c r="G1" s="94" t="s">
        <v>1763</v>
      </c>
      <c r="N1" s="84" t="s">
        <v>1834</v>
      </c>
    </row>
    <row r="2" spans="1:16" x14ac:dyDescent="0.2">
      <c r="A2" s="186" t="s">
        <v>1769</v>
      </c>
      <c r="B2" s="152" t="s">
        <v>1770</v>
      </c>
      <c r="C2" s="152" t="s">
        <v>1774</v>
      </c>
      <c r="D2" s="152"/>
      <c r="E2" s="152"/>
      <c r="H2" s="94" t="s">
        <v>1777</v>
      </c>
      <c r="O2" s="153" t="s">
        <v>1838</v>
      </c>
    </row>
    <row r="3" spans="1:16" x14ac:dyDescent="0.2">
      <c r="A3" s="186"/>
      <c r="B3" s="152" t="s">
        <v>1771</v>
      </c>
      <c r="C3" s="152" t="s">
        <v>1775</v>
      </c>
      <c r="D3" s="152"/>
      <c r="E3" s="152"/>
      <c r="G3" s="94" t="s">
        <v>1764</v>
      </c>
      <c r="P3" s="84" t="s">
        <v>1839</v>
      </c>
    </row>
    <row r="4" spans="1:16" x14ac:dyDescent="0.2">
      <c r="A4" s="186"/>
      <c r="B4" s="152" t="s">
        <v>1772</v>
      </c>
      <c r="C4" s="152" t="s">
        <v>1776</v>
      </c>
      <c r="D4" s="152"/>
      <c r="E4" s="152"/>
      <c r="H4" s="94" t="s">
        <v>1778</v>
      </c>
      <c r="O4" s="84" t="s">
        <v>1835</v>
      </c>
    </row>
    <row r="5" spans="1:16" x14ac:dyDescent="0.2">
      <c r="A5" s="186"/>
      <c r="B5" s="152" t="s">
        <v>1773</v>
      </c>
      <c r="C5" s="152"/>
      <c r="D5" s="152"/>
      <c r="E5" s="152"/>
      <c r="H5" s="94" t="s">
        <v>1779</v>
      </c>
      <c r="O5" s="84" t="s">
        <v>1836</v>
      </c>
    </row>
    <row r="6" spans="1:16" x14ac:dyDescent="0.2">
      <c r="A6" s="186"/>
      <c r="B6" s="152" t="s">
        <v>1768</v>
      </c>
      <c r="C6" s="152"/>
      <c r="D6" s="152"/>
      <c r="E6" s="152"/>
      <c r="G6" s="94" t="s">
        <v>1765</v>
      </c>
      <c r="O6" s="84" t="s">
        <v>1837</v>
      </c>
    </row>
    <row r="7" spans="1:16" x14ac:dyDescent="0.2">
      <c r="A7" s="186" t="s">
        <v>13</v>
      </c>
      <c r="B7" s="152" t="s">
        <v>1814</v>
      </c>
      <c r="C7" s="152" t="s">
        <v>1827</v>
      </c>
      <c r="D7" s="152"/>
      <c r="E7" s="152"/>
      <c r="H7" s="94" t="s">
        <v>1780</v>
      </c>
    </row>
    <row r="8" spans="1:16" x14ac:dyDescent="0.2">
      <c r="A8" s="186"/>
      <c r="B8" s="152" t="s">
        <v>1815</v>
      </c>
      <c r="C8" s="152" t="s">
        <v>1825</v>
      </c>
      <c r="D8" s="152"/>
      <c r="E8" s="152"/>
      <c r="H8" s="94" t="s">
        <v>1781</v>
      </c>
    </row>
    <row r="9" spans="1:16" x14ac:dyDescent="0.2">
      <c r="A9" s="186"/>
      <c r="B9" s="152" t="s">
        <v>1816</v>
      </c>
      <c r="C9" s="152" t="s">
        <v>1826</v>
      </c>
      <c r="D9" s="152"/>
      <c r="E9" s="152"/>
      <c r="H9" s="94" t="s">
        <v>1782</v>
      </c>
    </row>
    <row r="10" spans="1:16" x14ac:dyDescent="0.2">
      <c r="A10" s="186"/>
      <c r="B10" s="152" t="s">
        <v>1773</v>
      </c>
      <c r="C10" s="152"/>
      <c r="D10" s="152"/>
      <c r="E10" s="152"/>
    </row>
    <row r="11" spans="1:16" x14ac:dyDescent="0.2">
      <c r="A11" s="186"/>
      <c r="B11" s="152" t="s">
        <v>1768</v>
      </c>
      <c r="C11" s="152"/>
      <c r="D11" s="152"/>
      <c r="E11" s="152"/>
      <c r="G11" s="94" t="s">
        <v>1783</v>
      </c>
    </row>
    <row r="12" spans="1:16" x14ac:dyDescent="0.2">
      <c r="A12" s="186" t="s">
        <v>672</v>
      </c>
      <c r="B12" s="152" t="s">
        <v>1806</v>
      </c>
      <c r="C12" s="152" t="s">
        <v>1820</v>
      </c>
      <c r="D12" s="152"/>
      <c r="E12" s="152"/>
      <c r="H12" s="94" t="s">
        <v>1784</v>
      </c>
    </row>
    <row r="13" spans="1:16" x14ac:dyDescent="0.2">
      <c r="A13" s="186"/>
      <c r="B13" s="152" t="s">
        <v>1805</v>
      </c>
      <c r="C13" s="152" t="s">
        <v>1818</v>
      </c>
      <c r="D13" s="152"/>
      <c r="E13" s="152"/>
    </row>
    <row r="14" spans="1:16" x14ac:dyDescent="0.2">
      <c r="A14" s="186"/>
      <c r="B14" s="152" t="s">
        <v>1807</v>
      </c>
      <c r="C14" s="152" t="s">
        <v>1819</v>
      </c>
      <c r="D14" s="152"/>
      <c r="E14" s="152"/>
      <c r="G14" s="94" t="s">
        <v>1259</v>
      </c>
    </row>
    <row r="15" spans="1:16" x14ac:dyDescent="0.2">
      <c r="A15" s="186"/>
      <c r="B15" s="152" t="s">
        <v>1773</v>
      </c>
      <c r="C15" s="152"/>
      <c r="D15" s="152"/>
      <c r="E15" s="152"/>
      <c r="H15" s="94" t="s">
        <v>1828</v>
      </c>
    </row>
    <row r="16" spans="1:16" x14ac:dyDescent="0.2">
      <c r="A16" s="186"/>
      <c r="B16" s="152" t="s">
        <v>1768</v>
      </c>
      <c r="C16" s="152"/>
      <c r="D16" s="152"/>
      <c r="E16" s="152"/>
      <c r="H16" s="94" t="s">
        <v>1829</v>
      </c>
    </row>
    <row r="17" spans="1:20" x14ac:dyDescent="0.2">
      <c r="A17" s="186" t="s">
        <v>673</v>
      </c>
      <c r="B17" s="152" t="s">
        <v>1812</v>
      </c>
      <c r="C17" s="152" t="s">
        <v>1822</v>
      </c>
      <c r="D17" s="152"/>
      <c r="E17" s="152"/>
      <c r="F17" s="84" t="s">
        <v>1787</v>
      </c>
      <c r="L17" s="84" t="s">
        <v>1788</v>
      </c>
      <c r="M17" s="94"/>
      <c r="N17" s="94"/>
      <c r="R17" s="84" t="s">
        <v>1789</v>
      </c>
    </row>
    <row r="18" spans="1:20" x14ac:dyDescent="0.2">
      <c r="A18" s="186"/>
      <c r="B18" s="152" t="s">
        <v>1808</v>
      </c>
      <c r="C18" s="152" t="s">
        <v>1821</v>
      </c>
      <c r="D18" s="152"/>
      <c r="E18" s="152"/>
      <c r="F18" s="84" t="s">
        <v>1785</v>
      </c>
      <c r="G18" s="94" t="s">
        <v>1417</v>
      </c>
      <c r="H18" s="94" t="s">
        <v>1763</v>
      </c>
      <c r="I18" s="84" t="s">
        <v>1764</v>
      </c>
      <c r="J18" s="84" t="s">
        <v>1765</v>
      </c>
      <c r="L18" s="84" t="s">
        <v>1785</v>
      </c>
      <c r="M18" s="94" t="s">
        <v>1417</v>
      </c>
      <c r="N18" s="94" t="s">
        <v>1763</v>
      </c>
      <c r="O18" s="84" t="s">
        <v>1764</v>
      </c>
      <c r="P18" s="84" t="s">
        <v>1765</v>
      </c>
      <c r="R18" s="94" t="s">
        <v>1763</v>
      </c>
      <c r="S18" s="84" t="s">
        <v>1764</v>
      </c>
      <c r="T18" s="84" t="s">
        <v>1765</v>
      </c>
    </row>
    <row r="19" spans="1:20" x14ac:dyDescent="0.2">
      <c r="A19" s="186"/>
      <c r="B19" s="152" t="s">
        <v>1809</v>
      </c>
      <c r="C19" s="152" t="s">
        <v>1819</v>
      </c>
      <c r="D19" s="152"/>
      <c r="E19" s="152"/>
      <c r="G19" s="94" t="s">
        <v>1790</v>
      </c>
      <c r="H19" s="94">
        <v>0</v>
      </c>
      <c r="I19" s="84">
        <v>0</v>
      </c>
      <c r="J19" s="84">
        <v>0</v>
      </c>
      <c r="M19" s="94" t="s">
        <v>1790</v>
      </c>
      <c r="N19" s="94">
        <v>0</v>
      </c>
      <c r="O19" s="84">
        <v>0</v>
      </c>
      <c r="P19" s="84">
        <v>0</v>
      </c>
      <c r="R19" s="84" t="s">
        <v>51</v>
      </c>
      <c r="S19" s="84" t="s">
        <v>51</v>
      </c>
      <c r="T19" s="84" t="s">
        <v>51</v>
      </c>
    </row>
    <row r="20" spans="1:20" x14ac:dyDescent="0.2">
      <c r="A20" s="186"/>
      <c r="B20" s="152" t="s">
        <v>1773</v>
      </c>
      <c r="C20" s="152"/>
      <c r="D20" s="152"/>
      <c r="E20" s="152"/>
      <c r="G20" s="94" t="s">
        <v>1201</v>
      </c>
      <c r="H20" s="94">
        <v>5</v>
      </c>
      <c r="I20" s="84">
        <v>0.5</v>
      </c>
      <c r="J20" s="84">
        <v>1</v>
      </c>
      <c r="M20" s="94" t="s">
        <v>1201</v>
      </c>
      <c r="N20" s="94">
        <v>3</v>
      </c>
      <c r="O20" s="84">
        <v>1</v>
      </c>
      <c r="P20" s="84">
        <v>1</v>
      </c>
      <c r="R20" s="84" t="s">
        <v>1791</v>
      </c>
      <c r="S20" s="84" t="s">
        <v>1795</v>
      </c>
    </row>
    <row r="21" spans="1:20" x14ac:dyDescent="0.2">
      <c r="A21" s="186"/>
      <c r="B21" s="152" t="s">
        <v>1768</v>
      </c>
      <c r="C21" s="152"/>
      <c r="D21" s="152"/>
      <c r="E21" s="152"/>
      <c r="G21" s="94" t="s">
        <v>672</v>
      </c>
      <c r="H21" s="94">
        <v>2</v>
      </c>
      <c r="I21" s="84">
        <v>1</v>
      </c>
      <c r="J21" s="84">
        <v>2</v>
      </c>
      <c r="M21" s="94" t="s">
        <v>672</v>
      </c>
      <c r="N21" s="94">
        <v>3</v>
      </c>
      <c r="O21" s="84">
        <v>2</v>
      </c>
      <c r="P21" s="84">
        <v>1</v>
      </c>
      <c r="R21" s="84" t="s">
        <v>1792</v>
      </c>
      <c r="S21" s="84" t="s">
        <v>1796</v>
      </c>
      <c r="T21" s="84" t="s">
        <v>1802</v>
      </c>
    </row>
    <row r="22" spans="1:20" x14ac:dyDescent="0.2">
      <c r="A22" s="186" t="s">
        <v>674</v>
      </c>
      <c r="B22" s="152" t="s">
        <v>1812</v>
      </c>
      <c r="C22" s="152" t="s">
        <v>1822</v>
      </c>
      <c r="D22" s="152"/>
      <c r="E22" s="152"/>
      <c r="G22" s="94" t="s">
        <v>673</v>
      </c>
      <c r="H22" s="94">
        <v>3</v>
      </c>
      <c r="I22" s="84">
        <v>1.5</v>
      </c>
      <c r="J22" s="84">
        <v>3</v>
      </c>
      <c r="M22" s="94" t="s">
        <v>673</v>
      </c>
      <c r="N22" s="94">
        <v>4</v>
      </c>
      <c r="O22" s="84">
        <v>3</v>
      </c>
      <c r="P22" s="84">
        <v>1</v>
      </c>
      <c r="R22" s="84" t="s">
        <v>1793</v>
      </c>
      <c r="S22" s="84" t="s">
        <v>1798</v>
      </c>
      <c r="T22" s="84" t="s">
        <v>1802</v>
      </c>
    </row>
    <row r="23" spans="1:20" x14ac:dyDescent="0.2">
      <c r="A23" s="186"/>
      <c r="B23" s="152" t="s">
        <v>1810</v>
      </c>
      <c r="C23" s="152" t="s">
        <v>1821</v>
      </c>
      <c r="D23" s="152"/>
      <c r="E23" s="152"/>
      <c r="G23" s="94" t="s">
        <v>674</v>
      </c>
      <c r="H23" s="94">
        <v>4</v>
      </c>
      <c r="I23" s="84">
        <v>2</v>
      </c>
      <c r="J23" s="84">
        <v>2</v>
      </c>
      <c r="M23" s="94" t="s">
        <v>674</v>
      </c>
      <c r="N23" s="94">
        <v>4</v>
      </c>
      <c r="O23" s="84">
        <v>4</v>
      </c>
      <c r="P23" s="84">
        <v>2</v>
      </c>
      <c r="R23" s="84" t="s">
        <v>1793</v>
      </c>
      <c r="S23" s="84" t="s">
        <v>1797</v>
      </c>
      <c r="T23" s="84" t="s">
        <v>1803</v>
      </c>
    </row>
    <row r="24" spans="1:20" x14ac:dyDescent="0.2">
      <c r="A24" s="186"/>
      <c r="B24" s="152" t="s">
        <v>1811</v>
      </c>
      <c r="C24" s="152" t="s">
        <v>1823</v>
      </c>
      <c r="D24" s="152"/>
      <c r="E24" s="152"/>
      <c r="G24" s="94" t="s">
        <v>675</v>
      </c>
      <c r="H24" s="94">
        <v>2</v>
      </c>
      <c r="I24" s="84">
        <v>2.5</v>
      </c>
      <c r="J24" s="84">
        <v>3</v>
      </c>
      <c r="M24" s="94" t="s">
        <v>675</v>
      </c>
      <c r="N24" s="94">
        <v>4</v>
      </c>
      <c r="O24" s="84">
        <v>5</v>
      </c>
      <c r="P24" s="84">
        <v>2</v>
      </c>
      <c r="R24" s="84" t="s">
        <v>1793</v>
      </c>
      <c r="T24" s="84" t="s">
        <v>1804</v>
      </c>
    </row>
    <row r="25" spans="1:20" x14ac:dyDescent="0.2">
      <c r="A25" s="186"/>
      <c r="B25" s="152" t="s">
        <v>1773</v>
      </c>
      <c r="C25" s="152"/>
      <c r="D25" s="152"/>
      <c r="E25" s="152"/>
      <c r="G25" s="94" t="s">
        <v>1786</v>
      </c>
      <c r="H25" s="94">
        <v>10</v>
      </c>
      <c r="I25" s="84">
        <v>3</v>
      </c>
      <c r="J25" s="84">
        <v>4</v>
      </c>
      <c r="M25" s="94" t="s">
        <v>1786</v>
      </c>
      <c r="N25" s="94">
        <v>6</v>
      </c>
      <c r="O25" s="84">
        <v>5</v>
      </c>
      <c r="P25" s="84">
        <v>4</v>
      </c>
      <c r="R25" s="84" t="s">
        <v>1794</v>
      </c>
    </row>
    <row r="26" spans="1:20" x14ac:dyDescent="0.2">
      <c r="A26" s="186"/>
      <c r="B26" s="152" t="s">
        <v>1768</v>
      </c>
      <c r="C26" s="152"/>
      <c r="D26" s="152"/>
      <c r="E26" s="152"/>
      <c r="G26" s="94" t="s">
        <v>1786</v>
      </c>
      <c r="H26" s="94">
        <v>5</v>
      </c>
      <c r="I26" s="84">
        <v>3.5</v>
      </c>
      <c r="J26" s="84">
        <v>3</v>
      </c>
      <c r="M26" s="94" t="s">
        <v>1786</v>
      </c>
      <c r="N26" s="94">
        <v>5</v>
      </c>
      <c r="O26" s="84">
        <v>5</v>
      </c>
      <c r="P26" s="84">
        <v>3</v>
      </c>
    </row>
    <row r="27" spans="1:20" x14ac:dyDescent="0.2">
      <c r="A27" s="186" t="s">
        <v>675</v>
      </c>
      <c r="B27" s="152" t="s">
        <v>1812</v>
      </c>
      <c r="C27" s="152" t="s">
        <v>1822</v>
      </c>
      <c r="D27" s="152"/>
      <c r="E27" s="152"/>
      <c r="M27" s="94"/>
      <c r="N27" s="94"/>
      <c r="S27" s="84" t="s">
        <v>1799</v>
      </c>
    </row>
    <row r="28" spans="1:20" x14ac:dyDescent="0.2">
      <c r="A28" s="186"/>
      <c r="B28" s="152" t="s">
        <v>1813</v>
      </c>
      <c r="C28" s="152" t="s">
        <v>1821</v>
      </c>
      <c r="D28" s="152"/>
      <c r="E28" s="152"/>
      <c r="M28" s="94"/>
      <c r="N28" s="94"/>
      <c r="S28" s="84" t="s">
        <v>1800</v>
      </c>
    </row>
    <row r="29" spans="1:20" x14ac:dyDescent="0.2">
      <c r="A29" s="186"/>
      <c r="B29" s="152" t="s">
        <v>1809</v>
      </c>
      <c r="C29" s="152" t="s">
        <v>1824</v>
      </c>
      <c r="D29" s="152"/>
      <c r="E29" s="152"/>
      <c r="M29" s="94"/>
      <c r="N29" s="94"/>
      <c r="S29" s="84" t="s">
        <v>1801</v>
      </c>
    </row>
    <row r="30" spans="1:20" x14ac:dyDescent="0.2">
      <c r="A30" s="186"/>
      <c r="B30" s="152" t="s">
        <v>1773</v>
      </c>
      <c r="C30" s="152"/>
      <c r="D30" s="152"/>
      <c r="E30" s="152"/>
      <c r="F30" s="84" t="s">
        <v>865</v>
      </c>
      <c r="G30" s="94" t="s">
        <v>1417</v>
      </c>
      <c r="H30" s="94" t="s">
        <v>1763</v>
      </c>
      <c r="I30" s="84" t="s">
        <v>1764</v>
      </c>
      <c r="J30" s="84" t="s">
        <v>1765</v>
      </c>
      <c r="L30" s="84" t="s">
        <v>865</v>
      </c>
      <c r="M30" s="94" t="s">
        <v>1417</v>
      </c>
      <c r="N30" s="94" t="s">
        <v>1763</v>
      </c>
      <c r="O30" s="84" t="s">
        <v>1764</v>
      </c>
      <c r="P30" s="84" t="s">
        <v>1765</v>
      </c>
    </row>
    <row r="31" spans="1:20" x14ac:dyDescent="0.2">
      <c r="A31" s="186"/>
      <c r="B31" s="152" t="s">
        <v>1768</v>
      </c>
      <c r="C31" s="152"/>
      <c r="D31" s="152"/>
      <c r="E31" s="152"/>
      <c r="G31" s="94" t="s">
        <v>1790</v>
      </c>
      <c r="H31" s="94">
        <v>0</v>
      </c>
      <c r="I31" s="94">
        <v>0</v>
      </c>
      <c r="J31" s="94">
        <v>0</v>
      </c>
      <c r="M31" s="94" t="s">
        <v>1418</v>
      </c>
      <c r="N31" s="94">
        <v>0</v>
      </c>
      <c r="O31" s="94">
        <v>0</v>
      </c>
      <c r="P31" s="94">
        <v>0</v>
      </c>
      <c r="S31" s="84" t="s">
        <v>1833</v>
      </c>
    </row>
    <row r="32" spans="1:20" x14ac:dyDescent="0.2">
      <c r="A32" s="186" t="s">
        <v>676</v>
      </c>
      <c r="B32" s="152" t="s">
        <v>1817</v>
      </c>
      <c r="C32" s="152"/>
      <c r="D32" s="152"/>
      <c r="E32" s="152"/>
      <c r="G32" s="94" t="s">
        <v>1418</v>
      </c>
      <c r="H32" s="94">
        <v>5</v>
      </c>
      <c r="I32" s="94">
        <v>1</v>
      </c>
      <c r="J32" s="94">
        <v>2</v>
      </c>
      <c r="K32" s="84" t="s">
        <v>1435</v>
      </c>
      <c r="M32" s="94" t="s">
        <v>1831</v>
      </c>
      <c r="N32" s="94">
        <v>0</v>
      </c>
      <c r="O32" s="94">
        <v>0</v>
      </c>
      <c r="P32" s="94">
        <v>0</v>
      </c>
    </row>
    <row r="33" spans="1:19" x14ac:dyDescent="0.2">
      <c r="A33" s="186"/>
      <c r="B33" s="152" t="s">
        <v>1766</v>
      </c>
      <c r="C33" s="152"/>
      <c r="D33" s="152"/>
      <c r="E33" s="152"/>
      <c r="G33" s="94" t="s">
        <v>1831</v>
      </c>
      <c r="H33" s="94">
        <v>4</v>
      </c>
      <c r="I33" s="94">
        <v>2</v>
      </c>
      <c r="J33" s="94">
        <v>4</v>
      </c>
      <c r="M33" s="94" t="s">
        <v>1423</v>
      </c>
      <c r="N33" s="94">
        <v>0</v>
      </c>
      <c r="O33" s="94">
        <v>0</v>
      </c>
      <c r="P33" s="94">
        <v>0</v>
      </c>
      <c r="S33" s="84" t="s">
        <v>1833</v>
      </c>
    </row>
    <row r="34" spans="1:19" x14ac:dyDescent="0.2">
      <c r="A34" s="186"/>
      <c r="B34" s="152" t="s">
        <v>1767</v>
      </c>
      <c r="C34" s="152"/>
      <c r="D34" s="152"/>
      <c r="E34" s="152"/>
      <c r="G34" s="94" t="s">
        <v>1423</v>
      </c>
      <c r="H34" s="94">
        <v>3</v>
      </c>
      <c r="I34" s="94">
        <v>3</v>
      </c>
      <c r="J34" s="94">
        <v>3</v>
      </c>
      <c r="M34" s="94" t="s">
        <v>1424</v>
      </c>
      <c r="N34" s="94">
        <v>0</v>
      </c>
      <c r="O34" s="94">
        <v>0</v>
      </c>
      <c r="P34" s="94">
        <v>0</v>
      </c>
    </row>
    <row r="35" spans="1:19" x14ac:dyDescent="0.2">
      <c r="A35" s="186"/>
      <c r="B35" s="152" t="s">
        <v>1773</v>
      </c>
      <c r="C35" s="152"/>
      <c r="D35" s="152"/>
      <c r="E35" s="152"/>
      <c r="G35" s="94" t="s">
        <v>1424</v>
      </c>
      <c r="H35" s="94">
        <v>5</v>
      </c>
      <c r="I35" s="94">
        <v>4</v>
      </c>
      <c r="J35" s="94">
        <v>5</v>
      </c>
      <c r="K35" s="84" t="s">
        <v>1830</v>
      </c>
      <c r="M35" s="94" t="s">
        <v>1425</v>
      </c>
      <c r="N35" s="94">
        <v>0</v>
      </c>
      <c r="O35" s="94">
        <v>0</v>
      </c>
      <c r="P35" s="94">
        <v>0</v>
      </c>
      <c r="S35" s="84" t="s">
        <v>1832</v>
      </c>
    </row>
    <row r="36" spans="1:19" x14ac:dyDescent="0.2">
      <c r="A36" s="186"/>
      <c r="B36" s="152" t="s">
        <v>1768</v>
      </c>
      <c r="C36" s="152"/>
      <c r="D36" s="152"/>
      <c r="E36" s="152"/>
      <c r="G36" s="94" t="s">
        <v>1425</v>
      </c>
      <c r="H36" s="94">
        <v>3</v>
      </c>
      <c r="I36" s="94">
        <v>5</v>
      </c>
      <c r="J36" s="94">
        <v>4</v>
      </c>
      <c r="M36" s="94" t="s">
        <v>1426</v>
      </c>
      <c r="N36" s="94">
        <v>0</v>
      </c>
      <c r="O36" s="94">
        <v>0</v>
      </c>
      <c r="P36" s="94">
        <v>0</v>
      </c>
    </row>
    <row r="37" spans="1:19" x14ac:dyDescent="0.2">
      <c r="A37" s="186" t="s">
        <v>876</v>
      </c>
      <c r="B37" s="152" t="s">
        <v>1812</v>
      </c>
      <c r="C37" s="152"/>
      <c r="D37" s="152"/>
      <c r="E37" s="152"/>
      <c r="G37" s="94" t="s">
        <v>1426</v>
      </c>
      <c r="H37" s="94">
        <v>10</v>
      </c>
      <c r="I37" s="94">
        <v>6</v>
      </c>
      <c r="J37" s="94">
        <v>6</v>
      </c>
      <c r="K37" s="84" t="s">
        <v>1830</v>
      </c>
      <c r="M37" s="94" t="s">
        <v>1427</v>
      </c>
      <c r="N37" s="94">
        <v>0</v>
      </c>
      <c r="O37" s="94">
        <v>0</v>
      </c>
      <c r="P37" s="94">
        <v>0</v>
      </c>
      <c r="S37" s="84" t="s">
        <v>1832</v>
      </c>
    </row>
    <row r="38" spans="1:19" x14ac:dyDescent="0.2">
      <c r="A38" s="186"/>
      <c r="B38" s="152" t="s">
        <v>1766</v>
      </c>
      <c r="C38" s="152"/>
      <c r="D38" s="152"/>
      <c r="E38" s="152"/>
      <c r="G38" s="94" t="s">
        <v>1427</v>
      </c>
      <c r="H38" s="94">
        <v>3</v>
      </c>
      <c r="I38" s="94">
        <v>7</v>
      </c>
      <c r="J38" s="94">
        <v>5</v>
      </c>
      <c r="M38" s="94" t="s">
        <v>1433</v>
      </c>
      <c r="N38" s="94">
        <v>0</v>
      </c>
      <c r="O38" s="94">
        <v>0</v>
      </c>
      <c r="P38" s="94">
        <v>0</v>
      </c>
    </row>
    <row r="39" spans="1:19" x14ac:dyDescent="0.2">
      <c r="A39" s="186"/>
      <c r="B39" s="152" t="s">
        <v>1767</v>
      </c>
      <c r="C39" s="152"/>
      <c r="D39" s="152"/>
      <c r="E39" s="152"/>
    </row>
    <row r="40" spans="1:19" x14ac:dyDescent="0.2">
      <c r="A40" s="186"/>
      <c r="B40" s="152" t="s">
        <v>1773</v>
      </c>
      <c r="C40" s="152"/>
      <c r="D40" s="152"/>
      <c r="E40" s="152"/>
    </row>
    <row r="41" spans="1:19" x14ac:dyDescent="0.2">
      <c r="A41" s="186"/>
      <c r="B41" s="152" t="s">
        <v>1768</v>
      </c>
      <c r="C41" s="152"/>
      <c r="D41" s="152"/>
      <c r="E41" s="152"/>
    </row>
    <row r="42" spans="1:19" x14ac:dyDescent="0.2">
      <c r="A42" s="186" t="s">
        <v>877</v>
      </c>
      <c r="B42" s="152" t="s">
        <v>1817</v>
      </c>
      <c r="C42" s="152"/>
      <c r="D42" s="152"/>
      <c r="E42" s="152"/>
    </row>
    <row r="43" spans="1:19" x14ac:dyDescent="0.2">
      <c r="A43" s="186"/>
      <c r="B43" s="152" t="s">
        <v>1766</v>
      </c>
      <c r="C43" s="152"/>
      <c r="D43" s="152"/>
      <c r="E43" s="152"/>
    </row>
    <row r="44" spans="1:19" x14ac:dyDescent="0.2">
      <c r="A44" s="186"/>
      <c r="B44" s="152" t="s">
        <v>1767</v>
      </c>
      <c r="C44" s="152"/>
      <c r="D44" s="152"/>
      <c r="E44" s="152"/>
    </row>
    <row r="45" spans="1:19" x14ac:dyDescent="0.2">
      <c r="A45" s="186"/>
      <c r="B45" s="152" t="s">
        <v>1773</v>
      </c>
      <c r="C45" s="152"/>
      <c r="D45" s="152"/>
      <c r="E45" s="152"/>
    </row>
    <row r="46" spans="1:19" x14ac:dyDescent="0.2">
      <c r="A46" s="186"/>
      <c r="B46" s="152" t="s">
        <v>1768</v>
      </c>
      <c r="C46" s="152"/>
      <c r="D46" s="152"/>
      <c r="E46" s="152"/>
    </row>
    <row r="47" spans="1:19" x14ac:dyDescent="0.2">
      <c r="A47" s="186" t="s">
        <v>878</v>
      </c>
      <c r="B47" s="152" t="s">
        <v>1812</v>
      </c>
      <c r="C47" s="152"/>
      <c r="D47" s="152"/>
      <c r="E47" s="152"/>
    </row>
    <row r="48" spans="1:19" x14ac:dyDescent="0.2">
      <c r="A48" s="186"/>
      <c r="B48" s="152" t="s">
        <v>1766</v>
      </c>
      <c r="C48" s="152"/>
      <c r="D48" s="152"/>
      <c r="E48" s="152"/>
    </row>
    <row r="49" spans="1:5" x14ac:dyDescent="0.2">
      <c r="A49" s="186"/>
      <c r="B49" s="152" t="s">
        <v>1767</v>
      </c>
      <c r="C49" s="152"/>
      <c r="D49" s="152"/>
      <c r="E49" s="152"/>
    </row>
    <row r="50" spans="1:5" x14ac:dyDescent="0.2">
      <c r="A50" s="186"/>
      <c r="B50" s="152" t="s">
        <v>1773</v>
      </c>
      <c r="C50" s="152"/>
      <c r="D50" s="152"/>
      <c r="E50" s="152"/>
    </row>
    <row r="51" spans="1:5" x14ac:dyDescent="0.2">
      <c r="A51" s="186"/>
      <c r="B51" s="152" t="s">
        <v>1768</v>
      </c>
      <c r="C51" s="152"/>
      <c r="D51" s="152"/>
      <c r="E51" s="152"/>
    </row>
    <row r="52" spans="1:5" x14ac:dyDescent="0.2">
      <c r="A52" s="186" t="s">
        <v>879</v>
      </c>
      <c r="B52" s="152" t="s">
        <v>1817</v>
      </c>
      <c r="C52" s="152"/>
      <c r="D52" s="152"/>
      <c r="E52" s="152"/>
    </row>
    <row r="53" spans="1:5" x14ac:dyDescent="0.2">
      <c r="A53" s="186"/>
      <c r="B53" s="152" t="s">
        <v>1766</v>
      </c>
      <c r="C53" s="152"/>
      <c r="D53" s="152"/>
      <c r="E53" s="152"/>
    </row>
    <row r="54" spans="1:5" x14ac:dyDescent="0.2">
      <c r="A54" s="186"/>
      <c r="B54" s="152" t="s">
        <v>1767</v>
      </c>
      <c r="C54" s="152"/>
      <c r="D54" s="152"/>
      <c r="E54" s="152"/>
    </row>
    <row r="55" spans="1:5" x14ac:dyDescent="0.2">
      <c r="A55" s="186"/>
      <c r="B55" s="152" t="s">
        <v>1773</v>
      </c>
      <c r="C55" s="152"/>
      <c r="D55" s="152"/>
      <c r="E55" s="152"/>
    </row>
    <row r="56" spans="1:5" x14ac:dyDescent="0.2">
      <c r="A56" s="186"/>
      <c r="B56" s="152" t="s">
        <v>1768</v>
      </c>
      <c r="C56" s="152"/>
      <c r="D56" s="152"/>
      <c r="E56" s="152"/>
    </row>
    <row r="57" spans="1:5" x14ac:dyDescent="0.2">
      <c r="A57" s="186" t="s">
        <v>880</v>
      </c>
      <c r="B57" s="152" t="s">
        <v>1812</v>
      </c>
      <c r="C57" s="152"/>
      <c r="D57" s="152"/>
      <c r="E57" s="152"/>
    </row>
    <row r="58" spans="1:5" x14ac:dyDescent="0.2">
      <c r="A58" s="186"/>
      <c r="B58" s="152" t="s">
        <v>1766</v>
      </c>
      <c r="C58" s="152"/>
      <c r="D58" s="152"/>
      <c r="E58" s="152"/>
    </row>
    <row r="59" spans="1:5" x14ac:dyDescent="0.2">
      <c r="A59" s="186"/>
      <c r="B59" s="152" t="s">
        <v>1767</v>
      </c>
      <c r="C59" s="152"/>
      <c r="D59" s="152"/>
      <c r="E59" s="152"/>
    </row>
    <row r="60" spans="1:5" x14ac:dyDescent="0.2">
      <c r="A60" s="186"/>
      <c r="B60" s="152" t="s">
        <v>1773</v>
      </c>
      <c r="C60" s="152"/>
      <c r="D60" s="152"/>
      <c r="E60" s="152"/>
    </row>
    <row r="61" spans="1:5" x14ac:dyDescent="0.2">
      <c r="A61" s="186"/>
      <c r="B61" s="152" t="s">
        <v>1768</v>
      </c>
      <c r="C61" s="152"/>
      <c r="D61" s="152"/>
      <c r="E61" s="152"/>
    </row>
  </sheetData>
  <mergeCells count="12">
    <mergeCell ref="A57:A61"/>
    <mergeCell ref="A7:A11"/>
    <mergeCell ref="A2:A6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</mergeCells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3B905-BD30-4AD7-83C7-9D3E6D5A97A2}">
  <dimension ref="A1:L43"/>
  <sheetViews>
    <sheetView topLeftCell="A13" workbookViewId="0">
      <selection activeCell="B41" sqref="B41"/>
    </sheetView>
  </sheetViews>
  <sheetFormatPr defaultRowHeight="14.25" x14ac:dyDescent="0.2"/>
  <cols>
    <col min="2" max="2" width="32.125" bestFit="1" customWidth="1"/>
  </cols>
  <sheetData>
    <row r="1" spans="1:12" s="4" customFormat="1" x14ac:dyDescent="0.2">
      <c r="A1" s="4" t="s">
        <v>1492</v>
      </c>
    </row>
    <row r="2" spans="1:12" x14ac:dyDescent="0.2">
      <c r="A2" t="s">
        <v>1489</v>
      </c>
    </row>
    <row r="3" spans="1:12" x14ac:dyDescent="0.2">
      <c r="A3" t="s">
        <v>1490</v>
      </c>
    </row>
    <row r="4" spans="1:12" x14ac:dyDescent="0.2">
      <c r="A4" t="s">
        <v>1491</v>
      </c>
    </row>
    <row r="5" spans="1:12" x14ac:dyDescent="0.2">
      <c r="A5" t="s">
        <v>1513</v>
      </c>
    </row>
    <row r="7" spans="1:12" s="4" customFormat="1" x14ac:dyDescent="0.2">
      <c r="A7" s="4" t="s">
        <v>1488</v>
      </c>
    </row>
    <row r="8" spans="1:12" x14ac:dyDescent="0.2">
      <c r="A8" s="40" t="s">
        <v>1493</v>
      </c>
      <c r="B8" s="40" t="s">
        <v>1494</v>
      </c>
      <c r="C8" s="40" t="s">
        <v>1495</v>
      </c>
      <c r="D8" s="187" t="s">
        <v>1496</v>
      </c>
      <c r="E8" s="188"/>
      <c r="F8" s="188"/>
      <c r="G8" s="188"/>
      <c r="H8" s="188"/>
      <c r="I8" s="188"/>
      <c r="J8" s="188"/>
      <c r="K8" s="189"/>
    </row>
    <row r="9" spans="1:12" x14ac:dyDescent="0.2">
      <c r="A9" s="40" t="s">
        <v>1497</v>
      </c>
      <c r="B9" s="40" t="s">
        <v>1499</v>
      </c>
      <c r="C9" s="40" t="s">
        <v>1212</v>
      </c>
      <c r="D9" s="7" t="s">
        <v>1500</v>
      </c>
      <c r="E9" s="7" t="s">
        <v>1501</v>
      </c>
      <c r="F9" s="7" t="s">
        <v>1502</v>
      </c>
      <c r="G9" s="7" t="s">
        <v>1503</v>
      </c>
      <c r="H9" s="7" t="s">
        <v>1504</v>
      </c>
      <c r="I9" s="7" t="s">
        <v>1505</v>
      </c>
      <c r="J9" s="7" t="s">
        <v>1506</v>
      </c>
      <c r="K9" s="7"/>
      <c r="L9" s="146"/>
    </row>
    <row r="10" spans="1:12" x14ac:dyDescent="0.2">
      <c r="A10" s="40" t="s">
        <v>1498</v>
      </c>
      <c r="B10" s="40" t="s">
        <v>1508</v>
      </c>
      <c r="C10" s="40" t="s">
        <v>12</v>
      </c>
      <c r="D10" s="139" t="s">
        <v>12</v>
      </c>
      <c r="E10" s="7" t="s">
        <v>1509</v>
      </c>
      <c r="F10" s="7"/>
      <c r="G10" s="7"/>
      <c r="H10" s="7"/>
      <c r="I10" s="7"/>
      <c r="J10" s="7"/>
      <c r="K10" s="7"/>
    </row>
    <row r="11" spans="1:12" x14ac:dyDescent="0.2">
      <c r="A11" s="40" t="s">
        <v>1510</v>
      </c>
      <c r="B11" s="40" t="s">
        <v>1511</v>
      </c>
      <c r="C11" s="40" t="s">
        <v>13</v>
      </c>
      <c r="D11" s="7" t="s">
        <v>13</v>
      </c>
      <c r="E11" s="139" t="s">
        <v>1512</v>
      </c>
      <c r="F11" s="7"/>
      <c r="G11" s="7"/>
      <c r="H11" s="7"/>
      <c r="I11" s="7"/>
      <c r="J11" s="7"/>
      <c r="K11" s="7"/>
    </row>
    <row r="12" spans="1:12" x14ac:dyDescent="0.2">
      <c r="A12" s="40" t="s">
        <v>672</v>
      </c>
      <c r="B12" s="40" t="s">
        <v>1555</v>
      </c>
      <c r="C12" s="40" t="s">
        <v>1547</v>
      </c>
      <c r="D12" s="7" t="s">
        <v>1559</v>
      </c>
      <c r="E12" s="7" t="s">
        <v>1569</v>
      </c>
      <c r="F12" s="7" t="s">
        <v>1560</v>
      </c>
      <c r="G12" s="7" t="s">
        <v>1507</v>
      </c>
      <c r="H12" s="7" t="s">
        <v>1561</v>
      </c>
      <c r="I12" s="7" t="s">
        <v>1569</v>
      </c>
      <c r="J12" s="7" t="s">
        <v>1560</v>
      </c>
      <c r="K12" s="7"/>
      <c r="L12" s="146"/>
    </row>
    <row r="13" spans="1:12" x14ac:dyDescent="0.2">
      <c r="A13" s="40" t="s">
        <v>1548</v>
      </c>
      <c r="B13" s="40" t="s">
        <v>1554</v>
      </c>
      <c r="C13" s="40" t="s">
        <v>1549</v>
      </c>
      <c r="D13" s="7" t="s">
        <v>1562</v>
      </c>
      <c r="E13" s="7" t="s">
        <v>1569</v>
      </c>
      <c r="F13" s="7" t="s">
        <v>1560</v>
      </c>
      <c r="G13" s="7" t="s">
        <v>1507</v>
      </c>
      <c r="H13" s="7" t="s">
        <v>1564</v>
      </c>
      <c r="I13" s="7" t="s">
        <v>1569</v>
      </c>
      <c r="J13" s="7" t="s">
        <v>1560</v>
      </c>
      <c r="K13" s="7"/>
      <c r="L13" s="146"/>
    </row>
    <row r="14" spans="1:12" x14ac:dyDescent="0.2">
      <c r="A14" s="40" t="s">
        <v>1556</v>
      </c>
      <c r="B14" s="40" t="s">
        <v>1553</v>
      </c>
      <c r="C14" s="40" t="s">
        <v>1550</v>
      </c>
      <c r="D14" s="7" t="s">
        <v>1563</v>
      </c>
      <c r="E14" s="7" t="s">
        <v>1569</v>
      </c>
      <c r="F14" s="7" t="s">
        <v>1560</v>
      </c>
      <c r="G14" s="7" t="s">
        <v>1507</v>
      </c>
      <c r="H14" s="7" t="s">
        <v>1570</v>
      </c>
      <c r="I14" s="7" t="s">
        <v>1569</v>
      </c>
      <c r="J14" s="7" t="s">
        <v>1560</v>
      </c>
      <c r="K14" s="7"/>
      <c r="L14" s="146"/>
    </row>
    <row r="15" spans="1:12" x14ac:dyDescent="0.2">
      <c r="A15" s="40" t="s">
        <v>1557</v>
      </c>
      <c r="B15" s="40" t="s">
        <v>1551</v>
      </c>
      <c r="C15" s="40" t="s">
        <v>1566</v>
      </c>
      <c r="D15" s="7" t="s">
        <v>1565</v>
      </c>
      <c r="E15" s="7" t="s">
        <v>1569</v>
      </c>
      <c r="F15" s="7" t="s">
        <v>1560</v>
      </c>
      <c r="G15" s="7" t="s">
        <v>1507</v>
      </c>
      <c r="H15" s="7" t="s">
        <v>1565</v>
      </c>
      <c r="I15" s="7" t="s">
        <v>1569</v>
      </c>
      <c r="J15" s="7" t="s">
        <v>1166</v>
      </c>
      <c r="K15" s="7" t="s">
        <v>1560</v>
      </c>
      <c r="L15" s="146"/>
    </row>
    <row r="16" spans="1:12" x14ac:dyDescent="0.2">
      <c r="A16" s="40" t="s">
        <v>1558</v>
      </c>
      <c r="B16" s="40" t="s">
        <v>1552</v>
      </c>
      <c r="C16" s="40" t="s">
        <v>1567</v>
      </c>
      <c r="D16" s="7" t="s">
        <v>1559</v>
      </c>
      <c r="E16" s="7" t="s">
        <v>1569</v>
      </c>
      <c r="F16" s="7" t="s">
        <v>1560</v>
      </c>
      <c r="G16" s="7" t="s">
        <v>1568</v>
      </c>
      <c r="H16" s="7"/>
      <c r="I16" s="7"/>
      <c r="J16" s="7"/>
      <c r="K16" s="7"/>
      <c r="L16" s="146"/>
    </row>
    <row r="21" spans="1:5" s="4" customFormat="1" x14ac:dyDescent="0.2">
      <c r="A21" s="4" t="s">
        <v>3010</v>
      </c>
    </row>
    <row r="22" spans="1:5" x14ac:dyDescent="0.2">
      <c r="A22" t="s">
        <v>3011</v>
      </c>
    </row>
    <row r="23" spans="1:5" x14ac:dyDescent="0.2">
      <c r="A23" t="s">
        <v>3012</v>
      </c>
    </row>
    <row r="28" spans="1:5" s="4" customFormat="1" x14ac:dyDescent="0.2">
      <c r="A28" s="4" t="s">
        <v>3013</v>
      </c>
    </row>
    <row r="29" spans="1:5" x14ac:dyDescent="0.2">
      <c r="A29" t="s">
        <v>3017</v>
      </c>
      <c r="E29" s="125" t="s">
        <v>3019</v>
      </c>
    </row>
    <row r="30" spans="1:5" x14ac:dyDescent="0.2">
      <c r="A30" t="s">
        <v>3014</v>
      </c>
      <c r="E30" s="167" t="s">
        <v>3018</v>
      </c>
    </row>
    <row r="31" spans="1:5" x14ac:dyDescent="0.2">
      <c r="A31" t="s">
        <v>3015</v>
      </c>
      <c r="E31" t="s">
        <v>3033</v>
      </c>
    </row>
    <row r="32" spans="1:5" x14ac:dyDescent="0.2">
      <c r="A32" t="s">
        <v>3016</v>
      </c>
      <c r="E32" s="167" t="s">
        <v>3027</v>
      </c>
    </row>
    <row r="33" spans="1:5" x14ac:dyDescent="0.2">
      <c r="E33" s="167" t="s">
        <v>3026</v>
      </c>
    </row>
    <row r="37" spans="1:5" x14ac:dyDescent="0.2">
      <c r="A37" t="s">
        <v>3120</v>
      </c>
      <c r="B37" t="s">
        <v>1495</v>
      </c>
      <c r="C37" t="s">
        <v>3123</v>
      </c>
    </row>
    <row r="38" spans="1:5" x14ac:dyDescent="0.2">
      <c r="A38" t="s">
        <v>3132</v>
      </c>
      <c r="B38" t="s">
        <v>3121</v>
      </c>
    </row>
    <row r="39" spans="1:5" x14ac:dyDescent="0.2">
      <c r="A39" t="s">
        <v>3127</v>
      </c>
      <c r="B39" t="s">
        <v>3129</v>
      </c>
      <c r="C39" t="s">
        <v>3128</v>
      </c>
    </row>
    <row r="40" spans="1:5" x14ac:dyDescent="0.2">
      <c r="A40" t="s">
        <v>3127</v>
      </c>
      <c r="B40" t="s">
        <v>3133</v>
      </c>
      <c r="C40" t="s">
        <v>3128</v>
      </c>
    </row>
    <row r="41" spans="1:5" x14ac:dyDescent="0.2">
      <c r="A41" t="s">
        <v>3127</v>
      </c>
      <c r="B41" t="s">
        <v>3126</v>
      </c>
      <c r="C41" t="s">
        <v>3128</v>
      </c>
    </row>
    <row r="42" spans="1:5" x14ac:dyDescent="0.2">
      <c r="A42" t="s">
        <v>3122</v>
      </c>
      <c r="B42" t="s">
        <v>3124</v>
      </c>
      <c r="C42" t="s">
        <v>3125</v>
      </c>
    </row>
    <row r="43" spans="1:5" x14ac:dyDescent="0.2">
      <c r="A43" t="s">
        <v>3131</v>
      </c>
      <c r="B43" t="s">
        <v>3130</v>
      </c>
      <c r="C43" t="s">
        <v>3128</v>
      </c>
    </row>
  </sheetData>
  <mergeCells count="1">
    <mergeCell ref="D8:K8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60283-F964-47FE-92F3-5DC86C081B5C}">
  <dimension ref="A1:I14"/>
  <sheetViews>
    <sheetView workbookViewId="0">
      <selection activeCell="B6" sqref="B6:B14"/>
    </sheetView>
  </sheetViews>
  <sheetFormatPr defaultRowHeight="14.25" x14ac:dyDescent="0.2"/>
  <sheetData>
    <row r="1" spans="1:9" x14ac:dyDescent="0.2">
      <c r="A1" s="40" t="s">
        <v>62</v>
      </c>
      <c r="B1" s="40" t="s">
        <v>1106</v>
      </c>
      <c r="C1" s="40" t="s">
        <v>63</v>
      </c>
      <c r="D1" s="40" t="s">
        <v>64</v>
      </c>
      <c r="E1" s="40" t="s">
        <v>65</v>
      </c>
      <c r="F1" s="40" t="s">
        <v>66</v>
      </c>
      <c r="G1" s="40" t="s">
        <v>1107</v>
      </c>
      <c r="H1" s="121" t="s">
        <v>1108</v>
      </c>
    </row>
    <row r="2" spans="1:9" x14ac:dyDescent="0.2">
      <c r="A2" s="40" t="s">
        <v>60</v>
      </c>
      <c r="B2" s="7">
        <v>600</v>
      </c>
      <c r="C2" s="7">
        <v>8</v>
      </c>
      <c r="D2" s="7">
        <v>20</v>
      </c>
      <c r="E2" s="7">
        <v>10</v>
      </c>
      <c r="F2" s="7">
        <v>9999</v>
      </c>
      <c r="G2" s="7">
        <v>0</v>
      </c>
      <c r="H2" s="41">
        <f>B2-G2</f>
        <v>600</v>
      </c>
    </row>
    <row r="3" spans="1:9" x14ac:dyDescent="0.2">
      <c r="A3" s="40" t="s">
        <v>61</v>
      </c>
      <c r="B3" s="7">
        <v>300</v>
      </c>
      <c r="C3" s="41">
        <f>INT('⚪设计'!$D$55/'⚪设计'!$C$55)</f>
        <v>8</v>
      </c>
      <c r="D3" s="7">
        <v>20</v>
      </c>
      <c r="E3" s="7">
        <v>20</v>
      </c>
      <c r="F3" s="7">
        <v>60</v>
      </c>
      <c r="G3" s="7">
        <v>0</v>
      </c>
      <c r="H3" s="41">
        <f t="shared" ref="H3:H13" si="0">B3-G3</f>
        <v>300</v>
      </c>
    </row>
    <row r="4" spans="1:9" x14ac:dyDescent="0.2">
      <c r="A4" s="40">
        <v>1</v>
      </c>
      <c r="B4" s="7">
        <v>300</v>
      </c>
      <c r="C4" s="41">
        <f>INT('⚪设计'!$D$55/'⚪设计'!$C$55)</f>
        <v>8</v>
      </c>
      <c r="D4" s="7">
        <v>20</v>
      </c>
      <c r="E4" s="7">
        <v>10</v>
      </c>
      <c r="F4" s="7">
        <v>60</v>
      </c>
      <c r="G4" s="7">
        <v>0</v>
      </c>
      <c r="H4" s="41">
        <f t="shared" si="0"/>
        <v>300</v>
      </c>
      <c r="I4" s="90" t="s">
        <v>672</v>
      </c>
    </row>
    <row r="5" spans="1:9" x14ac:dyDescent="0.2">
      <c r="A5" s="40">
        <v>2</v>
      </c>
      <c r="B5" s="7">
        <v>300</v>
      </c>
      <c r="C5" s="41">
        <f>INT('⚪设计'!$D$55/'⚪设计'!$C$55)</f>
        <v>8</v>
      </c>
      <c r="D5" s="7">
        <v>20</v>
      </c>
      <c r="E5" s="7">
        <v>0</v>
      </c>
      <c r="F5" s="7">
        <v>60</v>
      </c>
      <c r="G5" s="7">
        <v>0</v>
      </c>
      <c r="H5" s="41">
        <f t="shared" si="0"/>
        <v>300</v>
      </c>
      <c r="I5" s="90" t="s">
        <v>673</v>
      </c>
    </row>
    <row r="6" spans="1:9" x14ac:dyDescent="0.2">
      <c r="A6" s="40">
        <v>3</v>
      </c>
      <c r="B6" s="7">
        <v>300</v>
      </c>
      <c r="C6" s="41">
        <f>INT('⚪设计'!$D$55/'⚪设计'!$C$55)</f>
        <v>8</v>
      </c>
      <c r="D6" s="7">
        <v>20</v>
      </c>
      <c r="E6" s="7">
        <v>10</v>
      </c>
      <c r="F6" s="7">
        <v>60</v>
      </c>
      <c r="G6" s="7">
        <v>0</v>
      </c>
      <c r="H6" s="41">
        <f t="shared" si="0"/>
        <v>300</v>
      </c>
      <c r="I6" s="90" t="s">
        <v>674</v>
      </c>
    </row>
    <row r="7" spans="1:9" x14ac:dyDescent="0.2">
      <c r="A7" s="40">
        <v>4</v>
      </c>
      <c r="B7" s="7">
        <v>300</v>
      </c>
      <c r="C7" s="41">
        <f>INT('⚪设计'!$D$55/'⚪设计'!$C$55)</f>
        <v>8</v>
      </c>
      <c r="D7" s="7">
        <v>20</v>
      </c>
      <c r="E7" s="7">
        <v>10</v>
      </c>
      <c r="F7" s="7">
        <v>60</v>
      </c>
      <c r="G7" s="7">
        <v>0</v>
      </c>
      <c r="H7" s="41">
        <f t="shared" si="0"/>
        <v>300</v>
      </c>
      <c r="I7" s="90" t="s">
        <v>675</v>
      </c>
    </row>
    <row r="8" spans="1:9" x14ac:dyDescent="0.2">
      <c r="A8" s="40">
        <v>5</v>
      </c>
      <c r="B8" s="7">
        <v>300</v>
      </c>
      <c r="C8" s="41">
        <f>INT('⚪设计'!$D$55/'⚪设计'!$C$55)</f>
        <v>8</v>
      </c>
      <c r="D8" s="7">
        <v>20</v>
      </c>
      <c r="E8" s="7">
        <v>10</v>
      </c>
      <c r="F8" s="7">
        <v>60</v>
      </c>
      <c r="G8" s="7">
        <v>0</v>
      </c>
      <c r="H8" s="41">
        <f t="shared" si="0"/>
        <v>300</v>
      </c>
      <c r="I8" s="90" t="s">
        <v>1558</v>
      </c>
    </row>
    <row r="9" spans="1:9" x14ac:dyDescent="0.2">
      <c r="A9" s="40">
        <v>6</v>
      </c>
      <c r="B9" s="7">
        <v>300</v>
      </c>
      <c r="C9" s="41">
        <f>INT('⚪设计'!$D$55/'⚪设计'!$C$55)</f>
        <v>8</v>
      </c>
      <c r="D9" s="7">
        <v>20</v>
      </c>
      <c r="E9" s="7">
        <v>10</v>
      </c>
      <c r="F9" s="7">
        <v>60</v>
      </c>
      <c r="G9" s="7">
        <v>0</v>
      </c>
      <c r="H9" s="41">
        <f t="shared" si="0"/>
        <v>300</v>
      </c>
      <c r="I9" s="90" t="s">
        <v>876</v>
      </c>
    </row>
    <row r="10" spans="1:9" x14ac:dyDescent="0.2">
      <c r="A10" s="40">
        <v>7</v>
      </c>
      <c r="B10" s="7">
        <v>300</v>
      </c>
      <c r="C10" s="41">
        <f>INT('⚪设计'!$D$55/'⚪设计'!$C$55)</f>
        <v>8</v>
      </c>
      <c r="D10" s="7">
        <v>20</v>
      </c>
      <c r="E10" s="7">
        <v>10</v>
      </c>
      <c r="F10" s="7">
        <v>60</v>
      </c>
      <c r="G10" s="7">
        <v>0</v>
      </c>
      <c r="H10" s="41">
        <f t="shared" si="0"/>
        <v>300</v>
      </c>
      <c r="I10" s="90" t="s">
        <v>877</v>
      </c>
    </row>
    <row r="11" spans="1:9" x14ac:dyDescent="0.2">
      <c r="A11" s="40">
        <v>8</v>
      </c>
      <c r="B11" s="7">
        <v>300</v>
      </c>
      <c r="C11" s="41">
        <f>INT('⚪设计'!$D$55/'⚪设计'!$C$55)</f>
        <v>8</v>
      </c>
      <c r="D11" s="7">
        <v>20</v>
      </c>
      <c r="E11" s="7">
        <v>10</v>
      </c>
      <c r="F11" s="7">
        <v>60</v>
      </c>
      <c r="G11" s="7">
        <v>0</v>
      </c>
      <c r="H11" s="41">
        <f t="shared" si="0"/>
        <v>300</v>
      </c>
      <c r="I11" s="90" t="s">
        <v>878</v>
      </c>
    </row>
    <row r="12" spans="1:9" x14ac:dyDescent="0.2">
      <c r="A12" s="40">
        <v>9</v>
      </c>
      <c r="B12" s="7">
        <v>300</v>
      </c>
      <c r="C12" s="41">
        <f>INT('⚪设计'!$D$55/'⚪设计'!$C$55)</f>
        <v>8</v>
      </c>
      <c r="D12" s="7">
        <v>20</v>
      </c>
      <c r="E12" s="7">
        <v>10</v>
      </c>
      <c r="F12" s="7">
        <v>60</v>
      </c>
      <c r="G12" s="7">
        <v>0</v>
      </c>
      <c r="H12" s="41">
        <f t="shared" si="0"/>
        <v>300</v>
      </c>
      <c r="I12" s="90" t="s">
        <v>879</v>
      </c>
    </row>
    <row r="13" spans="1:9" x14ac:dyDescent="0.2">
      <c r="A13" s="40">
        <v>10</v>
      </c>
      <c r="B13" s="7">
        <v>300</v>
      </c>
      <c r="C13" s="41">
        <f>INT('⚪设计'!$D$55/'⚪设计'!$C$55)</f>
        <v>8</v>
      </c>
      <c r="D13" s="7">
        <v>20</v>
      </c>
      <c r="E13" s="7">
        <v>10</v>
      </c>
      <c r="F13" s="7">
        <v>60</v>
      </c>
      <c r="G13" s="7">
        <v>0</v>
      </c>
      <c r="H13" s="41">
        <f t="shared" si="0"/>
        <v>300</v>
      </c>
      <c r="I13" s="90" t="s">
        <v>880</v>
      </c>
    </row>
    <row r="14" spans="1:9" x14ac:dyDescent="0.2">
      <c r="A14" t="s">
        <v>1992</v>
      </c>
      <c r="B14" s="7">
        <v>300</v>
      </c>
      <c r="C14" s="41">
        <f>INT('⚪设计'!$D$55/'⚪设计'!$C$55)</f>
        <v>8</v>
      </c>
      <c r="D14" s="7">
        <v>20</v>
      </c>
      <c r="E14" s="7">
        <v>20</v>
      </c>
      <c r="F14" s="7">
        <v>60</v>
      </c>
      <c r="G14" s="7">
        <v>0</v>
      </c>
      <c r="H14" s="41">
        <f t="shared" ref="H14" si="1">B14-G14</f>
        <v>300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04A0-B1F7-4B6B-B416-335E2938FA4C}">
  <dimension ref="A1:P78"/>
  <sheetViews>
    <sheetView workbookViewId="0">
      <selection activeCell="K3" sqref="K3:O17"/>
    </sheetView>
  </sheetViews>
  <sheetFormatPr defaultRowHeight="14.25" x14ac:dyDescent="0.2"/>
  <cols>
    <col min="11" max="11" width="15" bestFit="1" customWidth="1"/>
  </cols>
  <sheetData>
    <row r="1" spans="1:16" x14ac:dyDescent="0.2">
      <c r="A1" s="40" t="s">
        <v>82</v>
      </c>
      <c r="B1" s="40" t="s">
        <v>83</v>
      </c>
      <c r="C1" s="40" t="s">
        <v>87</v>
      </c>
      <c r="D1" s="40" t="s">
        <v>93</v>
      </c>
      <c r="E1" s="40" t="s">
        <v>88</v>
      </c>
      <c r="F1" s="40" t="s">
        <v>1115</v>
      </c>
      <c r="G1" s="40" t="s">
        <v>89</v>
      </c>
      <c r="H1" s="40" t="s">
        <v>90</v>
      </c>
      <c r="I1" s="40" t="s">
        <v>91</v>
      </c>
      <c r="J1" s="40" t="s">
        <v>92</v>
      </c>
      <c r="K1" s="40" t="s">
        <v>94</v>
      </c>
      <c r="L1" s="40" t="s">
        <v>1121</v>
      </c>
      <c r="M1" s="40" t="s">
        <v>1122</v>
      </c>
      <c r="N1" s="40" t="s">
        <v>1123</v>
      </c>
      <c r="O1" s="40" t="s">
        <v>1124</v>
      </c>
    </row>
    <row r="2" spans="1:16" x14ac:dyDescent="0.2">
      <c r="A2" s="40" t="s">
        <v>86</v>
      </c>
      <c r="B2" s="7">
        <f>'⚪设计'!G59</f>
        <v>200</v>
      </c>
      <c r="C2" s="41">
        <f>VLOOKUP(防御塔!A2,'⚪设计'!$A$59:$C$74,2,FALSE)*B2</f>
        <v>200</v>
      </c>
      <c r="D2" s="41">
        <f>VLOOKUP(防御塔!A2,'⚪设计'!$A$59:$C$74,3,FALSE)*B2</f>
        <v>200</v>
      </c>
      <c r="E2" s="7">
        <v>1</v>
      </c>
      <c r="F2" s="7">
        <v>1</v>
      </c>
      <c r="G2" s="7">
        <v>7.5</v>
      </c>
      <c r="H2" s="41">
        <f>INT(C2/F2/(1/E2))</f>
        <v>200</v>
      </c>
      <c r="I2" s="41">
        <f>INT($H2/'⚪设计'!$C$78*'⚪设计'!$C$79)</f>
        <v>540</v>
      </c>
      <c r="J2" s="41">
        <f>INT($H2/'⚪设计'!$C$78*'⚪设计'!$C$80)</f>
        <v>1620</v>
      </c>
      <c r="K2" s="40"/>
      <c r="L2" s="122"/>
      <c r="M2" s="122"/>
      <c r="N2" s="50"/>
      <c r="O2" s="50"/>
    </row>
    <row r="3" spans="1:16" x14ac:dyDescent="0.2">
      <c r="A3" s="40" t="s">
        <v>33</v>
      </c>
      <c r="B3" s="7">
        <f>'⚪设计'!G60</f>
        <v>100</v>
      </c>
      <c r="C3" s="41">
        <f>VLOOKUP(防御塔!A3,'⚪设计'!$A$59:$C$74,2,FALSE)*B3</f>
        <v>200</v>
      </c>
      <c r="D3" s="41">
        <f>VLOOKUP(防御塔!A3,'⚪设计'!$A$59:$C$74,3,FALSE)*B3</f>
        <v>200</v>
      </c>
      <c r="E3" s="7">
        <v>0.5</v>
      </c>
      <c r="F3" s="7">
        <v>1</v>
      </c>
      <c r="G3" s="7">
        <v>9</v>
      </c>
      <c r="H3" s="41">
        <f>INT(C3/F3/(1/E3))</f>
        <v>100</v>
      </c>
      <c r="I3" s="41">
        <f>INT($H3/'⚪设计'!$C$78*'⚪设计'!$C$79)</f>
        <v>270</v>
      </c>
      <c r="J3" s="41">
        <f>INT($H3/'⚪设计'!$C$78*'⚪设计'!$C$80/(L3*(1+M3)+(1-L3)))</f>
        <v>623</v>
      </c>
      <c r="K3" s="40" t="s">
        <v>1118</v>
      </c>
      <c r="L3" s="52">
        <v>0.15</v>
      </c>
      <c r="M3" s="52">
        <v>2</v>
      </c>
      <c r="N3" s="50"/>
      <c r="O3" s="50"/>
    </row>
    <row r="4" spans="1:16" x14ac:dyDescent="0.2">
      <c r="A4" s="40" t="s">
        <v>34</v>
      </c>
      <c r="B4" s="7">
        <f>'⚪设计'!G61</f>
        <v>100</v>
      </c>
      <c r="C4" s="41">
        <f>VLOOKUP(防御塔!A4,'⚪设计'!$A$59:$C$74,2,FALSE)*B4</f>
        <v>200</v>
      </c>
      <c r="D4" s="41">
        <f>VLOOKUP(防御塔!A4,'⚪设计'!$A$59:$C$74,3,FALSE)*B4</f>
        <v>200</v>
      </c>
      <c r="E4" s="7">
        <v>0.5</v>
      </c>
      <c r="F4" s="7">
        <v>3</v>
      </c>
      <c r="G4" s="7">
        <v>9</v>
      </c>
      <c r="H4" s="41">
        <f>INT(C4/F4/(1/E4))</f>
        <v>33</v>
      </c>
      <c r="I4" s="41">
        <f>INT($H4/'⚪设计'!$C$78*'⚪设计'!$C$79)</f>
        <v>89</v>
      </c>
      <c r="J4" s="41">
        <f>INT($H4/'⚪设计'!$C$78*'⚪设计'!$C$80)</f>
        <v>267</v>
      </c>
      <c r="K4" s="40"/>
      <c r="L4" s="50"/>
      <c r="M4" s="50"/>
      <c r="N4" s="50"/>
      <c r="O4" s="50"/>
    </row>
    <row r="5" spans="1:16" x14ac:dyDescent="0.2">
      <c r="A5" s="40" t="s">
        <v>35</v>
      </c>
      <c r="B5" s="7">
        <f>'⚪设计'!G62</f>
        <v>100</v>
      </c>
      <c r="C5" s="41">
        <f>VLOOKUP(防御塔!A5,'⚪设计'!$A$59:$C$74,2,FALSE)*B5</f>
        <v>200</v>
      </c>
      <c r="D5" s="41">
        <f>VLOOKUP(防御塔!A5,'⚪设计'!$A$59:$C$74,3,FALSE)*B5</f>
        <v>200</v>
      </c>
      <c r="E5" s="7">
        <v>0.3</v>
      </c>
      <c r="F5" s="7">
        <v>5</v>
      </c>
      <c r="G5" s="7">
        <v>9</v>
      </c>
      <c r="H5" s="41">
        <f>INT(C5/F5/(1/E5))</f>
        <v>12</v>
      </c>
      <c r="I5" s="41">
        <f>INT($H5/'⚪设计'!$C$78*'⚪设计'!$C$79)</f>
        <v>32</v>
      </c>
      <c r="J5" s="41">
        <f>INT($H5/'⚪设计'!$C$78*'⚪设计'!$C$80*(1-L5))</f>
        <v>48</v>
      </c>
      <c r="K5" s="40" t="s">
        <v>1129</v>
      </c>
      <c r="L5" s="52">
        <v>0.5</v>
      </c>
      <c r="M5" s="124">
        <v>10</v>
      </c>
      <c r="N5" s="124">
        <v>0.3</v>
      </c>
      <c r="O5" s="41">
        <f>ROUND(J5/(1-L5)*L5*(M5/E5)/(M5/N5)/J5,3)</f>
        <v>1</v>
      </c>
    </row>
    <row r="6" spans="1:16" x14ac:dyDescent="0.2">
      <c r="A6" s="40" t="s">
        <v>36</v>
      </c>
      <c r="B6" s="7">
        <f>'⚪设计'!G63</f>
        <v>200</v>
      </c>
      <c r="C6" s="41">
        <f>VLOOKUP(防御塔!A6,'⚪设计'!$A$59:$C$74,2,FALSE)*B6</f>
        <v>350</v>
      </c>
      <c r="D6" s="41">
        <f>VLOOKUP(防御塔!A6,'⚪设计'!$A$59:$C$74,3,FALSE)*B6</f>
        <v>233.33333333333334</v>
      </c>
      <c r="E6" s="7">
        <v>0.3</v>
      </c>
      <c r="F6" s="7">
        <v>7</v>
      </c>
      <c r="G6" s="7">
        <v>9</v>
      </c>
      <c r="H6" s="41">
        <f>INT(D6/F6/(1/E6))</f>
        <v>10</v>
      </c>
      <c r="I6" s="41">
        <f>INT($H6/'⚪设计'!$C$78*'⚪设计'!$C$79)</f>
        <v>27</v>
      </c>
      <c r="J6" s="41">
        <f>INT($H6/'⚪设计'!$C$78*'⚪设计'!$C$80)*(C6/D6)</f>
        <v>121.5</v>
      </c>
      <c r="K6" s="40" t="s">
        <v>1125</v>
      </c>
      <c r="L6" s="41">
        <f>ROUND((C6-D6)/D6/G6,2)</f>
        <v>0.06</v>
      </c>
      <c r="M6" s="41">
        <f>L6</f>
        <v>0.06</v>
      </c>
      <c r="N6" s="41"/>
      <c r="O6" s="50"/>
    </row>
    <row r="7" spans="1:16" x14ac:dyDescent="0.2">
      <c r="A7" s="40" t="s">
        <v>37</v>
      </c>
      <c r="B7" s="7">
        <f>'⚪设计'!G64</f>
        <v>300</v>
      </c>
      <c r="C7" s="41">
        <f>VLOOKUP(防御塔!A7,'⚪设计'!$A$59:$C$74,2,FALSE)*B7</f>
        <v>450</v>
      </c>
      <c r="D7" s="41">
        <f>VLOOKUP(防御塔!A7,'⚪设计'!$A$59:$C$74,3,FALSE)*B7</f>
        <v>450</v>
      </c>
      <c r="E7" s="7">
        <v>2</v>
      </c>
      <c r="F7" s="7">
        <v>1</v>
      </c>
      <c r="G7" s="7">
        <v>9</v>
      </c>
      <c r="H7" s="41">
        <f>INT(C7/F7/(1/E7))</f>
        <v>900</v>
      </c>
      <c r="I7" s="41">
        <f>INT($H7/'⚪设计'!$C$78*'⚪设计'!$C$79)</f>
        <v>2430</v>
      </c>
      <c r="J7" s="41">
        <f>INT($H7/'⚪设计'!$C$78*'⚪设计'!$C$80/2)</f>
        <v>3645</v>
      </c>
      <c r="K7" s="40"/>
      <c r="L7" s="50"/>
      <c r="M7" s="50"/>
      <c r="N7" s="50"/>
      <c r="O7" s="50"/>
    </row>
    <row r="8" spans="1:16" x14ac:dyDescent="0.2">
      <c r="A8" s="40" t="s">
        <v>38</v>
      </c>
      <c r="B8" s="7">
        <f>'⚪设计'!G65</f>
        <v>200</v>
      </c>
      <c r="C8" s="41">
        <f>VLOOKUP(防御塔!A8,'⚪设计'!$A$59:$C$74,2,FALSE)*B8</f>
        <v>350</v>
      </c>
      <c r="D8" s="41">
        <f>VLOOKUP(防御塔!A8,'⚪设计'!$A$59:$C$74,3,FALSE)*B8</f>
        <v>233.33333333333334</v>
      </c>
      <c r="E8" s="7">
        <v>1</v>
      </c>
      <c r="F8" s="7">
        <v>1</v>
      </c>
      <c r="G8" s="7">
        <v>7.5</v>
      </c>
      <c r="H8" s="41">
        <f>INT(D8/F8/(1/E8))</f>
        <v>233</v>
      </c>
      <c r="I8" s="41">
        <f>INT($H8/'⚪设计'!$C$78*'⚪设计'!$C$79)</f>
        <v>629</v>
      </c>
      <c r="J8" s="41">
        <f>INT($H8/'⚪设计'!$C$78*'⚪设计'!$C$80/2)</f>
        <v>943</v>
      </c>
      <c r="K8" s="40" t="s">
        <v>1126</v>
      </c>
      <c r="L8" s="41">
        <f>ROUND((C8-D8)/D8/5,2)</f>
        <v>0.1</v>
      </c>
      <c r="M8" s="41">
        <f>L8</f>
        <v>0.1</v>
      </c>
      <c r="N8" s="41">
        <f>L8</f>
        <v>0.1</v>
      </c>
      <c r="O8" s="50"/>
      <c r="P8" s="51" t="s">
        <v>96</v>
      </c>
    </row>
    <row r="9" spans="1:16" x14ac:dyDescent="0.2">
      <c r="A9" s="40" t="s">
        <v>39</v>
      </c>
      <c r="B9" s="7">
        <f>'⚪设计'!G66</f>
        <v>100</v>
      </c>
      <c r="C9" s="41">
        <f>VLOOKUP(防御塔!A9,'⚪设计'!$A$59:$C$74,2,FALSE)*B9</f>
        <v>100</v>
      </c>
      <c r="D9" s="41">
        <f>VLOOKUP(防御塔!A9,'⚪设计'!$A$59:$C$74,3,FALSE)*B9</f>
        <v>100</v>
      </c>
      <c r="E9" s="7">
        <v>1</v>
      </c>
      <c r="F9" s="7">
        <v>3</v>
      </c>
      <c r="G9" s="7">
        <v>7.5</v>
      </c>
      <c r="H9" s="41">
        <f>INT(D9/F9/(1/E9))</f>
        <v>33</v>
      </c>
      <c r="I9" s="41">
        <f>INT($H9/'⚪设计'!$C$78*'⚪设计'!$C$79)</f>
        <v>89</v>
      </c>
      <c r="J9" s="41">
        <f>INT($H9/'⚪设计'!$C$78*'⚪设计'!$C$80)</f>
        <v>267</v>
      </c>
      <c r="K9" s="40" t="s">
        <v>1127</v>
      </c>
      <c r="L9" s="52">
        <v>0.25</v>
      </c>
      <c r="M9" s="52">
        <v>0.4</v>
      </c>
      <c r="N9" s="52">
        <v>0.5</v>
      </c>
      <c r="O9" s="50"/>
    </row>
    <row r="10" spans="1:16" x14ac:dyDescent="0.2">
      <c r="A10" s="40" t="s">
        <v>40</v>
      </c>
      <c r="B10" s="7">
        <f>'⚪设计'!G67</f>
        <v>100</v>
      </c>
      <c r="C10" s="41">
        <f>VLOOKUP(防御塔!A10,'⚪设计'!$A$59:$C$74,2,FALSE)*B10</f>
        <v>100</v>
      </c>
      <c r="D10" s="41">
        <f>VLOOKUP(防御塔!A10,'⚪设计'!$A$59:$C$74,3,FALSE)*B10</f>
        <v>100</v>
      </c>
      <c r="E10" s="7">
        <v>1</v>
      </c>
      <c r="F10" s="7">
        <v>8</v>
      </c>
      <c r="G10" s="7">
        <v>7.5</v>
      </c>
      <c r="H10" s="41">
        <f>INT(D10/F10/(1/E10))</f>
        <v>12</v>
      </c>
      <c r="I10" s="41">
        <f>INT($H10/'⚪设计'!$C$78*'⚪设计'!$C$79)</f>
        <v>32</v>
      </c>
      <c r="J10" s="41">
        <f>INT($H10/'⚪设计'!$C$78*'⚪设计'!$C$80)</f>
        <v>97</v>
      </c>
      <c r="K10" s="40" t="s">
        <v>1128</v>
      </c>
      <c r="L10" s="53">
        <v>0.3</v>
      </c>
      <c r="M10" s="53">
        <v>0.5</v>
      </c>
      <c r="N10" s="53">
        <v>0.6</v>
      </c>
      <c r="O10" s="50"/>
    </row>
    <row r="11" spans="1:16" x14ac:dyDescent="0.2">
      <c r="A11" s="8" t="s">
        <v>1311</v>
      </c>
      <c r="B11" s="7">
        <f>'⚪设计'!G68</f>
        <v>300</v>
      </c>
      <c r="C11" s="41">
        <f>VLOOKUP(防御塔!A11,'⚪设计'!$A$59:$C$74,2,FALSE)*B11</f>
        <v>450</v>
      </c>
      <c r="D11" s="41">
        <f>VLOOKUP(防御塔!A11,'⚪设计'!$A$59:$C$74,3,FALSE)*B11</f>
        <v>450</v>
      </c>
      <c r="E11" s="7">
        <v>1</v>
      </c>
      <c r="F11" s="130">
        <v>1</v>
      </c>
      <c r="G11" s="7">
        <v>9</v>
      </c>
      <c r="H11" s="41">
        <f t="shared" ref="H11:H13" si="0">INT(D11/F11/(1/E11))</f>
        <v>450</v>
      </c>
      <c r="I11" s="41">
        <f>INT($H11/'⚪设计'!$C$78*'⚪设计'!$C$79)</f>
        <v>1215</v>
      </c>
      <c r="J11" s="41">
        <f>INT($H11/'⚪设计'!$C$78*'⚪设计'!$C$80/3)</f>
        <v>1215</v>
      </c>
      <c r="K11" s="40" t="s">
        <v>1315</v>
      </c>
      <c r="L11" s="98">
        <v>0.01</v>
      </c>
      <c r="M11" s="98">
        <v>0.02</v>
      </c>
      <c r="N11" s="98">
        <v>0.03</v>
      </c>
      <c r="O11" s="50"/>
    </row>
    <row r="12" spans="1:16" x14ac:dyDescent="0.2">
      <c r="A12" s="8" t="s">
        <v>1363</v>
      </c>
      <c r="B12" s="7">
        <f>'⚪设计'!G69</f>
        <v>100</v>
      </c>
      <c r="C12" s="41">
        <f>VLOOKUP(防御塔!A12,'⚪设计'!$A$59:$C$74,2,FALSE)*B12</f>
        <v>200</v>
      </c>
      <c r="D12" s="41">
        <f>VLOOKUP(防御塔!A12,'⚪设计'!$A$59:$C$74,3,FALSE)*B12</f>
        <v>200</v>
      </c>
      <c r="E12" s="7">
        <v>1</v>
      </c>
      <c r="F12" s="131">
        <v>5</v>
      </c>
      <c r="G12" s="7">
        <v>7.5</v>
      </c>
      <c r="H12" s="41">
        <f>INT(D12/F12/(1/E12))*L12</f>
        <v>2000</v>
      </c>
      <c r="I12" s="41">
        <f>INT($H12/'⚪设计'!$C$78*'⚪设计'!$C$79)</f>
        <v>5400</v>
      </c>
      <c r="J12" s="41">
        <f>INT($H12/'⚪设计'!$C$78*'⚪设计'!$C$80)</f>
        <v>16200</v>
      </c>
      <c r="K12" s="40" t="s">
        <v>1374</v>
      </c>
      <c r="L12" s="98">
        <v>50</v>
      </c>
      <c r="M12" s="98">
        <v>1</v>
      </c>
      <c r="N12" s="41"/>
      <c r="O12" s="41"/>
    </row>
    <row r="13" spans="1:16" x14ac:dyDescent="0.2">
      <c r="A13" s="8" t="s">
        <v>1312</v>
      </c>
      <c r="B13" s="7">
        <f>'⚪设计'!G70</f>
        <v>200</v>
      </c>
      <c r="C13" s="41">
        <f>VLOOKUP(防御塔!A13,'⚪设计'!$A$59:$C$74,2,FALSE)*B13</f>
        <v>350</v>
      </c>
      <c r="D13" s="41">
        <f>VLOOKUP(防御塔!A13,'⚪设计'!$A$59:$C$74,3,FALSE)*B13</f>
        <v>350</v>
      </c>
      <c r="E13" s="7">
        <v>1</v>
      </c>
      <c r="F13" s="131">
        <v>1</v>
      </c>
      <c r="G13" s="7">
        <v>7.5</v>
      </c>
      <c r="H13" s="41">
        <f t="shared" si="0"/>
        <v>350</v>
      </c>
      <c r="I13" s="41">
        <f>INT($H13/'⚪设计'!$C$78*'⚪设计'!$C$79)</f>
        <v>945</v>
      </c>
      <c r="J13" s="41">
        <f>INT($H13/'⚪设计'!$C$78*'⚪设计'!$C$80/2)</f>
        <v>1417</v>
      </c>
      <c r="K13" s="40" t="s">
        <v>1316</v>
      </c>
      <c r="L13" s="41">
        <v>1</v>
      </c>
      <c r="M13" s="41">
        <v>4</v>
      </c>
      <c r="N13" s="41">
        <v>15</v>
      </c>
      <c r="O13" s="41"/>
    </row>
    <row r="14" spans="1:16" x14ac:dyDescent="0.2">
      <c r="A14" s="8" t="s">
        <v>2999</v>
      </c>
      <c r="B14" s="7">
        <f>'⚪设计'!G71</f>
        <v>200</v>
      </c>
      <c r="C14" s="41">
        <f>VLOOKUP(防御塔!A14,'⚪设计'!$A$59:$C$74,2,FALSE)*B14</f>
        <v>350</v>
      </c>
      <c r="D14" s="41">
        <f>VLOOKUP(防御塔!A14,'⚪设计'!$A$59:$C$74,3,FALSE)*B14</f>
        <v>233.33333333333334</v>
      </c>
      <c r="E14" s="7">
        <v>2</v>
      </c>
      <c r="F14" s="7">
        <v>3</v>
      </c>
      <c r="G14" s="7">
        <v>9</v>
      </c>
      <c r="H14" s="41">
        <f t="shared" ref="H14" si="1">INT(D14/F14/(1/E14))</f>
        <v>155</v>
      </c>
      <c r="I14" s="41">
        <f>INT($H14/'⚪设计'!$C$78*'⚪设计'!$C$79)</f>
        <v>418</v>
      </c>
      <c r="J14" s="41">
        <f>INT($H14/'⚪设计'!$C$78*'⚪设计'!$C$80/2)</f>
        <v>627</v>
      </c>
      <c r="K14" s="40" t="s">
        <v>1125</v>
      </c>
      <c r="L14" s="41">
        <f>ROUND((C14-D14)/D14/G14,2)</f>
        <v>0.06</v>
      </c>
      <c r="M14" s="41">
        <f>L14</f>
        <v>0.06</v>
      </c>
      <c r="N14" s="41">
        <f>M14</f>
        <v>0.06</v>
      </c>
      <c r="P14" s="51" t="s">
        <v>1900</v>
      </c>
    </row>
    <row r="15" spans="1:16" x14ac:dyDescent="0.2">
      <c r="A15" s="8" t="s">
        <v>2966</v>
      </c>
      <c r="B15" s="7">
        <f>'⚪设计'!G72</f>
        <v>200</v>
      </c>
      <c r="C15" s="41">
        <f>VLOOKUP(防御塔!A15,'⚪设计'!$A$59:$C$74,2,FALSE)*B15</f>
        <v>200</v>
      </c>
      <c r="D15" s="41">
        <f>VLOOKUP(防御塔!A15,'⚪设计'!$A$59:$C$74,3,FALSE)*B15</f>
        <v>133.33333333333331</v>
      </c>
      <c r="E15" s="7">
        <v>2</v>
      </c>
      <c r="F15" s="7">
        <v>3</v>
      </c>
      <c r="G15" s="7">
        <v>7.5</v>
      </c>
      <c r="H15" s="41">
        <f>INT(D15/F15/(1/E15))</f>
        <v>88</v>
      </c>
      <c r="I15" s="41">
        <f>INT($H15/'⚪设计'!$C$78*'⚪设计'!$C$79)</f>
        <v>237</v>
      </c>
      <c r="J15" s="41">
        <f>INT($H15/'⚪设计'!$C$78*'⚪设计'!$C$80/2)</f>
        <v>356</v>
      </c>
      <c r="K15" s="40" t="s">
        <v>1898</v>
      </c>
      <c r="L15" s="41">
        <f>-ROUND((C15-D15)/D15/G15,2)</f>
        <v>-7.0000000000000007E-2</v>
      </c>
      <c r="M15" s="41">
        <f>L15</f>
        <v>-7.0000000000000007E-2</v>
      </c>
      <c r="N15" s="41">
        <f>M15</f>
        <v>-7.0000000000000007E-2</v>
      </c>
      <c r="O15" s="7">
        <v>3</v>
      </c>
      <c r="P15" s="7">
        <v>0.5</v>
      </c>
    </row>
    <row r="16" spans="1:16" x14ac:dyDescent="0.2">
      <c r="A16" s="8" t="s">
        <v>3000</v>
      </c>
      <c r="B16" s="7">
        <f>'⚪设计'!G73</f>
        <v>200</v>
      </c>
      <c r="C16" s="41">
        <f>VLOOKUP(防御塔!A16,'⚪设计'!$A$59:$C$74,2,FALSE)*B16</f>
        <v>350</v>
      </c>
      <c r="D16" s="41">
        <f>VLOOKUP(防御塔!A16,'⚪设计'!$A$59:$C$74,3,FALSE)*B16</f>
        <v>350</v>
      </c>
      <c r="E16" s="7">
        <v>2</v>
      </c>
      <c r="F16" s="7">
        <v>3</v>
      </c>
      <c r="G16" s="7">
        <v>7.5</v>
      </c>
      <c r="H16" s="41">
        <f>INT(C16/F16/(1/E16))</f>
        <v>233</v>
      </c>
      <c r="I16" s="41">
        <f>INT($H16/'⚪设计'!$C$78*'⚪设计'!$C$79)</f>
        <v>629</v>
      </c>
      <c r="J16" s="41">
        <f>INT($H16/'⚪设计'!$C$78*'⚪设计'!$C$80/2)</f>
        <v>943</v>
      </c>
      <c r="K16" s="40" t="s">
        <v>1899</v>
      </c>
      <c r="L16" s="7">
        <v>15</v>
      </c>
    </row>
    <row r="17" spans="1:13" x14ac:dyDescent="0.2">
      <c r="A17" s="8" t="s">
        <v>3001</v>
      </c>
      <c r="B17" s="7">
        <f>'⚪设计'!G74</f>
        <v>200</v>
      </c>
      <c r="C17" s="41">
        <f>VLOOKUP(防御塔!A17,'⚪设计'!$A$59:$C$74,2,FALSE)*B17</f>
        <v>350</v>
      </c>
      <c r="D17" s="41">
        <f>VLOOKUP(防御塔!A17,'⚪设计'!$A$59:$C$74,3,FALSE)*B17</f>
        <v>350</v>
      </c>
      <c r="E17" s="7">
        <v>2</v>
      </c>
      <c r="F17" s="7">
        <v>1</v>
      </c>
      <c r="G17" s="7">
        <v>9</v>
      </c>
      <c r="H17" s="41">
        <f>INT(D17/F17/(1/E17))/L17</f>
        <v>116.66666666666667</v>
      </c>
      <c r="I17" s="41">
        <f>INT($H17/'⚪设计'!$C$78*'⚪设计'!$C$79)</f>
        <v>315</v>
      </c>
      <c r="J17" s="41">
        <f>INT($H17/'⚪设计'!$C$78*'⚪设计'!$C$80/2)*L17/M17</f>
        <v>314.66666666666669</v>
      </c>
      <c r="K17" s="40" t="s">
        <v>3009</v>
      </c>
      <c r="L17" s="7">
        <v>6</v>
      </c>
      <c r="M17" s="7">
        <v>9</v>
      </c>
    </row>
    <row r="19" spans="1:13" x14ac:dyDescent="0.2">
      <c r="J19">
        <v>1</v>
      </c>
      <c r="K19">
        <v>1</v>
      </c>
      <c r="L19">
        <v>0.05</v>
      </c>
    </row>
    <row r="20" spans="1:13" x14ac:dyDescent="0.2">
      <c r="J20">
        <v>2</v>
      </c>
      <c r="K20">
        <f>K19*(1-$L$19)</f>
        <v>0.95</v>
      </c>
    </row>
    <row r="21" spans="1:13" x14ac:dyDescent="0.2">
      <c r="J21">
        <v>3</v>
      </c>
      <c r="K21">
        <f t="shared" ref="K21:K78" si="2">K20*(1-$L$19)</f>
        <v>0.90249999999999997</v>
      </c>
    </row>
    <row r="22" spans="1:13" x14ac:dyDescent="0.2">
      <c r="B22" s="54"/>
      <c r="J22">
        <v>4</v>
      </c>
      <c r="K22">
        <f t="shared" si="2"/>
        <v>0.85737499999999989</v>
      </c>
    </row>
    <row r="23" spans="1:13" x14ac:dyDescent="0.2">
      <c r="B23" s="54"/>
      <c r="J23">
        <v>5</v>
      </c>
      <c r="K23">
        <f t="shared" si="2"/>
        <v>0.81450624999999988</v>
      </c>
    </row>
    <row r="24" spans="1:13" x14ac:dyDescent="0.2">
      <c r="B24" s="54"/>
      <c r="J24">
        <v>6</v>
      </c>
      <c r="K24">
        <f t="shared" si="2"/>
        <v>0.77378093749999988</v>
      </c>
    </row>
    <row r="25" spans="1:13" x14ac:dyDescent="0.2">
      <c r="B25" s="54"/>
      <c r="J25">
        <v>7</v>
      </c>
      <c r="K25">
        <f t="shared" si="2"/>
        <v>0.7350918906249998</v>
      </c>
    </row>
    <row r="26" spans="1:13" x14ac:dyDescent="0.2">
      <c r="J26">
        <v>8</v>
      </c>
      <c r="K26">
        <f t="shared" si="2"/>
        <v>0.69833729609374973</v>
      </c>
    </row>
    <row r="27" spans="1:13" x14ac:dyDescent="0.2">
      <c r="J27">
        <v>9</v>
      </c>
      <c r="K27">
        <f t="shared" si="2"/>
        <v>0.66342043128906225</v>
      </c>
    </row>
    <row r="28" spans="1:13" x14ac:dyDescent="0.2">
      <c r="J28">
        <v>10</v>
      </c>
      <c r="K28">
        <f t="shared" si="2"/>
        <v>0.63024940972460908</v>
      </c>
    </row>
    <row r="29" spans="1:13" x14ac:dyDescent="0.2">
      <c r="J29">
        <v>11</v>
      </c>
      <c r="K29">
        <f t="shared" si="2"/>
        <v>0.59873693923837856</v>
      </c>
    </row>
    <row r="30" spans="1:13" x14ac:dyDescent="0.2">
      <c r="J30">
        <v>12</v>
      </c>
      <c r="K30">
        <f t="shared" si="2"/>
        <v>0.56880009227645956</v>
      </c>
    </row>
    <row r="31" spans="1:13" x14ac:dyDescent="0.2">
      <c r="J31">
        <v>13</v>
      </c>
      <c r="K31">
        <f t="shared" si="2"/>
        <v>0.54036008766263655</v>
      </c>
    </row>
    <row r="32" spans="1:13" x14ac:dyDescent="0.2">
      <c r="J32">
        <v>14</v>
      </c>
      <c r="K32">
        <f t="shared" si="2"/>
        <v>0.5133420832795047</v>
      </c>
    </row>
    <row r="33" spans="10:11" x14ac:dyDescent="0.2">
      <c r="J33">
        <v>15</v>
      </c>
      <c r="K33">
        <f t="shared" si="2"/>
        <v>0.48767497911552943</v>
      </c>
    </row>
    <row r="34" spans="10:11" x14ac:dyDescent="0.2">
      <c r="J34">
        <v>16</v>
      </c>
      <c r="K34">
        <f t="shared" si="2"/>
        <v>0.46329123015975293</v>
      </c>
    </row>
    <row r="35" spans="10:11" x14ac:dyDescent="0.2">
      <c r="J35">
        <v>17</v>
      </c>
      <c r="K35">
        <f t="shared" si="2"/>
        <v>0.44012666865176525</v>
      </c>
    </row>
    <row r="36" spans="10:11" x14ac:dyDescent="0.2">
      <c r="J36">
        <v>18</v>
      </c>
      <c r="K36">
        <f t="shared" si="2"/>
        <v>0.41812033521917696</v>
      </c>
    </row>
    <row r="37" spans="10:11" x14ac:dyDescent="0.2">
      <c r="J37">
        <v>19</v>
      </c>
      <c r="K37">
        <f t="shared" si="2"/>
        <v>0.39721431845821809</v>
      </c>
    </row>
    <row r="38" spans="10:11" x14ac:dyDescent="0.2">
      <c r="J38">
        <v>20</v>
      </c>
      <c r="K38">
        <f t="shared" si="2"/>
        <v>0.37735360253530714</v>
      </c>
    </row>
    <row r="39" spans="10:11" x14ac:dyDescent="0.2">
      <c r="J39">
        <v>21</v>
      </c>
      <c r="K39">
        <f t="shared" si="2"/>
        <v>0.35848592240854177</v>
      </c>
    </row>
    <row r="40" spans="10:11" x14ac:dyDescent="0.2">
      <c r="J40">
        <v>22</v>
      </c>
      <c r="K40">
        <f t="shared" si="2"/>
        <v>0.34056162628811465</v>
      </c>
    </row>
    <row r="41" spans="10:11" x14ac:dyDescent="0.2">
      <c r="J41">
        <v>23</v>
      </c>
      <c r="K41">
        <f t="shared" si="2"/>
        <v>0.3235335449737089</v>
      </c>
    </row>
    <row r="42" spans="10:11" x14ac:dyDescent="0.2">
      <c r="J42">
        <v>24</v>
      </c>
      <c r="K42">
        <f t="shared" si="2"/>
        <v>0.30735686772502346</v>
      </c>
    </row>
    <row r="43" spans="10:11" x14ac:dyDescent="0.2">
      <c r="J43">
        <v>25</v>
      </c>
      <c r="K43">
        <f t="shared" si="2"/>
        <v>0.29198902433877227</v>
      </c>
    </row>
    <row r="44" spans="10:11" x14ac:dyDescent="0.2">
      <c r="J44">
        <v>26</v>
      </c>
      <c r="K44">
        <f t="shared" si="2"/>
        <v>0.27738957312183365</v>
      </c>
    </row>
    <row r="45" spans="10:11" x14ac:dyDescent="0.2">
      <c r="J45">
        <v>27</v>
      </c>
      <c r="K45">
        <f t="shared" si="2"/>
        <v>0.26352009446574198</v>
      </c>
    </row>
    <row r="46" spans="10:11" x14ac:dyDescent="0.2">
      <c r="J46">
        <v>28</v>
      </c>
      <c r="K46">
        <f t="shared" si="2"/>
        <v>0.25034408974245487</v>
      </c>
    </row>
    <row r="47" spans="10:11" x14ac:dyDescent="0.2">
      <c r="J47">
        <v>29</v>
      </c>
      <c r="K47">
        <f t="shared" si="2"/>
        <v>0.2378268852553321</v>
      </c>
    </row>
    <row r="48" spans="10:11" x14ac:dyDescent="0.2">
      <c r="J48">
        <v>30</v>
      </c>
      <c r="K48">
        <f t="shared" si="2"/>
        <v>0.22593554099256549</v>
      </c>
    </row>
    <row r="49" spans="10:11" x14ac:dyDescent="0.2">
      <c r="J49">
        <v>31</v>
      </c>
      <c r="K49">
        <f t="shared" si="2"/>
        <v>0.21463876394293721</v>
      </c>
    </row>
    <row r="50" spans="10:11" x14ac:dyDescent="0.2">
      <c r="J50">
        <v>32</v>
      </c>
      <c r="K50">
        <f t="shared" si="2"/>
        <v>0.20390682574579033</v>
      </c>
    </row>
    <row r="51" spans="10:11" x14ac:dyDescent="0.2">
      <c r="J51">
        <v>33</v>
      </c>
      <c r="K51">
        <f t="shared" si="2"/>
        <v>0.19371148445850081</v>
      </c>
    </row>
    <row r="52" spans="10:11" x14ac:dyDescent="0.2">
      <c r="J52">
        <v>34</v>
      </c>
      <c r="K52">
        <f t="shared" si="2"/>
        <v>0.18402591023557577</v>
      </c>
    </row>
    <row r="53" spans="10:11" x14ac:dyDescent="0.2">
      <c r="J53">
        <v>35</v>
      </c>
      <c r="K53">
        <f t="shared" si="2"/>
        <v>0.17482461472379698</v>
      </c>
    </row>
    <row r="54" spans="10:11" x14ac:dyDescent="0.2">
      <c r="J54">
        <v>36</v>
      </c>
      <c r="K54">
        <f t="shared" si="2"/>
        <v>0.16608338398760714</v>
      </c>
    </row>
    <row r="55" spans="10:11" x14ac:dyDescent="0.2">
      <c r="J55">
        <v>37</v>
      </c>
      <c r="K55">
        <f t="shared" si="2"/>
        <v>0.15777921478822676</v>
      </c>
    </row>
    <row r="56" spans="10:11" x14ac:dyDescent="0.2">
      <c r="J56">
        <v>38</v>
      </c>
      <c r="K56">
        <f t="shared" si="2"/>
        <v>0.14989025404881542</v>
      </c>
    </row>
    <row r="57" spans="10:11" x14ac:dyDescent="0.2">
      <c r="J57">
        <v>39</v>
      </c>
      <c r="K57">
        <f t="shared" si="2"/>
        <v>0.14239574134637464</v>
      </c>
    </row>
    <row r="58" spans="10:11" x14ac:dyDescent="0.2">
      <c r="J58">
        <v>40</v>
      </c>
      <c r="K58">
        <f t="shared" si="2"/>
        <v>0.13527595427905589</v>
      </c>
    </row>
    <row r="59" spans="10:11" x14ac:dyDescent="0.2">
      <c r="J59">
        <v>41</v>
      </c>
      <c r="K59">
        <f t="shared" si="2"/>
        <v>0.12851215656510309</v>
      </c>
    </row>
    <row r="60" spans="10:11" x14ac:dyDescent="0.2">
      <c r="J60">
        <v>42</v>
      </c>
      <c r="K60">
        <f t="shared" si="2"/>
        <v>0.12208654873684793</v>
      </c>
    </row>
    <row r="61" spans="10:11" x14ac:dyDescent="0.2">
      <c r="J61">
        <v>43</v>
      </c>
      <c r="K61">
        <f t="shared" si="2"/>
        <v>0.11598222130000553</v>
      </c>
    </row>
    <row r="62" spans="10:11" x14ac:dyDescent="0.2">
      <c r="J62">
        <v>44</v>
      </c>
      <c r="K62">
        <f t="shared" si="2"/>
        <v>0.11018311023500525</v>
      </c>
    </row>
    <row r="63" spans="10:11" x14ac:dyDescent="0.2">
      <c r="J63">
        <v>45</v>
      </c>
      <c r="K63">
        <f t="shared" si="2"/>
        <v>0.10467395472325498</v>
      </c>
    </row>
    <row r="64" spans="10:11" x14ac:dyDescent="0.2">
      <c r="J64">
        <v>46</v>
      </c>
      <c r="K64">
        <f t="shared" si="2"/>
        <v>9.9440256987092232E-2</v>
      </c>
    </row>
    <row r="65" spans="10:11" x14ac:dyDescent="0.2">
      <c r="J65">
        <v>47</v>
      </c>
      <c r="K65">
        <f t="shared" si="2"/>
        <v>9.446824413773762E-2</v>
      </c>
    </row>
    <row r="66" spans="10:11" x14ac:dyDescent="0.2">
      <c r="J66">
        <v>48</v>
      </c>
      <c r="K66">
        <f t="shared" si="2"/>
        <v>8.9744831930850741E-2</v>
      </c>
    </row>
    <row r="67" spans="10:11" x14ac:dyDescent="0.2">
      <c r="J67">
        <v>49</v>
      </c>
      <c r="K67">
        <f t="shared" si="2"/>
        <v>8.52575903343082E-2</v>
      </c>
    </row>
    <row r="68" spans="10:11" x14ac:dyDescent="0.2">
      <c r="J68">
        <v>50</v>
      </c>
      <c r="K68">
        <f t="shared" si="2"/>
        <v>8.0994710817592783E-2</v>
      </c>
    </row>
    <row r="69" spans="10:11" x14ac:dyDescent="0.2">
      <c r="J69">
        <v>51</v>
      </c>
      <c r="K69">
        <f t="shared" si="2"/>
        <v>7.6944975276713137E-2</v>
      </c>
    </row>
    <row r="70" spans="10:11" x14ac:dyDescent="0.2">
      <c r="J70">
        <v>52</v>
      </c>
      <c r="K70">
        <f t="shared" si="2"/>
        <v>7.3097726512877478E-2</v>
      </c>
    </row>
    <row r="71" spans="10:11" x14ac:dyDescent="0.2">
      <c r="J71">
        <v>53</v>
      </c>
      <c r="K71">
        <f t="shared" si="2"/>
        <v>6.9442840187233595E-2</v>
      </c>
    </row>
    <row r="72" spans="10:11" x14ac:dyDescent="0.2">
      <c r="J72">
        <v>54</v>
      </c>
      <c r="K72">
        <f t="shared" si="2"/>
        <v>6.5970698177871906E-2</v>
      </c>
    </row>
    <row r="73" spans="10:11" x14ac:dyDescent="0.2">
      <c r="J73">
        <v>55</v>
      </c>
      <c r="K73">
        <f t="shared" si="2"/>
        <v>6.2672163268978301E-2</v>
      </c>
    </row>
    <row r="74" spans="10:11" x14ac:dyDescent="0.2">
      <c r="J74">
        <v>56</v>
      </c>
      <c r="K74">
        <f t="shared" si="2"/>
        <v>5.9538555105529384E-2</v>
      </c>
    </row>
    <row r="75" spans="10:11" x14ac:dyDescent="0.2">
      <c r="J75">
        <v>57</v>
      </c>
      <c r="K75">
        <f t="shared" si="2"/>
        <v>5.6561627350252913E-2</v>
      </c>
    </row>
    <row r="76" spans="10:11" x14ac:dyDescent="0.2">
      <c r="J76">
        <v>58</v>
      </c>
      <c r="K76">
        <f t="shared" si="2"/>
        <v>5.3733545982740265E-2</v>
      </c>
    </row>
    <row r="77" spans="10:11" x14ac:dyDescent="0.2">
      <c r="J77">
        <v>59</v>
      </c>
      <c r="K77">
        <f t="shared" si="2"/>
        <v>5.1046868683603253E-2</v>
      </c>
    </row>
    <row r="78" spans="10:11" x14ac:dyDescent="0.2">
      <c r="J78">
        <v>60</v>
      </c>
      <c r="K78">
        <f t="shared" si="2"/>
        <v>4.849452524942309E-2</v>
      </c>
    </row>
  </sheetData>
  <phoneticPr fontId="4" type="noConversion"/>
  <conditionalFormatting sqref="K19:K7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{38C7F090-46B4-4443-86AC-14DD0C6FA069}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C7F090-46B4-4443-86AC-14DD0C6FA06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K19:K78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B692-E10F-479F-ABFA-C16A979BA6F0}">
  <dimension ref="A1:X5"/>
  <sheetViews>
    <sheetView workbookViewId="0">
      <selection activeCell="J16" sqref="J16"/>
    </sheetView>
  </sheetViews>
  <sheetFormatPr defaultRowHeight="14.25" x14ac:dyDescent="0.2"/>
  <cols>
    <col min="5" max="5" width="14.125" customWidth="1"/>
    <col min="10" max="10" width="16.875" bestFit="1" customWidth="1"/>
    <col min="15" max="15" width="8.625" customWidth="1"/>
  </cols>
  <sheetData>
    <row r="1" spans="1:24" s="66" customFormat="1" x14ac:dyDescent="0.2">
      <c r="A1" s="190" t="s">
        <v>380</v>
      </c>
      <c r="B1" s="190" t="s">
        <v>428</v>
      </c>
      <c r="C1" s="192" t="s">
        <v>430</v>
      </c>
      <c r="D1" s="192" t="s">
        <v>396</v>
      </c>
      <c r="E1" s="190" t="s">
        <v>400</v>
      </c>
      <c r="F1" s="191"/>
      <c r="G1" s="191"/>
      <c r="H1" s="191"/>
      <c r="I1" s="191"/>
      <c r="J1" s="190" t="s">
        <v>401</v>
      </c>
      <c r="K1" s="191"/>
      <c r="L1" s="191"/>
      <c r="M1" s="191"/>
      <c r="N1" s="191"/>
      <c r="O1" s="190" t="s">
        <v>402</v>
      </c>
      <c r="P1" s="191"/>
      <c r="Q1" s="191"/>
      <c r="R1" s="191"/>
      <c r="S1" s="191"/>
      <c r="T1" s="190" t="s">
        <v>403</v>
      </c>
      <c r="U1" s="191"/>
      <c r="V1" s="191"/>
      <c r="W1" s="191"/>
      <c r="X1" s="192"/>
    </row>
    <row r="2" spans="1:24" s="66" customFormat="1" x14ac:dyDescent="0.2">
      <c r="A2" s="193"/>
      <c r="B2" s="193"/>
      <c r="C2" s="194"/>
      <c r="D2" s="194"/>
      <c r="E2" s="93" t="s">
        <v>397</v>
      </c>
      <c r="F2" s="87" t="s">
        <v>283</v>
      </c>
      <c r="G2" s="87" t="s">
        <v>404</v>
      </c>
      <c r="H2" s="87" t="s">
        <v>398</v>
      </c>
      <c r="I2" s="87" t="s">
        <v>399</v>
      </c>
      <c r="J2" s="85" t="s">
        <v>397</v>
      </c>
      <c r="K2" s="87" t="s">
        <v>283</v>
      </c>
      <c r="L2" s="87" t="s">
        <v>404</v>
      </c>
      <c r="M2" s="87" t="s">
        <v>398</v>
      </c>
      <c r="N2" s="87" t="s">
        <v>399</v>
      </c>
      <c r="O2" s="93" t="s">
        <v>397</v>
      </c>
      <c r="P2" s="87" t="s">
        <v>283</v>
      </c>
      <c r="Q2" s="87" t="s">
        <v>404</v>
      </c>
      <c r="R2" s="87" t="s">
        <v>398</v>
      </c>
      <c r="S2" s="87" t="s">
        <v>399</v>
      </c>
      <c r="T2" s="85" t="s">
        <v>397</v>
      </c>
      <c r="U2" s="87" t="s">
        <v>283</v>
      </c>
      <c r="V2" s="87" t="s">
        <v>404</v>
      </c>
      <c r="W2" s="87" t="s">
        <v>398</v>
      </c>
      <c r="X2" s="86" t="s">
        <v>399</v>
      </c>
    </row>
    <row r="3" spans="1:24" s="66" customFormat="1" x14ac:dyDescent="0.2">
      <c r="A3" s="84">
        <v>1</v>
      </c>
      <c r="B3" s="88">
        <f>MAX(MIN(战斗节奏!$C$2-INT(A3/'⚪设计'!$C$55),MOD(A3,'⚪设计'!$C$55)),0)*'⚪设计'!$C$79*防御塔!$C$2+MIN(INT(A3/'⚪设计'!$C$55),战斗节奏!$C$2)*'⚪设计'!$C$80*防御塔!$C$2</f>
        <v>540</v>
      </c>
      <c r="C3" s="7">
        <v>1</v>
      </c>
      <c r="D3" s="7">
        <v>10</v>
      </c>
      <c r="E3" s="71" t="str">
        <f>IF(VLOOKUP(A3,'⚪设计'!$A$124:$G$126,4,FALSE)="","",VLOOKUP(VLOOKUP(A3,'⚪设计'!$A$124:$G$126,4,FALSE),'⚪设计'!$B$85:$D$101,2,FALSE))</f>
        <v>ResUnit_MiFeng1</v>
      </c>
      <c r="F3" s="88">
        <f>IF(E3="",0,IF(G3=0,1,ROUND($D3/G3,0)))</f>
        <v>10</v>
      </c>
      <c r="G3" s="7">
        <v>1</v>
      </c>
      <c r="H3" s="88">
        <f>IF(E3="",0,ROUND(VLOOKUP($A3,'⚪设计'!$A$124:$B$224,2,FALSE)*$B3/SUM(IF($E3="",0,VLOOKUP($E3,'⚪设计'!$C$85:$E$101,3,FALSE))*$F3,IF($J3="",0,VLOOKUP($J3,'⚪设计'!$C$85:$E$101,3,FALSE))*$K3,IF($O3="",0,VLOOKUP($O3,'⚪设计'!$C$85:$E$101,3,FALSE))*$P3,IF($T3="",0,VLOOKUP($T3,'⚪设计'!$C$85:$E$101,3,FALSE))*$U3)*VLOOKUP(E3,'⚪设计'!$C$85:$E$101,3,FALSE),0))</f>
        <v>162</v>
      </c>
      <c r="I3" s="88">
        <f>ROUND(战斗节奏!$B$2/SUM(IF($E3="",0,VLOOKUP($E3,'⚪设计'!$C$85:$G$101,4,FALSE)*$F3),IF($J3="",0,VLOOKUP($J3,'⚪设计'!$C$85:$G$101,4,FALSE)*$K3),IF($O3="",0,VLOOKUP($O3,'⚪设计'!$C$85:$G$101,4,FALSE)*$P3),IF($T3="",0,VLOOKUP($T3,'⚪设计'!$C$85:$G$101,4,FALSE)*$U3))*IF(E3="",0,VLOOKUP(E3,'⚪设计'!$C$85:$G$101,4,FALSE)),0)</f>
        <v>60</v>
      </c>
      <c r="J3" s="88" t="str">
        <f>IF(VLOOKUP(A3,'⚪设计'!$A$124:$G$126,5,FALSE)="","",VLOOKUP(VLOOKUP(A3,'⚪设计'!$A$124:$G$126,5,FALSE),'⚪设计'!$B$85:$D$101,2,FALSE))</f>
        <v/>
      </c>
      <c r="K3" s="88">
        <f>IF(J3="",0,IF(L3=0,1,ROUND($D3/L3,0)))</f>
        <v>0</v>
      </c>
      <c r="L3" s="7"/>
      <c r="M3" s="88">
        <f>IF(J3="",0,ROUND(VLOOKUP($A3,'⚪设计'!$A$124:$B$224,2,FALSE)*$B3/SUM(IF($E3="",0,VLOOKUP($E3,'⚪设计'!$C$85:$E$101,3,FALSE))*$F3,IF($J3="",0,VLOOKUP($J3,'⚪设计'!$C$85:$E$101,3,FALSE))*$K3,IF($O3="",0,VLOOKUP($O3,'⚪设计'!$C$85:$E$101,3,FALSE))*$P3,IF($T3="",0,VLOOKUP($T3,'⚪设计'!$C$85:$E$101,3,FALSE))*$U3)*VLOOKUP(J3,'⚪设计'!$C$85:$E$101,3,FALSE),0))</f>
        <v>0</v>
      </c>
      <c r="N3" s="88">
        <f>ROUND(战斗节奏!$B$2/SUM(IF($E3="",0,VLOOKUP($E3,'⚪设计'!$C$85:$G$101,4,FALSE)*$F3),IF($J3="",0,VLOOKUP($J3,'⚪设计'!$C$85:$G$101,4,FALSE)*$K3),IF($O3="",0,VLOOKUP($O3,'⚪设计'!$C$85:$G$101,4,FALSE)*$P3),IF($T3="",0,VLOOKUP($T3,'⚪设计'!$C$85:$G$101,4,FALSE)*$U3))*IF(J3="",0,VLOOKUP(J3,'⚪设计'!$C$85:$G$101,4,FALSE)),0)</f>
        <v>0</v>
      </c>
      <c r="O3" s="71" t="str">
        <f>IF(VLOOKUP(A3,'⚪设计'!$A$124:$G$126,6,FALSE)="","",VLOOKUP(VLOOKUP(A3,'⚪设计'!$A$124:$G$126,6,FALSE),'⚪设计'!$B$85:$D$101,2,FALSE))</f>
        <v/>
      </c>
      <c r="P3" s="88">
        <f>IF(O3="",0,IF(Q3=0,1,ROUND($D3/Q3,0)))</f>
        <v>0</v>
      </c>
      <c r="Q3" s="7"/>
      <c r="R3" s="88">
        <f>IF(O3="",0,ROUND(VLOOKUP($A3,'⚪设计'!$A$124:$B$224,2,FALSE)*$B3/SUM(IF($E3="",0,VLOOKUP($E3,'⚪设计'!$C$85:$E$101,3,FALSE))*$F3,IF($J3="",0,VLOOKUP($J3,'⚪设计'!$C$85:$E$101,3,FALSE))*$K3,IF($O3="",0,VLOOKUP($O3,'⚪设计'!$C$85:$E$101,3,FALSE))*$P3,IF($T3="",0,VLOOKUP($T3,'⚪设计'!$C$85:$E$101,3,FALSE))*$U3)*VLOOKUP(O3,'⚪设计'!$C$85:$E$101,3,FALSE),0))</f>
        <v>0</v>
      </c>
      <c r="S3" s="88">
        <f>ROUND(战斗节奏!$B$2/SUM(IF($E3="",0,VLOOKUP($E3,'⚪设计'!$C$85:$G$101,4,FALSE)*$F3),IF($J3="",0,VLOOKUP($J3,'⚪设计'!$C$85:$G$101,4,FALSE)*$K3),IF($O3="",0,VLOOKUP($O3,'⚪设计'!$C$85:$G$101,4,FALSE)*$P3),IF($T3="",0,VLOOKUP($T3,'⚪设计'!$C$85:$G$101,4,FALSE)*$U3))*IF(O3="",0,VLOOKUP(O3,'⚪设计'!$C$85:$G$101,4,FALSE)),0)</f>
        <v>0</v>
      </c>
      <c r="T3" s="88" t="str">
        <f>IF(VLOOKUP(A3,'⚪设计'!$A$124:$G$126,7,FALSE)="","",VLOOKUP(VLOOKUP(A3,'⚪设计'!$A$124:$G$126,7,FALSE),'⚪设计'!$B$85:$D$101,2,FALSE))</f>
        <v/>
      </c>
      <c r="U3" s="88">
        <f>IF(T3="",0,IF(V3=0,1,ROUND($D3/V3,0)))</f>
        <v>0</v>
      </c>
      <c r="V3" s="7"/>
      <c r="W3" s="88">
        <f>IF(T3="",0,ROUND(VLOOKUP($A3,'⚪设计'!$A$124:$B$224,2,FALSE)*$B3/SUM(IF($E3="",0,VLOOKUP($E3,'⚪设计'!$C$85:$E$101,3,FALSE))*$F3,IF($J3="",0,VLOOKUP($J3,'⚪设计'!$C$85:$E$101,3,FALSE))*$K3,IF($O3="",0,VLOOKUP($O3,'⚪设计'!$C$85:$E$101,3,FALSE))*$P3,IF($T3="",0,VLOOKUP($T3,'⚪设计'!$C$85:$E$101,3,FALSE))*$U3)*VLOOKUP(T3,'⚪设计'!$C$85:$E$101,3,FALSE),0))</f>
        <v>0</v>
      </c>
      <c r="X3" s="88">
        <f>ROUND(战斗节奏!$B$2/SUM(IF($E3="",0,VLOOKUP($E3,'⚪设计'!$C$85:$G$101,4,FALSE)*$F3),IF($J3="",0,VLOOKUP($J3,'⚪设计'!$C$85:$G$101,4,FALSE)*$K3),IF($O3="",0,VLOOKUP($O3,'⚪设计'!$C$85:$G$101,4,FALSE)*$P3),IF($T3="",0,VLOOKUP($T3,'⚪设计'!$C$85:$G$101,4,FALSE)*$U3))*IF(T3="",0,VLOOKUP(T3,'⚪设计'!$C$85:$G$101,4,FALSE)),0)</f>
        <v>0</v>
      </c>
    </row>
    <row r="4" spans="1:24" s="66" customFormat="1" x14ac:dyDescent="0.2">
      <c r="A4" s="84">
        <v>2</v>
      </c>
      <c r="B4" s="88">
        <f>MAX(MIN(战斗节奏!$C$2-INT(A4/'⚪设计'!$C$55),MOD(A4,'⚪设计'!$C$55)),0)*'⚪设计'!$C$79*防御塔!$C$2+MIN(INT(A4/'⚪设计'!$C$55),战斗节奏!$C$2)*'⚪设计'!$C$80*防御塔!$C$2</f>
        <v>1080</v>
      </c>
      <c r="C4" s="7">
        <v>1.05</v>
      </c>
      <c r="D4" s="7">
        <v>20</v>
      </c>
      <c r="E4" s="71" t="str">
        <f>IF(VLOOKUP(A4,'⚪设计'!$A$124:$G$126,4,FALSE)="","",VLOOKUP(VLOOKUP(A4,'⚪设计'!$A$124:$G$126,4,FALSE),'⚪设计'!$B$85:$D$101,2,FALSE))</f>
        <v>ResUnit_ZhiZhu1</v>
      </c>
      <c r="F4" s="88">
        <f t="shared" ref="F4" si="0">IF(E4="",0,IF(G4=0,1,ROUND($D4/G4,0)))</f>
        <v>27</v>
      </c>
      <c r="G4" s="7">
        <v>0.75</v>
      </c>
      <c r="H4" s="88">
        <f>IF(E4="",0,ROUND(VLOOKUP($A4,'⚪设计'!$A$124:$B$224,2,FALSE)*$B4/SUM(IF($E4="",0,VLOOKUP($E4,'⚪设计'!$C$85:$E$101,3,FALSE))*$F4,IF($J4="",0,VLOOKUP($J4,'⚪设计'!$C$85:$E$101,3,FALSE))*$K4,IF($O4="",0,VLOOKUP($O4,'⚪设计'!$C$85:$E$101,3,FALSE))*$P4,IF($T4="",0,VLOOKUP($T4,'⚪设计'!$C$85:$E$101,3,FALSE))*$U4)*VLOOKUP(E4,'⚪设计'!$C$85:$E$101,3,FALSE),0))</f>
        <v>112</v>
      </c>
      <c r="I4" s="88">
        <f>ROUND(战斗节奏!$B$2/SUM(IF($E4="",0,VLOOKUP($E4,'⚪设计'!$C$85:$G$101,4,FALSE)*$F4),IF($J4="",0,VLOOKUP($J4,'⚪设计'!$C$85:$G$101,4,FALSE)*$K4),IF($O4="",0,VLOOKUP($O4,'⚪设计'!$C$85:$G$101,4,FALSE)*$P4),IF($T4="",0,VLOOKUP($T4,'⚪设计'!$C$85:$G$101,4,FALSE)*$U4))*IF(E4="",0,VLOOKUP(E4,'⚪设计'!$C$85:$G$101,4,FALSE)),0)</f>
        <v>7</v>
      </c>
      <c r="J4" s="88" t="str">
        <f>IF(VLOOKUP(A4,'⚪设计'!$A$124:$G$126,5,FALSE)="","",VLOOKUP(VLOOKUP(A4,'⚪设计'!$A$124:$G$126,5,FALSE),'⚪设计'!$B$85:$D$101,2,FALSE))</f>
        <v>ResUnit_MiFeng2</v>
      </c>
      <c r="K4" s="88">
        <f t="shared" ref="K4" si="1">IF(J4="",0,IF(L4=0,1,ROUND($D4/L4,0)))</f>
        <v>10</v>
      </c>
      <c r="L4" s="7">
        <v>2</v>
      </c>
      <c r="M4" s="88">
        <f>IF(J4="",0,ROUND(VLOOKUP($A4,'⚪设计'!$A$124:$B$224,2,FALSE)*$B4/SUM(IF($E4="",0,VLOOKUP($E4,'⚪设计'!$C$85:$E$101,3,FALSE))*$F4,IF($J4="",0,VLOOKUP($J4,'⚪设计'!$C$85:$E$101,3,FALSE))*$K4,IF($O4="",0,VLOOKUP($O4,'⚪设计'!$C$85:$E$101,3,FALSE))*$P4,IF($T4="",0,VLOOKUP($T4,'⚪设计'!$C$85:$E$101,3,FALSE))*$U4)*VLOOKUP(J4,'⚪设计'!$C$85:$E$101,3,FALSE),0))</f>
        <v>223</v>
      </c>
      <c r="N4" s="88">
        <f>ROUND(战斗节奏!$B$2/SUM(IF($E4="",0,VLOOKUP($E4,'⚪设计'!$C$85:$G$101,4,FALSE)*$F4),IF($J4="",0,VLOOKUP($J4,'⚪设计'!$C$85:$G$101,4,FALSE)*$K4),IF($O4="",0,VLOOKUP($O4,'⚪设计'!$C$85:$G$101,4,FALSE)*$P4),IF($T4="",0,VLOOKUP($T4,'⚪设计'!$C$85:$G$101,4,FALSE)*$U4))*IF(J4="",0,VLOOKUP(J4,'⚪设计'!$C$85:$G$101,4,FALSE)),0)</f>
        <v>14</v>
      </c>
      <c r="O4" s="71" t="str">
        <f>IF(VLOOKUP(A4,'⚪设计'!$A$124:$G$126,6,FALSE)="","",VLOOKUP(VLOOKUP(A4,'⚪设计'!$A$124:$G$126,6,FALSE),'⚪设计'!$B$85:$D$101,2,FALSE))</f>
        <v>ResUnit_MiFeng3</v>
      </c>
      <c r="P4" s="88">
        <f t="shared" ref="P4" si="2">IF(O4="",0,IF(Q4=0,1,ROUND($D4/Q4,0)))</f>
        <v>1</v>
      </c>
      <c r="Q4" s="7">
        <v>0</v>
      </c>
      <c r="R4" s="88">
        <f>IF(O4="",0,ROUND(VLOOKUP($A4,'⚪设计'!$A$124:$B$224,2,FALSE)*$B4/SUM(IF($E4="",0,VLOOKUP($E4,'⚪设计'!$C$85:$E$101,3,FALSE))*$F4,IF($J4="",0,VLOOKUP($J4,'⚪设计'!$C$85:$E$101,3,FALSE))*$K4,IF($O4="",0,VLOOKUP($O4,'⚪设计'!$C$85:$E$101,3,FALSE))*$P4,IF($T4="",0,VLOOKUP($T4,'⚪设计'!$C$85:$E$101,3,FALSE))*$U4)*VLOOKUP(O4,'⚪设计'!$C$85:$E$101,3,FALSE),0))</f>
        <v>4469</v>
      </c>
      <c r="S4" s="88">
        <f>ROUND(战斗节奏!$B$2/SUM(IF($E4="",0,VLOOKUP($E4,'⚪设计'!$C$85:$G$101,4,FALSE)*$F4),IF($J4="",0,VLOOKUP($J4,'⚪设计'!$C$85:$G$101,4,FALSE)*$K4),IF($O4="",0,VLOOKUP($O4,'⚪设计'!$C$85:$G$101,4,FALSE)*$P4),IF($T4="",0,VLOOKUP($T4,'⚪设计'!$C$85:$G$101,4,FALSE)*$U4))*IF(O4="",0,VLOOKUP(O4,'⚪设计'!$C$85:$G$101,4,FALSE)),0)</f>
        <v>276</v>
      </c>
      <c r="T4" s="88" t="str">
        <f>IF(VLOOKUP(A4,'⚪设计'!$A$124:$G$126,7,FALSE)="","",VLOOKUP(VLOOKUP(A4,'⚪设计'!$A$124:$G$126,7,FALSE),'⚪设计'!$B$85:$D$101,2,FALSE))</f>
        <v/>
      </c>
      <c r="U4" s="88">
        <f t="shared" ref="U4" si="3">IF(T4="",0,IF(V4=0,1,ROUND($D4/V4,0)))</f>
        <v>0</v>
      </c>
      <c r="V4" s="7"/>
      <c r="W4" s="88">
        <f>IF(T4="",0,ROUND(VLOOKUP($A4,'⚪设计'!$A$124:$B$224,2,FALSE)*$B4/SUM(IF($E4="",0,VLOOKUP($E4,'⚪设计'!$C$85:$E$101,3,FALSE))*$F4,IF($J4="",0,VLOOKUP($J4,'⚪设计'!$C$85:$E$101,3,FALSE))*$K4,IF($O4="",0,VLOOKUP($O4,'⚪设计'!$C$85:$E$101,3,FALSE))*$P4,IF($T4="",0,VLOOKUP($T4,'⚪设计'!$C$85:$E$101,3,FALSE))*$U4)*VLOOKUP(T4,'⚪设计'!$C$85:$E$101,3,FALSE),0))</f>
        <v>0</v>
      </c>
      <c r="X4" s="88">
        <f>ROUND(战斗节奏!$B$2/SUM(IF($E4="",0,VLOOKUP($E4,'⚪设计'!$C$85:$G$101,4,FALSE)*$F4),IF($J4="",0,VLOOKUP($J4,'⚪设计'!$C$85:$G$101,4,FALSE)*$K4),IF($O4="",0,VLOOKUP($O4,'⚪设计'!$C$85:$G$101,4,FALSE)*$P4),IF($T4="",0,VLOOKUP($T4,'⚪设计'!$C$85:$G$101,4,FALSE)*$U4))*IF(T4="",0,VLOOKUP(T4,'⚪设计'!$C$85:$G$101,4,FALSE)),0)</f>
        <v>0</v>
      </c>
    </row>
    <row r="5" spans="1:24" s="66" customFormat="1" x14ac:dyDescent="0.2">
      <c r="A5" s="84">
        <v>3</v>
      </c>
      <c r="B5" s="88"/>
      <c r="C5" s="7"/>
      <c r="D5" s="7"/>
      <c r="E5" s="71"/>
      <c r="F5" s="88"/>
      <c r="G5" s="7"/>
      <c r="H5" s="88"/>
      <c r="I5" s="88"/>
      <c r="J5" s="88"/>
      <c r="K5" s="88"/>
      <c r="L5" s="7"/>
      <c r="M5" s="88"/>
      <c r="N5" s="88"/>
      <c r="O5" s="71"/>
      <c r="P5" s="88"/>
      <c r="Q5" s="7"/>
      <c r="R5" s="88"/>
      <c r="S5" s="88"/>
      <c r="T5" s="88"/>
      <c r="U5" s="88"/>
      <c r="V5" s="7"/>
      <c r="W5" s="88"/>
      <c r="X5" s="88"/>
    </row>
  </sheetData>
  <mergeCells count="8">
    <mergeCell ref="E1:I1"/>
    <mergeCell ref="J1:N1"/>
    <mergeCell ref="O1:S1"/>
    <mergeCell ref="T1:X1"/>
    <mergeCell ref="A1:A2"/>
    <mergeCell ref="B1:B2"/>
    <mergeCell ref="C1:C2"/>
    <mergeCell ref="D1:D2"/>
  </mergeCells>
  <phoneticPr fontId="4" type="noConversion"/>
  <conditionalFormatting sqref="A3:X5">
    <cfRule type="cellIs" dxfId="25" priority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02F0-2EB0-43F1-9C67-E9B8E603D573}">
  <dimension ref="A1:Z55"/>
  <sheetViews>
    <sheetView zoomScale="85" zoomScaleNormal="85" workbookViewId="0">
      <selection activeCell="A18" sqref="A18:XFD20"/>
    </sheetView>
  </sheetViews>
  <sheetFormatPr defaultColWidth="9" defaultRowHeight="14.25" x14ac:dyDescent="0.2"/>
  <cols>
    <col min="1" max="16384" width="9" style="96"/>
  </cols>
  <sheetData>
    <row r="1" spans="1:26" x14ac:dyDescent="0.2">
      <c r="A1" s="190" t="s">
        <v>665</v>
      </c>
      <c r="B1" s="190" t="s">
        <v>62</v>
      </c>
      <c r="C1" s="190" t="s">
        <v>380</v>
      </c>
      <c r="D1" s="190" t="s">
        <v>428</v>
      </c>
      <c r="E1" s="192" t="s">
        <v>430</v>
      </c>
      <c r="F1" s="192" t="s">
        <v>396</v>
      </c>
      <c r="G1" s="190" t="s">
        <v>400</v>
      </c>
      <c r="H1" s="191"/>
      <c r="I1" s="191"/>
      <c r="J1" s="191"/>
      <c r="K1" s="191"/>
      <c r="L1" s="190" t="s">
        <v>401</v>
      </c>
      <c r="M1" s="191"/>
      <c r="N1" s="191"/>
      <c r="O1" s="191"/>
      <c r="P1" s="191"/>
      <c r="Q1" s="190" t="s">
        <v>402</v>
      </c>
      <c r="R1" s="191"/>
      <c r="S1" s="191"/>
      <c r="T1" s="191"/>
      <c r="U1" s="191"/>
      <c r="V1" s="190" t="s">
        <v>403</v>
      </c>
      <c r="W1" s="191"/>
      <c r="X1" s="191"/>
      <c r="Y1" s="191"/>
      <c r="Z1" s="192"/>
    </row>
    <row r="2" spans="1:26" x14ac:dyDescent="0.2">
      <c r="A2" s="193"/>
      <c r="B2" s="193"/>
      <c r="C2" s="193"/>
      <c r="D2" s="193"/>
      <c r="E2" s="194"/>
      <c r="F2" s="194"/>
      <c r="G2" s="85" t="s">
        <v>397</v>
      </c>
      <c r="H2" s="87" t="s">
        <v>283</v>
      </c>
      <c r="I2" s="87" t="s">
        <v>404</v>
      </c>
      <c r="J2" s="87" t="s">
        <v>398</v>
      </c>
      <c r="K2" s="87" t="s">
        <v>399</v>
      </c>
      <c r="L2" s="85" t="s">
        <v>397</v>
      </c>
      <c r="M2" s="87" t="s">
        <v>283</v>
      </c>
      <c r="N2" s="87" t="s">
        <v>404</v>
      </c>
      <c r="O2" s="87" t="s">
        <v>398</v>
      </c>
      <c r="P2" s="87" t="s">
        <v>399</v>
      </c>
      <c r="Q2" s="85" t="s">
        <v>397</v>
      </c>
      <c r="R2" s="87" t="s">
        <v>283</v>
      </c>
      <c r="S2" s="87" t="s">
        <v>404</v>
      </c>
      <c r="T2" s="87" t="s">
        <v>398</v>
      </c>
      <c r="U2" s="87" t="s">
        <v>399</v>
      </c>
      <c r="V2" s="85" t="s">
        <v>397</v>
      </c>
      <c r="W2" s="87" t="s">
        <v>283</v>
      </c>
      <c r="X2" s="87" t="s">
        <v>404</v>
      </c>
      <c r="Y2" s="87" t="s">
        <v>398</v>
      </c>
      <c r="Z2" s="86" t="s">
        <v>399</v>
      </c>
    </row>
    <row r="3" spans="1:26" x14ac:dyDescent="0.2">
      <c r="A3" s="2" t="str">
        <f>B3&amp;"_"&amp;C3</f>
        <v>1_1</v>
      </c>
      <c r="B3" s="2">
        <v>1</v>
      </c>
      <c r="C3" s="2">
        <v>1</v>
      </c>
      <c r="D3" s="97">
        <f>VLOOKUP(C3,无限模式!$A$3:$B$22,2,FALSE)</f>
        <v>540</v>
      </c>
      <c r="E3" s="98">
        <v>1</v>
      </c>
      <c r="F3" s="97">
        <f>'⚪设计'!F144</f>
        <v>10</v>
      </c>
      <c r="G3" s="97" t="str">
        <f>IF(VLOOKUP($A3,'⚪设计'!$A$144:$N$196,7,FALSE)="","",VLOOKUP($A3,'⚪设计'!$A$144:$N$196,7,FALSE))</f>
        <v>蜜蜂1</v>
      </c>
      <c r="H3" s="97">
        <f>IF(I3=0,1,IF(I3="","",ROUND($F3/I3,0)))</f>
        <v>10</v>
      </c>
      <c r="I3" s="97">
        <f>IF(VLOOKUP($A3,'⚪设计'!$A$144:$N$196,11,FALSE)="","",VLOOKUP($A3,'⚪设计'!$A$144:$N$196,11,FALSE))</f>
        <v>1</v>
      </c>
      <c r="J3" s="97">
        <f>IF(G3="","",ROUND($D3*'⚪设计'!$D144/(IF($G3="",0,VLOOKUP($G3,'⚪设计'!$B$85:$H$104,4,FALSE)*$H3)+IF($L3="",0,VLOOKUP($L3,'⚪设计'!$B$85:$H$104,4,FALSE)*$M3)+IF($Q3="",0,VLOOKUP($Q3,'⚪设计'!$B$85:$H$104,4,FALSE)*$R3)+IF($V3="",0,VLOOKUP($V3,'⚪设计'!$B$85:$H$104,4,FALSE)*$W3))*IF(G3="",0,VLOOKUP(G3,'⚪设计'!$B$85:$H$104,4,FALSE)),0))</f>
        <v>162</v>
      </c>
      <c r="K3" s="97">
        <f>IF(G3="","",ROUND(VLOOKUP($B3,战斗节奏!$A$4:$F$13,2,FALSE)/(IF($G3="",0,VLOOKUP($G3,'⚪设计'!$B$85:$H$104,5,FALSE)*$H3)+IF($L3="",0,VLOOKUP($L3,'⚪设计'!$B$85:$H$104,5,FALSE)*$M3)+IF($Q3="",0,VLOOKUP($Q3,'⚪设计'!$B$85:$H$104,5,FALSE)*$R3)+IF($V3="",0,VLOOKUP($V3,'⚪设计'!$B$85:$H$104,5,FALSE)*$W3))*IF(G3="",0,VLOOKUP(G3,'⚪设计'!$B$85:$H$104,5,FALSE)),0))</f>
        <v>30</v>
      </c>
      <c r="L3" s="97" t="str">
        <f>IF(VLOOKUP($A3,'⚪设计'!$A$144:$N$196,8,FALSE)="","",VLOOKUP($A3,'⚪设计'!$A$144:$N$196,8,FALSE))</f>
        <v/>
      </c>
      <c r="M3" s="97" t="str">
        <f>IF(N3=0,1,IF(N3="","",ROUND($F3/N3,0)))</f>
        <v/>
      </c>
      <c r="N3" s="97" t="str">
        <f>IF(VLOOKUP($A3,'⚪设计'!$A$144:$N$196,12,FALSE)="","",VLOOKUP($A3,'⚪设计'!$A$144:$N$196,12,FALSE))</f>
        <v/>
      </c>
      <c r="O3" s="97" t="str">
        <f>IF(L3="","",ROUND($D3*'⚪设计'!$D144/(IF($G3="",0,VLOOKUP($G3,'⚪设计'!$B$85:$H$104,4,FALSE)*$H3)+IF($L3="",0,VLOOKUP($L3,'⚪设计'!$B$85:$H$104,4,FALSE)*$M3)+IF($Q3="",0,VLOOKUP($Q3,'⚪设计'!$B$85:$H$104,4,FALSE)*$R3)+IF($V3="",0,VLOOKUP($V3,'⚪设计'!$B$85:$H$104,4,FALSE)*$W3))*IF(L3="",0,VLOOKUP(L3,'⚪设计'!$B$85:$H$104,4,FALSE)),0))</f>
        <v/>
      </c>
      <c r="P3" s="97" t="str">
        <f>IF(L3="","",ROUND(VLOOKUP($B3,战斗节奏!$A$4:$F$13,2,FALSE)/(IF($G3="",0,VLOOKUP($G3,'⚪设计'!$B$85:$H$104,5,FALSE)*$H3)+IF($L3="",0,VLOOKUP($L3,'⚪设计'!$B$85:$H$104,5,FALSE)*$M3)+IF($Q3="",0,VLOOKUP($Q3,'⚪设计'!$B$85:$H$104,5,FALSE)*$R3)+IF($V3="",0,VLOOKUP($V3,'⚪设计'!$B$85:$H$104,5,FALSE)*$W3))*IF(L3="",0,VLOOKUP(L3,'⚪设计'!$B$85:$H$104,5,FALSE)),0))</f>
        <v/>
      </c>
      <c r="Q3" s="97" t="str">
        <f>IF(VLOOKUP($A3,'⚪设计'!$A$144:$N$196,9,FALSE)="","",VLOOKUP($A3,'⚪设计'!$A$144:$N$196,9,FALSE))</f>
        <v/>
      </c>
      <c r="R3" s="97" t="str">
        <f>IF(S3=0,1,IF(S3="","",ROUND($F3/S3,0)))</f>
        <v/>
      </c>
      <c r="S3" s="97" t="str">
        <f>IF(VLOOKUP($A3,'⚪设计'!$A$144:$N$196,13,FALSE)="","",VLOOKUP($A3,'⚪设计'!$A$144:$N$196,13,FALSE))</f>
        <v/>
      </c>
      <c r="T3" s="97" t="str">
        <f>IF(Q3="","",ROUND($D3*'⚪设计'!$D144/(IF($G3="",0,VLOOKUP($G3,'⚪设计'!$B$85:$H$104,4,FALSE)*$H3)+IF($L3="",0,VLOOKUP($L3,'⚪设计'!$B$85:$H$104,4,FALSE)*$M3)+IF($Q3="",0,VLOOKUP($Q3,'⚪设计'!$B$85:$H$104,4,FALSE)*$R3)+IF($V3="",0,VLOOKUP($V3,'⚪设计'!$B$85:$H$104,4,FALSE)*$W3))*IF(Q3="",0,VLOOKUP(Q3,'⚪设计'!$B$85:$H$104,4,FALSE)),0))</f>
        <v/>
      </c>
      <c r="U3" s="97" t="str">
        <f>IF(Q3="","",ROUND(VLOOKUP($B3,战斗节奏!$A$4:$F$13,2,FALSE)/(IF($G3="",0,VLOOKUP($G3,'⚪设计'!$B$85:$H$104,5,FALSE)*$H3)+IF($L3="",0,VLOOKUP($L3,'⚪设计'!$B$85:$H$104,5,FALSE)*$M3)+IF($Q3="",0,VLOOKUP($Q3,'⚪设计'!$B$85:$H$104,5,FALSE)*$R3)+IF($V3="",0,VLOOKUP($V3,'⚪设计'!$B$85:$H$104,5,FALSE)*$W3))*IF(Q3="",0,VLOOKUP(Q3,'⚪设计'!$B$85:$H$104,5,FALSE)),0))</f>
        <v/>
      </c>
      <c r="V3" s="97" t="str">
        <f>IF(VLOOKUP($A3,'⚪设计'!$A$144:$N$196,10,FALSE)="","",VLOOKUP($A3,'⚪设计'!$A$144:$N$196,10,FALSE))</f>
        <v/>
      </c>
      <c r="W3" s="97" t="str">
        <f>IF(X3=0,1,IF(X3="","",ROUND($F3/X3,0)))</f>
        <v/>
      </c>
      <c r="X3" s="97" t="str">
        <f>IF(VLOOKUP($A3,'⚪设计'!$A$144:$N$196,14,FALSE)="","",VLOOKUP($A3,'⚪设计'!$A$144:$N$196,14,FALSE))</f>
        <v/>
      </c>
      <c r="Y3" s="97" t="str">
        <f>IF(V3="","",ROUND($D3*'⚪设计'!$D144/(IF($G3="",0,VLOOKUP($G3,'⚪设计'!$B$85:$H$104,4,FALSE)*$H3)+IF($L3="",0,VLOOKUP($L3,'⚪设计'!$B$85:$H$104,4,FALSE)*$M3)+IF($Q3="",0,VLOOKUP($Q3,'⚪设计'!$B$85:$H$104,4,FALSE)*$R3)+IF($V3="",0,VLOOKUP($V3,'⚪设计'!$B$85:$H$104,4,FALSE)*$W3))*IF(V3="",0,VLOOKUP(V3,'⚪设计'!$B$85:$H$104,4,FALSE)),0))</f>
        <v/>
      </c>
      <c r="Z3" s="97" t="str">
        <f>IF(V3="","",ROUND(VLOOKUP($B3,战斗节奏!$A$4:$F$13,2,FALSE)/(IF($G3="",0,VLOOKUP($G3,'⚪设计'!$B$85:$H$104,5,FALSE)*$H3)+IF($L3="",0,VLOOKUP($L3,'⚪设计'!$B$85:$H$104,5,FALSE)*$M3)+IF($Q3="",0,VLOOKUP($Q3,'⚪设计'!$B$85:$H$104,5,FALSE)*$R3)+IF($V3="",0,VLOOKUP($V3,'⚪设计'!$B$85:$H$104,5,FALSE)*$W3))*IF(V3="",0,VLOOKUP(V3,'⚪设计'!$B$85:$H$104,5,FALSE)),0))</f>
        <v/>
      </c>
    </row>
    <row r="4" spans="1:26" x14ac:dyDescent="0.2">
      <c r="A4" s="2" t="str">
        <f t="shared" ref="A4:A55" si="0">B4&amp;"_"&amp;C4</f>
        <v>1_2</v>
      </c>
      <c r="B4" s="2">
        <v>1</v>
      </c>
      <c r="C4" s="2">
        <v>2</v>
      </c>
      <c r="D4" s="97">
        <f>VLOOKUP(C4,无限模式!$A$3:$B$22,2,FALSE)</f>
        <v>1080</v>
      </c>
      <c r="E4" s="98">
        <v>1</v>
      </c>
      <c r="F4" s="97">
        <f>'⚪设计'!F145</f>
        <v>20</v>
      </c>
      <c r="G4" s="97" t="str">
        <f>IF(VLOOKUP($A4,'⚪设计'!$A$144:$N$196,7,FALSE)="","",VLOOKUP($A4,'⚪设计'!$A$144:$N$196,7,FALSE))</f>
        <v>蜘蛛1</v>
      </c>
      <c r="H4" s="97">
        <f t="shared" ref="H4:H52" si="1">IF(I4=0,1,IF(I4="","",ROUND($F4/I4,0)))</f>
        <v>27</v>
      </c>
      <c r="I4" s="97">
        <f>IF(VLOOKUP($A4,'⚪设计'!$A$144:$N$196,11,FALSE)="","",VLOOKUP($A4,'⚪设计'!$A$144:$N$196,11,FALSE))</f>
        <v>0.75</v>
      </c>
      <c r="J4" s="97">
        <f>IF(G4="","",ROUND($D4*'⚪设计'!$D145/(IF($G4="",0,VLOOKUP($G4,'⚪设计'!$B$85:$H$104,4,FALSE)*$H4)+IF($L4="",0,VLOOKUP($L4,'⚪设计'!$B$85:$H$104,4,FALSE)*$M4)+IF($Q4="",0,VLOOKUP($Q4,'⚪设计'!$B$85:$H$104,4,FALSE)*$R4)+IF($V4="",0,VLOOKUP($V4,'⚪设计'!$B$85:$H$104,4,FALSE)*$W4))*IF(G4="",0,VLOOKUP(G4,'⚪设计'!$B$85:$H$104,4,FALSE)),0))</f>
        <v>115</v>
      </c>
      <c r="K4" s="97">
        <f>IF(G4="","",ROUND(VLOOKUP($B4,战斗节奏!$A$4:$F$13,2,FALSE)/(IF($G4="",0,VLOOKUP($G4,'⚪设计'!$B$85:$H$104,5,FALSE)*$H4)+IF($L4="",0,VLOOKUP($L4,'⚪设计'!$B$85:$H$104,5,FALSE)*$M4)+IF($Q4="",0,VLOOKUP($Q4,'⚪设计'!$B$85:$H$104,5,FALSE)*$R4)+IF($V4="",0,VLOOKUP($V4,'⚪设计'!$B$85:$H$104,5,FALSE)*$W4))*IF(G4="",0,VLOOKUP(G4,'⚪设计'!$B$85:$H$104,5,FALSE)),0))</f>
        <v>6</v>
      </c>
      <c r="L4" s="97" t="str">
        <f>IF(VLOOKUP($A4,'⚪设计'!$A$144:$N$196,8,FALSE)="","",VLOOKUP($A4,'⚪设计'!$A$144:$N$196,8,FALSE))</f>
        <v>蜜蜂2</v>
      </c>
      <c r="M4" s="97">
        <f t="shared" ref="M4:M52" si="2">IF(N4=0,1,IF(N4="","",ROUND($F4/N4,0)))</f>
        <v>10</v>
      </c>
      <c r="N4" s="97">
        <f>IF(VLOOKUP($A4,'⚪设计'!$A$144:$N$196,12,FALSE)="","",VLOOKUP($A4,'⚪设计'!$A$144:$N$196,12,FALSE))</f>
        <v>2</v>
      </c>
      <c r="O4" s="97">
        <f>IF(L4="","",ROUND($D4*'⚪设计'!$D145/(IF($G4="",0,VLOOKUP($G4,'⚪设计'!$B$85:$H$104,4,FALSE)*$H4)+IF($L4="",0,VLOOKUP($L4,'⚪设计'!$B$85:$H$104,4,FALSE)*$M4)+IF($Q4="",0,VLOOKUP($Q4,'⚪设计'!$B$85:$H$104,4,FALSE)*$R4)+IF($V4="",0,VLOOKUP($V4,'⚪设计'!$B$85:$H$104,4,FALSE)*$W4))*IF(L4="",0,VLOOKUP(L4,'⚪设计'!$B$85:$H$104,4,FALSE)),0))</f>
        <v>230</v>
      </c>
      <c r="P4" s="97">
        <f>IF(L4="","",ROUND(VLOOKUP($B4,战斗节奏!$A$4:$F$13,2,FALSE)/(IF($G4="",0,VLOOKUP($G4,'⚪设计'!$B$85:$H$104,5,FALSE)*$H4)+IF($L4="",0,VLOOKUP($L4,'⚪设计'!$B$85:$H$104,5,FALSE)*$M4)+IF($Q4="",0,VLOOKUP($Q4,'⚪设计'!$B$85:$H$104,5,FALSE)*$R4)+IF($V4="",0,VLOOKUP($V4,'⚪设计'!$B$85:$H$104,5,FALSE)*$W4))*IF(L4="",0,VLOOKUP(L4,'⚪设计'!$B$85:$H$104,5,FALSE)),0))</f>
        <v>13</v>
      </c>
      <c r="Q4" s="97" t="str">
        <f>IF(VLOOKUP($A4,'⚪设计'!$A$144:$N$196,9,FALSE)="","",VLOOKUP($A4,'⚪设计'!$A$144:$N$196,9,FALSE))</f>
        <v/>
      </c>
      <c r="R4" s="97" t="str">
        <f t="shared" ref="R4:R52" si="3">IF(S4=0,1,IF(S4="","",ROUND($F4/S4,0)))</f>
        <v/>
      </c>
      <c r="S4" s="97" t="str">
        <f>IF(VLOOKUP($A4,'⚪设计'!$A$144:$N$196,13,FALSE)="","",VLOOKUP($A4,'⚪设计'!$A$144:$N$196,13,FALSE))</f>
        <v/>
      </c>
      <c r="T4" s="97" t="str">
        <f>IF(Q4="","",ROUND($D4*'⚪设计'!$D145/(IF($G4="",0,VLOOKUP($G4,'⚪设计'!$B$85:$H$104,4,FALSE)*$H4)+IF($L4="",0,VLOOKUP($L4,'⚪设计'!$B$85:$H$104,4,FALSE)*$M4)+IF($Q4="",0,VLOOKUP($Q4,'⚪设计'!$B$85:$H$104,4,FALSE)*$R4)+IF($V4="",0,VLOOKUP($V4,'⚪设计'!$B$85:$H$104,4,FALSE)*$W4))*IF(Q4="",0,VLOOKUP(Q4,'⚪设计'!$B$85:$H$104,4,FALSE)),0))</f>
        <v/>
      </c>
      <c r="U4" s="97" t="str">
        <f>IF(Q4="","",ROUND(VLOOKUP($B4,战斗节奏!$A$4:$F$13,2,FALSE)/(IF($G4="",0,VLOOKUP($G4,'⚪设计'!$B$85:$H$104,5,FALSE)*$H4)+IF($L4="",0,VLOOKUP($L4,'⚪设计'!$B$85:$H$104,5,FALSE)*$M4)+IF($Q4="",0,VLOOKUP($Q4,'⚪设计'!$B$85:$H$104,5,FALSE)*$R4)+IF($V4="",0,VLOOKUP($V4,'⚪设计'!$B$85:$H$104,5,FALSE)*$W4))*IF(Q4="",0,VLOOKUP(Q4,'⚪设计'!$B$85:$H$104,5,FALSE)),0))</f>
        <v/>
      </c>
      <c r="V4" s="97" t="str">
        <f>IF(VLOOKUP($A4,'⚪设计'!$A$144:$N$196,10,FALSE)="","",VLOOKUP($A4,'⚪设计'!$A$144:$N$196,10,FALSE))</f>
        <v/>
      </c>
      <c r="W4" s="97" t="str">
        <f t="shared" ref="W4:W52" si="4">IF(X4=0,1,IF(X4="","",ROUND($F4/X4,0)))</f>
        <v/>
      </c>
      <c r="X4" s="97" t="str">
        <f>IF(VLOOKUP($A4,'⚪设计'!$A$144:$N$196,14,FALSE)="","",VLOOKUP($A4,'⚪设计'!$A$144:$N$196,14,FALSE))</f>
        <v/>
      </c>
      <c r="Y4" s="97" t="str">
        <f>IF(V4="","",ROUND($D4*'⚪设计'!$D145/(IF($G4="",0,VLOOKUP($G4,'⚪设计'!$B$85:$H$104,4,FALSE)*$H4)+IF($L4="",0,VLOOKUP($L4,'⚪设计'!$B$85:$H$104,4,FALSE)*$M4)+IF($Q4="",0,VLOOKUP($Q4,'⚪设计'!$B$85:$H$104,4,FALSE)*$R4)+IF($V4="",0,VLOOKUP($V4,'⚪设计'!$B$85:$H$104,4,FALSE)*$W4))*IF(V4="",0,VLOOKUP(V4,'⚪设计'!$B$85:$H$104,4,FALSE)),0))</f>
        <v/>
      </c>
      <c r="Z4" s="97" t="str">
        <f>IF(V4="","",ROUND(VLOOKUP($B4,战斗节奏!$A$4:$F$13,2,FALSE)/(IF($G4="",0,VLOOKUP($G4,'⚪设计'!$B$85:$H$104,5,FALSE)*$H4)+IF($L4="",0,VLOOKUP($L4,'⚪设计'!$B$85:$H$104,5,FALSE)*$M4)+IF($Q4="",0,VLOOKUP($Q4,'⚪设计'!$B$85:$H$104,5,FALSE)*$R4)+IF($V4="",0,VLOOKUP($V4,'⚪设计'!$B$85:$H$104,5,FALSE)*$W4))*IF(V4="",0,VLOOKUP(V4,'⚪设计'!$B$85:$H$104,5,FALSE)),0))</f>
        <v/>
      </c>
    </row>
    <row r="5" spans="1:26" x14ac:dyDescent="0.2">
      <c r="A5" s="2" t="str">
        <f t="shared" si="0"/>
        <v>1_3</v>
      </c>
      <c r="B5" s="2">
        <v>1</v>
      </c>
      <c r="C5" s="2">
        <v>3</v>
      </c>
      <c r="D5" s="97">
        <f>VLOOKUP(C5,无限模式!$A$3:$B$22,2,FALSE)</f>
        <v>1620</v>
      </c>
      <c r="E5" s="98">
        <v>1</v>
      </c>
      <c r="F5" s="97">
        <f>'⚪设计'!F146</f>
        <v>0</v>
      </c>
      <c r="G5" s="97" t="str">
        <f>IF(VLOOKUP($A5,'⚪设计'!$A$144:$N$196,7,FALSE)="","",VLOOKUP($A5,'⚪设计'!$A$144:$N$196,7,FALSE))</f>
        <v/>
      </c>
      <c r="H5" s="97" t="str">
        <f t="shared" si="1"/>
        <v/>
      </c>
      <c r="I5" s="97" t="str">
        <f>IF(VLOOKUP($A5,'⚪设计'!$A$144:$N$196,11,FALSE)="","",VLOOKUP($A5,'⚪设计'!$A$144:$N$196,11,FALSE))</f>
        <v/>
      </c>
      <c r="J5" s="97" t="str">
        <f>IF(G5="","",ROUND($D5*'⚪设计'!$D146/(IF($G5="",0,VLOOKUP($G5,'⚪设计'!$B$85:$H$104,4,FALSE)*$H5)+IF($L5="",0,VLOOKUP($L5,'⚪设计'!$B$85:$H$104,4,FALSE)*$M5)+IF($Q5="",0,VLOOKUP($Q5,'⚪设计'!$B$85:$H$104,4,FALSE)*$R5)+IF($V5="",0,VLOOKUP($V5,'⚪设计'!$B$85:$H$104,4,FALSE)*$W5))*IF(G5="",0,VLOOKUP(G5,'⚪设计'!$B$85:$H$104,4,FALSE)),0))</f>
        <v/>
      </c>
      <c r="K5" s="97" t="str">
        <f>IF(G5="","",ROUND(VLOOKUP($B5,战斗节奏!$A$4:$F$13,2,FALSE)/(IF($G5="",0,VLOOKUP($G5,'⚪设计'!$B$85:$H$104,5,FALSE)*$H5)+IF($L5="",0,VLOOKUP($L5,'⚪设计'!$B$85:$H$104,5,FALSE)*$M5)+IF($Q5="",0,VLOOKUP($Q5,'⚪设计'!$B$85:$H$104,5,FALSE)*$R5)+IF($V5="",0,VLOOKUP($V5,'⚪设计'!$B$85:$H$104,5,FALSE)*$W5))*IF(G5="",0,VLOOKUP(G5,'⚪设计'!$B$85:$H$104,5,FALSE)),0))</f>
        <v/>
      </c>
      <c r="L5" s="97" t="str">
        <f>IF(VLOOKUP($A5,'⚪设计'!$A$144:$N$196,8,FALSE)="","",VLOOKUP($A5,'⚪设计'!$A$144:$N$196,8,FALSE))</f>
        <v/>
      </c>
      <c r="M5" s="97" t="str">
        <f t="shared" si="2"/>
        <v/>
      </c>
      <c r="N5" s="97" t="str">
        <f>IF(VLOOKUP($A5,'⚪设计'!$A$144:$N$196,12,FALSE)="","",VLOOKUP($A5,'⚪设计'!$A$144:$N$196,12,FALSE))</f>
        <v/>
      </c>
      <c r="O5" s="97" t="str">
        <f>IF(L5="","",ROUND($D5*'⚪设计'!$D146/(IF($G5="",0,VLOOKUP($G5,'⚪设计'!$B$85:$H$104,4,FALSE)*$H5)+IF($L5="",0,VLOOKUP($L5,'⚪设计'!$B$85:$H$104,4,FALSE)*$M5)+IF($Q5="",0,VLOOKUP($Q5,'⚪设计'!$B$85:$H$104,4,FALSE)*$R5)+IF($V5="",0,VLOOKUP($V5,'⚪设计'!$B$85:$H$104,4,FALSE)*$W5))*IF(L5="",0,VLOOKUP(L5,'⚪设计'!$B$85:$H$104,4,FALSE)),0))</f>
        <v/>
      </c>
      <c r="P5" s="97" t="str">
        <f>IF(L5="","",ROUND(VLOOKUP($B5,战斗节奏!$A$4:$F$13,2,FALSE)/(IF($G5="",0,VLOOKUP($G5,'⚪设计'!$B$85:$H$104,5,FALSE)*$H5)+IF($L5="",0,VLOOKUP($L5,'⚪设计'!$B$85:$H$104,5,FALSE)*$M5)+IF($Q5="",0,VLOOKUP($Q5,'⚪设计'!$B$85:$H$104,5,FALSE)*$R5)+IF($V5="",0,VLOOKUP($V5,'⚪设计'!$B$85:$H$104,5,FALSE)*$W5))*IF(L5="",0,VLOOKUP(L5,'⚪设计'!$B$85:$H$104,5,FALSE)),0))</f>
        <v/>
      </c>
      <c r="Q5" s="97" t="str">
        <f>IF(VLOOKUP($A5,'⚪设计'!$A$144:$N$196,9,FALSE)="","",VLOOKUP($A5,'⚪设计'!$A$144:$N$196,9,FALSE))</f>
        <v/>
      </c>
      <c r="R5" s="97" t="str">
        <f t="shared" si="3"/>
        <v/>
      </c>
      <c r="S5" s="97" t="str">
        <f>IF(VLOOKUP($A5,'⚪设计'!$A$144:$N$196,13,FALSE)="","",VLOOKUP($A5,'⚪设计'!$A$144:$N$196,13,FALSE))</f>
        <v/>
      </c>
      <c r="T5" s="97" t="str">
        <f>IF(Q5="","",ROUND($D5*'⚪设计'!$D146/(IF($G5="",0,VLOOKUP($G5,'⚪设计'!$B$85:$H$104,4,FALSE)*$H5)+IF($L5="",0,VLOOKUP($L5,'⚪设计'!$B$85:$H$104,4,FALSE)*$M5)+IF($Q5="",0,VLOOKUP($Q5,'⚪设计'!$B$85:$H$104,4,FALSE)*$R5)+IF($V5="",0,VLOOKUP($V5,'⚪设计'!$B$85:$H$104,4,FALSE)*$W5))*IF(Q5="",0,VLOOKUP(Q5,'⚪设计'!$B$85:$H$104,4,FALSE)),0))</f>
        <v/>
      </c>
      <c r="U5" s="97" t="str">
        <f>IF(Q5="","",ROUND(VLOOKUP($B5,战斗节奏!$A$4:$F$13,2,FALSE)/(IF($G5="",0,VLOOKUP($G5,'⚪设计'!$B$85:$H$104,5,FALSE)*$H5)+IF($L5="",0,VLOOKUP($L5,'⚪设计'!$B$85:$H$104,5,FALSE)*$M5)+IF($Q5="",0,VLOOKUP($Q5,'⚪设计'!$B$85:$H$104,5,FALSE)*$R5)+IF($V5="",0,VLOOKUP($V5,'⚪设计'!$B$85:$H$104,5,FALSE)*$W5))*IF(Q5="",0,VLOOKUP(Q5,'⚪设计'!$B$85:$H$104,5,FALSE)),0))</f>
        <v/>
      </c>
      <c r="V5" s="97" t="str">
        <f>IF(VLOOKUP($A5,'⚪设计'!$A$144:$N$196,10,FALSE)="","",VLOOKUP($A5,'⚪设计'!$A$144:$N$196,10,FALSE))</f>
        <v/>
      </c>
      <c r="W5" s="97" t="str">
        <f t="shared" si="4"/>
        <v/>
      </c>
      <c r="X5" s="97" t="str">
        <f>IF(VLOOKUP($A5,'⚪设计'!$A$144:$N$196,14,FALSE)="","",VLOOKUP($A5,'⚪设计'!$A$144:$N$196,14,FALSE))</f>
        <v/>
      </c>
      <c r="Y5" s="97" t="str">
        <f>IF(V5="","",ROUND($D5*'⚪设计'!$D146/(IF($G5="",0,VLOOKUP($G5,'⚪设计'!$B$85:$H$104,4,FALSE)*$H5)+IF($L5="",0,VLOOKUP($L5,'⚪设计'!$B$85:$H$104,4,FALSE)*$M5)+IF($Q5="",0,VLOOKUP($Q5,'⚪设计'!$B$85:$H$104,4,FALSE)*$R5)+IF($V5="",0,VLOOKUP($V5,'⚪设计'!$B$85:$H$104,4,FALSE)*$W5))*IF(V5="",0,VLOOKUP(V5,'⚪设计'!$B$85:$H$104,4,FALSE)),0))</f>
        <v/>
      </c>
      <c r="Z5" s="97" t="str">
        <f>IF(V5="","",ROUND(VLOOKUP($B5,战斗节奏!$A$4:$F$13,2,FALSE)/(IF($G5="",0,VLOOKUP($G5,'⚪设计'!$B$85:$H$104,5,FALSE)*$H5)+IF($L5="",0,VLOOKUP($L5,'⚪设计'!$B$85:$H$104,5,FALSE)*$M5)+IF($Q5="",0,VLOOKUP($Q5,'⚪设计'!$B$85:$H$104,5,FALSE)*$R5)+IF($V5="",0,VLOOKUP($V5,'⚪设计'!$B$85:$H$104,5,FALSE)*$W5))*IF(V5="",0,VLOOKUP(V5,'⚪设计'!$B$85:$H$104,5,FALSE)),0))</f>
        <v/>
      </c>
    </row>
    <row r="6" spans="1:26" x14ac:dyDescent="0.2">
      <c r="A6" s="2" t="str">
        <f t="shared" si="0"/>
        <v>1_4</v>
      </c>
      <c r="B6" s="2">
        <v>1</v>
      </c>
      <c r="C6" s="2">
        <v>4</v>
      </c>
      <c r="D6" s="97">
        <f>VLOOKUP(C6,无限模式!$A$3:$B$22,2,FALSE)</f>
        <v>2160</v>
      </c>
      <c r="E6" s="98">
        <v>1</v>
      </c>
      <c r="F6" s="97">
        <f>'⚪设计'!F147</f>
        <v>0</v>
      </c>
      <c r="G6" s="97" t="str">
        <f>IF(VLOOKUP($A6,'⚪设计'!$A$144:$N$196,7,FALSE)="","",VLOOKUP($A6,'⚪设计'!$A$144:$N$196,7,FALSE))</f>
        <v/>
      </c>
      <c r="H6" s="97" t="str">
        <f t="shared" si="1"/>
        <v/>
      </c>
      <c r="I6" s="97" t="str">
        <f>IF(VLOOKUP($A6,'⚪设计'!$A$144:$N$196,11,FALSE)="","",VLOOKUP($A6,'⚪设计'!$A$144:$N$196,11,FALSE))</f>
        <v/>
      </c>
      <c r="J6" s="97" t="str">
        <f>IF(G6="","",ROUND($D6*'⚪设计'!$D147/(IF($G6="",0,VLOOKUP($G6,'⚪设计'!$B$85:$H$104,4,FALSE)*$H6)+IF($L6="",0,VLOOKUP($L6,'⚪设计'!$B$85:$H$104,4,FALSE)*$M6)+IF($Q6="",0,VLOOKUP($Q6,'⚪设计'!$B$85:$H$104,4,FALSE)*$R6)+IF($V6="",0,VLOOKUP($V6,'⚪设计'!$B$85:$H$104,4,FALSE)*$W6))*IF(G6="",0,VLOOKUP(G6,'⚪设计'!$B$85:$H$104,4,FALSE)),0))</f>
        <v/>
      </c>
      <c r="K6" s="97" t="str">
        <f>IF(G6="","",ROUND(VLOOKUP($B6,战斗节奏!$A$4:$F$13,2,FALSE)/(IF($G6="",0,VLOOKUP($G6,'⚪设计'!$B$85:$H$104,5,FALSE)*$H6)+IF($L6="",0,VLOOKUP($L6,'⚪设计'!$B$85:$H$104,5,FALSE)*$M6)+IF($Q6="",0,VLOOKUP($Q6,'⚪设计'!$B$85:$H$104,5,FALSE)*$R6)+IF($V6="",0,VLOOKUP($V6,'⚪设计'!$B$85:$H$104,5,FALSE)*$W6))*IF(G6="",0,VLOOKUP(G6,'⚪设计'!$B$85:$H$104,5,FALSE)),0))</f>
        <v/>
      </c>
      <c r="L6" s="97" t="str">
        <f>IF(VLOOKUP($A6,'⚪设计'!$A$144:$N$196,8,FALSE)="","",VLOOKUP($A6,'⚪设计'!$A$144:$N$196,8,FALSE))</f>
        <v/>
      </c>
      <c r="M6" s="97" t="str">
        <f t="shared" si="2"/>
        <v/>
      </c>
      <c r="N6" s="97" t="str">
        <f>IF(VLOOKUP($A6,'⚪设计'!$A$144:$N$196,12,FALSE)="","",VLOOKUP($A6,'⚪设计'!$A$144:$N$196,12,FALSE))</f>
        <v/>
      </c>
      <c r="O6" s="97" t="str">
        <f>IF(L6="","",ROUND($D6*'⚪设计'!$D147/(IF($G6="",0,VLOOKUP($G6,'⚪设计'!$B$85:$H$104,4,FALSE)*$H6)+IF($L6="",0,VLOOKUP($L6,'⚪设计'!$B$85:$H$104,4,FALSE)*$M6)+IF($Q6="",0,VLOOKUP($Q6,'⚪设计'!$B$85:$H$104,4,FALSE)*$R6)+IF($V6="",0,VLOOKUP($V6,'⚪设计'!$B$85:$H$104,4,FALSE)*$W6))*IF(L6="",0,VLOOKUP(L6,'⚪设计'!$B$85:$H$104,4,FALSE)),0))</f>
        <v/>
      </c>
      <c r="P6" s="97" t="str">
        <f>IF(L6="","",ROUND(VLOOKUP($B6,战斗节奏!$A$4:$F$13,2,FALSE)/(IF($G6="",0,VLOOKUP($G6,'⚪设计'!$B$85:$H$104,5,FALSE)*$H6)+IF($L6="",0,VLOOKUP($L6,'⚪设计'!$B$85:$H$104,5,FALSE)*$M6)+IF($Q6="",0,VLOOKUP($Q6,'⚪设计'!$B$85:$H$104,5,FALSE)*$R6)+IF($V6="",0,VLOOKUP($V6,'⚪设计'!$B$85:$H$104,5,FALSE)*$W6))*IF(L6="",0,VLOOKUP(L6,'⚪设计'!$B$85:$H$104,5,FALSE)),0))</f>
        <v/>
      </c>
      <c r="Q6" s="97" t="str">
        <f>IF(VLOOKUP($A6,'⚪设计'!$A$144:$N$196,9,FALSE)="","",VLOOKUP($A6,'⚪设计'!$A$144:$N$196,9,FALSE))</f>
        <v/>
      </c>
      <c r="R6" s="97" t="str">
        <f t="shared" si="3"/>
        <v/>
      </c>
      <c r="S6" s="97" t="str">
        <f>IF(VLOOKUP($A6,'⚪设计'!$A$144:$N$196,13,FALSE)="","",VLOOKUP($A6,'⚪设计'!$A$144:$N$196,13,FALSE))</f>
        <v/>
      </c>
      <c r="T6" s="97" t="str">
        <f>IF(Q6="","",ROUND($D6*'⚪设计'!$D147/(IF($G6="",0,VLOOKUP($G6,'⚪设计'!$B$85:$H$104,4,FALSE)*$H6)+IF($L6="",0,VLOOKUP($L6,'⚪设计'!$B$85:$H$104,4,FALSE)*$M6)+IF($Q6="",0,VLOOKUP($Q6,'⚪设计'!$B$85:$H$104,4,FALSE)*$R6)+IF($V6="",0,VLOOKUP($V6,'⚪设计'!$B$85:$H$104,4,FALSE)*$W6))*IF(Q6="",0,VLOOKUP(Q6,'⚪设计'!$B$85:$H$104,4,FALSE)),0))</f>
        <v/>
      </c>
      <c r="U6" s="97" t="str">
        <f>IF(Q6="","",ROUND(VLOOKUP($B6,战斗节奏!$A$4:$F$13,2,FALSE)/(IF($G6="",0,VLOOKUP($G6,'⚪设计'!$B$85:$H$104,5,FALSE)*$H6)+IF($L6="",0,VLOOKUP($L6,'⚪设计'!$B$85:$H$104,5,FALSE)*$M6)+IF($Q6="",0,VLOOKUP($Q6,'⚪设计'!$B$85:$H$104,5,FALSE)*$R6)+IF($V6="",0,VLOOKUP($V6,'⚪设计'!$B$85:$H$104,5,FALSE)*$W6))*IF(Q6="",0,VLOOKUP(Q6,'⚪设计'!$B$85:$H$104,5,FALSE)),0))</f>
        <v/>
      </c>
      <c r="V6" s="97" t="str">
        <f>IF(VLOOKUP($A6,'⚪设计'!$A$144:$N$196,10,FALSE)="","",VLOOKUP($A6,'⚪设计'!$A$144:$N$196,10,FALSE))</f>
        <v/>
      </c>
      <c r="W6" s="97" t="str">
        <f t="shared" si="4"/>
        <v/>
      </c>
      <c r="X6" s="97" t="str">
        <f>IF(VLOOKUP($A6,'⚪设计'!$A$144:$N$196,14,FALSE)="","",VLOOKUP($A6,'⚪设计'!$A$144:$N$196,14,FALSE))</f>
        <v/>
      </c>
      <c r="Y6" s="97" t="str">
        <f>IF(V6="","",ROUND($D6*'⚪设计'!$D147/(IF($G6="",0,VLOOKUP($G6,'⚪设计'!$B$85:$H$104,4,FALSE)*$H6)+IF($L6="",0,VLOOKUP($L6,'⚪设计'!$B$85:$H$104,4,FALSE)*$M6)+IF($Q6="",0,VLOOKUP($Q6,'⚪设计'!$B$85:$H$104,4,FALSE)*$R6)+IF($V6="",0,VLOOKUP($V6,'⚪设计'!$B$85:$H$104,4,FALSE)*$W6))*IF(V6="",0,VLOOKUP(V6,'⚪设计'!$B$85:$H$104,4,FALSE)),0))</f>
        <v/>
      </c>
      <c r="Z6" s="97" t="str">
        <f>IF(V6="","",ROUND(VLOOKUP($B6,战斗节奏!$A$4:$F$13,2,FALSE)/(IF($G6="",0,VLOOKUP($G6,'⚪设计'!$B$85:$H$104,5,FALSE)*$H6)+IF($L6="",0,VLOOKUP($L6,'⚪设计'!$B$85:$H$104,5,FALSE)*$M6)+IF($Q6="",0,VLOOKUP($Q6,'⚪设计'!$B$85:$H$104,5,FALSE)*$R6)+IF($V6="",0,VLOOKUP($V6,'⚪设计'!$B$85:$H$104,5,FALSE)*$W6))*IF(V6="",0,VLOOKUP(V6,'⚪设计'!$B$85:$H$104,5,FALSE)),0))</f>
        <v/>
      </c>
    </row>
    <row r="7" spans="1:26" x14ac:dyDescent="0.2">
      <c r="A7" s="2" t="str">
        <f t="shared" si="0"/>
        <v>1_5</v>
      </c>
      <c r="B7" s="2">
        <v>1</v>
      </c>
      <c r="C7" s="2">
        <v>5</v>
      </c>
      <c r="D7" s="97">
        <f>VLOOKUP(C7,无限模式!$A$3:$B$22,2,FALSE)</f>
        <v>2700</v>
      </c>
      <c r="E7" s="98">
        <v>1</v>
      </c>
      <c r="F7" s="97">
        <f>'⚪设计'!F148</f>
        <v>0</v>
      </c>
      <c r="G7" s="97" t="str">
        <f>IF(VLOOKUP($A7,'⚪设计'!$A$144:$N$196,7,FALSE)="","",VLOOKUP($A7,'⚪设计'!$A$144:$N$196,7,FALSE))</f>
        <v/>
      </c>
      <c r="H7" s="97" t="str">
        <f t="shared" si="1"/>
        <v/>
      </c>
      <c r="I7" s="97" t="str">
        <f>IF(VLOOKUP($A7,'⚪设计'!$A$144:$N$196,11,FALSE)="","",VLOOKUP($A7,'⚪设计'!$A$144:$N$196,11,FALSE))</f>
        <v/>
      </c>
      <c r="J7" s="97" t="str">
        <f>IF(G7="","",ROUND($D7*'⚪设计'!$D148/(IF($G7="",0,VLOOKUP($G7,'⚪设计'!$B$85:$H$104,4,FALSE)*$H7)+IF($L7="",0,VLOOKUP($L7,'⚪设计'!$B$85:$H$104,4,FALSE)*$M7)+IF($Q7="",0,VLOOKUP($Q7,'⚪设计'!$B$85:$H$104,4,FALSE)*$R7)+IF($V7="",0,VLOOKUP($V7,'⚪设计'!$B$85:$H$104,4,FALSE)*$W7))*IF(G7="",0,VLOOKUP(G7,'⚪设计'!$B$85:$H$104,4,FALSE)),0))</f>
        <v/>
      </c>
      <c r="K7" s="97" t="str">
        <f>IF(G7="","",ROUND(VLOOKUP($B7,战斗节奏!$A$4:$F$13,2,FALSE)/(IF($G7="",0,VLOOKUP($G7,'⚪设计'!$B$85:$H$104,5,FALSE)*$H7)+IF($L7="",0,VLOOKUP($L7,'⚪设计'!$B$85:$H$104,5,FALSE)*$M7)+IF($Q7="",0,VLOOKUP($Q7,'⚪设计'!$B$85:$H$104,5,FALSE)*$R7)+IF($V7="",0,VLOOKUP($V7,'⚪设计'!$B$85:$H$104,5,FALSE)*$W7))*IF(G7="",0,VLOOKUP(G7,'⚪设计'!$B$85:$H$104,5,FALSE)),0))</f>
        <v/>
      </c>
      <c r="L7" s="97" t="str">
        <f>IF(VLOOKUP($A7,'⚪设计'!$A$144:$N$196,8,FALSE)="","",VLOOKUP($A7,'⚪设计'!$A$144:$N$196,8,FALSE))</f>
        <v/>
      </c>
      <c r="M7" s="97" t="str">
        <f t="shared" si="2"/>
        <v/>
      </c>
      <c r="N7" s="97" t="str">
        <f>IF(VLOOKUP($A7,'⚪设计'!$A$144:$N$196,12,FALSE)="","",VLOOKUP($A7,'⚪设计'!$A$144:$N$196,12,FALSE))</f>
        <v/>
      </c>
      <c r="O7" s="97" t="str">
        <f>IF(L7="","",ROUND($D7*'⚪设计'!$D148/(IF($G7="",0,VLOOKUP($G7,'⚪设计'!$B$85:$H$104,4,FALSE)*$H7)+IF($L7="",0,VLOOKUP($L7,'⚪设计'!$B$85:$H$104,4,FALSE)*$M7)+IF($Q7="",0,VLOOKUP($Q7,'⚪设计'!$B$85:$H$104,4,FALSE)*$R7)+IF($V7="",0,VLOOKUP($V7,'⚪设计'!$B$85:$H$104,4,FALSE)*$W7))*IF(L7="",0,VLOOKUP(L7,'⚪设计'!$B$85:$H$104,4,FALSE)),0))</f>
        <v/>
      </c>
      <c r="P7" s="97" t="str">
        <f>IF(L7="","",ROUND(VLOOKUP($B7,战斗节奏!$A$4:$F$13,2,FALSE)/(IF($G7="",0,VLOOKUP($G7,'⚪设计'!$B$85:$H$104,5,FALSE)*$H7)+IF($L7="",0,VLOOKUP($L7,'⚪设计'!$B$85:$H$104,5,FALSE)*$M7)+IF($Q7="",0,VLOOKUP($Q7,'⚪设计'!$B$85:$H$104,5,FALSE)*$R7)+IF($V7="",0,VLOOKUP($V7,'⚪设计'!$B$85:$H$104,5,FALSE)*$W7))*IF(L7="",0,VLOOKUP(L7,'⚪设计'!$B$85:$H$104,5,FALSE)),0))</f>
        <v/>
      </c>
      <c r="Q7" s="97" t="str">
        <f>IF(VLOOKUP($A7,'⚪设计'!$A$144:$N$196,9,FALSE)="","",VLOOKUP($A7,'⚪设计'!$A$144:$N$196,9,FALSE))</f>
        <v/>
      </c>
      <c r="R7" s="97" t="str">
        <f t="shared" si="3"/>
        <v/>
      </c>
      <c r="S7" s="97" t="str">
        <f>IF(VLOOKUP($A7,'⚪设计'!$A$144:$N$196,13,FALSE)="","",VLOOKUP($A7,'⚪设计'!$A$144:$N$196,13,FALSE))</f>
        <v/>
      </c>
      <c r="T7" s="97" t="str">
        <f>IF(Q7="","",ROUND($D7*'⚪设计'!$D148/(IF($G7="",0,VLOOKUP($G7,'⚪设计'!$B$85:$H$104,4,FALSE)*$H7)+IF($L7="",0,VLOOKUP($L7,'⚪设计'!$B$85:$H$104,4,FALSE)*$M7)+IF($Q7="",0,VLOOKUP($Q7,'⚪设计'!$B$85:$H$104,4,FALSE)*$R7)+IF($V7="",0,VLOOKUP($V7,'⚪设计'!$B$85:$H$104,4,FALSE)*$W7))*IF(Q7="",0,VLOOKUP(Q7,'⚪设计'!$B$85:$H$104,4,FALSE)),0))</f>
        <v/>
      </c>
      <c r="U7" s="97" t="str">
        <f>IF(Q7="","",ROUND(VLOOKUP($B7,战斗节奏!$A$4:$F$13,2,FALSE)/(IF($G7="",0,VLOOKUP($G7,'⚪设计'!$B$85:$H$104,5,FALSE)*$H7)+IF($L7="",0,VLOOKUP($L7,'⚪设计'!$B$85:$H$104,5,FALSE)*$M7)+IF($Q7="",0,VLOOKUP($Q7,'⚪设计'!$B$85:$H$104,5,FALSE)*$R7)+IF($V7="",0,VLOOKUP($V7,'⚪设计'!$B$85:$H$104,5,FALSE)*$W7))*IF(Q7="",0,VLOOKUP(Q7,'⚪设计'!$B$85:$H$104,5,FALSE)),0))</f>
        <v/>
      </c>
      <c r="V7" s="97" t="str">
        <f>IF(VLOOKUP($A7,'⚪设计'!$A$144:$N$196,10,FALSE)="","",VLOOKUP($A7,'⚪设计'!$A$144:$N$196,10,FALSE))</f>
        <v/>
      </c>
      <c r="W7" s="97" t="str">
        <f t="shared" si="4"/>
        <v/>
      </c>
      <c r="X7" s="97" t="str">
        <f>IF(VLOOKUP($A7,'⚪设计'!$A$144:$N$196,14,FALSE)="","",VLOOKUP($A7,'⚪设计'!$A$144:$N$196,14,FALSE))</f>
        <v/>
      </c>
      <c r="Y7" s="97" t="str">
        <f>IF(V7="","",ROUND($D7*'⚪设计'!$D148/(IF($G7="",0,VLOOKUP($G7,'⚪设计'!$B$85:$H$104,4,FALSE)*$H7)+IF($L7="",0,VLOOKUP($L7,'⚪设计'!$B$85:$H$104,4,FALSE)*$M7)+IF($Q7="",0,VLOOKUP($Q7,'⚪设计'!$B$85:$H$104,4,FALSE)*$R7)+IF($V7="",0,VLOOKUP($V7,'⚪设计'!$B$85:$H$104,4,FALSE)*$W7))*IF(V7="",0,VLOOKUP(V7,'⚪设计'!$B$85:$H$104,4,FALSE)),0))</f>
        <v/>
      </c>
      <c r="Z7" s="97" t="str">
        <f>IF(V7="","",ROUND(VLOOKUP($B7,战斗节奏!$A$4:$F$13,2,FALSE)/(IF($G7="",0,VLOOKUP($G7,'⚪设计'!$B$85:$H$104,5,FALSE)*$H7)+IF($L7="",0,VLOOKUP($L7,'⚪设计'!$B$85:$H$104,5,FALSE)*$M7)+IF($Q7="",0,VLOOKUP($Q7,'⚪设计'!$B$85:$H$104,5,FALSE)*$R7)+IF($V7="",0,VLOOKUP($V7,'⚪设计'!$B$85:$H$104,5,FALSE)*$W7))*IF(V7="",0,VLOOKUP(V7,'⚪设计'!$B$85:$H$104,5,FALSE)),0))</f>
        <v/>
      </c>
    </row>
    <row r="8" spans="1:26" x14ac:dyDescent="0.2">
      <c r="A8" s="2" t="str">
        <f t="shared" si="0"/>
        <v>2_1</v>
      </c>
      <c r="B8" s="2">
        <v>2</v>
      </c>
      <c r="C8" s="2">
        <v>1</v>
      </c>
      <c r="D8" s="97">
        <f>VLOOKUP(C8,无限模式!$A$3:$B$22,2,FALSE)</f>
        <v>540</v>
      </c>
      <c r="E8" s="98">
        <v>1</v>
      </c>
      <c r="F8" s="97">
        <f>'⚪设计'!F149</f>
        <v>10</v>
      </c>
      <c r="G8" s="97" t="str">
        <f>IF(VLOOKUP($A8,'⚪设计'!$A$144:$N$196,7,FALSE)="","",VLOOKUP($A8,'⚪设计'!$A$144:$N$196,7,FALSE))</f>
        <v>蜘蛛1</v>
      </c>
      <c r="H8" s="97">
        <f t="shared" si="1"/>
        <v>5</v>
      </c>
      <c r="I8" s="97">
        <f>IF(VLOOKUP($A8,'⚪设计'!$A$144:$N$196,11,FALSE)="","",VLOOKUP($A8,'⚪设计'!$A$144:$N$196,11,FALSE))</f>
        <v>2</v>
      </c>
      <c r="J8" s="97">
        <f>IF(G8="","",ROUND($D8*'⚪设计'!$D149/(IF($G8="",0,VLOOKUP($G8,'⚪设计'!$B$85:$H$104,4,FALSE)*$H8)+IF($L8="",0,VLOOKUP($L8,'⚪设计'!$B$85:$H$104,4,FALSE)*$M8)+IF($Q8="",0,VLOOKUP($Q8,'⚪设计'!$B$85:$H$104,4,FALSE)*$R8)+IF($V8="",0,VLOOKUP($V8,'⚪设计'!$B$85:$H$104,4,FALSE)*$W8))*IF(G8="",0,VLOOKUP(G8,'⚪设计'!$B$85:$H$104,4,FALSE)),0))</f>
        <v>108</v>
      </c>
      <c r="K8" s="97">
        <f>IF(G8="","",ROUND(VLOOKUP($B8,战斗节奏!$A$4:$F$13,2,FALSE)/(IF($G8="",0,VLOOKUP($G8,'⚪设计'!$B$85:$H$104,5,FALSE)*$H8)+IF($L8="",0,VLOOKUP($L8,'⚪设计'!$B$85:$H$104,5,FALSE)*$M8)+IF($Q8="",0,VLOOKUP($Q8,'⚪设计'!$B$85:$H$104,5,FALSE)*$R8)+IF($V8="",0,VLOOKUP($V8,'⚪设计'!$B$85:$H$104,5,FALSE)*$W8))*IF(G8="",0,VLOOKUP(G8,'⚪设计'!$B$85:$H$104,5,FALSE)),0))</f>
        <v>60</v>
      </c>
      <c r="L8" s="97" t="str">
        <f>IF(VLOOKUP($A8,'⚪设计'!$A$144:$N$196,8,FALSE)="","",VLOOKUP($A8,'⚪设计'!$A$144:$N$196,8,FALSE))</f>
        <v/>
      </c>
      <c r="M8" s="97" t="str">
        <f t="shared" si="2"/>
        <v/>
      </c>
      <c r="N8" s="97" t="str">
        <f>IF(VLOOKUP($A8,'⚪设计'!$A$144:$N$196,12,FALSE)="","",VLOOKUP($A8,'⚪设计'!$A$144:$N$196,12,FALSE))</f>
        <v/>
      </c>
      <c r="O8" s="97" t="str">
        <f>IF(L8="","",ROUND($D8*'⚪设计'!$D149/(IF($G8="",0,VLOOKUP($G8,'⚪设计'!$B$85:$H$104,4,FALSE)*$H8)+IF($L8="",0,VLOOKUP($L8,'⚪设计'!$B$85:$H$104,4,FALSE)*$M8)+IF($Q8="",0,VLOOKUP($Q8,'⚪设计'!$B$85:$H$104,4,FALSE)*$R8)+IF($V8="",0,VLOOKUP($V8,'⚪设计'!$B$85:$H$104,4,FALSE)*$W8))*IF(L8="",0,VLOOKUP(L8,'⚪设计'!$B$85:$H$104,4,FALSE)),0))</f>
        <v/>
      </c>
      <c r="P8" s="97" t="str">
        <f>IF(L8="","",ROUND(VLOOKUP($B8,战斗节奏!$A$4:$F$13,2,FALSE)/(IF($G8="",0,VLOOKUP($G8,'⚪设计'!$B$85:$H$104,5,FALSE)*$H8)+IF($L8="",0,VLOOKUP($L8,'⚪设计'!$B$85:$H$104,5,FALSE)*$M8)+IF($Q8="",0,VLOOKUP($Q8,'⚪设计'!$B$85:$H$104,5,FALSE)*$R8)+IF($V8="",0,VLOOKUP($V8,'⚪设计'!$B$85:$H$104,5,FALSE)*$W8))*IF(L8="",0,VLOOKUP(L8,'⚪设计'!$B$85:$H$104,5,FALSE)),0))</f>
        <v/>
      </c>
      <c r="Q8" s="97" t="str">
        <f>IF(VLOOKUP($A8,'⚪设计'!$A$144:$N$196,9,FALSE)="","",VLOOKUP($A8,'⚪设计'!$A$144:$N$196,9,FALSE))</f>
        <v/>
      </c>
      <c r="R8" s="97" t="str">
        <f t="shared" si="3"/>
        <v/>
      </c>
      <c r="S8" s="97" t="str">
        <f>IF(VLOOKUP($A8,'⚪设计'!$A$144:$N$196,13,FALSE)="","",VLOOKUP($A8,'⚪设计'!$A$144:$N$196,13,FALSE))</f>
        <v/>
      </c>
      <c r="T8" s="97" t="str">
        <f>IF(Q8="","",ROUND($D8*'⚪设计'!$D149/(IF($G8="",0,VLOOKUP($G8,'⚪设计'!$B$85:$H$104,4,FALSE)*$H8)+IF($L8="",0,VLOOKUP($L8,'⚪设计'!$B$85:$H$104,4,FALSE)*$M8)+IF($Q8="",0,VLOOKUP($Q8,'⚪设计'!$B$85:$H$104,4,FALSE)*$R8)+IF($V8="",0,VLOOKUP($V8,'⚪设计'!$B$85:$H$104,4,FALSE)*$W8))*IF(Q8="",0,VLOOKUP(Q8,'⚪设计'!$B$85:$H$104,4,FALSE)),0))</f>
        <v/>
      </c>
      <c r="U8" s="97" t="str">
        <f>IF(Q8="","",ROUND(VLOOKUP($B8,战斗节奏!$A$4:$F$13,2,FALSE)/(IF($G8="",0,VLOOKUP($G8,'⚪设计'!$B$85:$H$104,5,FALSE)*$H8)+IF($L8="",0,VLOOKUP($L8,'⚪设计'!$B$85:$H$104,5,FALSE)*$M8)+IF($Q8="",0,VLOOKUP($Q8,'⚪设计'!$B$85:$H$104,5,FALSE)*$R8)+IF($V8="",0,VLOOKUP($V8,'⚪设计'!$B$85:$H$104,5,FALSE)*$W8))*IF(Q8="",0,VLOOKUP(Q8,'⚪设计'!$B$85:$H$104,5,FALSE)),0))</f>
        <v/>
      </c>
      <c r="V8" s="97" t="str">
        <f>IF(VLOOKUP($A8,'⚪设计'!$A$144:$N$196,10,FALSE)="","",VLOOKUP($A8,'⚪设计'!$A$144:$N$196,10,FALSE))</f>
        <v/>
      </c>
      <c r="W8" s="97" t="str">
        <f t="shared" si="4"/>
        <v/>
      </c>
      <c r="X8" s="97" t="str">
        <f>IF(VLOOKUP($A8,'⚪设计'!$A$144:$N$196,14,FALSE)="","",VLOOKUP($A8,'⚪设计'!$A$144:$N$196,14,FALSE))</f>
        <v/>
      </c>
      <c r="Y8" s="97" t="str">
        <f>IF(V8="","",ROUND($D8*'⚪设计'!$D149/(IF($G8="",0,VLOOKUP($G8,'⚪设计'!$B$85:$H$104,4,FALSE)*$H8)+IF($L8="",0,VLOOKUP($L8,'⚪设计'!$B$85:$H$104,4,FALSE)*$M8)+IF($Q8="",0,VLOOKUP($Q8,'⚪设计'!$B$85:$H$104,4,FALSE)*$R8)+IF($V8="",0,VLOOKUP($V8,'⚪设计'!$B$85:$H$104,4,FALSE)*$W8))*IF(V8="",0,VLOOKUP(V8,'⚪设计'!$B$85:$H$104,4,FALSE)),0))</f>
        <v/>
      </c>
      <c r="Z8" s="97" t="str">
        <f>IF(V8="","",ROUND(VLOOKUP($B8,战斗节奏!$A$4:$F$13,2,FALSE)/(IF($G8="",0,VLOOKUP($G8,'⚪设计'!$B$85:$H$104,5,FALSE)*$H8)+IF($L8="",0,VLOOKUP($L8,'⚪设计'!$B$85:$H$104,5,FALSE)*$M8)+IF($Q8="",0,VLOOKUP($Q8,'⚪设计'!$B$85:$H$104,5,FALSE)*$R8)+IF($V8="",0,VLOOKUP($V8,'⚪设计'!$B$85:$H$104,5,FALSE)*$W8))*IF(V8="",0,VLOOKUP(V8,'⚪设计'!$B$85:$H$104,5,FALSE)),0))</f>
        <v/>
      </c>
    </row>
    <row r="9" spans="1:26" x14ac:dyDescent="0.2">
      <c r="A9" s="2" t="str">
        <f t="shared" si="0"/>
        <v>2_2</v>
      </c>
      <c r="B9" s="2">
        <v>2</v>
      </c>
      <c r="C9" s="2">
        <v>2</v>
      </c>
      <c r="D9" s="97">
        <f>VLOOKUP(C9,无限模式!$A$3:$B$22,2,FALSE)</f>
        <v>1080</v>
      </c>
      <c r="E9" s="98">
        <v>1</v>
      </c>
      <c r="F9" s="97">
        <f>'⚪设计'!F150</f>
        <v>12.5</v>
      </c>
      <c r="G9" s="97" t="str">
        <f>IF(VLOOKUP($A9,'⚪设计'!$A$144:$N$196,7,FALSE)="","",VLOOKUP($A9,'⚪设计'!$A$144:$N$196,7,FALSE))</f>
        <v>蜘蛛1</v>
      </c>
      <c r="H9" s="97">
        <f t="shared" si="1"/>
        <v>6</v>
      </c>
      <c r="I9" s="97">
        <f>IF(VLOOKUP($A9,'⚪设计'!$A$144:$N$196,11,FALSE)="","",VLOOKUP($A9,'⚪设计'!$A$144:$N$196,11,FALSE))</f>
        <v>2</v>
      </c>
      <c r="J9" s="97">
        <f>IF(G9="","",ROUND($D9*'⚪设计'!$D150/(IF($G9="",0,VLOOKUP($G9,'⚪设计'!$B$85:$H$104,4,FALSE)*$H9)+IF($L9="",0,VLOOKUP($L9,'⚪设计'!$B$85:$H$104,4,FALSE)*$M9)+IF($Q9="",0,VLOOKUP($Q9,'⚪设计'!$B$85:$H$104,4,FALSE)*$R9)+IF($V9="",0,VLOOKUP($V9,'⚪设计'!$B$85:$H$104,4,FALSE)*$W9))*IF(G9="",0,VLOOKUP(G9,'⚪设计'!$B$85:$H$104,4,FALSE)),0))</f>
        <v>216</v>
      </c>
      <c r="K9" s="97">
        <f>IF(G9="","",ROUND(VLOOKUP($B9,战斗节奏!$A$4:$F$13,2,FALSE)/(IF($G9="",0,VLOOKUP($G9,'⚪设计'!$B$85:$H$104,5,FALSE)*$H9)+IF($L9="",0,VLOOKUP($L9,'⚪设计'!$B$85:$H$104,5,FALSE)*$M9)+IF($Q9="",0,VLOOKUP($Q9,'⚪设计'!$B$85:$H$104,5,FALSE)*$R9)+IF($V9="",0,VLOOKUP($V9,'⚪设计'!$B$85:$H$104,5,FALSE)*$W9))*IF(G9="",0,VLOOKUP(G9,'⚪设计'!$B$85:$H$104,5,FALSE)),0))</f>
        <v>17</v>
      </c>
      <c r="L9" s="97" t="str">
        <f>IF(VLOOKUP($A9,'⚪设计'!$A$144:$N$196,8,FALSE)="","",VLOOKUP($A9,'⚪设计'!$A$144:$N$196,8,FALSE))</f>
        <v>蜜蜂2</v>
      </c>
      <c r="M9" s="97">
        <f t="shared" si="2"/>
        <v>6</v>
      </c>
      <c r="N9" s="97">
        <f>IF(VLOOKUP($A9,'⚪设计'!$A$144:$N$196,12,FALSE)="","",VLOOKUP($A9,'⚪设计'!$A$144:$N$196,12,FALSE))</f>
        <v>2</v>
      </c>
      <c r="O9" s="97">
        <f>IF(L9="","",ROUND($D9*'⚪设计'!$D150/(IF($G9="",0,VLOOKUP($G9,'⚪设计'!$B$85:$H$104,4,FALSE)*$H9)+IF($L9="",0,VLOOKUP($L9,'⚪设计'!$B$85:$H$104,4,FALSE)*$M9)+IF($Q9="",0,VLOOKUP($Q9,'⚪设计'!$B$85:$H$104,4,FALSE)*$R9)+IF($V9="",0,VLOOKUP($V9,'⚪设计'!$B$85:$H$104,4,FALSE)*$W9))*IF(L9="",0,VLOOKUP(L9,'⚪设计'!$B$85:$H$104,4,FALSE)),0))</f>
        <v>432</v>
      </c>
      <c r="P9" s="97">
        <f>IF(L9="","",ROUND(VLOOKUP($B9,战斗节奏!$A$4:$F$13,2,FALSE)/(IF($G9="",0,VLOOKUP($G9,'⚪设计'!$B$85:$H$104,5,FALSE)*$H9)+IF($L9="",0,VLOOKUP($L9,'⚪设计'!$B$85:$H$104,5,FALSE)*$M9)+IF($Q9="",0,VLOOKUP($Q9,'⚪设计'!$B$85:$H$104,5,FALSE)*$R9)+IF($V9="",0,VLOOKUP($V9,'⚪设计'!$B$85:$H$104,5,FALSE)*$W9))*IF(L9="",0,VLOOKUP(L9,'⚪设计'!$B$85:$H$104,5,FALSE)),0))</f>
        <v>33</v>
      </c>
      <c r="Q9" s="97" t="str">
        <f>IF(VLOOKUP($A9,'⚪设计'!$A$144:$N$196,9,FALSE)="","",VLOOKUP($A9,'⚪设计'!$A$144:$N$196,9,FALSE))</f>
        <v/>
      </c>
      <c r="R9" s="97" t="str">
        <f t="shared" si="3"/>
        <v/>
      </c>
      <c r="S9" s="97" t="str">
        <f>IF(VLOOKUP($A9,'⚪设计'!$A$144:$N$196,13,FALSE)="","",VLOOKUP($A9,'⚪设计'!$A$144:$N$196,13,FALSE))</f>
        <v/>
      </c>
      <c r="T9" s="97" t="str">
        <f>IF(Q9="","",ROUND($D9*'⚪设计'!$D150/(IF($G9="",0,VLOOKUP($G9,'⚪设计'!$B$85:$H$104,4,FALSE)*$H9)+IF($L9="",0,VLOOKUP($L9,'⚪设计'!$B$85:$H$104,4,FALSE)*$M9)+IF($Q9="",0,VLOOKUP($Q9,'⚪设计'!$B$85:$H$104,4,FALSE)*$R9)+IF($V9="",0,VLOOKUP($V9,'⚪设计'!$B$85:$H$104,4,FALSE)*$W9))*IF(Q9="",0,VLOOKUP(Q9,'⚪设计'!$B$85:$H$104,4,FALSE)),0))</f>
        <v/>
      </c>
      <c r="U9" s="97" t="str">
        <f>IF(Q9="","",ROUND(VLOOKUP($B9,战斗节奏!$A$4:$F$13,2,FALSE)/(IF($G9="",0,VLOOKUP($G9,'⚪设计'!$B$85:$H$104,5,FALSE)*$H9)+IF($L9="",0,VLOOKUP($L9,'⚪设计'!$B$85:$H$104,5,FALSE)*$M9)+IF($Q9="",0,VLOOKUP($Q9,'⚪设计'!$B$85:$H$104,5,FALSE)*$R9)+IF($V9="",0,VLOOKUP($V9,'⚪设计'!$B$85:$H$104,5,FALSE)*$W9))*IF(Q9="",0,VLOOKUP(Q9,'⚪设计'!$B$85:$H$104,5,FALSE)),0))</f>
        <v/>
      </c>
      <c r="V9" s="97" t="str">
        <f>IF(VLOOKUP($A9,'⚪设计'!$A$144:$N$196,10,FALSE)="","",VLOOKUP($A9,'⚪设计'!$A$144:$N$196,10,FALSE))</f>
        <v/>
      </c>
      <c r="W9" s="97" t="str">
        <f t="shared" si="4"/>
        <v/>
      </c>
      <c r="X9" s="97" t="str">
        <f>IF(VLOOKUP($A9,'⚪设计'!$A$144:$N$196,14,FALSE)="","",VLOOKUP($A9,'⚪设计'!$A$144:$N$196,14,FALSE))</f>
        <v/>
      </c>
      <c r="Y9" s="97" t="str">
        <f>IF(V9="","",ROUND($D9*'⚪设计'!$D150/(IF($G9="",0,VLOOKUP($G9,'⚪设计'!$B$85:$H$104,4,FALSE)*$H9)+IF($L9="",0,VLOOKUP($L9,'⚪设计'!$B$85:$H$104,4,FALSE)*$M9)+IF($Q9="",0,VLOOKUP($Q9,'⚪设计'!$B$85:$H$104,4,FALSE)*$R9)+IF($V9="",0,VLOOKUP($V9,'⚪设计'!$B$85:$H$104,4,FALSE)*$W9))*IF(V9="",0,VLOOKUP(V9,'⚪设计'!$B$85:$H$104,4,FALSE)),0))</f>
        <v/>
      </c>
      <c r="Z9" s="97" t="str">
        <f>IF(V9="","",ROUND(VLOOKUP($B9,战斗节奏!$A$4:$F$13,2,FALSE)/(IF($G9="",0,VLOOKUP($G9,'⚪设计'!$B$85:$H$104,5,FALSE)*$H9)+IF($L9="",0,VLOOKUP($L9,'⚪设计'!$B$85:$H$104,5,FALSE)*$M9)+IF($Q9="",0,VLOOKUP($Q9,'⚪设计'!$B$85:$H$104,5,FALSE)*$R9)+IF($V9="",0,VLOOKUP($V9,'⚪设计'!$B$85:$H$104,5,FALSE)*$W9))*IF(V9="",0,VLOOKUP(V9,'⚪设计'!$B$85:$H$104,5,FALSE)),0))</f>
        <v/>
      </c>
    </row>
    <row r="10" spans="1:26" x14ac:dyDescent="0.2">
      <c r="A10" s="2" t="str">
        <f t="shared" si="0"/>
        <v>2_3</v>
      </c>
      <c r="B10" s="2">
        <v>2</v>
      </c>
      <c r="C10" s="2">
        <v>3</v>
      </c>
      <c r="D10" s="97">
        <f>VLOOKUP(C10,无限模式!$A$3:$B$22,2,FALSE)</f>
        <v>1620</v>
      </c>
      <c r="E10" s="98">
        <v>1</v>
      </c>
      <c r="F10" s="97">
        <f>'⚪设计'!F151</f>
        <v>15</v>
      </c>
      <c r="G10" s="97" t="str">
        <f>IF(VLOOKUP($A10,'⚪设计'!$A$144:$N$196,7,FALSE)="","",VLOOKUP($A10,'⚪设计'!$A$144:$N$196,7,FALSE))</f>
        <v>蜘蛛1</v>
      </c>
      <c r="H10" s="97">
        <f t="shared" si="1"/>
        <v>15</v>
      </c>
      <c r="I10" s="97">
        <f>IF(VLOOKUP($A10,'⚪设计'!$A$144:$N$196,11,FALSE)="","",VLOOKUP($A10,'⚪设计'!$A$144:$N$196,11,FALSE))</f>
        <v>1</v>
      </c>
      <c r="J10" s="97">
        <f>IF(G10="","",ROUND($D10*'⚪设计'!$D151/(IF($G10="",0,VLOOKUP($G10,'⚪设计'!$B$85:$H$104,4,FALSE)*$H10)+IF($L10="",0,VLOOKUP($L10,'⚪设计'!$B$85:$H$104,4,FALSE)*$M10)+IF($Q10="",0,VLOOKUP($Q10,'⚪设计'!$B$85:$H$104,4,FALSE)*$R10)+IF($V10="",0,VLOOKUP($V10,'⚪设计'!$B$85:$H$104,4,FALSE)*$W10))*IF(G10="",0,VLOOKUP(G10,'⚪设计'!$B$85:$H$104,4,FALSE)),0))</f>
        <v>111</v>
      </c>
      <c r="K10" s="97">
        <f>IF(G10="","",ROUND(VLOOKUP($B10,战斗节奏!$A$4:$F$13,2,FALSE)/(IF($G10="",0,VLOOKUP($G10,'⚪设计'!$B$85:$H$104,5,FALSE)*$H10)+IF($L10="",0,VLOOKUP($L10,'⚪设计'!$B$85:$H$104,5,FALSE)*$M10)+IF($Q10="",0,VLOOKUP($Q10,'⚪设计'!$B$85:$H$104,5,FALSE)*$R10)+IF($V10="",0,VLOOKUP($V10,'⚪设计'!$B$85:$H$104,5,FALSE)*$W10))*IF(G10="",0,VLOOKUP(G10,'⚪设计'!$B$85:$H$104,5,FALSE)),0))</f>
        <v>6</v>
      </c>
      <c r="L10" s="97" t="str">
        <f>IF(VLOOKUP($A10,'⚪设计'!$A$144:$N$196,8,FALSE)="","",VLOOKUP($A10,'⚪设计'!$A$144:$N$196,8,FALSE))</f>
        <v>蝙蝠1</v>
      </c>
      <c r="M10" s="97">
        <f t="shared" si="2"/>
        <v>15</v>
      </c>
      <c r="N10" s="97">
        <f>IF(VLOOKUP($A10,'⚪设计'!$A$144:$N$196,12,FALSE)="","",VLOOKUP($A10,'⚪设计'!$A$144:$N$196,12,FALSE))</f>
        <v>1</v>
      </c>
      <c r="O10" s="97">
        <f>IF(L10="","",ROUND($D10*'⚪设计'!$D151/(IF($G10="",0,VLOOKUP($G10,'⚪设计'!$B$85:$H$104,4,FALSE)*$H10)+IF($L10="",0,VLOOKUP($L10,'⚪设计'!$B$85:$H$104,4,FALSE)*$M10)+IF($Q10="",0,VLOOKUP($Q10,'⚪设计'!$B$85:$H$104,4,FALSE)*$R10)+IF($V10="",0,VLOOKUP($V10,'⚪设计'!$B$85:$H$104,4,FALSE)*$W10))*IF(L10="",0,VLOOKUP(L10,'⚪设计'!$B$85:$H$104,4,FALSE)),0))</f>
        <v>56</v>
      </c>
      <c r="P10" s="97">
        <f>IF(L10="","",ROUND(VLOOKUP($B10,战斗节奏!$A$4:$F$13,2,FALSE)/(IF($G10="",0,VLOOKUP($G10,'⚪设计'!$B$85:$H$104,5,FALSE)*$H10)+IF($L10="",0,VLOOKUP($L10,'⚪设计'!$B$85:$H$104,5,FALSE)*$M10)+IF($Q10="",0,VLOOKUP($Q10,'⚪设计'!$B$85:$H$104,5,FALSE)*$R10)+IF($V10="",0,VLOOKUP($V10,'⚪设计'!$B$85:$H$104,5,FALSE)*$W10))*IF(L10="",0,VLOOKUP(L10,'⚪设计'!$B$85:$H$104,5,FALSE)),0))</f>
        <v>3</v>
      </c>
      <c r="Q10" s="97" t="str">
        <f>IF(VLOOKUP($A10,'⚪设计'!$A$144:$N$196,9,FALSE)="","",VLOOKUP($A10,'⚪设计'!$A$144:$N$196,9,FALSE))</f>
        <v>蜜蜂2</v>
      </c>
      <c r="R10" s="97">
        <f t="shared" si="3"/>
        <v>15</v>
      </c>
      <c r="S10" s="97">
        <f>IF(VLOOKUP($A10,'⚪设计'!$A$144:$N$196,13,FALSE)="","",VLOOKUP($A10,'⚪设计'!$A$144:$N$196,13,FALSE))</f>
        <v>1</v>
      </c>
      <c r="T10" s="97">
        <f>IF(Q10="","",ROUND($D10*'⚪设计'!$D151/(IF($G10="",0,VLOOKUP($G10,'⚪设计'!$B$85:$H$104,4,FALSE)*$H10)+IF($L10="",0,VLOOKUP($L10,'⚪设计'!$B$85:$H$104,4,FALSE)*$M10)+IF($Q10="",0,VLOOKUP($Q10,'⚪设计'!$B$85:$H$104,4,FALSE)*$R10)+IF($V10="",0,VLOOKUP($V10,'⚪设计'!$B$85:$H$104,4,FALSE)*$W10))*IF(Q10="",0,VLOOKUP(Q10,'⚪设计'!$B$85:$H$104,4,FALSE)),0))</f>
        <v>222</v>
      </c>
      <c r="U10" s="97">
        <f>IF(Q10="","",ROUND(VLOOKUP($B10,战斗节奏!$A$4:$F$13,2,FALSE)/(IF($G10="",0,VLOOKUP($G10,'⚪设计'!$B$85:$H$104,5,FALSE)*$H10)+IF($L10="",0,VLOOKUP($L10,'⚪设计'!$B$85:$H$104,5,FALSE)*$M10)+IF($Q10="",0,VLOOKUP($Q10,'⚪设计'!$B$85:$H$104,5,FALSE)*$R10)+IF($V10="",0,VLOOKUP($V10,'⚪设计'!$B$85:$H$104,5,FALSE)*$W10))*IF(Q10="",0,VLOOKUP(Q10,'⚪设计'!$B$85:$H$104,5,FALSE)),0))</f>
        <v>11</v>
      </c>
      <c r="V10" s="97" t="str">
        <f>IF(VLOOKUP($A10,'⚪设计'!$A$144:$N$196,10,FALSE)="","",VLOOKUP($A10,'⚪设计'!$A$144:$N$196,10,FALSE))</f>
        <v/>
      </c>
      <c r="W10" s="97" t="str">
        <f t="shared" si="4"/>
        <v/>
      </c>
      <c r="X10" s="97" t="str">
        <f>IF(VLOOKUP($A10,'⚪设计'!$A$144:$N$196,14,FALSE)="","",VLOOKUP($A10,'⚪设计'!$A$144:$N$196,14,FALSE))</f>
        <v/>
      </c>
      <c r="Y10" s="97" t="str">
        <f>IF(V10="","",ROUND($D10*'⚪设计'!$D151/(IF($G10="",0,VLOOKUP($G10,'⚪设计'!$B$85:$H$104,4,FALSE)*$H10)+IF($L10="",0,VLOOKUP($L10,'⚪设计'!$B$85:$H$104,4,FALSE)*$M10)+IF($Q10="",0,VLOOKUP($Q10,'⚪设计'!$B$85:$H$104,4,FALSE)*$R10)+IF($V10="",0,VLOOKUP($V10,'⚪设计'!$B$85:$H$104,4,FALSE)*$W10))*IF(V10="",0,VLOOKUP(V10,'⚪设计'!$B$85:$H$104,4,FALSE)),0))</f>
        <v/>
      </c>
      <c r="Z10" s="97" t="str">
        <f>IF(V10="","",ROUND(VLOOKUP($B10,战斗节奏!$A$4:$F$13,2,FALSE)/(IF($G10="",0,VLOOKUP($G10,'⚪设计'!$B$85:$H$104,5,FALSE)*$H10)+IF($L10="",0,VLOOKUP($L10,'⚪设计'!$B$85:$H$104,5,FALSE)*$M10)+IF($Q10="",0,VLOOKUP($Q10,'⚪设计'!$B$85:$H$104,5,FALSE)*$R10)+IF($V10="",0,VLOOKUP($V10,'⚪设计'!$B$85:$H$104,5,FALSE)*$W10))*IF(V10="",0,VLOOKUP(V10,'⚪设计'!$B$85:$H$104,5,FALSE)),0))</f>
        <v/>
      </c>
    </row>
    <row r="11" spans="1:26" x14ac:dyDescent="0.2">
      <c r="A11" s="2" t="str">
        <f t="shared" si="0"/>
        <v>2_4</v>
      </c>
      <c r="B11" s="2">
        <v>2</v>
      </c>
      <c r="C11" s="2">
        <v>4</v>
      </c>
      <c r="D11" s="97">
        <f>VLOOKUP(C11,无限模式!$A$3:$B$22,2,FALSE)</f>
        <v>2160</v>
      </c>
      <c r="E11" s="98">
        <v>1</v>
      </c>
      <c r="F11" s="97">
        <f>'⚪设计'!F152</f>
        <v>0</v>
      </c>
      <c r="G11" s="97" t="str">
        <f>IF(VLOOKUP($A11,'⚪设计'!$A$144:$N$196,7,FALSE)="","",VLOOKUP($A11,'⚪设计'!$A$144:$N$196,7,FALSE))</f>
        <v/>
      </c>
      <c r="H11" s="97" t="str">
        <f t="shared" si="1"/>
        <v/>
      </c>
      <c r="I11" s="97" t="str">
        <f>IF(VLOOKUP($A11,'⚪设计'!$A$144:$N$196,11,FALSE)="","",VLOOKUP($A11,'⚪设计'!$A$144:$N$196,11,FALSE))</f>
        <v/>
      </c>
      <c r="J11" s="97" t="str">
        <f>IF(G11="","",ROUND($D11*'⚪设计'!$D152/(IF($G11="",0,VLOOKUP($G11,'⚪设计'!$B$85:$H$104,4,FALSE)*$H11)+IF($L11="",0,VLOOKUP($L11,'⚪设计'!$B$85:$H$104,4,FALSE)*$M11)+IF($Q11="",0,VLOOKUP($Q11,'⚪设计'!$B$85:$H$104,4,FALSE)*$R11)+IF($V11="",0,VLOOKUP($V11,'⚪设计'!$B$85:$H$104,4,FALSE)*$W11))*IF(G11="",0,VLOOKUP(G11,'⚪设计'!$B$85:$H$104,4,FALSE)),0))</f>
        <v/>
      </c>
      <c r="K11" s="97" t="str">
        <f>IF(G11="","",ROUND(VLOOKUP($B11,战斗节奏!$A$4:$F$13,2,FALSE)/(IF($G11="",0,VLOOKUP($G11,'⚪设计'!$B$85:$H$104,5,FALSE)*$H11)+IF($L11="",0,VLOOKUP($L11,'⚪设计'!$B$85:$H$104,5,FALSE)*$M11)+IF($Q11="",0,VLOOKUP($Q11,'⚪设计'!$B$85:$H$104,5,FALSE)*$R11)+IF($V11="",0,VLOOKUP($V11,'⚪设计'!$B$85:$H$104,5,FALSE)*$W11))*IF(G11="",0,VLOOKUP(G11,'⚪设计'!$B$85:$H$104,5,FALSE)),0))</f>
        <v/>
      </c>
      <c r="L11" s="97" t="str">
        <f>IF(VLOOKUP($A11,'⚪设计'!$A$144:$N$196,8,FALSE)="","",VLOOKUP($A11,'⚪设计'!$A$144:$N$196,8,FALSE))</f>
        <v/>
      </c>
      <c r="M11" s="97" t="str">
        <f t="shared" si="2"/>
        <v/>
      </c>
      <c r="N11" s="97" t="str">
        <f>IF(VLOOKUP($A11,'⚪设计'!$A$144:$N$196,12,FALSE)="","",VLOOKUP($A11,'⚪设计'!$A$144:$N$196,12,FALSE))</f>
        <v/>
      </c>
      <c r="O11" s="97" t="str">
        <f>IF(L11="","",ROUND($D11*'⚪设计'!$D152/(IF($G11="",0,VLOOKUP($G11,'⚪设计'!$B$85:$H$104,4,FALSE)*$H11)+IF($L11="",0,VLOOKUP($L11,'⚪设计'!$B$85:$H$104,4,FALSE)*$M11)+IF($Q11="",0,VLOOKUP($Q11,'⚪设计'!$B$85:$H$104,4,FALSE)*$R11)+IF($V11="",0,VLOOKUP($V11,'⚪设计'!$B$85:$H$104,4,FALSE)*$W11))*IF(L11="",0,VLOOKUP(L11,'⚪设计'!$B$85:$H$104,4,FALSE)),0))</f>
        <v/>
      </c>
      <c r="P11" s="97" t="str">
        <f>IF(L11="","",ROUND(VLOOKUP($B11,战斗节奏!$A$4:$F$13,2,FALSE)/(IF($G11="",0,VLOOKUP($G11,'⚪设计'!$B$85:$H$104,5,FALSE)*$H11)+IF($L11="",0,VLOOKUP($L11,'⚪设计'!$B$85:$H$104,5,FALSE)*$M11)+IF($Q11="",0,VLOOKUP($Q11,'⚪设计'!$B$85:$H$104,5,FALSE)*$R11)+IF($V11="",0,VLOOKUP($V11,'⚪设计'!$B$85:$H$104,5,FALSE)*$W11))*IF(L11="",0,VLOOKUP(L11,'⚪设计'!$B$85:$H$104,5,FALSE)),0))</f>
        <v/>
      </c>
      <c r="Q11" s="97" t="str">
        <f>IF(VLOOKUP($A11,'⚪设计'!$A$144:$N$196,9,FALSE)="","",VLOOKUP($A11,'⚪设计'!$A$144:$N$196,9,FALSE))</f>
        <v/>
      </c>
      <c r="R11" s="97" t="str">
        <f t="shared" si="3"/>
        <v/>
      </c>
      <c r="S11" s="97" t="str">
        <f>IF(VLOOKUP($A11,'⚪设计'!$A$144:$N$196,13,FALSE)="","",VLOOKUP($A11,'⚪设计'!$A$144:$N$196,13,FALSE))</f>
        <v/>
      </c>
      <c r="T11" s="97" t="str">
        <f>IF(Q11="","",ROUND($D11*'⚪设计'!$D152/(IF($G11="",0,VLOOKUP($G11,'⚪设计'!$B$85:$H$104,4,FALSE)*$H11)+IF($L11="",0,VLOOKUP($L11,'⚪设计'!$B$85:$H$104,4,FALSE)*$M11)+IF($Q11="",0,VLOOKUP($Q11,'⚪设计'!$B$85:$H$104,4,FALSE)*$R11)+IF($V11="",0,VLOOKUP($V11,'⚪设计'!$B$85:$H$104,4,FALSE)*$W11))*IF(Q11="",0,VLOOKUP(Q11,'⚪设计'!$B$85:$H$104,4,FALSE)),0))</f>
        <v/>
      </c>
      <c r="U11" s="97" t="str">
        <f>IF(Q11="","",ROUND(VLOOKUP($B11,战斗节奏!$A$4:$F$13,2,FALSE)/(IF($G11="",0,VLOOKUP($G11,'⚪设计'!$B$85:$H$104,5,FALSE)*$H11)+IF($L11="",0,VLOOKUP($L11,'⚪设计'!$B$85:$H$104,5,FALSE)*$M11)+IF($Q11="",0,VLOOKUP($Q11,'⚪设计'!$B$85:$H$104,5,FALSE)*$R11)+IF($V11="",0,VLOOKUP($V11,'⚪设计'!$B$85:$H$104,5,FALSE)*$W11))*IF(Q11="",0,VLOOKUP(Q11,'⚪设计'!$B$85:$H$104,5,FALSE)),0))</f>
        <v/>
      </c>
      <c r="V11" s="97" t="str">
        <f>IF(VLOOKUP($A11,'⚪设计'!$A$144:$N$196,10,FALSE)="","",VLOOKUP($A11,'⚪设计'!$A$144:$N$196,10,FALSE))</f>
        <v/>
      </c>
      <c r="W11" s="97" t="str">
        <f t="shared" si="4"/>
        <v/>
      </c>
      <c r="X11" s="97" t="str">
        <f>IF(VLOOKUP($A11,'⚪设计'!$A$144:$N$196,14,FALSE)="","",VLOOKUP($A11,'⚪设计'!$A$144:$N$196,14,FALSE))</f>
        <v/>
      </c>
      <c r="Y11" s="97" t="str">
        <f>IF(V11="","",ROUND($D11*'⚪设计'!$D152/(IF($G11="",0,VLOOKUP($G11,'⚪设计'!$B$85:$H$104,4,FALSE)*$H11)+IF($L11="",0,VLOOKUP($L11,'⚪设计'!$B$85:$H$104,4,FALSE)*$M11)+IF($Q11="",0,VLOOKUP($Q11,'⚪设计'!$B$85:$H$104,4,FALSE)*$R11)+IF($V11="",0,VLOOKUP($V11,'⚪设计'!$B$85:$H$104,4,FALSE)*$W11))*IF(V11="",0,VLOOKUP(V11,'⚪设计'!$B$85:$H$104,4,FALSE)),0))</f>
        <v/>
      </c>
      <c r="Z11" s="97" t="str">
        <f>IF(V11="","",ROUND(VLOOKUP($B11,战斗节奏!$A$4:$F$13,2,FALSE)/(IF($G11="",0,VLOOKUP($G11,'⚪设计'!$B$85:$H$104,5,FALSE)*$H11)+IF($L11="",0,VLOOKUP($L11,'⚪设计'!$B$85:$H$104,5,FALSE)*$M11)+IF($Q11="",0,VLOOKUP($Q11,'⚪设计'!$B$85:$H$104,5,FALSE)*$R11)+IF($V11="",0,VLOOKUP($V11,'⚪设计'!$B$85:$H$104,5,FALSE)*$W11))*IF(V11="",0,VLOOKUP(V11,'⚪设计'!$B$85:$H$104,5,FALSE)),0))</f>
        <v/>
      </c>
    </row>
    <row r="12" spans="1:26" x14ac:dyDescent="0.2">
      <c r="A12" s="2" t="str">
        <f t="shared" si="0"/>
        <v>2_5</v>
      </c>
      <c r="B12" s="2">
        <v>2</v>
      </c>
      <c r="C12" s="2">
        <v>5</v>
      </c>
      <c r="D12" s="97">
        <f>VLOOKUP(C12,无限模式!$A$3:$B$22,2,FALSE)</f>
        <v>2700</v>
      </c>
      <c r="E12" s="98">
        <v>1</v>
      </c>
      <c r="F12" s="97">
        <f>'⚪设计'!F153</f>
        <v>0</v>
      </c>
      <c r="G12" s="97" t="str">
        <f>IF(VLOOKUP($A12,'⚪设计'!$A$144:$N$196,7,FALSE)="","",VLOOKUP($A12,'⚪设计'!$A$144:$N$196,7,FALSE))</f>
        <v/>
      </c>
      <c r="H12" s="97" t="str">
        <f t="shared" si="1"/>
        <v/>
      </c>
      <c r="I12" s="97" t="str">
        <f>IF(VLOOKUP($A12,'⚪设计'!$A$144:$N$196,11,FALSE)="","",VLOOKUP($A12,'⚪设计'!$A$144:$N$196,11,FALSE))</f>
        <v/>
      </c>
      <c r="J12" s="97" t="str">
        <f>IF(G12="","",ROUND($D12*'⚪设计'!$D153/(IF($G12="",0,VLOOKUP($G12,'⚪设计'!$B$85:$H$104,4,FALSE)*$H12)+IF($L12="",0,VLOOKUP($L12,'⚪设计'!$B$85:$H$104,4,FALSE)*$M12)+IF($Q12="",0,VLOOKUP($Q12,'⚪设计'!$B$85:$H$104,4,FALSE)*$R12)+IF($V12="",0,VLOOKUP($V12,'⚪设计'!$B$85:$H$104,4,FALSE)*$W12))*IF(G12="",0,VLOOKUP(G12,'⚪设计'!$B$85:$H$104,4,FALSE)),0))</f>
        <v/>
      </c>
      <c r="K12" s="97" t="str">
        <f>IF(G12="","",ROUND(VLOOKUP($B12,战斗节奏!$A$4:$F$13,2,FALSE)/(IF($G12="",0,VLOOKUP($G12,'⚪设计'!$B$85:$H$104,5,FALSE)*$H12)+IF($L12="",0,VLOOKUP($L12,'⚪设计'!$B$85:$H$104,5,FALSE)*$M12)+IF($Q12="",0,VLOOKUP($Q12,'⚪设计'!$B$85:$H$104,5,FALSE)*$R12)+IF($V12="",0,VLOOKUP($V12,'⚪设计'!$B$85:$H$104,5,FALSE)*$W12))*IF(G12="",0,VLOOKUP(G12,'⚪设计'!$B$85:$H$104,5,FALSE)),0))</f>
        <v/>
      </c>
      <c r="L12" s="97" t="str">
        <f>IF(VLOOKUP($A12,'⚪设计'!$A$144:$N$196,8,FALSE)="","",VLOOKUP($A12,'⚪设计'!$A$144:$N$196,8,FALSE))</f>
        <v/>
      </c>
      <c r="M12" s="97" t="str">
        <f t="shared" si="2"/>
        <v/>
      </c>
      <c r="N12" s="97" t="str">
        <f>IF(VLOOKUP($A12,'⚪设计'!$A$144:$N$196,12,FALSE)="","",VLOOKUP($A12,'⚪设计'!$A$144:$N$196,12,FALSE))</f>
        <v/>
      </c>
      <c r="O12" s="97" t="str">
        <f>IF(L12="","",ROUND($D12*'⚪设计'!$D153/(IF($G12="",0,VLOOKUP($G12,'⚪设计'!$B$85:$H$104,4,FALSE)*$H12)+IF($L12="",0,VLOOKUP($L12,'⚪设计'!$B$85:$H$104,4,FALSE)*$M12)+IF($Q12="",0,VLOOKUP($Q12,'⚪设计'!$B$85:$H$104,4,FALSE)*$R12)+IF($V12="",0,VLOOKUP($V12,'⚪设计'!$B$85:$H$104,4,FALSE)*$W12))*IF(L12="",0,VLOOKUP(L12,'⚪设计'!$B$85:$H$104,4,FALSE)),0))</f>
        <v/>
      </c>
      <c r="P12" s="97" t="str">
        <f>IF(L12="","",ROUND(VLOOKUP($B12,战斗节奏!$A$4:$F$13,2,FALSE)/(IF($G12="",0,VLOOKUP($G12,'⚪设计'!$B$85:$H$104,5,FALSE)*$H12)+IF($L12="",0,VLOOKUP($L12,'⚪设计'!$B$85:$H$104,5,FALSE)*$M12)+IF($Q12="",0,VLOOKUP($Q12,'⚪设计'!$B$85:$H$104,5,FALSE)*$R12)+IF($V12="",0,VLOOKUP($V12,'⚪设计'!$B$85:$H$104,5,FALSE)*$W12))*IF(L12="",0,VLOOKUP(L12,'⚪设计'!$B$85:$H$104,5,FALSE)),0))</f>
        <v/>
      </c>
      <c r="Q12" s="97" t="str">
        <f>IF(VLOOKUP($A12,'⚪设计'!$A$144:$N$196,9,FALSE)="","",VLOOKUP($A12,'⚪设计'!$A$144:$N$196,9,FALSE))</f>
        <v/>
      </c>
      <c r="R12" s="97" t="str">
        <f t="shared" si="3"/>
        <v/>
      </c>
      <c r="S12" s="97" t="str">
        <f>IF(VLOOKUP($A12,'⚪设计'!$A$144:$N$196,13,FALSE)="","",VLOOKUP($A12,'⚪设计'!$A$144:$N$196,13,FALSE))</f>
        <v/>
      </c>
      <c r="T12" s="97" t="str">
        <f>IF(Q12="","",ROUND($D12*'⚪设计'!$D153/(IF($G12="",0,VLOOKUP($G12,'⚪设计'!$B$85:$H$104,4,FALSE)*$H12)+IF($L12="",0,VLOOKUP($L12,'⚪设计'!$B$85:$H$104,4,FALSE)*$M12)+IF($Q12="",0,VLOOKUP($Q12,'⚪设计'!$B$85:$H$104,4,FALSE)*$R12)+IF($V12="",0,VLOOKUP($V12,'⚪设计'!$B$85:$H$104,4,FALSE)*$W12))*IF(Q12="",0,VLOOKUP(Q12,'⚪设计'!$B$85:$H$104,4,FALSE)),0))</f>
        <v/>
      </c>
      <c r="U12" s="97" t="str">
        <f>IF(Q12="","",ROUND(VLOOKUP($B12,战斗节奏!$A$4:$F$13,2,FALSE)/(IF($G12="",0,VLOOKUP($G12,'⚪设计'!$B$85:$H$104,5,FALSE)*$H12)+IF($L12="",0,VLOOKUP($L12,'⚪设计'!$B$85:$H$104,5,FALSE)*$M12)+IF($Q12="",0,VLOOKUP($Q12,'⚪设计'!$B$85:$H$104,5,FALSE)*$R12)+IF($V12="",0,VLOOKUP($V12,'⚪设计'!$B$85:$H$104,5,FALSE)*$W12))*IF(Q12="",0,VLOOKUP(Q12,'⚪设计'!$B$85:$H$104,5,FALSE)),0))</f>
        <v/>
      </c>
      <c r="V12" s="97" t="str">
        <f>IF(VLOOKUP($A12,'⚪设计'!$A$144:$N$196,10,FALSE)="","",VLOOKUP($A12,'⚪设计'!$A$144:$N$196,10,FALSE))</f>
        <v/>
      </c>
      <c r="W12" s="97" t="str">
        <f t="shared" si="4"/>
        <v/>
      </c>
      <c r="X12" s="97" t="str">
        <f>IF(VLOOKUP($A12,'⚪设计'!$A$144:$N$196,14,FALSE)="","",VLOOKUP($A12,'⚪设计'!$A$144:$N$196,14,FALSE))</f>
        <v/>
      </c>
      <c r="Y12" s="97" t="str">
        <f>IF(V12="","",ROUND($D12*'⚪设计'!$D153/(IF($G12="",0,VLOOKUP($G12,'⚪设计'!$B$85:$H$104,4,FALSE)*$H12)+IF($L12="",0,VLOOKUP($L12,'⚪设计'!$B$85:$H$104,4,FALSE)*$M12)+IF($Q12="",0,VLOOKUP($Q12,'⚪设计'!$B$85:$H$104,4,FALSE)*$R12)+IF($V12="",0,VLOOKUP($V12,'⚪设计'!$B$85:$H$104,4,FALSE)*$W12))*IF(V12="",0,VLOOKUP(V12,'⚪设计'!$B$85:$H$104,4,FALSE)),0))</f>
        <v/>
      </c>
      <c r="Z12" s="97" t="str">
        <f>IF(V12="","",ROUND(VLOOKUP($B12,战斗节奏!$A$4:$F$13,2,FALSE)/(IF($G12="",0,VLOOKUP($G12,'⚪设计'!$B$85:$H$104,5,FALSE)*$H12)+IF($L12="",0,VLOOKUP($L12,'⚪设计'!$B$85:$H$104,5,FALSE)*$M12)+IF($Q12="",0,VLOOKUP($Q12,'⚪设计'!$B$85:$H$104,5,FALSE)*$R12)+IF($V12="",0,VLOOKUP($V12,'⚪设计'!$B$85:$H$104,5,FALSE)*$W12))*IF(V12="",0,VLOOKUP(V12,'⚪设计'!$B$85:$H$104,5,FALSE)),0))</f>
        <v/>
      </c>
    </row>
    <row r="13" spans="1:26" x14ac:dyDescent="0.2">
      <c r="A13" s="2" t="str">
        <f t="shared" si="0"/>
        <v>3_1</v>
      </c>
      <c r="B13" s="2">
        <v>3</v>
      </c>
      <c r="C13" s="2">
        <v>1</v>
      </c>
      <c r="D13" s="97">
        <f>VLOOKUP(C13,无限模式!$A$3:$B$22,2,FALSE)</f>
        <v>540</v>
      </c>
      <c r="E13" s="98">
        <v>1</v>
      </c>
      <c r="F13" s="97">
        <f>'⚪设计'!F154</f>
        <v>10</v>
      </c>
      <c r="G13" s="97" t="str">
        <f>IF(VLOOKUP($A13,'⚪设计'!$A$144:$N$196,7,FALSE)="","",VLOOKUP($A13,'⚪设计'!$A$144:$N$196,7,FALSE))</f>
        <v>种子1</v>
      </c>
      <c r="H13" s="97">
        <f t="shared" si="1"/>
        <v>5</v>
      </c>
      <c r="I13" s="97">
        <f>IF(VLOOKUP($A13,'⚪设计'!$A$144:$N$196,11,FALSE)="","",VLOOKUP($A13,'⚪设计'!$A$144:$N$196,11,FALSE))</f>
        <v>2</v>
      </c>
      <c r="J13" s="97">
        <f>IF(G13="","",ROUND($D13*'⚪设计'!$D154/(IF($G13="",0,VLOOKUP($G13,'⚪设计'!$B$85:$H$104,4,FALSE)*$H13)+IF($L13="",0,VLOOKUP($L13,'⚪设计'!$B$85:$H$104,4,FALSE)*$M13)+IF($Q13="",0,VLOOKUP($Q13,'⚪设计'!$B$85:$H$104,4,FALSE)*$R13)+IF($V13="",0,VLOOKUP($V13,'⚪设计'!$B$85:$H$104,4,FALSE)*$W13))*IF(G13="",0,VLOOKUP(G13,'⚪设计'!$B$85:$H$104,4,FALSE)),0))</f>
        <v>132</v>
      </c>
      <c r="K13" s="97">
        <f>IF(G13="","",ROUND(VLOOKUP($B13,战斗节奏!$A$4:$F$13,2,FALSE)/(IF($G13="",0,VLOOKUP($G13,'⚪设计'!$B$85:$H$104,5,FALSE)*$H13)+IF($L13="",0,VLOOKUP($L13,'⚪设计'!$B$85:$H$104,5,FALSE)*$M13)+IF($Q13="",0,VLOOKUP($Q13,'⚪设计'!$B$85:$H$104,5,FALSE)*$R13)+IF($V13="",0,VLOOKUP($V13,'⚪设计'!$B$85:$H$104,5,FALSE)*$W13))*IF(G13="",0,VLOOKUP(G13,'⚪设计'!$B$85:$H$104,5,FALSE)),0))</f>
        <v>60</v>
      </c>
      <c r="L13" s="97" t="str">
        <f>IF(VLOOKUP($A13,'⚪设计'!$A$144:$N$196,8,FALSE)="","",VLOOKUP($A13,'⚪设计'!$A$144:$N$196,8,FALSE))</f>
        <v/>
      </c>
      <c r="M13" s="97" t="str">
        <f t="shared" si="2"/>
        <v/>
      </c>
      <c r="N13" s="97" t="str">
        <f>IF(VLOOKUP($A13,'⚪设计'!$A$144:$N$196,12,FALSE)="","",VLOOKUP($A13,'⚪设计'!$A$144:$N$196,12,FALSE))</f>
        <v/>
      </c>
      <c r="O13" s="97" t="str">
        <f>IF(L13="","",ROUND($D13*'⚪设计'!$D154/(IF($G13="",0,VLOOKUP($G13,'⚪设计'!$B$85:$H$104,4,FALSE)*$H13)+IF($L13="",0,VLOOKUP($L13,'⚪设计'!$B$85:$H$104,4,FALSE)*$M13)+IF($Q13="",0,VLOOKUP($Q13,'⚪设计'!$B$85:$H$104,4,FALSE)*$R13)+IF($V13="",0,VLOOKUP($V13,'⚪设计'!$B$85:$H$104,4,FALSE)*$W13))*IF(L13="",0,VLOOKUP(L13,'⚪设计'!$B$85:$H$104,4,FALSE)),0))</f>
        <v/>
      </c>
      <c r="P13" s="97" t="str">
        <f>IF(L13="","",ROUND(VLOOKUP($B13,战斗节奏!$A$4:$F$13,2,FALSE)/(IF($G13="",0,VLOOKUP($G13,'⚪设计'!$B$85:$H$104,5,FALSE)*$H13)+IF($L13="",0,VLOOKUP($L13,'⚪设计'!$B$85:$H$104,5,FALSE)*$M13)+IF($Q13="",0,VLOOKUP($Q13,'⚪设计'!$B$85:$H$104,5,FALSE)*$R13)+IF($V13="",0,VLOOKUP($V13,'⚪设计'!$B$85:$H$104,5,FALSE)*$W13))*IF(L13="",0,VLOOKUP(L13,'⚪设计'!$B$85:$H$104,5,FALSE)),0))</f>
        <v/>
      </c>
      <c r="Q13" s="97" t="str">
        <f>IF(VLOOKUP($A13,'⚪设计'!$A$144:$N$196,9,FALSE)="","",VLOOKUP($A13,'⚪设计'!$A$144:$N$196,9,FALSE))</f>
        <v/>
      </c>
      <c r="R13" s="97" t="str">
        <f t="shared" si="3"/>
        <v/>
      </c>
      <c r="S13" s="97" t="str">
        <f>IF(VLOOKUP($A13,'⚪设计'!$A$144:$N$196,13,FALSE)="","",VLOOKUP($A13,'⚪设计'!$A$144:$N$196,13,FALSE))</f>
        <v/>
      </c>
      <c r="T13" s="97" t="str">
        <f>IF(Q13="","",ROUND($D13*'⚪设计'!$D154/(IF($G13="",0,VLOOKUP($G13,'⚪设计'!$B$85:$H$104,4,FALSE)*$H13)+IF($L13="",0,VLOOKUP($L13,'⚪设计'!$B$85:$H$104,4,FALSE)*$M13)+IF($Q13="",0,VLOOKUP($Q13,'⚪设计'!$B$85:$H$104,4,FALSE)*$R13)+IF($V13="",0,VLOOKUP($V13,'⚪设计'!$B$85:$H$104,4,FALSE)*$W13))*IF(Q13="",0,VLOOKUP(Q13,'⚪设计'!$B$85:$H$104,4,FALSE)),0))</f>
        <v/>
      </c>
      <c r="U13" s="97" t="str">
        <f>IF(Q13="","",ROUND(VLOOKUP($B13,战斗节奏!$A$4:$F$13,2,FALSE)/(IF($G13="",0,VLOOKUP($G13,'⚪设计'!$B$85:$H$104,5,FALSE)*$H13)+IF($L13="",0,VLOOKUP($L13,'⚪设计'!$B$85:$H$104,5,FALSE)*$M13)+IF($Q13="",0,VLOOKUP($Q13,'⚪设计'!$B$85:$H$104,5,FALSE)*$R13)+IF($V13="",0,VLOOKUP($V13,'⚪设计'!$B$85:$H$104,5,FALSE)*$W13))*IF(Q13="",0,VLOOKUP(Q13,'⚪设计'!$B$85:$H$104,5,FALSE)),0))</f>
        <v/>
      </c>
      <c r="V13" s="97" t="str">
        <f>IF(VLOOKUP($A13,'⚪设计'!$A$144:$N$196,10,FALSE)="","",VLOOKUP($A13,'⚪设计'!$A$144:$N$196,10,FALSE))</f>
        <v/>
      </c>
      <c r="W13" s="97" t="str">
        <f t="shared" si="4"/>
        <v/>
      </c>
      <c r="X13" s="97" t="str">
        <f>IF(VLOOKUP($A13,'⚪设计'!$A$144:$N$196,14,FALSE)="","",VLOOKUP($A13,'⚪设计'!$A$144:$N$196,14,FALSE))</f>
        <v/>
      </c>
      <c r="Y13" s="97" t="str">
        <f>IF(V13="","",ROUND($D13*'⚪设计'!$D154/(IF($G13="",0,VLOOKUP($G13,'⚪设计'!$B$85:$H$104,4,FALSE)*$H13)+IF($L13="",0,VLOOKUP($L13,'⚪设计'!$B$85:$H$104,4,FALSE)*$M13)+IF($Q13="",0,VLOOKUP($Q13,'⚪设计'!$B$85:$H$104,4,FALSE)*$R13)+IF($V13="",0,VLOOKUP($V13,'⚪设计'!$B$85:$H$104,4,FALSE)*$W13))*IF(V13="",0,VLOOKUP(V13,'⚪设计'!$B$85:$H$104,4,FALSE)),0))</f>
        <v/>
      </c>
      <c r="Z13" s="97" t="str">
        <f>IF(V13="","",ROUND(VLOOKUP($B13,战斗节奏!$A$4:$F$13,2,FALSE)/(IF($G13="",0,VLOOKUP($G13,'⚪设计'!$B$85:$H$104,5,FALSE)*$H13)+IF($L13="",0,VLOOKUP($L13,'⚪设计'!$B$85:$H$104,5,FALSE)*$M13)+IF($Q13="",0,VLOOKUP($Q13,'⚪设计'!$B$85:$H$104,5,FALSE)*$R13)+IF($V13="",0,VLOOKUP($V13,'⚪设计'!$B$85:$H$104,5,FALSE)*$W13))*IF(V13="",0,VLOOKUP(V13,'⚪设计'!$B$85:$H$104,5,FALSE)),0))</f>
        <v/>
      </c>
    </row>
    <row r="14" spans="1:26" x14ac:dyDescent="0.2">
      <c r="A14" s="2" t="str">
        <f t="shared" si="0"/>
        <v>3_2</v>
      </c>
      <c r="B14" s="2">
        <v>3</v>
      </c>
      <c r="C14" s="2">
        <v>2</v>
      </c>
      <c r="D14" s="97">
        <f>VLOOKUP(C14,无限模式!$A$3:$B$22,2,FALSE)</f>
        <v>1080</v>
      </c>
      <c r="E14" s="98">
        <v>1</v>
      </c>
      <c r="F14" s="97">
        <f>'⚪设计'!F155</f>
        <v>12.5</v>
      </c>
      <c r="G14" s="97" t="str">
        <f>IF(VLOOKUP($A14,'⚪设计'!$A$144:$N$196,7,FALSE)="","",VLOOKUP($A14,'⚪设计'!$A$144:$N$196,7,FALSE))</f>
        <v>种子1</v>
      </c>
      <c r="H14" s="97">
        <f t="shared" si="1"/>
        <v>6</v>
      </c>
      <c r="I14" s="97">
        <f>IF(VLOOKUP($A14,'⚪设计'!$A$144:$N$196,11,FALSE)="","",VLOOKUP($A14,'⚪设计'!$A$144:$N$196,11,FALSE))</f>
        <v>2</v>
      </c>
      <c r="J14" s="97">
        <f>IF(G14="","",ROUND($D14*'⚪设计'!$D155/(IF($G14="",0,VLOOKUP($G14,'⚪设计'!$B$85:$H$104,4,FALSE)*$H14)+IF($L14="",0,VLOOKUP($L14,'⚪设计'!$B$85:$H$104,4,FALSE)*$M14)+IF($Q14="",0,VLOOKUP($Q14,'⚪设计'!$B$85:$H$104,4,FALSE)*$R14)+IF($V14="",0,VLOOKUP($V14,'⚪设计'!$B$85:$H$104,4,FALSE)*$W14))*IF(G14="",0,VLOOKUP(G14,'⚪设计'!$B$85:$H$104,4,FALSE)),0))</f>
        <v>194</v>
      </c>
      <c r="K14" s="97">
        <f>IF(G14="","",ROUND(VLOOKUP($B14,战斗节奏!$A$4:$F$13,2,FALSE)/(IF($G14="",0,VLOOKUP($G14,'⚪设计'!$B$85:$H$104,5,FALSE)*$H14)+IF($L14="",0,VLOOKUP($L14,'⚪设计'!$B$85:$H$104,5,FALSE)*$M14)+IF($Q14="",0,VLOOKUP($Q14,'⚪设计'!$B$85:$H$104,5,FALSE)*$R14)+IF($V14="",0,VLOOKUP($V14,'⚪设计'!$B$85:$H$104,5,FALSE)*$W14))*IF(G14="",0,VLOOKUP(G14,'⚪设计'!$B$85:$H$104,5,FALSE)),0))</f>
        <v>25</v>
      </c>
      <c r="L14" s="97" t="str">
        <f>IF(VLOOKUP($A14,'⚪设计'!$A$144:$N$196,8,FALSE)="","",VLOOKUP($A14,'⚪设计'!$A$144:$N$196,8,FALSE))</f>
        <v>蜜蜂2</v>
      </c>
      <c r="M14" s="97">
        <f t="shared" si="2"/>
        <v>6</v>
      </c>
      <c r="N14" s="97">
        <f>IF(VLOOKUP($A14,'⚪设计'!$A$144:$N$196,12,FALSE)="","",VLOOKUP($A14,'⚪设计'!$A$144:$N$196,12,FALSE))</f>
        <v>2</v>
      </c>
      <c r="O14" s="97">
        <f>IF(L14="","",ROUND($D14*'⚪设计'!$D155/(IF($G14="",0,VLOOKUP($G14,'⚪设计'!$B$85:$H$104,4,FALSE)*$H14)+IF($L14="",0,VLOOKUP($L14,'⚪设计'!$B$85:$H$104,4,FALSE)*$M14)+IF($Q14="",0,VLOOKUP($Q14,'⚪设计'!$B$85:$H$104,4,FALSE)*$R14)+IF($V14="",0,VLOOKUP($V14,'⚪设计'!$B$85:$H$104,4,FALSE)*$W14))*IF(L14="",0,VLOOKUP(L14,'⚪设计'!$B$85:$H$104,4,FALSE)),0))</f>
        <v>130</v>
      </c>
      <c r="P14" s="97">
        <f>IF(L14="","",ROUND(VLOOKUP($B14,战斗节奏!$A$4:$F$13,2,FALSE)/(IF($G14="",0,VLOOKUP($G14,'⚪设计'!$B$85:$H$104,5,FALSE)*$H14)+IF($L14="",0,VLOOKUP($L14,'⚪设计'!$B$85:$H$104,5,FALSE)*$M14)+IF($Q14="",0,VLOOKUP($Q14,'⚪设计'!$B$85:$H$104,5,FALSE)*$R14)+IF($V14="",0,VLOOKUP($V14,'⚪设计'!$B$85:$H$104,5,FALSE)*$W14))*IF(L14="",0,VLOOKUP(L14,'⚪设计'!$B$85:$H$104,5,FALSE)),0))</f>
        <v>25</v>
      </c>
      <c r="Q14" s="97" t="str">
        <f>IF(VLOOKUP($A14,'⚪设计'!$A$144:$N$196,9,FALSE)="","",VLOOKUP($A14,'⚪设计'!$A$144:$N$196,9,FALSE))</f>
        <v/>
      </c>
      <c r="R14" s="97" t="str">
        <f t="shared" si="3"/>
        <v/>
      </c>
      <c r="S14" s="97" t="str">
        <f>IF(VLOOKUP($A14,'⚪设计'!$A$144:$N$196,13,FALSE)="","",VLOOKUP($A14,'⚪设计'!$A$144:$N$196,13,FALSE))</f>
        <v/>
      </c>
      <c r="T14" s="97" t="str">
        <f>IF(Q14="","",ROUND($D14*'⚪设计'!$D155/(IF($G14="",0,VLOOKUP($G14,'⚪设计'!$B$85:$H$104,4,FALSE)*$H14)+IF($L14="",0,VLOOKUP($L14,'⚪设计'!$B$85:$H$104,4,FALSE)*$M14)+IF($Q14="",0,VLOOKUP($Q14,'⚪设计'!$B$85:$H$104,4,FALSE)*$R14)+IF($V14="",0,VLOOKUP($V14,'⚪设计'!$B$85:$H$104,4,FALSE)*$W14))*IF(Q14="",0,VLOOKUP(Q14,'⚪设计'!$B$85:$H$104,4,FALSE)),0))</f>
        <v/>
      </c>
      <c r="U14" s="97" t="str">
        <f>IF(Q14="","",ROUND(VLOOKUP($B14,战斗节奏!$A$4:$F$13,2,FALSE)/(IF($G14="",0,VLOOKUP($G14,'⚪设计'!$B$85:$H$104,5,FALSE)*$H14)+IF($L14="",0,VLOOKUP($L14,'⚪设计'!$B$85:$H$104,5,FALSE)*$M14)+IF($Q14="",0,VLOOKUP($Q14,'⚪设计'!$B$85:$H$104,5,FALSE)*$R14)+IF($V14="",0,VLOOKUP($V14,'⚪设计'!$B$85:$H$104,5,FALSE)*$W14))*IF(Q14="",0,VLOOKUP(Q14,'⚪设计'!$B$85:$H$104,5,FALSE)),0))</f>
        <v/>
      </c>
      <c r="V14" s="97" t="str">
        <f>IF(VLOOKUP($A14,'⚪设计'!$A$144:$N$196,10,FALSE)="","",VLOOKUP($A14,'⚪设计'!$A$144:$N$196,10,FALSE))</f>
        <v/>
      </c>
      <c r="W14" s="97" t="str">
        <f t="shared" si="4"/>
        <v/>
      </c>
      <c r="X14" s="97" t="str">
        <f>IF(VLOOKUP($A14,'⚪设计'!$A$144:$N$196,14,FALSE)="","",VLOOKUP($A14,'⚪设计'!$A$144:$N$196,14,FALSE))</f>
        <v/>
      </c>
      <c r="Y14" s="97" t="str">
        <f>IF(V14="","",ROUND($D14*'⚪设计'!$D155/(IF($G14="",0,VLOOKUP($G14,'⚪设计'!$B$85:$H$104,4,FALSE)*$H14)+IF($L14="",0,VLOOKUP($L14,'⚪设计'!$B$85:$H$104,4,FALSE)*$M14)+IF($Q14="",0,VLOOKUP($Q14,'⚪设计'!$B$85:$H$104,4,FALSE)*$R14)+IF($V14="",0,VLOOKUP($V14,'⚪设计'!$B$85:$H$104,4,FALSE)*$W14))*IF(V14="",0,VLOOKUP(V14,'⚪设计'!$B$85:$H$104,4,FALSE)),0))</f>
        <v/>
      </c>
      <c r="Z14" s="97" t="str">
        <f>IF(V14="","",ROUND(VLOOKUP($B14,战斗节奏!$A$4:$F$13,2,FALSE)/(IF($G14="",0,VLOOKUP($G14,'⚪设计'!$B$85:$H$104,5,FALSE)*$H14)+IF($L14="",0,VLOOKUP($L14,'⚪设计'!$B$85:$H$104,5,FALSE)*$M14)+IF($Q14="",0,VLOOKUP($Q14,'⚪设计'!$B$85:$H$104,5,FALSE)*$R14)+IF($V14="",0,VLOOKUP($V14,'⚪设计'!$B$85:$H$104,5,FALSE)*$W14))*IF(V14="",0,VLOOKUP(V14,'⚪设计'!$B$85:$H$104,5,FALSE)),0))</f>
        <v/>
      </c>
    </row>
    <row r="15" spans="1:26" x14ac:dyDescent="0.2">
      <c r="A15" s="2" t="str">
        <f t="shared" si="0"/>
        <v>3_3</v>
      </c>
      <c r="B15" s="2">
        <v>3</v>
      </c>
      <c r="C15" s="2">
        <v>3</v>
      </c>
      <c r="D15" s="97">
        <f>VLOOKUP(C15,无限模式!$A$3:$B$22,2,FALSE)</f>
        <v>1620</v>
      </c>
      <c r="E15" s="98">
        <v>1</v>
      </c>
      <c r="F15" s="97">
        <f>'⚪设计'!F156</f>
        <v>15</v>
      </c>
      <c r="G15" s="97" t="str">
        <f>IF(VLOOKUP($A15,'⚪设计'!$A$144:$N$196,7,FALSE)="","",VLOOKUP($A15,'⚪设计'!$A$144:$N$196,7,FALSE))</f>
        <v>种子1</v>
      </c>
      <c r="H15" s="97">
        <f t="shared" si="1"/>
        <v>8</v>
      </c>
      <c r="I15" s="97">
        <f>IF(VLOOKUP($A15,'⚪设计'!$A$144:$N$196,11,FALSE)="","",VLOOKUP($A15,'⚪设计'!$A$144:$N$196,11,FALSE))</f>
        <v>2</v>
      </c>
      <c r="J15" s="97">
        <f>IF(G15="","",ROUND($D15*'⚪设计'!$D156/(IF($G15="",0,VLOOKUP($G15,'⚪设计'!$B$85:$H$104,4,FALSE)*$H15)+IF($L15="",0,VLOOKUP($L15,'⚪设计'!$B$85:$H$104,4,FALSE)*$M15)+IF($Q15="",0,VLOOKUP($Q15,'⚪设计'!$B$85:$H$104,4,FALSE)*$R15)+IF($V15="",0,VLOOKUP($V15,'⚪设计'!$B$85:$H$104,4,FALSE)*$W15))*IF(G15="",0,VLOOKUP(G15,'⚪设计'!$B$85:$H$104,4,FALSE)),0))</f>
        <v>460</v>
      </c>
      <c r="K15" s="97">
        <f>IF(G15="","",ROUND(VLOOKUP($B15,战斗节奏!$A$4:$F$13,2,FALSE)/(IF($G15="",0,VLOOKUP($G15,'⚪设计'!$B$85:$H$104,5,FALSE)*$H15)+IF($L15="",0,VLOOKUP($L15,'⚪设计'!$B$85:$H$104,5,FALSE)*$M15)+IF($Q15="",0,VLOOKUP($Q15,'⚪设计'!$B$85:$H$104,5,FALSE)*$R15)+IF($V15="",0,VLOOKUP($V15,'⚪设计'!$B$85:$H$104,5,FALSE)*$W15))*IF(G15="",0,VLOOKUP(G15,'⚪设计'!$B$85:$H$104,5,FALSE)),0))</f>
        <v>15</v>
      </c>
      <c r="L15" s="97" t="str">
        <f>IF(VLOOKUP($A15,'⚪设计'!$A$144:$N$196,8,FALSE)="","",VLOOKUP($A15,'⚪设计'!$A$144:$N$196,8,FALSE))</f>
        <v>蝙蝠1</v>
      </c>
      <c r="M15" s="97">
        <f t="shared" si="2"/>
        <v>15</v>
      </c>
      <c r="N15" s="97">
        <f>IF(VLOOKUP($A15,'⚪设计'!$A$144:$N$196,12,FALSE)="","",VLOOKUP($A15,'⚪设计'!$A$144:$N$196,12,FALSE))</f>
        <v>1</v>
      </c>
      <c r="O15" s="97">
        <f>IF(L15="","",ROUND($D15*'⚪设计'!$D156/(IF($G15="",0,VLOOKUP($G15,'⚪设计'!$B$85:$H$104,4,FALSE)*$H15)+IF($L15="",0,VLOOKUP($L15,'⚪设计'!$B$85:$H$104,4,FALSE)*$M15)+IF($Q15="",0,VLOOKUP($Q15,'⚪设计'!$B$85:$H$104,4,FALSE)*$R15)+IF($V15="",0,VLOOKUP($V15,'⚪设计'!$B$85:$H$104,4,FALSE)*$W15))*IF(L15="",0,VLOOKUP(L15,'⚪设计'!$B$85:$H$104,4,FALSE)),0))</f>
        <v>77</v>
      </c>
      <c r="P15" s="97">
        <f>IF(L15="","",ROUND(VLOOKUP($B15,战斗节奏!$A$4:$F$13,2,FALSE)/(IF($G15="",0,VLOOKUP($G15,'⚪设计'!$B$85:$H$104,5,FALSE)*$H15)+IF($L15="",0,VLOOKUP($L15,'⚪设计'!$B$85:$H$104,5,FALSE)*$M15)+IF($Q15="",0,VLOOKUP($Q15,'⚪设计'!$B$85:$H$104,5,FALSE)*$R15)+IF($V15="",0,VLOOKUP($V15,'⚪设计'!$B$85:$H$104,5,FALSE)*$W15))*IF(L15="",0,VLOOKUP(L15,'⚪设计'!$B$85:$H$104,5,FALSE)),0))</f>
        <v>4</v>
      </c>
      <c r="Q15" s="97" t="str">
        <f>IF(VLOOKUP($A15,'⚪设计'!$A$144:$N$196,9,FALSE)="","",VLOOKUP($A15,'⚪设计'!$A$144:$N$196,9,FALSE))</f>
        <v>蜜蜂2</v>
      </c>
      <c r="R15" s="97">
        <f t="shared" si="3"/>
        <v>8</v>
      </c>
      <c r="S15" s="97">
        <f>IF(VLOOKUP($A15,'⚪设计'!$A$144:$N$196,13,FALSE)="","",VLOOKUP($A15,'⚪设计'!$A$144:$N$196,13,FALSE))</f>
        <v>2</v>
      </c>
      <c r="T15" s="97">
        <f>IF(Q15="","",ROUND($D15*'⚪设计'!$D156/(IF($G15="",0,VLOOKUP($G15,'⚪设计'!$B$85:$H$104,4,FALSE)*$H15)+IF($L15="",0,VLOOKUP($L15,'⚪设计'!$B$85:$H$104,4,FALSE)*$M15)+IF($Q15="",0,VLOOKUP($Q15,'⚪设计'!$B$85:$H$104,4,FALSE)*$R15)+IF($V15="",0,VLOOKUP($V15,'⚪设计'!$B$85:$H$104,4,FALSE)*$W15))*IF(Q15="",0,VLOOKUP(Q15,'⚪设计'!$B$85:$H$104,4,FALSE)),0))</f>
        <v>307</v>
      </c>
      <c r="U15" s="97">
        <f>IF(Q15="","",ROUND(VLOOKUP($B15,战斗节奏!$A$4:$F$13,2,FALSE)/(IF($G15="",0,VLOOKUP($G15,'⚪设计'!$B$85:$H$104,5,FALSE)*$H15)+IF($L15="",0,VLOOKUP($L15,'⚪设计'!$B$85:$H$104,5,FALSE)*$M15)+IF($Q15="",0,VLOOKUP($Q15,'⚪设计'!$B$85:$H$104,5,FALSE)*$R15)+IF($V15="",0,VLOOKUP($V15,'⚪设计'!$B$85:$H$104,5,FALSE)*$W15))*IF(Q15="",0,VLOOKUP(Q15,'⚪设计'!$B$85:$H$104,5,FALSE)),0))</f>
        <v>15</v>
      </c>
      <c r="V15" s="97" t="str">
        <f>IF(VLOOKUP($A15,'⚪设计'!$A$144:$N$196,10,FALSE)="","",VLOOKUP($A15,'⚪设计'!$A$144:$N$196,10,FALSE))</f>
        <v/>
      </c>
      <c r="W15" s="97" t="str">
        <f t="shared" si="4"/>
        <v/>
      </c>
      <c r="X15" s="97" t="str">
        <f>IF(VLOOKUP($A15,'⚪设计'!$A$144:$N$196,14,FALSE)="","",VLOOKUP($A15,'⚪设计'!$A$144:$N$196,14,FALSE))</f>
        <v/>
      </c>
      <c r="Y15" s="97" t="str">
        <f>IF(V15="","",ROUND($D15*'⚪设计'!$D156/(IF($G15="",0,VLOOKUP($G15,'⚪设计'!$B$85:$H$104,4,FALSE)*$H15)+IF($L15="",0,VLOOKUP($L15,'⚪设计'!$B$85:$H$104,4,FALSE)*$M15)+IF($Q15="",0,VLOOKUP($Q15,'⚪设计'!$B$85:$H$104,4,FALSE)*$R15)+IF($V15="",0,VLOOKUP($V15,'⚪设计'!$B$85:$H$104,4,FALSE)*$W15))*IF(V15="",0,VLOOKUP(V15,'⚪设计'!$B$85:$H$104,4,FALSE)),0))</f>
        <v/>
      </c>
      <c r="Z15" s="97" t="str">
        <f>IF(V15="","",ROUND(VLOOKUP($B15,战斗节奏!$A$4:$F$13,2,FALSE)/(IF($G15="",0,VLOOKUP($G15,'⚪设计'!$B$85:$H$104,5,FALSE)*$H15)+IF($L15="",0,VLOOKUP($L15,'⚪设计'!$B$85:$H$104,5,FALSE)*$M15)+IF($Q15="",0,VLOOKUP($Q15,'⚪设计'!$B$85:$H$104,5,FALSE)*$R15)+IF($V15="",0,VLOOKUP($V15,'⚪设计'!$B$85:$H$104,5,FALSE)*$W15))*IF(V15="",0,VLOOKUP(V15,'⚪设计'!$B$85:$H$104,5,FALSE)),0))</f>
        <v/>
      </c>
    </row>
    <row r="16" spans="1:26" x14ac:dyDescent="0.2">
      <c r="A16" s="2" t="str">
        <f t="shared" si="0"/>
        <v>3_4</v>
      </c>
      <c r="B16" s="2">
        <v>3</v>
      </c>
      <c r="C16" s="2">
        <v>4</v>
      </c>
      <c r="D16" s="97">
        <f>VLOOKUP(C16,无限模式!$A$3:$B$22,2,FALSE)</f>
        <v>2160</v>
      </c>
      <c r="E16" s="98">
        <v>1</v>
      </c>
      <c r="F16" s="97">
        <f>'⚪设计'!F157</f>
        <v>0</v>
      </c>
      <c r="G16" s="97" t="str">
        <f>IF(VLOOKUP($A16,'⚪设计'!$A$144:$N$196,7,FALSE)="","",VLOOKUP($A16,'⚪设计'!$A$144:$N$196,7,FALSE))</f>
        <v/>
      </c>
      <c r="H16" s="97" t="str">
        <f t="shared" si="1"/>
        <v/>
      </c>
      <c r="I16" s="97" t="str">
        <f>IF(VLOOKUP($A16,'⚪设计'!$A$144:$N$196,11,FALSE)="","",VLOOKUP($A16,'⚪设计'!$A$144:$N$196,11,FALSE))</f>
        <v/>
      </c>
      <c r="J16" s="97" t="str">
        <f>IF(G16="","",ROUND($D16*'⚪设计'!$D157/(IF($G16="",0,VLOOKUP($G16,'⚪设计'!$B$85:$H$104,4,FALSE)*$H16)+IF($L16="",0,VLOOKUP($L16,'⚪设计'!$B$85:$H$104,4,FALSE)*$M16)+IF($Q16="",0,VLOOKUP($Q16,'⚪设计'!$B$85:$H$104,4,FALSE)*$R16)+IF($V16="",0,VLOOKUP($V16,'⚪设计'!$B$85:$H$104,4,FALSE)*$W16))*IF(G16="",0,VLOOKUP(G16,'⚪设计'!$B$85:$H$104,4,FALSE)),0))</f>
        <v/>
      </c>
      <c r="K16" s="97" t="str">
        <f>IF(G16="","",ROUND(VLOOKUP($B16,战斗节奏!$A$4:$F$13,2,FALSE)/(IF($G16="",0,VLOOKUP($G16,'⚪设计'!$B$85:$H$104,5,FALSE)*$H16)+IF($L16="",0,VLOOKUP($L16,'⚪设计'!$B$85:$H$104,5,FALSE)*$M16)+IF($Q16="",0,VLOOKUP($Q16,'⚪设计'!$B$85:$H$104,5,FALSE)*$R16)+IF($V16="",0,VLOOKUP($V16,'⚪设计'!$B$85:$H$104,5,FALSE)*$W16))*IF(G16="",0,VLOOKUP(G16,'⚪设计'!$B$85:$H$104,5,FALSE)),0))</f>
        <v/>
      </c>
      <c r="L16" s="97" t="str">
        <f>IF(VLOOKUP($A16,'⚪设计'!$A$144:$N$196,8,FALSE)="","",VLOOKUP($A16,'⚪设计'!$A$144:$N$196,8,FALSE))</f>
        <v/>
      </c>
      <c r="M16" s="97" t="str">
        <f t="shared" si="2"/>
        <v/>
      </c>
      <c r="N16" s="97" t="str">
        <f>IF(VLOOKUP($A16,'⚪设计'!$A$144:$N$196,12,FALSE)="","",VLOOKUP($A16,'⚪设计'!$A$144:$N$196,12,FALSE))</f>
        <v/>
      </c>
      <c r="O16" s="97" t="str">
        <f>IF(L16="","",ROUND($D16*'⚪设计'!$D157/(IF($G16="",0,VLOOKUP($G16,'⚪设计'!$B$85:$H$104,4,FALSE)*$H16)+IF($L16="",0,VLOOKUP($L16,'⚪设计'!$B$85:$H$104,4,FALSE)*$M16)+IF($Q16="",0,VLOOKUP($Q16,'⚪设计'!$B$85:$H$104,4,FALSE)*$R16)+IF($V16="",0,VLOOKUP($V16,'⚪设计'!$B$85:$H$104,4,FALSE)*$W16))*IF(L16="",0,VLOOKUP(L16,'⚪设计'!$B$85:$H$104,4,FALSE)),0))</f>
        <v/>
      </c>
      <c r="P16" s="97" t="str">
        <f>IF(L16="","",ROUND(VLOOKUP($B16,战斗节奏!$A$4:$F$13,2,FALSE)/(IF($G16="",0,VLOOKUP($G16,'⚪设计'!$B$85:$H$104,5,FALSE)*$H16)+IF($L16="",0,VLOOKUP($L16,'⚪设计'!$B$85:$H$104,5,FALSE)*$M16)+IF($Q16="",0,VLOOKUP($Q16,'⚪设计'!$B$85:$H$104,5,FALSE)*$R16)+IF($V16="",0,VLOOKUP($V16,'⚪设计'!$B$85:$H$104,5,FALSE)*$W16))*IF(L16="",0,VLOOKUP(L16,'⚪设计'!$B$85:$H$104,5,FALSE)),0))</f>
        <v/>
      </c>
      <c r="Q16" s="97" t="str">
        <f>IF(VLOOKUP($A16,'⚪设计'!$A$144:$N$196,9,FALSE)="","",VLOOKUP($A16,'⚪设计'!$A$144:$N$196,9,FALSE))</f>
        <v/>
      </c>
      <c r="R16" s="97" t="str">
        <f t="shared" si="3"/>
        <v/>
      </c>
      <c r="S16" s="97" t="str">
        <f>IF(VLOOKUP($A16,'⚪设计'!$A$144:$N$196,13,FALSE)="","",VLOOKUP($A16,'⚪设计'!$A$144:$N$196,13,FALSE))</f>
        <v/>
      </c>
      <c r="T16" s="97" t="str">
        <f>IF(Q16="","",ROUND($D16*'⚪设计'!$D157/(IF($G16="",0,VLOOKUP($G16,'⚪设计'!$B$85:$H$104,4,FALSE)*$H16)+IF($L16="",0,VLOOKUP($L16,'⚪设计'!$B$85:$H$104,4,FALSE)*$M16)+IF($Q16="",0,VLOOKUP($Q16,'⚪设计'!$B$85:$H$104,4,FALSE)*$R16)+IF($V16="",0,VLOOKUP($V16,'⚪设计'!$B$85:$H$104,4,FALSE)*$W16))*IF(Q16="",0,VLOOKUP(Q16,'⚪设计'!$B$85:$H$104,4,FALSE)),0))</f>
        <v/>
      </c>
      <c r="U16" s="97" t="str">
        <f>IF(Q16="","",ROUND(VLOOKUP($B16,战斗节奏!$A$4:$F$13,2,FALSE)/(IF($G16="",0,VLOOKUP($G16,'⚪设计'!$B$85:$H$104,5,FALSE)*$H16)+IF($L16="",0,VLOOKUP($L16,'⚪设计'!$B$85:$H$104,5,FALSE)*$M16)+IF($Q16="",0,VLOOKUP($Q16,'⚪设计'!$B$85:$H$104,5,FALSE)*$R16)+IF($V16="",0,VLOOKUP($V16,'⚪设计'!$B$85:$H$104,5,FALSE)*$W16))*IF(Q16="",0,VLOOKUP(Q16,'⚪设计'!$B$85:$H$104,5,FALSE)),0))</f>
        <v/>
      </c>
      <c r="V16" s="97" t="str">
        <f>IF(VLOOKUP($A16,'⚪设计'!$A$144:$N$196,10,FALSE)="","",VLOOKUP($A16,'⚪设计'!$A$144:$N$196,10,FALSE))</f>
        <v/>
      </c>
      <c r="W16" s="97" t="str">
        <f t="shared" si="4"/>
        <v/>
      </c>
      <c r="X16" s="97" t="str">
        <f>IF(VLOOKUP($A16,'⚪设计'!$A$144:$N$196,14,FALSE)="","",VLOOKUP($A16,'⚪设计'!$A$144:$N$196,14,FALSE))</f>
        <v/>
      </c>
      <c r="Y16" s="97" t="str">
        <f>IF(V16="","",ROUND($D16*'⚪设计'!$D157/(IF($G16="",0,VLOOKUP($G16,'⚪设计'!$B$85:$H$104,4,FALSE)*$H16)+IF($L16="",0,VLOOKUP($L16,'⚪设计'!$B$85:$H$104,4,FALSE)*$M16)+IF($Q16="",0,VLOOKUP($Q16,'⚪设计'!$B$85:$H$104,4,FALSE)*$R16)+IF($V16="",0,VLOOKUP($V16,'⚪设计'!$B$85:$H$104,4,FALSE)*$W16))*IF(V16="",0,VLOOKUP(V16,'⚪设计'!$B$85:$H$104,4,FALSE)),0))</f>
        <v/>
      </c>
      <c r="Z16" s="97" t="str">
        <f>IF(V16="","",ROUND(VLOOKUP($B16,战斗节奏!$A$4:$F$13,2,FALSE)/(IF($G16="",0,VLOOKUP($G16,'⚪设计'!$B$85:$H$104,5,FALSE)*$H16)+IF($L16="",0,VLOOKUP($L16,'⚪设计'!$B$85:$H$104,5,FALSE)*$M16)+IF($Q16="",0,VLOOKUP($Q16,'⚪设计'!$B$85:$H$104,5,FALSE)*$R16)+IF($V16="",0,VLOOKUP($V16,'⚪设计'!$B$85:$H$104,5,FALSE)*$W16))*IF(V16="",0,VLOOKUP(V16,'⚪设计'!$B$85:$H$104,5,FALSE)),0))</f>
        <v/>
      </c>
    </row>
    <row r="17" spans="1:26" x14ac:dyDescent="0.2">
      <c r="A17" s="2" t="str">
        <f t="shared" si="0"/>
        <v>3_5</v>
      </c>
      <c r="B17" s="2">
        <v>3</v>
      </c>
      <c r="C17" s="2">
        <v>5</v>
      </c>
      <c r="D17" s="97">
        <f>VLOOKUP(C17,无限模式!$A$3:$B$22,2,FALSE)</f>
        <v>2700</v>
      </c>
      <c r="E17" s="98">
        <v>1</v>
      </c>
      <c r="F17" s="97">
        <f>'⚪设计'!F158</f>
        <v>0</v>
      </c>
      <c r="G17" s="97" t="str">
        <f>IF(VLOOKUP($A17,'⚪设计'!$A$144:$N$196,7,FALSE)="","",VLOOKUP($A17,'⚪设计'!$A$144:$N$196,7,FALSE))</f>
        <v/>
      </c>
      <c r="H17" s="97" t="str">
        <f t="shared" si="1"/>
        <v/>
      </c>
      <c r="I17" s="97" t="str">
        <f>IF(VLOOKUP($A17,'⚪设计'!$A$144:$N$196,11,FALSE)="","",VLOOKUP($A17,'⚪设计'!$A$144:$N$196,11,FALSE))</f>
        <v/>
      </c>
      <c r="J17" s="97" t="str">
        <f>IF(G17="","",ROUND($D17*'⚪设计'!$D158/(IF($G17="",0,VLOOKUP($G17,'⚪设计'!$B$85:$H$104,4,FALSE)*$H17)+IF($L17="",0,VLOOKUP($L17,'⚪设计'!$B$85:$H$104,4,FALSE)*$M17)+IF($Q17="",0,VLOOKUP($Q17,'⚪设计'!$B$85:$H$104,4,FALSE)*$R17)+IF($V17="",0,VLOOKUP($V17,'⚪设计'!$B$85:$H$104,4,FALSE)*$W17))*IF(G17="",0,VLOOKUP(G17,'⚪设计'!$B$85:$H$104,4,FALSE)),0))</f>
        <v/>
      </c>
      <c r="K17" s="97" t="str">
        <f>IF(G17="","",ROUND(VLOOKUP($B17,战斗节奏!$A$4:$F$13,2,FALSE)/(IF($G17="",0,VLOOKUP($G17,'⚪设计'!$B$85:$H$104,5,FALSE)*$H17)+IF($L17="",0,VLOOKUP($L17,'⚪设计'!$B$85:$H$104,5,FALSE)*$M17)+IF($Q17="",0,VLOOKUP($Q17,'⚪设计'!$B$85:$H$104,5,FALSE)*$R17)+IF($V17="",0,VLOOKUP($V17,'⚪设计'!$B$85:$H$104,5,FALSE)*$W17))*IF(G17="",0,VLOOKUP(G17,'⚪设计'!$B$85:$H$104,5,FALSE)),0))</f>
        <v/>
      </c>
      <c r="L17" s="97" t="str">
        <f>IF(VLOOKUP($A17,'⚪设计'!$A$144:$N$196,8,FALSE)="","",VLOOKUP($A17,'⚪设计'!$A$144:$N$196,8,FALSE))</f>
        <v/>
      </c>
      <c r="M17" s="97" t="str">
        <f t="shared" si="2"/>
        <v/>
      </c>
      <c r="N17" s="97" t="str">
        <f>IF(VLOOKUP($A17,'⚪设计'!$A$144:$N$196,12,FALSE)="","",VLOOKUP($A17,'⚪设计'!$A$144:$N$196,12,FALSE))</f>
        <v/>
      </c>
      <c r="O17" s="97" t="str">
        <f>IF(L17="","",ROUND($D17*'⚪设计'!$D158/(IF($G17="",0,VLOOKUP($G17,'⚪设计'!$B$85:$H$104,4,FALSE)*$H17)+IF($L17="",0,VLOOKUP($L17,'⚪设计'!$B$85:$H$104,4,FALSE)*$M17)+IF($Q17="",0,VLOOKUP($Q17,'⚪设计'!$B$85:$H$104,4,FALSE)*$R17)+IF($V17="",0,VLOOKUP($V17,'⚪设计'!$B$85:$H$104,4,FALSE)*$W17))*IF(L17="",0,VLOOKUP(L17,'⚪设计'!$B$85:$H$104,4,FALSE)),0))</f>
        <v/>
      </c>
      <c r="P17" s="97" t="str">
        <f>IF(L17="","",ROUND(VLOOKUP($B17,战斗节奏!$A$4:$F$13,2,FALSE)/(IF($G17="",0,VLOOKUP($G17,'⚪设计'!$B$85:$H$104,5,FALSE)*$H17)+IF($L17="",0,VLOOKUP($L17,'⚪设计'!$B$85:$H$104,5,FALSE)*$M17)+IF($Q17="",0,VLOOKUP($Q17,'⚪设计'!$B$85:$H$104,5,FALSE)*$R17)+IF($V17="",0,VLOOKUP($V17,'⚪设计'!$B$85:$H$104,5,FALSE)*$W17))*IF(L17="",0,VLOOKUP(L17,'⚪设计'!$B$85:$H$104,5,FALSE)),0))</f>
        <v/>
      </c>
      <c r="Q17" s="97" t="str">
        <f>IF(VLOOKUP($A17,'⚪设计'!$A$144:$N$196,9,FALSE)="","",VLOOKUP($A17,'⚪设计'!$A$144:$N$196,9,FALSE))</f>
        <v/>
      </c>
      <c r="R17" s="97" t="str">
        <f t="shared" si="3"/>
        <v/>
      </c>
      <c r="S17" s="97" t="str">
        <f>IF(VLOOKUP($A17,'⚪设计'!$A$144:$N$196,13,FALSE)="","",VLOOKUP($A17,'⚪设计'!$A$144:$N$196,13,FALSE))</f>
        <v/>
      </c>
      <c r="T17" s="97" t="str">
        <f>IF(Q17="","",ROUND($D17*'⚪设计'!$D158/(IF($G17="",0,VLOOKUP($G17,'⚪设计'!$B$85:$H$104,4,FALSE)*$H17)+IF($L17="",0,VLOOKUP($L17,'⚪设计'!$B$85:$H$104,4,FALSE)*$M17)+IF($Q17="",0,VLOOKUP($Q17,'⚪设计'!$B$85:$H$104,4,FALSE)*$R17)+IF($V17="",0,VLOOKUP($V17,'⚪设计'!$B$85:$H$104,4,FALSE)*$W17))*IF(Q17="",0,VLOOKUP(Q17,'⚪设计'!$B$85:$H$104,4,FALSE)),0))</f>
        <v/>
      </c>
      <c r="U17" s="97" t="str">
        <f>IF(Q17="","",ROUND(VLOOKUP($B17,战斗节奏!$A$4:$F$13,2,FALSE)/(IF($G17="",0,VLOOKUP($G17,'⚪设计'!$B$85:$H$104,5,FALSE)*$H17)+IF($L17="",0,VLOOKUP($L17,'⚪设计'!$B$85:$H$104,5,FALSE)*$M17)+IF($Q17="",0,VLOOKUP($Q17,'⚪设计'!$B$85:$H$104,5,FALSE)*$R17)+IF($V17="",0,VLOOKUP($V17,'⚪设计'!$B$85:$H$104,5,FALSE)*$W17))*IF(Q17="",0,VLOOKUP(Q17,'⚪设计'!$B$85:$H$104,5,FALSE)),0))</f>
        <v/>
      </c>
      <c r="V17" s="97" t="str">
        <f>IF(VLOOKUP($A17,'⚪设计'!$A$144:$N$196,10,FALSE)="","",VLOOKUP($A17,'⚪设计'!$A$144:$N$196,10,FALSE))</f>
        <v/>
      </c>
      <c r="W17" s="97" t="str">
        <f t="shared" si="4"/>
        <v/>
      </c>
      <c r="X17" s="97" t="str">
        <f>IF(VLOOKUP($A17,'⚪设计'!$A$144:$N$196,14,FALSE)="","",VLOOKUP($A17,'⚪设计'!$A$144:$N$196,14,FALSE))</f>
        <v/>
      </c>
      <c r="Y17" s="97" t="str">
        <f>IF(V17="","",ROUND($D17*'⚪设计'!$D158/(IF($G17="",0,VLOOKUP($G17,'⚪设计'!$B$85:$H$104,4,FALSE)*$H17)+IF($L17="",0,VLOOKUP($L17,'⚪设计'!$B$85:$H$104,4,FALSE)*$M17)+IF($Q17="",0,VLOOKUP($Q17,'⚪设计'!$B$85:$H$104,4,FALSE)*$R17)+IF($V17="",0,VLOOKUP($V17,'⚪设计'!$B$85:$H$104,4,FALSE)*$W17))*IF(V17="",0,VLOOKUP(V17,'⚪设计'!$B$85:$H$104,4,FALSE)),0))</f>
        <v/>
      </c>
      <c r="Z17" s="97" t="str">
        <f>IF(V17="","",ROUND(VLOOKUP($B17,战斗节奏!$A$4:$F$13,2,FALSE)/(IF($G17="",0,VLOOKUP($G17,'⚪设计'!$B$85:$H$104,5,FALSE)*$H17)+IF($L17="",0,VLOOKUP($L17,'⚪设计'!$B$85:$H$104,5,FALSE)*$M17)+IF($Q17="",0,VLOOKUP($Q17,'⚪设计'!$B$85:$H$104,5,FALSE)*$R17)+IF($V17="",0,VLOOKUP($V17,'⚪设计'!$B$85:$H$104,5,FALSE)*$W17))*IF(V17="",0,VLOOKUP(V17,'⚪设计'!$B$85:$H$104,5,FALSE)),0))</f>
        <v/>
      </c>
    </row>
    <row r="18" spans="1:26" x14ac:dyDescent="0.2">
      <c r="A18" s="2" t="str">
        <f t="shared" si="0"/>
        <v>4_1</v>
      </c>
      <c r="B18" s="2">
        <v>4</v>
      </c>
      <c r="C18" s="2">
        <v>1</v>
      </c>
      <c r="D18" s="97">
        <f>VLOOKUP(C18,无限模式!$A$3:$B$22,2,FALSE)</f>
        <v>540</v>
      </c>
      <c r="E18" s="98">
        <v>1</v>
      </c>
      <c r="F18" s="97">
        <f>'⚪设计'!F159</f>
        <v>10</v>
      </c>
      <c r="G18" s="97" t="str">
        <f>IF(VLOOKUP($A18,'⚪设计'!$A$144:$N$196,7,FALSE)="","",VLOOKUP($A18,'⚪设计'!$A$144:$N$196,7,FALSE))</f>
        <v>种子2</v>
      </c>
      <c r="H18" s="97">
        <f t="shared" si="1"/>
        <v>5</v>
      </c>
      <c r="I18" s="97">
        <f>IF(VLOOKUP($A18,'⚪设计'!$A$144:$N$196,11,FALSE)="","",VLOOKUP($A18,'⚪设计'!$A$144:$N$196,11,FALSE))</f>
        <v>2</v>
      </c>
      <c r="J18" s="97">
        <f>IF(G18="","",ROUND($D18*'⚪设计'!$D159/(IF($G18="",0,VLOOKUP($G18,'⚪设计'!$B$85:$H$104,4,FALSE)*$H18)+IF($L18="",0,VLOOKUP($L18,'⚪设计'!$B$85:$H$104,4,FALSE)*$M18)+IF($Q18="",0,VLOOKUP($Q18,'⚪设计'!$B$85:$H$104,4,FALSE)*$R18)+IF($V18="",0,VLOOKUP($V18,'⚪设计'!$B$85:$H$104,4,FALSE)*$W18))*IF(G18="",0,VLOOKUP(G18,'⚪设计'!$B$85:$H$104,4,FALSE)),0))</f>
        <v>231</v>
      </c>
      <c r="K18" s="97">
        <f>IF(G18="","",ROUND(VLOOKUP($B18,战斗节奏!$A$4:$F$13,2,FALSE)/(IF($G18="",0,VLOOKUP($G18,'⚪设计'!$B$85:$H$104,5,FALSE)*$H18)+IF($L18="",0,VLOOKUP($L18,'⚪设计'!$B$85:$H$104,5,FALSE)*$M18)+IF($Q18="",0,VLOOKUP($Q18,'⚪设计'!$B$85:$H$104,5,FALSE)*$R18)+IF($V18="",0,VLOOKUP($V18,'⚪设计'!$B$85:$H$104,5,FALSE)*$W18))*IF(G18="",0,VLOOKUP(G18,'⚪设计'!$B$85:$H$104,5,FALSE)),0))</f>
        <v>40</v>
      </c>
      <c r="L18" s="97" t="str">
        <f>IF(VLOOKUP($A18,'⚪设计'!$A$144:$N$196,8,FALSE)="","",VLOOKUP($A18,'⚪设计'!$A$144:$N$196,8,FALSE))</f>
        <v>蜜蜂1</v>
      </c>
      <c r="M18" s="97">
        <f t="shared" si="2"/>
        <v>10</v>
      </c>
      <c r="N18" s="97">
        <f>IF(VLOOKUP($A18,'⚪设计'!$A$144:$N$196,12,FALSE)="","",VLOOKUP($A18,'⚪设计'!$A$144:$N$196,12,FALSE))</f>
        <v>1</v>
      </c>
      <c r="O18" s="97">
        <f>IF(L18="","",ROUND($D18*'⚪设计'!$D159/(IF($G18="",0,VLOOKUP($G18,'⚪设计'!$B$85:$H$104,4,FALSE)*$H18)+IF($L18="",0,VLOOKUP($L18,'⚪设计'!$B$85:$H$104,4,FALSE)*$M18)+IF($Q18="",0,VLOOKUP($Q18,'⚪设计'!$B$85:$H$104,4,FALSE)*$R18)+IF($V18="",0,VLOOKUP($V18,'⚪设计'!$B$85:$H$104,4,FALSE)*$W18))*IF(L18="",0,VLOOKUP(L18,'⚪设计'!$B$85:$H$104,4,FALSE)),0))</f>
        <v>19</v>
      </c>
      <c r="P18" s="97">
        <f>IF(L18="","",ROUND(VLOOKUP($B18,战斗节奏!$A$4:$F$13,2,FALSE)/(IF($G18="",0,VLOOKUP($G18,'⚪设计'!$B$85:$H$104,5,FALSE)*$H18)+IF($L18="",0,VLOOKUP($L18,'⚪设计'!$B$85:$H$104,5,FALSE)*$M18)+IF($Q18="",0,VLOOKUP($Q18,'⚪设计'!$B$85:$H$104,5,FALSE)*$R18)+IF($V18="",0,VLOOKUP($V18,'⚪设计'!$B$85:$H$104,5,FALSE)*$W18))*IF(L18="",0,VLOOKUP(L18,'⚪设计'!$B$85:$H$104,5,FALSE)),0))</f>
        <v>10</v>
      </c>
      <c r="Q18" s="97" t="str">
        <f>IF(VLOOKUP($A18,'⚪设计'!$A$144:$N$196,9,FALSE)="","",VLOOKUP($A18,'⚪设计'!$A$144:$N$196,9,FALSE))</f>
        <v/>
      </c>
      <c r="R18" s="97" t="str">
        <f t="shared" si="3"/>
        <v/>
      </c>
      <c r="S18" s="97" t="str">
        <f>IF(VLOOKUP($A18,'⚪设计'!$A$144:$N$196,13,FALSE)="","",VLOOKUP($A18,'⚪设计'!$A$144:$N$196,13,FALSE))</f>
        <v/>
      </c>
      <c r="T18" s="97" t="str">
        <f>IF(Q18="","",ROUND($D18*'⚪设计'!$D159/(IF($G18="",0,VLOOKUP($G18,'⚪设计'!$B$85:$H$104,4,FALSE)*$H18)+IF($L18="",0,VLOOKUP($L18,'⚪设计'!$B$85:$H$104,4,FALSE)*$M18)+IF($Q18="",0,VLOOKUP($Q18,'⚪设计'!$B$85:$H$104,4,FALSE)*$R18)+IF($V18="",0,VLOOKUP($V18,'⚪设计'!$B$85:$H$104,4,FALSE)*$W18))*IF(Q18="",0,VLOOKUP(Q18,'⚪设计'!$B$85:$H$104,4,FALSE)),0))</f>
        <v/>
      </c>
      <c r="U18" s="97" t="str">
        <f>IF(Q18="","",ROUND(VLOOKUP($B18,战斗节奏!$A$4:$F$13,2,FALSE)/(IF($G18="",0,VLOOKUP($G18,'⚪设计'!$B$85:$H$104,5,FALSE)*$H18)+IF($L18="",0,VLOOKUP($L18,'⚪设计'!$B$85:$H$104,5,FALSE)*$M18)+IF($Q18="",0,VLOOKUP($Q18,'⚪设计'!$B$85:$H$104,5,FALSE)*$R18)+IF($V18="",0,VLOOKUP($V18,'⚪设计'!$B$85:$H$104,5,FALSE)*$W18))*IF(Q18="",0,VLOOKUP(Q18,'⚪设计'!$B$85:$H$104,5,FALSE)),0))</f>
        <v/>
      </c>
      <c r="V18" s="97" t="str">
        <f>IF(VLOOKUP($A18,'⚪设计'!$A$144:$N$196,10,FALSE)="","",VLOOKUP($A18,'⚪设计'!$A$144:$N$196,10,FALSE))</f>
        <v/>
      </c>
      <c r="W18" s="97" t="str">
        <f t="shared" si="4"/>
        <v/>
      </c>
      <c r="X18" s="97" t="str">
        <f>IF(VLOOKUP($A18,'⚪设计'!$A$144:$N$196,14,FALSE)="","",VLOOKUP($A18,'⚪设计'!$A$144:$N$196,14,FALSE))</f>
        <v/>
      </c>
      <c r="Y18" s="97" t="str">
        <f>IF(V18="","",ROUND($D18*'⚪设计'!$D159/(IF($G18="",0,VLOOKUP($G18,'⚪设计'!$B$85:$H$104,4,FALSE)*$H18)+IF($L18="",0,VLOOKUP($L18,'⚪设计'!$B$85:$H$104,4,FALSE)*$M18)+IF($Q18="",0,VLOOKUP($Q18,'⚪设计'!$B$85:$H$104,4,FALSE)*$R18)+IF($V18="",0,VLOOKUP($V18,'⚪设计'!$B$85:$H$104,4,FALSE)*$W18))*IF(V18="",0,VLOOKUP(V18,'⚪设计'!$B$85:$H$104,4,FALSE)),0))</f>
        <v/>
      </c>
      <c r="Z18" s="97" t="str">
        <f>IF(V18="","",ROUND(VLOOKUP($B18,战斗节奏!$A$4:$F$13,2,FALSE)/(IF($G18="",0,VLOOKUP($G18,'⚪设计'!$B$85:$H$104,5,FALSE)*$H18)+IF($L18="",0,VLOOKUP($L18,'⚪设计'!$B$85:$H$104,5,FALSE)*$M18)+IF($Q18="",0,VLOOKUP($Q18,'⚪设计'!$B$85:$H$104,5,FALSE)*$R18)+IF($V18="",0,VLOOKUP($V18,'⚪设计'!$B$85:$H$104,5,FALSE)*$W18))*IF(V18="",0,VLOOKUP(V18,'⚪设计'!$B$85:$H$104,5,FALSE)),0))</f>
        <v/>
      </c>
    </row>
    <row r="19" spans="1:26" x14ac:dyDescent="0.2">
      <c r="A19" s="2" t="str">
        <f t="shared" si="0"/>
        <v>4_2</v>
      </c>
      <c r="B19" s="2">
        <v>4</v>
      </c>
      <c r="C19" s="2">
        <v>2</v>
      </c>
      <c r="D19" s="97">
        <f>VLOOKUP(C19,无限模式!$A$3:$B$22,2,FALSE)</f>
        <v>1080</v>
      </c>
      <c r="E19" s="98">
        <v>1</v>
      </c>
      <c r="F19" s="97">
        <f>'⚪设计'!F160</f>
        <v>12.5</v>
      </c>
      <c r="G19" s="97" t="str">
        <f>IF(VLOOKUP($A19,'⚪设计'!$A$144:$N$196,7,FALSE)="","",VLOOKUP($A19,'⚪设计'!$A$144:$N$196,7,FALSE))</f>
        <v>种子2</v>
      </c>
      <c r="H19" s="97">
        <f t="shared" si="1"/>
        <v>6</v>
      </c>
      <c r="I19" s="97">
        <f>IF(VLOOKUP($A19,'⚪设计'!$A$144:$N$196,11,FALSE)="","",VLOOKUP($A19,'⚪设计'!$A$144:$N$196,11,FALSE))</f>
        <v>2</v>
      </c>
      <c r="J19" s="97">
        <f>IF(G19="","",ROUND($D19*'⚪设计'!$D160/(IF($G19="",0,VLOOKUP($G19,'⚪设计'!$B$85:$H$104,4,FALSE)*$H19)+IF($L19="",0,VLOOKUP($L19,'⚪设计'!$B$85:$H$104,4,FALSE)*$M19)+IF($Q19="",0,VLOOKUP($Q19,'⚪设计'!$B$85:$H$104,4,FALSE)*$R19)+IF($V19="",0,VLOOKUP($V19,'⚪设计'!$B$85:$H$104,4,FALSE)*$W19))*IF(G19="",0,VLOOKUP(G19,'⚪设计'!$B$85:$H$104,4,FALSE)),0))</f>
        <v>425</v>
      </c>
      <c r="K19" s="97">
        <f>IF(G19="","",ROUND(VLOOKUP($B19,战斗节奏!$A$4:$F$13,2,FALSE)/(IF($G19="",0,VLOOKUP($G19,'⚪设计'!$B$85:$H$104,5,FALSE)*$H19)+IF($L19="",0,VLOOKUP($L19,'⚪设计'!$B$85:$H$104,5,FALSE)*$M19)+IF($Q19="",0,VLOOKUP($Q19,'⚪设计'!$B$85:$H$104,5,FALSE)*$R19)+IF($V19="",0,VLOOKUP($V19,'⚪设计'!$B$85:$H$104,5,FALSE)*$W19))*IF(G19="",0,VLOOKUP(G19,'⚪设计'!$B$85:$H$104,5,FALSE)),0))</f>
        <v>16</v>
      </c>
      <c r="L19" s="97" t="str">
        <f>IF(VLOOKUP($A19,'⚪设计'!$A$144:$N$196,8,FALSE)="","",VLOOKUP($A19,'⚪设计'!$A$144:$N$196,8,FALSE))</f>
        <v>蜜蜂2</v>
      </c>
      <c r="M19" s="97">
        <f t="shared" si="2"/>
        <v>6</v>
      </c>
      <c r="N19" s="97">
        <f>IF(VLOOKUP($A19,'⚪设计'!$A$144:$N$196,12,FALSE)="","",VLOOKUP($A19,'⚪设计'!$A$144:$N$196,12,FALSE))</f>
        <v>2</v>
      </c>
      <c r="O19" s="97">
        <f>IF(L19="","",ROUND($D19*'⚪设计'!$D160/(IF($G19="",0,VLOOKUP($G19,'⚪设计'!$B$85:$H$104,4,FALSE)*$H19)+IF($L19="",0,VLOOKUP($L19,'⚪设计'!$B$85:$H$104,4,FALSE)*$M19)+IF($Q19="",0,VLOOKUP($Q19,'⚪设计'!$B$85:$H$104,4,FALSE)*$R19)+IF($V19="",0,VLOOKUP($V19,'⚪设计'!$B$85:$H$104,4,FALSE)*$W19))*IF(L19="",0,VLOOKUP(L19,'⚪设计'!$B$85:$H$104,4,FALSE)),0))</f>
        <v>142</v>
      </c>
      <c r="P19" s="97">
        <f>IF(L19="","",ROUND(VLOOKUP($B19,战斗节奏!$A$4:$F$13,2,FALSE)/(IF($G19="",0,VLOOKUP($G19,'⚪设计'!$B$85:$H$104,5,FALSE)*$H19)+IF($L19="",0,VLOOKUP($L19,'⚪设计'!$B$85:$H$104,5,FALSE)*$M19)+IF($Q19="",0,VLOOKUP($Q19,'⚪设计'!$B$85:$H$104,5,FALSE)*$R19)+IF($V19="",0,VLOOKUP($V19,'⚪设计'!$B$85:$H$104,5,FALSE)*$W19))*IF(L19="",0,VLOOKUP(L19,'⚪设计'!$B$85:$H$104,5,FALSE)),0))</f>
        <v>16</v>
      </c>
      <c r="Q19" s="97" t="str">
        <f>IF(VLOOKUP($A19,'⚪设计'!$A$144:$N$196,9,FALSE)="","",VLOOKUP($A19,'⚪设计'!$A$144:$N$196,9,FALSE))</f>
        <v>蜘蛛1</v>
      </c>
      <c r="R19" s="97">
        <f t="shared" si="3"/>
        <v>13</v>
      </c>
      <c r="S19" s="97">
        <f>IF(VLOOKUP($A19,'⚪设计'!$A$144:$N$196,13,FALSE)="","",VLOOKUP($A19,'⚪设计'!$A$144:$N$196,13,FALSE))</f>
        <v>1</v>
      </c>
      <c r="T19" s="97">
        <f>IF(Q19="","",ROUND($D19*'⚪设计'!$D160/(IF($G19="",0,VLOOKUP($G19,'⚪设计'!$B$85:$H$104,4,FALSE)*$H19)+IF($L19="",0,VLOOKUP($L19,'⚪设计'!$B$85:$H$104,4,FALSE)*$M19)+IF($Q19="",0,VLOOKUP($Q19,'⚪设计'!$B$85:$H$104,4,FALSE)*$R19)+IF($V19="",0,VLOOKUP($V19,'⚪设计'!$B$85:$H$104,4,FALSE)*$W19))*IF(Q19="",0,VLOOKUP(Q19,'⚪设计'!$B$85:$H$104,4,FALSE)),0))</f>
        <v>71</v>
      </c>
      <c r="U19" s="97">
        <f>IF(Q19="","",ROUND(VLOOKUP($B19,战斗节奏!$A$4:$F$13,2,FALSE)/(IF($G19="",0,VLOOKUP($G19,'⚪设计'!$B$85:$H$104,5,FALSE)*$H19)+IF($L19="",0,VLOOKUP($L19,'⚪设计'!$B$85:$H$104,5,FALSE)*$M19)+IF($Q19="",0,VLOOKUP($Q19,'⚪设计'!$B$85:$H$104,5,FALSE)*$R19)+IF($V19="",0,VLOOKUP($V19,'⚪设计'!$B$85:$H$104,5,FALSE)*$W19))*IF(Q19="",0,VLOOKUP(Q19,'⚪设计'!$B$85:$H$104,5,FALSE)),0))</f>
        <v>8</v>
      </c>
      <c r="V19" s="97" t="str">
        <f>IF(VLOOKUP($A19,'⚪设计'!$A$144:$N$196,10,FALSE)="","",VLOOKUP($A19,'⚪设计'!$A$144:$N$196,10,FALSE))</f>
        <v/>
      </c>
      <c r="W19" s="97" t="str">
        <f t="shared" si="4"/>
        <v/>
      </c>
      <c r="X19" s="97" t="str">
        <f>IF(VLOOKUP($A19,'⚪设计'!$A$144:$N$196,14,FALSE)="","",VLOOKUP($A19,'⚪设计'!$A$144:$N$196,14,FALSE))</f>
        <v/>
      </c>
      <c r="Y19" s="97" t="str">
        <f>IF(V19="","",ROUND($D19*'⚪设计'!$D160/(IF($G19="",0,VLOOKUP($G19,'⚪设计'!$B$85:$H$104,4,FALSE)*$H19)+IF($L19="",0,VLOOKUP($L19,'⚪设计'!$B$85:$H$104,4,FALSE)*$M19)+IF($Q19="",0,VLOOKUP($Q19,'⚪设计'!$B$85:$H$104,4,FALSE)*$R19)+IF($V19="",0,VLOOKUP($V19,'⚪设计'!$B$85:$H$104,4,FALSE)*$W19))*IF(V19="",0,VLOOKUP(V19,'⚪设计'!$B$85:$H$104,4,FALSE)),0))</f>
        <v/>
      </c>
      <c r="Z19" s="97" t="str">
        <f>IF(V19="","",ROUND(VLOOKUP($B19,战斗节奏!$A$4:$F$13,2,FALSE)/(IF($G19="",0,VLOOKUP($G19,'⚪设计'!$B$85:$H$104,5,FALSE)*$H19)+IF($L19="",0,VLOOKUP($L19,'⚪设计'!$B$85:$H$104,5,FALSE)*$M19)+IF($Q19="",0,VLOOKUP($Q19,'⚪设计'!$B$85:$H$104,5,FALSE)*$R19)+IF($V19="",0,VLOOKUP($V19,'⚪设计'!$B$85:$H$104,5,FALSE)*$W19))*IF(V19="",0,VLOOKUP(V19,'⚪设计'!$B$85:$H$104,5,FALSE)),0))</f>
        <v/>
      </c>
    </row>
    <row r="20" spans="1:26" x14ac:dyDescent="0.2">
      <c r="A20" s="2" t="str">
        <f t="shared" si="0"/>
        <v>4_3</v>
      </c>
      <c r="B20" s="2">
        <v>4</v>
      </c>
      <c r="C20" s="2">
        <v>3</v>
      </c>
      <c r="D20" s="97">
        <f>VLOOKUP(C20,无限模式!$A$3:$B$22,2,FALSE)</f>
        <v>1620</v>
      </c>
      <c r="E20" s="98">
        <v>1</v>
      </c>
      <c r="F20" s="97">
        <f>'⚪设计'!F161</f>
        <v>15</v>
      </c>
      <c r="G20" s="97" t="str">
        <f>IF(VLOOKUP($A20,'⚪设计'!$A$144:$N$196,7,FALSE)="","",VLOOKUP($A20,'⚪设计'!$A$144:$N$196,7,FALSE))</f>
        <v>种子2</v>
      </c>
      <c r="H20" s="97">
        <f t="shared" si="1"/>
        <v>8</v>
      </c>
      <c r="I20" s="97">
        <f>IF(VLOOKUP($A20,'⚪设计'!$A$144:$N$196,11,FALSE)="","",VLOOKUP($A20,'⚪设计'!$A$144:$N$196,11,FALSE))</f>
        <v>2</v>
      </c>
      <c r="J20" s="97">
        <f>IF(G20="","",ROUND($D20*'⚪设计'!$D161/(IF($G20="",0,VLOOKUP($G20,'⚪设计'!$B$85:$H$104,4,FALSE)*$H20)+IF($L20="",0,VLOOKUP($L20,'⚪设计'!$B$85:$H$104,4,FALSE)*$M20)+IF($Q20="",0,VLOOKUP($Q20,'⚪设计'!$B$85:$H$104,4,FALSE)*$R20)+IF($V20="",0,VLOOKUP($V20,'⚪设计'!$B$85:$H$104,4,FALSE)*$W20))*IF(G20="",0,VLOOKUP(G20,'⚪设计'!$B$85:$H$104,4,FALSE)),0))</f>
        <v>479</v>
      </c>
      <c r="K20" s="97">
        <f>IF(G20="","",ROUND(VLOOKUP($B20,战斗节奏!$A$4:$F$13,2,FALSE)/(IF($G20="",0,VLOOKUP($G20,'⚪设计'!$B$85:$H$104,5,FALSE)*$H20)+IF($L20="",0,VLOOKUP($L20,'⚪设计'!$B$85:$H$104,5,FALSE)*$M20)+IF($Q20="",0,VLOOKUP($Q20,'⚪设计'!$B$85:$H$104,5,FALSE)*$R20)+IF($V20="",0,VLOOKUP($V20,'⚪设计'!$B$85:$H$104,5,FALSE)*$W20))*IF(G20="",0,VLOOKUP(G20,'⚪设计'!$B$85:$H$104,5,FALSE)),0))</f>
        <v>11</v>
      </c>
      <c r="L20" s="97" t="str">
        <f>IF(VLOOKUP($A20,'⚪设计'!$A$144:$N$196,8,FALSE)="","",VLOOKUP($A20,'⚪设计'!$A$144:$N$196,8,FALSE))</f>
        <v>蝙蝠1</v>
      </c>
      <c r="M20" s="97">
        <f t="shared" si="2"/>
        <v>15</v>
      </c>
      <c r="N20" s="97">
        <f>IF(VLOOKUP($A20,'⚪设计'!$A$144:$N$196,12,FALSE)="","",VLOOKUP($A20,'⚪设计'!$A$144:$N$196,12,FALSE))</f>
        <v>1</v>
      </c>
      <c r="O20" s="97">
        <f>IF(L20="","",ROUND($D20*'⚪设计'!$D161/(IF($G20="",0,VLOOKUP($G20,'⚪设计'!$B$85:$H$104,4,FALSE)*$H20)+IF($L20="",0,VLOOKUP($L20,'⚪设计'!$B$85:$H$104,4,FALSE)*$M20)+IF($Q20="",0,VLOOKUP($Q20,'⚪设计'!$B$85:$H$104,4,FALSE)*$R20)+IF($V20="",0,VLOOKUP($V20,'⚪设计'!$B$85:$H$104,4,FALSE)*$W20))*IF(L20="",0,VLOOKUP(L20,'⚪设计'!$B$85:$H$104,4,FALSE)),0))</f>
        <v>40</v>
      </c>
      <c r="P20" s="97">
        <f>IF(L20="","",ROUND(VLOOKUP($B20,战斗节奏!$A$4:$F$13,2,FALSE)/(IF($G20="",0,VLOOKUP($G20,'⚪设计'!$B$85:$H$104,5,FALSE)*$H20)+IF($L20="",0,VLOOKUP($L20,'⚪设计'!$B$85:$H$104,5,FALSE)*$M20)+IF($Q20="",0,VLOOKUP($Q20,'⚪设计'!$B$85:$H$104,5,FALSE)*$R20)+IF($V20="",0,VLOOKUP($V20,'⚪设计'!$B$85:$H$104,5,FALSE)*$W20))*IF(L20="",0,VLOOKUP(L20,'⚪设计'!$B$85:$H$104,5,FALSE)),0))</f>
        <v>3</v>
      </c>
      <c r="Q20" s="97" t="str">
        <f>IF(VLOOKUP($A20,'⚪设计'!$A$144:$N$196,9,FALSE)="","",VLOOKUP($A20,'⚪设计'!$A$144:$N$196,9,FALSE))</f>
        <v>蜜蜂2</v>
      </c>
      <c r="R20" s="97">
        <f t="shared" si="3"/>
        <v>8</v>
      </c>
      <c r="S20" s="97">
        <f>IF(VLOOKUP($A20,'⚪设计'!$A$144:$N$196,13,FALSE)="","",VLOOKUP($A20,'⚪设计'!$A$144:$N$196,13,FALSE))</f>
        <v>2</v>
      </c>
      <c r="T20" s="97">
        <f>IF(Q20="","",ROUND($D20*'⚪设计'!$D161/(IF($G20="",0,VLOOKUP($G20,'⚪设计'!$B$85:$H$104,4,FALSE)*$H20)+IF($L20="",0,VLOOKUP($L20,'⚪设计'!$B$85:$H$104,4,FALSE)*$M20)+IF($Q20="",0,VLOOKUP($Q20,'⚪设计'!$B$85:$H$104,4,FALSE)*$R20)+IF($V20="",0,VLOOKUP($V20,'⚪设计'!$B$85:$H$104,4,FALSE)*$W20))*IF(Q20="",0,VLOOKUP(Q20,'⚪设计'!$B$85:$H$104,4,FALSE)),0))</f>
        <v>160</v>
      </c>
      <c r="U20" s="97">
        <f>IF(Q20="","",ROUND(VLOOKUP($B20,战斗节奏!$A$4:$F$13,2,FALSE)/(IF($G20="",0,VLOOKUP($G20,'⚪设计'!$B$85:$H$104,5,FALSE)*$H20)+IF($L20="",0,VLOOKUP($L20,'⚪设计'!$B$85:$H$104,5,FALSE)*$M20)+IF($Q20="",0,VLOOKUP($Q20,'⚪设计'!$B$85:$H$104,5,FALSE)*$R20)+IF($V20="",0,VLOOKUP($V20,'⚪设计'!$B$85:$H$104,5,FALSE)*$W20))*IF(Q20="",0,VLOOKUP(Q20,'⚪设计'!$B$85:$H$104,5,FALSE)),0))</f>
        <v>11</v>
      </c>
      <c r="V20" s="97" t="str">
        <f>IF(VLOOKUP($A20,'⚪设计'!$A$144:$N$196,10,FALSE)="","",VLOOKUP($A20,'⚪设计'!$A$144:$N$196,10,FALSE))</f>
        <v>蜘蛛2</v>
      </c>
      <c r="W20" s="97">
        <f t="shared" si="4"/>
        <v>15</v>
      </c>
      <c r="X20" s="97">
        <f>IF(VLOOKUP($A20,'⚪设计'!$A$144:$N$196,14,FALSE)="","",VLOOKUP($A20,'⚪设计'!$A$144:$N$196,14,FALSE))</f>
        <v>1</v>
      </c>
      <c r="Y20" s="97">
        <f>IF(V20="","",ROUND($D20*'⚪设计'!$D161/(IF($G20="",0,VLOOKUP($G20,'⚪设计'!$B$85:$H$104,4,FALSE)*$H20)+IF($L20="",0,VLOOKUP($L20,'⚪设计'!$B$85:$H$104,4,FALSE)*$M20)+IF($Q20="",0,VLOOKUP($Q20,'⚪设计'!$B$85:$H$104,4,FALSE)*$R20)+IF($V20="",0,VLOOKUP($V20,'⚪设计'!$B$85:$H$104,4,FALSE)*$W20))*IF(V20="",0,VLOOKUP(V20,'⚪设计'!$B$85:$H$104,4,FALSE)),0))</f>
        <v>160</v>
      </c>
      <c r="Z20" s="97">
        <f>IF(V20="","",ROUND(VLOOKUP($B20,战斗节奏!$A$4:$F$13,2,FALSE)/(IF($G20="",0,VLOOKUP($G20,'⚪设计'!$B$85:$H$104,5,FALSE)*$H20)+IF($L20="",0,VLOOKUP($L20,'⚪设计'!$B$85:$H$104,5,FALSE)*$M20)+IF($Q20="",0,VLOOKUP($Q20,'⚪设计'!$B$85:$H$104,5,FALSE)*$R20)+IF($V20="",0,VLOOKUP($V20,'⚪设计'!$B$85:$H$104,5,FALSE)*$W20))*IF(V20="",0,VLOOKUP(V20,'⚪设计'!$B$85:$H$104,5,FALSE)),0))</f>
        <v>6</v>
      </c>
    </row>
    <row r="21" spans="1:26" x14ac:dyDescent="0.2">
      <c r="A21" s="2" t="str">
        <f t="shared" si="0"/>
        <v>4_4</v>
      </c>
      <c r="B21" s="2">
        <v>4</v>
      </c>
      <c r="C21" s="2">
        <v>4</v>
      </c>
      <c r="D21" s="97">
        <f>VLOOKUP(C21,无限模式!$A$3:$B$22,2,FALSE)</f>
        <v>2160</v>
      </c>
      <c r="E21" s="98">
        <v>1</v>
      </c>
      <c r="F21" s="97">
        <f>'⚪设计'!F162</f>
        <v>0</v>
      </c>
      <c r="G21" s="97" t="str">
        <f>IF(VLOOKUP($A21,'⚪设计'!$A$144:$N$196,7,FALSE)="","",VLOOKUP($A21,'⚪设计'!$A$144:$N$196,7,FALSE))</f>
        <v/>
      </c>
      <c r="H21" s="97" t="str">
        <f t="shared" si="1"/>
        <v/>
      </c>
      <c r="I21" s="97" t="str">
        <f>IF(VLOOKUP($A21,'⚪设计'!$A$144:$N$196,11,FALSE)="","",VLOOKUP($A21,'⚪设计'!$A$144:$N$196,11,FALSE))</f>
        <v/>
      </c>
      <c r="J21" s="97" t="str">
        <f>IF(G21="","",ROUND($D21*'⚪设计'!$D162/(IF($G21="",0,VLOOKUP($G21,'⚪设计'!$B$85:$H$104,4,FALSE)*$H21)+IF($L21="",0,VLOOKUP($L21,'⚪设计'!$B$85:$H$104,4,FALSE)*$M21)+IF($Q21="",0,VLOOKUP($Q21,'⚪设计'!$B$85:$H$104,4,FALSE)*$R21)+IF($V21="",0,VLOOKUP($V21,'⚪设计'!$B$85:$H$104,4,FALSE)*$W21))*IF(G21="",0,VLOOKUP(G21,'⚪设计'!$B$85:$H$104,4,FALSE)),0))</f>
        <v/>
      </c>
      <c r="K21" s="97" t="str">
        <f>IF(G21="","",ROUND(VLOOKUP($B21,战斗节奏!$A$4:$F$13,2,FALSE)/(IF($G21="",0,VLOOKUP($G21,'⚪设计'!$B$85:$H$104,5,FALSE)*$H21)+IF($L21="",0,VLOOKUP($L21,'⚪设计'!$B$85:$H$104,5,FALSE)*$M21)+IF($Q21="",0,VLOOKUP($Q21,'⚪设计'!$B$85:$H$104,5,FALSE)*$R21)+IF($V21="",0,VLOOKUP($V21,'⚪设计'!$B$85:$H$104,5,FALSE)*$W21))*IF(G21="",0,VLOOKUP(G21,'⚪设计'!$B$85:$H$104,5,FALSE)),0))</f>
        <v/>
      </c>
      <c r="L21" s="97" t="str">
        <f>IF(VLOOKUP($A21,'⚪设计'!$A$144:$N$196,8,FALSE)="","",VLOOKUP($A21,'⚪设计'!$A$144:$N$196,8,FALSE))</f>
        <v/>
      </c>
      <c r="M21" s="97" t="str">
        <f t="shared" si="2"/>
        <v/>
      </c>
      <c r="N21" s="97" t="str">
        <f>IF(VLOOKUP($A21,'⚪设计'!$A$144:$N$196,12,FALSE)="","",VLOOKUP($A21,'⚪设计'!$A$144:$N$196,12,FALSE))</f>
        <v/>
      </c>
      <c r="O21" s="97" t="str">
        <f>IF(L21="","",ROUND($D21*'⚪设计'!$D162/(IF($G21="",0,VLOOKUP($G21,'⚪设计'!$B$85:$H$104,4,FALSE)*$H21)+IF($L21="",0,VLOOKUP($L21,'⚪设计'!$B$85:$H$104,4,FALSE)*$M21)+IF($Q21="",0,VLOOKUP($Q21,'⚪设计'!$B$85:$H$104,4,FALSE)*$R21)+IF($V21="",0,VLOOKUP($V21,'⚪设计'!$B$85:$H$104,4,FALSE)*$W21))*IF(L21="",0,VLOOKUP(L21,'⚪设计'!$B$85:$H$104,4,FALSE)),0))</f>
        <v/>
      </c>
      <c r="P21" s="97" t="str">
        <f>IF(L21="","",ROUND(VLOOKUP($B21,战斗节奏!$A$4:$F$13,2,FALSE)/(IF($G21="",0,VLOOKUP($G21,'⚪设计'!$B$85:$H$104,5,FALSE)*$H21)+IF($L21="",0,VLOOKUP($L21,'⚪设计'!$B$85:$H$104,5,FALSE)*$M21)+IF($Q21="",0,VLOOKUP($Q21,'⚪设计'!$B$85:$H$104,5,FALSE)*$R21)+IF($V21="",0,VLOOKUP($V21,'⚪设计'!$B$85:$H$104,5,FALSE)*$W21))*IF(L21="",0,VLOOKUP(L21,'⚪设计'!$B$85:$H$104,5,FALSE)),0))</f>
        <v/>
      </c>
      <c r="Q21" s="97" t="str">
        <f>IF(VLOOKUP($A21,'⚪设计'!$A$144:$N$196,9,FALSE)="","",VLOOKUP($A21,'⚪设计'!$A$144:$N$196,9,FALSE))</f>
        <v/>
      </c>
      <c r="R21" s="97" t="str">
        <f t="shared" si="3"/>
        <v/>
      </c>
      <c r="S21" s="97" t="str">
        <f>IF(VLOOKUP($A21,'⚪设计'!$A$144:$N$196,13,FALSE)="","",VLOOKUP($A21,'⚪设计'!$A$144:$N$196,13,FALSE))</f>
        <v/>
      </c>
      <c r="T21" s="97" t="str">
        <f>IF(Q21="","",ROUND($D21*'⚪设计'!$D162/(IF($G21="",0,VLOOKUP($G21,'⚪设计'!$B$85:$H$104,4,FALSE)*$H21)+IF($L21="",0,VLOOKUP($L21,'⚪设计'!$B$85:$H$104,4,FALSE)*$M21)+IF($Q21="",0,VLOOKUP($Q21,'⚪设计'!$B$85:$H$104,4,FALSE)*$R21)+IF($V21="",0,VLOOKUP($V21,'⚪设计'!$B$85:$H$104,4,FALSE)*$W21))*IF(Q21="",0,VLOOKUP(Q21,'⚪设计'!$B$85:$H$104,4,FALSE)),0))</f>
        <v/>
      </c>
      <c r="U21" s="97" t="str">
        <f>IF(Q21="","",ROUND(VLOOKUP($B21,战斗节奏!$A$4:$F$13,2,FALSE)/(IF($G21="",0,VLOOKUP($G21,'⚪设计'!$B$85:$H$104,5,FALSE)*$H21)+IF($L21="",0,VLOOKUP($L21,'⚪设计'!$B$85:$H$104,5,FALSE)*$M21)+IF($Q21="",0,VLOOKUP($Q21,'⚪设计'!$B$85:$H$104,5,FALSE)*$R21)+IF($V21="",0,VLOOKUP($V21,'⚪设计'!$B$85:$H$104,5,FALSE)*$W21))*IF(Q21="",0,VLOOKUP(Q21,'⚪设计'!$B$85:$H$104,5,FALSE)),0))</f>
        <v/>
      </c>
      <c r="V21" s="97" t="str">
        <f>IF(VLOOKUP($A21,'⚪设计'!$A$144:$N$196,10,FALSE)="","",VLOOKUP($A21,'⚪设计'!$A$144:$N$196,10,FALSE))</f>
        <v/>
      </c>
      <c r="W21" s="97" t="str">
        <f t="shared" si="4"/>
        <v/>
      </c>
      <c r="X21" s="97" t="str">
        <f>IF(VLOOKUP($A21,'⚪设计'!$A$144:$N$196,14,FALSE)="","",VLOOKUP($A21,'⚪设计'!$A$144:$N$196,14,FALSE))</f>
        <v/>
      </c>
      <c r="Y21" s="97" t="str">
        <f>IF(V21="","",ROUND($D21*'⚪设计'!$D162/(IF($G21="",0,VLOOKUP($G21,'⚪设计'!$B$85:$H$104,4,FALSE)*$H21)+IF($L21="",0,VLOOKUP($L21,'⚪设计'!$B$85:$H$104,4,FALSE)*$M21)+IF($Q21="",0,VLOOKUP($Q21,'⚪设计'!$B$85:$H$104,4,FALSE)*$R21)+IF($V21="",0,VLOOKUP($V21,'⚪设计'!$B$85:$H$104,4,FALSE)*$W21))*IF(V21="",0,VLOOKUP(V21,'⚪设计'!$B$85:$H$104,4,FALSE)),0))</f>
        <v/>
      </c>
      <c r="Z21" s="97" t="str">
        <f>IF(V21="","",ROUND(VLOOKUP($B21,战斗节奏!$A$4:$F$13,2,FALSE)/(IF($G21="",0,VLOOKUP($G21,'⚪设计'!$B$85:$H$104,5,FALSE)*$H21)+IF($L21="",0,VLOOKUP($L21,'⚪设计'!$B$85:$H$104,5,FALSE)*$M21)+IF($Q21="",0,VLOOKUP($Q21,'⚪设计'!$B$85:$H$104,5,FALSE)*$R21)+IF($V21="",0,VLOOKUP($V21,'⚪设计'!$B$85:$H$104,5,FALSE)*$W21))*IF(V21="",0,VLOOKUP(V21,'⚪设计'!$B$85:$H$104,5,FALSE)),0))</f>
        <v/>
      </c>
    </row>
    <row r="22" spans="1:26" x14ac:dyDescent="0.2">
      <c r="A22" s="2" t="str">
        <f t="shared" si="0"/>
        <v>4_5</v>
      </c>
      <c r="B22" s="2">
        <v>4</v>
      </c>
      <c r="C22" s="2">
        <v>5</v>
      </c>
      <c r="D22" s="97">
        <f>VLOOKUP(C22,无限模式!$A$3:$B$22,2,FALSE)</f>
        <v>2700</v>
      </c>
      <c r="E22" s="98">
        <v>1</v>
      </c>
      <c r="F22" s="97">
        <f>'⚪设计'!F163</f>
        <v>0</v>
      </c>
      <c r="G22" s="97" t="str">
        <f>IF(VLOOKUP($A22,'⚪设计'!$A$144:$N$196,7,FALSE)="","",VLOOKUP($A22,'⚪设计'!$A$144:$N$196,7,FALSE))</f>
        <v/>
      </c>
      <c r="H22" s="97" t="str">
        <f t="shared" si="1"/>
        <v/>
      </c>
      <c r="I22" s="97" t="str">
        <f>IF(VLOOKUP($A22,'⚪设计'!$A$144:$N$196,11,FALSE)="","",VLOOKUP($A22,'⚪设计'!$A$144:$N$196,11,FALSE))</f>
        <v/>
      </c>
      <c r="J22" s="97" t="str">
        <f>IF(G22="","",ROUND($D22*'⚪设计'!$D163/(IF($G22="",0,VLOOKUP($G22,'⚪设计'!$B$85:$H$104,4,FALSE)*$H22)+IF($L22="",0,VLOOKUP($L22,'⚪设计'!$B$85:$H$104,4,FALSE)*$M22)+IF($Q22="",0,VLOOKUP($Q22,'⚪设计'!$B$85:$H$104,4,FALSE)*$R22)+IF($V22="",0,VLOOKUP($V22,'⚪设计'!$B$85:$H$104,4,FALSE)*$W22))*IF(G22="",0,VLOOKUP(G22,'⚪设计'!$B$85:$H$104,4,FALSE)),0))</f>
        <v/>
      </c>
      <c r="K22" s="97" t="str">
        <f>IF(G22="","",ROUND(VLOOKUP($B22,战斗节奏!$A$4:$F$13,2,FALSE)/(IF($G22="",0,VLOOKUP($G22,'⚪设计'!$B$85:$H$104,5,FALSE)*$H22)+IF($L22="",0,VLOOKUP($L22,'⚪设计'!$B$85:$H$104,5,FALSE)*$M22)+IF($Q22="",0,VLOOKUP($Q22,'⚪设计'!$B$85:$H$104,5,FALSE)*$R22)+IF($V22="",0,VLOOKUP($V22,'⚪设计'!$B$85:$H$104,5,FALSE)*$W22))*IF(G22="",0,VLOOKUP(G22,'⚪设计'!$B$85:$H$104,5,FALSE)),0))</f>
        <v/>
      </c>
      <c r="L22" s="97" t="str">
        <f>IF(VLOOKUP($A22,'⚪设计'!$A$144:$N$196,8,FALSE)="","",VLOOKUP($A22,'⚪设计'!$A$144:$N$196,8,FALSE))</f>
        <v/>
      </c>
      <c r="M22" s="97" t="str">
        <f t="shared" si="2"/>
        <v/>
      </c>
      <c r="N22" s="97" t="str">
        <f>IF(VLOOKUP($A22,'⚪设计'!$A$144:$N$196,12,FALSE)="","",VLOOKUP($A22,'⚪设计'!$A$144:$N$196,12,FALSE))</f>
        <v/>
      </c>
      <c r="O22" s="97" t="str">
        <f>IF(L22="","",ROUND($D22*'⚪设计'!$D163/(IF($G22="",0,VLOOKUP($G22,'⚪设计'!$B$85:$H$104,4,FALSE)*$H22)+IF($L22="",0,VLOOKUP($L22,'⚪设计'!$B$85:$H$104,4,FALSE)*$M22)+IF($Q22="",0,VLOOKUP($Q22,'⚪设计'!$B$85:$H$104,4,FALSE)*$R22)+IF($V22="",0,VLOOKUP($V22,'⚪设计'!$B$85:$H$104,4,FALSE)*$W22))*IF(L22="",0,VLOOKUP(L22,'⚪设计'!$B$85:$H$104,4,FALSE)),0))</f>
        <v/>
      </c>
      <c r="P22" s="97" t="str">
        <f>IF(L22="","",ROUND(VLOOKUP($B22,战斗节奏!$A$4:$F$13,2,FALSE)/(IF($G22="",0,VLOOKUP($G22,'⚪设计'!$B$85:$H$104,5,FALSE)*$H22)+IF($L22="",0,VLOOKUP($L22,'⚪设计'!$B$85:$H$104,5,FALSE)*$M22)+IF($Q22="",0,VLOOKUP($Q22,'⚪设计'!$B$85:$H$104,5,FALSE)*$R22)+IF($V22="",0,VLOOKUP($V22,'⚪设计'!$B$85:$H$104,5,FALSE)*$W22))*IF(L22="",0,VLOOKUP(L22,'⚪设计'!$B$85:$H$104,5,FALSE)),0))</f>
        <v/>
      </c>
      <c r="Q22" s="97" t="str">
        <f>IF(VLOOKUP($A22,'⚪设计'!$A$144:$N$196,9,FALSE)="","",VLOOKUP($A22,'⚪设计'!$A$144:$N$196,9,FALSE))</f>
        <v/>
      </c>
      <c r="R22" s="97" t="str">
        <f t="shared" si="3"/>
        <v/>
      </c>
      <c r="S22" s="97" t="str">
        <f>IF(VLOOKUP($A22,'⚪设计'!$A$144:$N$196,13,FALSE)="","",VLOOKUP($A22,'⚪设计'!$A$144:$N$196,13,FALSE))</f>
        <v/>
      </c>
      <c r="T22" s="97" t="str">
        <f>IF(Q22="","",ROUND($D22*'⚪设计'!$D163/(IF($G22="",0,VLOOKUP($G22,'⚪设计'!$B$85:$H$104,4,FALSE)*$H22)+IF($L22="",0,VLOOKUP($L22,'⚪设计'!$B$85:$H$104,4,FALSE)*$M22)+IF($Q22="",0,VLOOKUP($Q22,'⚪设计'!$B$85:$H$104,4,FALSE)*$R22)+IF($V22="",0,VLOOKUP($V22,'⚪设计'!$B$85:$H$104,4,FALSE)*$W22))*IF(Q22="",0,VLOOKUP(Q22,'⚪设计'!$B$85:$H$104,4,FALSE)),0))</f>
        <v/>
      </c>
      <c r="U22" s="97" t="str">
        <f>IF(Q22="","",ROUND(VLOOKUP($B22,战斗节奏!$A$4:$F$13,2,FALSE)/(IF($G22="",0,VLOOKUP($G22,'⚪设计'!$B$85:$H$104,5,FALSE)*$H22)+IF($L22="",0,VLOOKUP($L22,'⚪设计'!$B$85:$H$104,5,FALSE)*$M22)+IF($Q22="",0,VLOOKUP($Q22,'⚪设计'!$B$85:$H$104,5,FALSE)*$R22)+IF($V22="",0,VLOOKUP($V22,'⚪设计'!$B$85:$H$104,5,FALSE)*$W22))*IF(Q22="",0,VLOOKUP(Q22,'⚪设计'!$B$85:$H$104,5,FALSE)),0))</f>
        <v/>
      </c>
      <c r="V22" s="97" t="str">
        <f>IF(VLOOKUP($A22,'⚪设计'!$A$144:$N$196,10,FALSE)="","",VLOOKUP($A22,'⚪设计'!$A$144:$N$196,10,FALSE))</f>
        <v/>
      </c>
      <c r="W22" s="97" t="str">
        <f t="shared" si="4"/>
        <v/>
      </c>
      <c r="X22" s="97" t="str">
        <f>IF(VLOOKUP($A22,'⚪设计'!$A$144:$N$196,14,FALSE)="","",VLOOKUP($A22,'⚪设计'!$A$144:$N$196,14,FALSE))</f>
        <v/>
      </c>
      <c r="Y22" s="97" t="str">
        <f>IF(V22="","",ROUND($D22*'⚪设计'!$D163/(IF($G22="",0,VLOOKUP($G22,'⚪设计'!$B$85:$H$104,4,FALSE)*$H22)+IF($L22="",0,VLOOKUP($L22,'⚪设计'!$B$85:$H$104,4,FALSE)*$M22)+IF($Q22="",0,VLOOKUP($Q22,'⚪设计'!$B$85:$H$104,4,FALSE)*$R22)+IF($V22="",0,VLOOKUP($V22,'⚪设计'!$B$85:$H$104,4,FALSE)*$W22))*IF(V22="",0,VLOOKUP(V22,'⚪设计'!$B$85:$H$104,4,FALSE)),0))</f>
        <v/>
      </c>
      <c r="Z22" s="97" t="str">
        <f>IF(V22="","",ROUND(VLOOKUP($B22,战斗节奏!$A$4:$F$13,2,FALSE)/(IF($G22="",0,VLOOKUP($G22,'⚪设计'!$B$85:$H$104,5,FALSE)*$H22)+IF($L22="",0,VLOOKUP($L22,'⚪设计'!$B$85:$H$104,5,FALSE)*$M22)+IF($Q22="",0,VLOOKUP($Q22,'⚪设计'!$B$85:$H$104,5,FALSE)*$R22)+IF($V22="",0,VLOOKUP($V22,'⚪设计'!$B$85:$H$104,5,FALSE)*$W22))*IF(V22="",0,VLOOKUP(V22,'⚪设计'!$B$85:$H$104,5,FALSE)),0))</f>
        <v/>
      </c>
    </row>
    <row r="23" spans="1:26" x14ac:dyDescent="0.2">
      <c r="A23" s="2" t="str">
        <f t="shared" si="0"/>
        <v>5_1</v>
      </c>
      <c r="B23" s="2">
        <v>5</v>
      </c>
      <c r="C23" s="2">
        <v>1</v>
      </c>
      <c r="D23" s="97">
        <f>VLOOKUP(C23,无限模式!$A$3:$B$22,2,FALSE)</f>
        <v>540</v>
      </c>
      <c r="E23" s="98">
        <v>1</v>
      </c>
      <c r="F23" s="97">
        <f>'⚪设计'!F164</f>
        <v>10</v>
      </c>
      <c r="G23" s="97" t="str">
        <f>IF(VLOOKUP($A23,'⚪设计'!$A$144:$N$196,7,FALSE)="","",VLOOKUP($A23,'⚪设计'!$A$144:$N$196,7,FALSE))</f>
        <v>鬼1</v>
      </c>
      <c r="H23" s="97">
        <f t="shared" si="1"/>
        <v>7</v>
      </c>
      <c r="I23" s="97">
        <f>IF(VLOOKUP($A23,'⚪设计'!$A$144:$N$196,11,FALSE)="","",VLOOKUP($A23,'⚪设计'!$A$144:$N$196,11,FALSE))</f>
        <v>1.5</v>
      </c>
      <c r="J23" s="97">
        <f>IF(G23="","",ROUND($D23*'⚪设计'!$D164/(IF($G23="",0,VLOOKUP($G23,'⚪设计'!$B$85:$H$104,4,FALSE)*$H23)+IF($L23="",0,VLOOKUP($L23,'⚪设计'!$B$85:$H$104,4,FALSE)*$M23)+IF($Q23="",0,VLOOKUP($Q23,'⚪设计'!$B$85:$H$104,4,FALSE)*$R23)+IF($V23="",0,VLOOKUP($V23,'⚪设计'!$B$85:$H$104,4,FALSE)*$W23))*IF(G23="",0,VLOOKUP(G23,'⚪设计'!$B$85:$H$104,4,FALSE)),0))</f>
        <v>370</v>
      </c>
      <c r="K23" s="97">
        <f>IF(G23="","",ROUND(VLOOKUP($B23,战斗节奏!$A$4:$F$13,2,FALSE)/(IF($G23="",0,VLOOKUP($G23,'⚪设计'!$B$85:$H$104,5,FALSE)*$H23)+IF($L23="",0,VLOOKUP($L23,'⚪设计'!$B$85:$H$104,5,FALSE)*$M23)+IF($Q23="",0,VLOOKUP($Q23,'⚪设计'!$B$85:$H$104,5,FALSE)*$R23)+IF($V23="",0,VLOOKUP($V23,'⚪设计'!$B$85:$H$104,5,FALSE)*$W23))*IF(G23="",0,VLOOKUP(G23,'⚪设计'!$B$85:$H$104,5,FALSE)),0))</f>
        <v>43</v>
      </c>
      <c r="L23" s="97" t="str">
        <f>IF(VLOOKUP($A23,'⚪设计'!$A$144:$N$196,8,FALSE)="","",VLOOKUP($A23,'⚪设计'!$A$144:$N$196,8,FALSE))</f>
        <v/>
      </c>
      <c r="M23" s="97" t="str">
        <f t="shared" si="2"/>
        <v/>
      </c>
      <c r="N23" s="97" t="str">
        <f>IF(VLOOKUP($A23,'⚪设计'!$A$144:$N$196,12,FALSE)="","",VLOOKUP($A23,'⚪设计'!$A$144:$N$196,12,FALSE))</f>
        <v/>
      </c>
      <c r="O23" s="97" t="str">
        <f>IF(L23="","",ROUND($D23*'⚪设计'!$D164/(IF($G23="",0,VLOOKUP($G23,'⚪设计'!$B$85:$H$104,4,FALSE)*$H23)+IF($L23="",0,VLOOKUP($L23,'⚪设计'!$B$85:$H$104,4,FALSE)*$M23)+IF($Q23="",0,VLOOKUP($Q23,'⚪设计'!$B$85:$H$104,4,FALSE)*$R23)+IF($V23="",0,VLOOKUP($V23,'⚪设计'!$B$85:$H$104,4,FALSE)*$W23))*IF(L23="",0,VLOOKUP(L23,'⚪设计'!$B$85:$H$104,4,FALSE)),0))</f>
        <v/>
      </c>
      <c r="P23" s="97" t="str">
        <f>IF(L23="","",ROUND(VLOOKUP($B23,战斗节奏!$A$4:$F$13,2,FALSE)/(IF($G23="",0,VLOOKUP($G23,'⚪设计'!$B$85:$H$104,5,FALSE)*$H23)+IF($L23="",0,VLOOKUP($L23,'⚪设计'!$B$85:$H$104,5,FALSE)*$M23)+IF($Q23="",0,VLOOKUP($Q23,'⚪设计'!$B$85:$H$104,5,FALSE)*$R23)+IF($V23="",0,VLOOKUP($V23,'⚪设计'!$B$85:$H$104,5,FALSE)*$W23))*IF(L23="",0,VLOOKUP(L23,'⚪设计'!$B$85:$H$104,5,FALSE)),0))</f>
        <v/>
      </c>
      <c r="Q23" s="97" t="str">
        <f>IF(VLOOKUP($A23,'⚪设计'!$A$144:$N$196,9,FALSE)="","",VLOOKUP($A23,'⚪设计'!$A$144:$N$196,9,FALSE))</f>
        <v/>
      </c>
      <c r="R23" s="97" t="str">
        <f t="shared" si="3"/>
        <v/>
      </c>
      <c r="S23" s="97" t="str">
        <f>IF(VLOOKUP($A23,'⚪设计'!$A$144:$N$196,13,FALSE)="","",VLOOKUP($A23,'⚪设计'!$A$144:$N$196,13,FALSE))</f>
        <v/>
      </c>
      <c r="T23" s="97" t="str">
        <f>IF(Q23="","",ROUND($D23*'⚪设计'!$D164/(IF($G23="",0,VLOOKUP($G23,'⚪设计'!$B$85:$H$104,4,FALSE)*$H23)+IF($L23="",0,VLOOKUP($L23,'⚪设计'!$B$85:$H$104,4,FALSE)*$M23)+IF($Q23="",0,VLOOKUP($Q23,'⚪设计'!$B$85:$H$104,4,FALSE)*$R23)+IF($V23="",0,VLOOKUP($V23,'⚪设计'!$B$85:$H$104,4,FALSE)*$W23))*IF(Q23="",0,VLOOKUP(Q23,'⚪设计'!$B$85:$H$104,4,FALSE)),0))</f>
        <v/>
      </c>
      <c r="U23" s="97" t="str">
        <f>IF(Q23="","",ROUND(VLOOKUP($B23,战斗节奏!$A$4:$F$13,2,FALSE)/(IF($G23="",0,VLOOKUP($G23,'⚪设计'!$B$85:$H$104,5,FALSE)*$H23)+IF($L23="",0,VLOOKUP($L23,'⚪设计'!$B$85:$H$104,5,FALSE)*$M23)+IF($Q23="",0,VLOOKUP($Q23,'⚪设计'!$B$85:$H$104,5,FALSE)*$R23)+IF($V23="",0,VLOOKUP($V23,'⚪设计'!$B$85:$H$104,5,FALSE)*$W23))*IF(Q23="",0,VLOOKUP(Q23,'⚪设计'!$B$85:$H$104,5,FALSE)),0))</f>
        <v/>
      </c>
      <c r="V23" s="97" t="str">
        <f>IF(VLOOKUP($A23,'⚪设计'!$A$144:$N$196,10,FALSE)="","",VLOOKUP($A23,'⚪设计'!$A$144:$N$196,10,FALSE))</f>
        <v/>
      </c>
      <c r="W23" s="97" t="str">
        <f t="shared" si="4"/>
        <v/>
      </c>
      <c r="X23" s="97" t="str">
        <f>IF(VLOOKUP($A23,'⚪设计'!$A$144:$N$196,14,FALSE)="","",VLOOKUP($A23,'⚪设计'!$A$144:$N$196,14,FALSE))</f>
        <v/>
      </c>
      <c r="Y23" s="97" t="str">
        <f>IF(V23="","",ROUND($D23*'⚪设计'!$D164/(IF($G23="",0,VLOOKUP($G23,'⚪设计'!$B$85:$H$104,4,FALSE)*$H23)+IF($L23="",0,VLOOKUP($L23,'⚪设计'!$B$85:$H$104,4,FALSE)*$M23)+IF($Q23="",0,VLOOKUP($Q23,'⚪设计'!$B$85:$H$104,4,FALSE)*$R23)+IF($V23="",0,VLOOKUP($V23,'⚪设计'!$B$85:$H$104,4,FALSE)*$W23))*IF(V23="",0,VLOOKUP(V23,'⚪设计'!$B$85:$H$104,4,FALSE)),0))</f>
        <v/>
      </c>
      <c r="Z23" s="97" t="str">
        <f>IF(V23="","",ROUND(VLOOKUP($B23,战斗节奏!$A$4:$F$13,2,FALSE)/(IF($G23="",0,VLOOKUP($G23,'⚪设计'!$B$85:$H$104,5,FALSE)*$H23)+IF($L23="",0,VLOOKUP($L23,'⚪设计'!$B$85:$H$104,5,FALSE)*$M23)+IF($Q23="",0,VLOOKUP($Q23,'⚪设计'!$B$85:$H$104,5,FALSE)*$R23)+IF($V23="",0,VLOOKUP($V23,'⚪设计'!$B$85:$H$104,5,FALSE)*$W23))*IF(V23="",0,VLOOKUP(V23,'⚪设计'!$B$85:$H$104,5,FALSE)),0))</f>
        <v/>
      </c>
    </row>
    <row r="24" spans="1:26" x14ac:dyDescent="0.2">
      <c r="A24" s="2" t="str">
        <f t="shared" si="0"/>
        <v>5_2</v>
      </c>
      <c r="B24" s="2">
        <v>5</v>
      </c>
      <c r="C24" s="2">
        <v>2</v>
      </c>
      <c r="D24" s="97">
        <f>VLOOKUP(C24,无限模式!$A$3:$B$22,2,FALSE)</f>
        <v>1080</v>
      </c>
      <c r="E24" s="98">
        <v>1</v>
      </c>
      <c r="F24" s="97">
        <f>'⚪设计'!F165</f>
        <v>12.5</v>
      </c>
      <c r="G24" s="97" t="str">
        <f>IF(VLOOKUP($A24,'⚪设计'!$A$144:$N$196,7,FALSE)="","",VLOOKUP($A24,'⚪设计'!$A$144:$N$196,7,FALSE))</f>
        <v>鬼1</v>
      </c>
      <c r="H24" s="97">
        <f t="shared" si="1"/>
        <v>8</v>
      </c>
      <c r="I24" s="97">
        <f>IF(VLOOKUP($A24,'⚪设计'!$A$144:$N$196,11,FALSE)="","",VLOOKUP($A24,'⚪设计'!$A$144:$N$196,11,FALSE))</f>
        <v>1.5</v>
      </c>
      <c r="J24" s="97">
        <f>IF(G24="","",ROUND($D24*'⚪设计'!$D165/(IF($G24="",0,VLOOKUP($G24,'⚪设计'!$B$85:$H$104,4,FALSE)*$H24)+IF($L24="",0,VLOOKUP($L24,'⚪设计'!$B$85:$H$104,4,FALSE)*$M24)+IF($Q24="",0,VLOOKUP($Q24,'⚪设计'!$B$85:$H$104,4,FALSE)*$R24)+IF($V24="",0,VLOOKUP($V24,'⚪设计'!$B$85:$H$104,4,FALSE)*$W24))*IF(G24="",0,VLOOKUP(G24,'⚪设计'!$B$85:$H$104,4,FALSE)),0))</f>
        <v>257</v>
      </c>
      <c r="K24" s="97">
        <f>IF(G24="","",ROUND(VLOOKUP($B24,战斗节奏!$A$4:$F$13,2,FALSE)/(IF($G24="",0,VLOOKUP($G24,'⚪设计'!$B$85:$H$104,5,FALSE)*$H24)+IF($L24="",0,VLOOKUP($L24,'⚪设计'!$B$85:$H$104,5,FALSE)*$M24)+IF($Q24="",0,VLOOKUP($Q24,'⚪设计'!$B$85:$H$104,5,FALSE)*$R24)+IF($V24="",0,VLOOKUP($V24,'⚪设计'!$B$85:$H$104,5,FALSE)*$W24))*IF(G24="",0,VLOOKUP(G24,'⚪设计'!$B$85:$H$104,5,FALSE)),0))</f>
        <v>14</v>
      </c>
      <c r="L24" s="97" t="str">
        <f>IF(VLOOKUP($A24,'⚪设计'!$A$144:$N$196,8,FALSE)="","",VLOOKUP($A24,'⚪设计'!$A$144:$N$196,8,FALSE))</f>
        <v>蜘蛛1</v>
      </c>
      <c r="M24" s="97">
        <f t="shared" si="2"/>
        <v>13</v>
      </c>
      <c r="N24" s="97">
        <f>IF(VLOOKUP($A24,'⚪设计'!$A$144:$N$196,12,FALSE)="","",VLOOKUP($A24,'⚪设计'!$A$144:$N$196,12,FALSE))</f>
        <v>1</v>
      </c>
      <c r="O24" s="97">
        <f>IF(L24="","",ROUND($D24*'⚪设计'!$D165/(IF($G24="",0,VLOOKUP($G24,'⚪设计'!$B$85:$H$104,4,FALSE)*$H24)+IF($L24="",0,VLOOKUP($L24,'⚪设计'!$B$85:$H$104,4,FALSE)*$M24)+IF($Q24="",0,VLOOKUP($Q24,'⚪设计'!$B$85:$H$104,4,FALSE)*$R24)+IF($V24="",0,VLOOKUP($V24,'⚪设计'!$B$85:$H$104,4,FALSE)*$W24))*IF(L24="",0,VLOOKUP(L24,'⚪设计'!$B$85:$H$104,4,FALSE)),0))</f>
        <v>257</v>
      </c>
      <c r="P24" s="97">
        <f>IF(L24="","",ROUND(VLOOKUP($B24,战斗节奏!$A$4:$F$13,2,FALSE)/(IF($G24="",0,VLOOKUP($G24,'⚪设计'!$B$85:$H$104,5,FALSE)*$H24)+IF($L24="",0,VLOOKUP($L24,'⚪设计'!$B$85:$H$104,5,FALSE)*$M24)+IF($Q24="",0,VLOOKUP($Q24,'⚪设计'!$B$85:$H$104,5,FALSE)*$R24)+IF($V24="",0,VLOOKUP($V24,'⚪设计'!$B$85:$H$104,5,FALSE)*$W24))*IF(L24="",0,VLOOKUP(L24,'⚪设计'!$B$85:$H$104,5,FALSE)),0))</f>
        <v>14</v>
      </c>
      <c r="Q24" s="97" t="str">
        <f>IF(VLOOKUP($A24,'⚪设计'!$A$144:$N$196,9,FALSE)="","",VLOOKUP($A24,'⚪设计'!$A$144:$N$196,9,FALSE))</f>
        <v/>
      </c>
      <c r="R24" s="97" t="str">
        <f t="shared" si="3"/>
        <v/>
      </c>
      <c r="S24" s="97" t="str">
        <f>IF(VLOOKUP($A24,'⚪设计'!$A$144:$N$196,13,FALSE)="","",VLOOKUP($A24,'⚪设计'!$A$144:$N$196,13,FALSE))</f>
        <v/>
      </c>
      <c r="T24" s="97" t="str">
        <f>IF(Q24="","",ROUND($D24*'⚪设计'!$D165/(IF($G24="",0,VLOOKUP($G24,'⚪设计'!$B$85:$H$104,4,FALSE)*$H24)+IF($L24="",0,VLOOKUP($L24,'⚪设计'!$B$85:$H$104,4,FALSE)*$M24)+IF($Q24="",0,VLOOKUP($Q24,'⚪设计'!$B$85:$H$104,4,FALSE)*$R24)+IF($V24="",0,VLOOKUP($V24,'⚪设计'!$B$85:$H$104,4,FALSE)*$W24))*IF(Q24="",0,VLOOKUP(Q24,'⚪设计'!$B$85:$H$104,4,FALSE)),0))</f>
        <v/>
      </c>
      <c r="U24" s="97" t="str">
        <f>IF(Q24="","",ROUND(VLOOKUP($B24,战斗节奏!$A$4:$F$13,2,FALSE)/(IF($G24="",0,VLOOKUP($G24,'⚪设计'!$B$85:$H$104,5,FALSE)*$H24)+IF($L24="",0,VLOOKUP($L24,'⚪设计'!$B$85:$H$104,5,FALSE)*$M24)+IF($Q24="",0,VLOOKUP($Q24,'⚪设计'!$B$85:$H$104,5,FALSE)*$R24)+IF($V24="",0,VLOOKUP($V24,'⚪设计'!$B$85:$H$104,5,FALSE)*$W24))*IF(Q24="",0,VLOOKUP(Q24,'⚪设计'!$B$85:$H$104,5,FALSE)),0))</f>
        <v/>
      </c>
      <c r="V24" s="97" t="str">
        <f>IF(VLOOKUP($A24,'⚪设计'!$A$144:$N$196,10,FALSE)="","",VLOOKUP($A24,'⚪设计'!$A$144:$N$196,10,FALSE))</f>
        <v/>
      </c>
      <c r="W24" s="97" t="str">
        <f t="shared" si="4"/>
        <v/>
      </c>
      <c r="X24" s="97" t="str">
        <f>IF(VLOOKUP($A24,'⚪设计'!$A$144:$N$196,14,FALSE)="","",VLOOKUP($A24,'⚪设计'!$A$144:$N$196,14,FALSE))</f>
        <v/>
      </c>
      <c r="Y24" s="97" t="str">
        <f>IF(V24="","",ROUND($D24*'⚪设计'!$D165/(IF($G24="",0,VLOOKUP($G24,'⚪设计'!$B$85:$H$104,4,FALSE)*$H24)+IF($L24="",0,VLOOKUP($L24,'⚪设计'!$B$85:$H$104,4,FALSE)*$M24)+IF($Q24="",0,VLOOKUP($Q24,'⚪设计'!$B$85:$H$104,4,FALSE)*$R24)+IF($V24="",0,VLOOKUP($V24,'⚪设计'!$B$85:$H$104,4,FALSE)*$W24))*IF(V24="",0,VLOOKUP(V24,'⚪设计'!$B$85:$H$104,4,FALSE)),0))</f>
        <v/>
      </c>
      <c r="Z24" s="97" t="str">
        <f>IF(V24="","",ROUND(VLOOKUP($B24,战斗节奏!$A$4:$F$13,2,FALSE)/(IF($G24="",0,VLOOKUP($G24,'⚪设计'!$B$85:$H$104,5,FALSE)*$H24)+IF($L24="",0,VLOOKUP($L24,'⚪设计'!$B$85:$H$104,5,FALSE)*$M24)+IF($Q24="",0,VLOOKUP($Q24,'⚪设计'!$B$85:$H$104,5,FALSE)*$R24)+IF($V24="",0,VLOOKUP($V24,'⚪设计'!$B$85:$H$104,5,FALSE)*$W24))*IF(V24="",0,VLOOKUP(V24,'⚪设计'!$B$85:$H$104,5,FALSE)),0))</f>
        <v/>
      </c>
    </row>
    <row r="25" spans="1:26" x14ac:dyDescent="0.2">
      <c r="A25" s="2" t="str">
        <f t="shared" si="0"/>
        <v>5_3</v>
      </c>
      <c r="B25" s="2">
        <v>5</v>
      </c>
      <c r="C25" s="2">
        <v>3</v>
      </c>
      <c r="D25" s="97">
        <f>VLOOKUP(C25,无限模式!$A$3:$B$22,2,FALSE)</f>
        <v>1620</v>
      </c>
      <c r="E25" s="98">
        <v>1</v>
      </c>
      <c r="F25" s="97">
        <f>'⚪设计'!F166</f>
        <v>15</v>
      </c>
      <c r="G25" s="97" t="str">
        <f>IF(VLOOKUP($A25,'⚪设计'!$A$144:$N$196,7,FALSE)="","",VLOOKUP($A25,'⚪设计'!$A$144:$N$196,7,FALSE))</f>
        <v>鬼1</v>
      </c>
      <c r="H25" s="97">
        <f t="shared" si="1"/>
        <v>10</v>
      </c>
      <c r="I25" s="97">
        <f>IF(VLOOKUP($A25,'⚪设计'!$A$144:$N$196,11,FALSE)="","",VLOOKUP($A25,'⚪设计'!$A$144:$N$196,11,FALSE))</f>
        <v>1.5</v>
      </c>
      <c r="J25" s="97">
        <f>IF(G25="","",ROUND($D25*'⚪设计'!$D166/(IF($G25="",0,VLOOKUP($G25,'⚪设计'!$B$85:$H$104,4,FALSE)*$H25)+IF($L25="",0,VLOOKUP($L25,'⚪设计'!$B$85:$H$104,4,FALSE)*$M25)+IF($Q25="",0,VLOOKUP($Q25,'⚪设计'!$B$85:$H$104,4,FALSE)*$R25)+IF($V25="",0,VLOOKUP($V25,'⚪设计'!$B$85:$H$104,4,FALSE)*$W25))*IF(G25="",0,VLOOKUP(G25,'⚪设计'!$B$85:$H$104,4,FALSE)),0))</f>
        <v>198</v>
      </c>
      <c r="K25" s="97">
        <f>IF(G25="","",ROUND(VLOOKUP($B25,战斗节奏!$A$4:$F$13,2,FALSE)/(IF($G25="",0,VLOOKUP($G25,'⚪设计'!$B$85:$H$104,5,FALSE)*$H25)+IF($L25="",0,VLOOKUP($L25,'⚪设计'!$B$85:$H$104,5,FALSE)*$M25)+IF($Q25="",0,VLOOKUP($Q25,'⚪设计'!$B$85:$H$104,5,FALSE)*$R25)+IF($V25="",0,VLOOKUP($V25,'⚪设计'!$B$85:$H$104,5,FALSE)*$W25))*IF(G25="",0,VLOOKUP(G25,'⚪设计'!$B$85:$H$104,5,FALSE)),0))</f>
        <v>7</v>
      </c>
      <c r="L25" s="97" t="str">
        <f>IF(VLOOKUP($A25,'⚪设计'!$A$144:$N$196,8,FALSE)="","",VLOOKUP($A25,'⚪设计'!$A$144:$N$196,8,FALSE))</f>
        <v>种子1</v>
      </c>
      <c r="M25" s="97">
        <f t="shared" si="2"/>
        <v>8</v>
      </c>
      <c r="N25" s="97">
        <f>IF(VLOOKUP($A25,'⚪设计'!$A$144:$N$196,12,FALSE)="","",VLOOKUP($A25,'⚪设计'!$A$144:$N$196,12,FALSE))</f>
        <v>2</v>
      </c>
      <c r="O25" s="97">
        <f>IF(L25="","",ROUND($D25*'⚪设计'!$D166/(IF($G25="",0,VLOOKUP($G25,'⚪设计'!$B$85:$H$104,4,FALSE)*$H25)+IF($L25="",0,VLOOKUP($L25,'⚪设计'!$B$85:$H$104,4,FALSE)*$M25)+IF($Q25="",0,VLOOKUP($Q25,'⚪设计'!$B$85:$H$104,4,FALSE)*$R25)+IF($V25="",0,VLOOKUP($V25,'⚪设计'!$B$85:$H$104,4,FALSE)*$W25))*IF(L25="",0,VLOOKUP(L25,'⚪设计'!$B$85:$H$104,4,FALSE)),0))</f>
        <v>595</v>
      </c>
      <c r="P25" s="97">
        <f>IF(L25="","",ROUND(VLOOKUP($B25,战斗节奏!$A$4:$F$13,2,FALSE)/(IF($G25="",0,VLOOKUP($G25,'⚪设计'!$B$85:$H$104,5,FALSE)*$H25)+IF($L25="",0,VLOOKUP($L25,'⚪设计'!$B$85:$H$104,5,FALSE)*$M25)+IF($Q25="",0,VLOOKUP($Q25,'⚪设计'!$B$85:$H$104,5,FALSE)*$R25)+IF($V25="",0,VLOOKUP($V25,'⚪设计'!$B$85:$H$104,5,FALSE)*$W25))*IF(L25="",0,VLOOKUP(L25,'⚪设计'!$B$85:$H$104,5,FALSE)),0))</f>
        <v>15</v>
      </c>
      <c r="Q25" s="97" t="str">
        <f>IF(VLOOKUP($A25,'⚪设计'!$A$144:$N$196,9,FALSE)="","",VLOOKUP($A25,'⚪设计'!$A$144:$N$196,9,FALSE))</f>
        <v>蜘蛛1</v>
      </c>
      <c r="R25" s="97">
        <f t="shared" si="3"/>
        <v>15</v>
      </c>
      <c r="S25" s="97">
        <f>IF(VLOOKUP($A25,'⚪设计'!$A$144:$N$196,13,FALSE)="","",VLOOKUP($A25,'⚪设计'!$A$144:$N$196,13,FALSE))</f>
        <v>1</v>
      </c>
      <c r="T25" s="97">
        <f>IF(Q25="","",ROUND($D25*'⚪设计'!$D166/(IF($G25="",0,VLOOKUP($G25,'⚪设计'!$B$85:$H$104,4,FALSE)*$H25)+IF($L25="",0,VLOOKUP($L25,'⚪设计'!$B$85:$H$104,4,FALSE)*$M25)+IF($Q25="",0,VLOOKUP($Q25,'⚪设计'!$B$85:$H$104,4,FALSE)*$R25)+IF($V25="",0,VLOOKUP($V25,'⚪设计'!$B$85:$H$104,4,FALSE)*$W25))*IF(Q25="",0,VLOOKUP(Q25,'⚪设计'!$B$85:$H$104,4,FALSE)),0))</f>
        <v>198</v>
      </c>
      <c r="U25" s="97">
        <f>IF(Q25="","",ROUND(VLOOKUP($B25,战斗节奏!$A$4:$F$13,2,FALSE)/(IF($G25="",0,VLOOKUP($G25,'⚪设计'!$B$85:$H$104,5,FALSE)*$H25)+IF($L25="",0,VLOOKUP($L25,'⚪设计'!$B$85:$H$104,5,FALSE)*$M25)+IF($Q25="",0,VLOOKUP($Q25,'⚪设计'!$B$85:$H$104,5,FALSE)*$R25)+IF($V25="",0,VLOOKUP($V25,'⚪设计'!$B$85:$H$104,5,FALSE)*$W25))*IF(Q25="",0,VLOOKUP(Q25,'⚪设计'!$B$85:$H$104,5,FALSE)),0))</f>
        <v>7</v>
      </c>
      <c r="V25" s="97" t="str">
        <f>IF(VLOOKUP($A25,'⚪设计'!$A$144:$N$196,10,FALSE)="","",VLOOKUP($A25,'⚪设计'!$A$144:$N$196,10,FALSE))</f>
        <v/>
      </c>
      <c r="W25" s="97" t="str">
        <f t="shared" si="4"/>
        <v/>
      </c>
      <c r="X25" s="97" t="str">
        <f>IF(VLOOKUP($A25,'⚪设计'!$A$144:$N$196,14,FALSE)="","",VLOOKUP($A25,'⚪设计'!$A$144:$N$196,14,FALSE))</f>
        <v/>
      </c>
      <c r="Y25" s="97" t="str">
        <f>IF(V25="","",ROUND($D25*'⚪设计'!$D166/(IF($G25="",0,VLOOKUP($G25,'⚪设计'!$B$85:$H$104,4,FALSE)*$H25)+IF($L25="",0,VLOOKUP($L25,'⚪设计'!$B$85:$H$104,4,FALSE)*$M25)+IF($Q25="",0,VLOOKUP($Q25,'⚪设计'!$B$85:$H$104,4,FALSE)*$R25)+IF($V25="",0,VLOOKUP($V25,'⚪设计'!$B$85:$H$104,4,FALSE)*$W25))*IF(V25="",0,VLOOKUP(V25,'⚪设计'!$B$85:$H$104,4,FALSE)),0))</f>
        <v/>
      </c>
      <c r="Z25" s="97" t="str">
        <f>IF(V25="","",ROUND(VLOOKUP($B25,战斗节奏!$A$4:$F$13,2,FALSE)/(IF($G25="",0,VLOOKUP($G25,'⚪设计'!$B$85:$H$104,5,FALSE)*$H25)+IF($L25="",0,VLOOKUP($L25,'⚪设计'!$B$85:$H$104,5,FALSE)*$M25)+IF($Q25="",0,VLOOKUP($Q25,'⚪设计'!$B$85:$H$104,5,FALSE)*$R25)+IF($V25="",0,VLOOKUP($V25,'⚪设计'!$B$85:$H$104,5,FALSE)*$W25))*IF(V25="",0,VLOOKUP(V25,'⚪设计'!$B$85:$H$104,5,FALSE)),0))</f>
        <v/>
      </c>
    </row>
    <row r="26" spans="1:26" x14ac:dyDescent="0.2">
      <c r="A26" s="2" t="str">
        <f t="shared" si="0"/>
        <v>5_4</v>
      </c>
      <c r="B26" s="2">
        <v>5</v>
      </c>
      <c r="C26" s="2">
        <v>4</v>
      </c>
      <c r="D26" s="97">
        <f>VLOOKUP(C26,无限模式!$A$3:$B$22,2,FALSE)</f>
        <v>2160</v>
      </c>
      <c r="E26" s="98">
        <v>1</v>
      </c>
      <c r="F26" s="97">
        <f>'⚪设计'!F167</f>
        <v>17.5</v>
      </c>
      <c r="G26" s="97" t="str">
        <f>IF(VLOOKUP($A26,'⚪设计'!$A$144:$N$196,7,FALSE)="","",VLOOKUP($A26,'⚪设计'!$A$144:$N$196,7,FALSE))</f>
        <v>鬼1</v>
      </c>
      <c r="H26" s="97">
        <f t="shared" si="1"/>
        <v>12</v>
      </c>
      <c r="I26" s="97">
        <f>IF(VLOOKUP($A26,'⚪设计'!$A$144:$N$196,11,FALSE)="","",VLOOKUP($A26,'⚪设计'!$A$144:$N$196,11,FALSE))</f>
        <v>1.5</v>
      </c>
      <c r="J26" s="97">
        <f>IF(G26="","",ROUND($D26*'⚪设计'!$D167/(IF($G26="",0,VLOOKUP($G26,'⚪设计'!$B$85:$H$104,4,FALSE)*$H26)+IF($L26="",0,VLOOKUP($L26,'⚪设计'!$B$85:$H$104,4,FALSE)*$M26)+IF($Q26="",0,VLOOKUP($Q26,'⚪设计'!$B$85:$H$104,4,FALSE)*$R26)+IF($V26="",0,VLOOKUP($V26,'⚪设计'!$B$85:$H$104,4,FALSE)*$W26))*IF(G26="",0,VLOOKUP(G26,'⚪设计'!$B$85:$H$104,4,FALSE)),0))</f>
        <v>303</v>
      </c>
      <c r="K26" s="97">
        <f>IF(G26="","",ROUND(VLOOKUP($B26,战斗节奏!$A$4:$F$13,2,FALSE)/(IF($G26="",0,VLOOKUP($G26,'⚪设计'!$B$85:$H$104,5,FALSE)*$H26)+IF($L26="",0,VLOOKUP($L26,'⚪设计'!$B$85:$H$104,5,FALSE)*$M26)+IF($Q26="",0,VLOOKUP($Q26,'⚪设计'!$B$85:$H$104,5,FALSE)*$R26)+IF($V26="",0,VLOOKUP($V26,'⚪设计'!$B$85:$H$104,5,FALSE)*$W26))*IF(G26="",0,VLOOKUP(G26,'⚪设计'!$B$85:$H$104,5,FALSE)),0))</f>
        <v>8</v>
      </c>
      <c r="L26" s="97" t="str">
        <f>IF(VLOOKUP($A26,'⚪设计'!$A$144:$N$196,8,FALSE)="","",VLOOKUP($A26,'⚪设计'!$A$144:$N$196,8,FALSE))</f>
        <v>蝙蝠2</v>
      </c>
      <c r="M26" s="97">
        <f t="shared" si="2"/>
        <v>18</v>
      </c>
      <c r="N26" s="97">
        <f>IF(VLOOKUP($A26,'⚪设计'!$A$144:$N$196,12,FALSE)="","",VLOOKUP($A26,'⚪设计'!$A$144:$N$196,12,FALSE))</f>
        <v>1</v>
      </c>
      <c r="O26" s="97">
        <f>IF(L26="","",ROUND($D26*'⚪设计'!$D167/(IF($G26="",0,VLOOKUP($G26,'⚪设计'!$B$85:$H$104,4,FALSE)*$H26)+IF($L26="",0,VLOOKUP($L26,'⚪设计'!$B$85:$H$104,4,FALSE)*$M26)+IF($Q26="",0,VLOOKUP($Q26,'⚪设计'!$B$85:$H$104,4,FALSE)*$R26)+IF($V26="",0,VLOOKUP($V26,'⚪设计'!$B$85:$H$104,4,FALSE)*$W26))*IF(L26="",0,VLOOKUP(L26,'⚪设计'!$B$85:$H$104,4,FALSE)),0))</f>
        <v>303</v>
      </c>
      <c r="P26" s="97">
        <f>IF(L26="","",ROUND(VLOOKUP($B26,战斗节奏!$A$4:$F$13,2,FALSE)/(IF($G26="",0,VLOOKUP($G26,'⚪设计'!$B$85:$H$104,5,FALSE)*$H26)+IF($L26="",0,VLOOKUP($L26,'⚪设计'!$B$85:$H$104,5,FALSE)*$M26)+IF($Q26="",0,VLOOKUP($Q26,'⚪设计'!$B$85:$H$104,5,FALSE)*$R26)+IF($V26="",0,VLOOKUP($V26,'⚪设计'!$B$85:$H$104,5,FALSE)*$W26))*IF(L26="",0,VLOOKUP(L26,'⚪设计'!$B$85:$H$104,5,FALSE)),0))</f>
        <v>4</v>
      </c>
      <c r="Q26" s="97" t="str">
        <f>IF(VLOOKUP($A26,'⚪设计'!$A$144:$N$196,9,FALSE)="","",VLOOKUP($A26,'⚪设计'!$A$144:$N$196,9,FALSE))</f>
        <v>种子1</v>
      </c>
      <c r="R26" s="97">
        <f t="shared" si="3"/>
        <v>9</v>
      </c>
      <c r="S26" s="97">
        <f>IF(VLOOKUP($A26,'⚪设计'!$A$144:$N$196,13,FALSE)="","",VLOOKUP($A26,'⚪设计'!$A$144:$N$196,13,FALSE))</f>
        <v>2</v>
      </c>
      <c r="T26" s="97">
        <f>IF(Q26="","",ROUND($D26*'⚪设计'!$D167/(IF($G26="",0,VLOOKUP($G26,'⚪设计'!$B$85:$H$104,4,FALSE)*$H26)+IF($L26="",0,VLOOKUP($L26,'⚪设计'!$B$85:$H$104,4,FALSE)*$M26)+IF($Q26="",0,VLOOKUP($Q26,'⚪设计'!$B$85:$H$104,4,FALSE)*$R26)+IF($V26="",0,VLOOKUP($V26,'⚪设计'!$B$85:$H$104,4,FALSE)*$W26))*IF(Q26="",0,VLOOKUP(Q26,'⚪设计'!$B$85:$H$104,4,FALSE)),0))</f>
        <v>909</v>
      </c>
      <c r="U26" s="97">
        <f>IF(Q26="","",ROUND(VLOOKUP($B26,战斗节奏!$A$4:$F$13,2,FALSE)/(IF($G26="",0,VLOOKUP($G26,'⚪设计'!$B$85:$H$104,5,FALSE)*$H26)+IF($L26="",0,VLOOKUP($L26,'⚪设计'!$B$85:$H$104,5,FALSE)*$M26)+IF($Q26="",0,VLOOKUP($Q26,'⚪设计'!$B$85:$H$104,5,FALSE)*$R26)+IF($V26="",0,VLOOKUP($V26,'⚪设计'!$B$85:$H$104,5,FALSE)*$W26))*IF(Q26="",0,VLOOKUP(Q26,'⚪设计'!$B$85:$H$104,5,FALSE)),0))</f>
        <v>15</v>
      </c>
      <c r="V26" s="97" t="str">
        <f>IF(VLOOKUP($A26,'⚪设计'!$A$144:$N$196,10,FALSE)="","",VLOOKUP($A26,'⚪设计'!$A$144:$N$196,10,FALSE))</f>
        <v/>
      </c>
      <c r="W26" s="97" t="str">
        <f t="shared" si="4"/>
        <v/>
      </c>
      <c r="X26" s="97" t="str">
        <f>IF(VLOOKUP($A26,'⚪设计'!$A$144:$N$196,14,FALSE)="","",VLOOKUP($A26,'⚪设计'!$A$144:$N$196,14,FALSE))</f>
        <v/>
      </c>
      <c r="Y26" s="97" t="str">
        <f>IF(V26="","",ROUND($D26*'⚪设计'!$D167/(IF($G26="",0,VLOOKUP($G26,'⚪设计'!$B$85:$H$104,4,FALSE)*$H26)+IF($L26="",0,VLOOKUP($L26,'⚪设计'!$B$85:$H$104,4,FALSE)*$M26)+IF($Q26="",0,VLOOKUP($Q26,'⚪设计'!$B$85:$H$104,4,FALSE)*$R26)+IF($V26="",0,VLOOKUP($V26,'⚪设计'!$B$85:$H$104,4,FALSE)*$W26))*IF(V26="",0,VLOOKUP(V26,'⚪设计'!$B$85:$H$104,4,FALSE)),0))</f>
        <v/>
      </c>
      <c r="Z26" s="97" t="str">
        <f>IF(V26="","",ROUND(VLOOKUP($B26,战斗节奏!$A$4:$F$13,2,FALSE)/(IF($G26="",0,VLOOKUP($G26,'⚪设计'!$B$85:$H$104,5,FALSE)*$H26)+IF($L26="",0,VLOOKUP($L26,'⚪设计'!$B$85:$H$104,5,FALSE)*$M26)+IF($Q26="",0,VLOOKUP($Q26,'⚪设计'!$B$85:$H$104,5,FALSE)*$R26)+IF($V26="",0,VLOOKUP($V26,'⚪设计'!$B$85:$H$104,5,FALSE)*$W26))*IF(V26="",0,VLOOKUP(V26,'⚪设计'!$B$85:$H$104,5,FALSE)),0))</f>
        <v/>
      </c>
    </row>
    <row r="27" spans="1:26" x14ac:dyDescent="0.2">
      <c r="A27" s="2" t="str">
        <f t="shared" si="0"/>
        <v>5_5</v>
      </c>
      <c r="B27" s="2">
        <v>5</v>
      </c>
      <c r="C27" s="2">
        <v>5</v>
      </c>
      <c r="D27" s="97">
        <f>VLOOKUP(C27,无限模式!$A$3:$B$22,2,FALSE)</f>
        <v>2700</v>
      </c>
      <c r="E27" s="98">
        <v>1</v>
      </c>
      <c r="F27" s="97">
        <f>'⚪设计'!F168</f>
        <v>20</v>
      </c>
      <c r="G27" s="97" t="str">
        <f>IF(VLOOKUP($A27,'⚪设计'!$A$144:$N$196,7,FALSE)="","",VLOOKUP($A27,'⚪设计'!$A$144:$N$196,7,FALSE))</f>
        <v>鬼1</v>
      </c>
      <c r="H27" s="97">
        <f t="shared" si="1"/>
        <v>40</v>
      </c>
      <c r="I27" s="97">
        <f>IF(VLOOKUP($A27,'⚪设计'!$A$144:$N$196,11,FALSE)="","",VLOOKUP($A27,'⚪设计'!$A$144:$N$196,11,FALSE))</f>
        <v>0.5</v>
      </c>
      <c r="J27" s="97">
        <f>IF(G27="","",ROUND($D27*'⚪设计'!$D168/(IF($G27="",0,VLOOKUP($G27,'⚪设计'!$B$85:$H$104,4,FALSE)*$H27)+IF($L27="",0,VLOOKUP($L27,'⚪设计'!$B$85:$H$104,4,FALSE)*$M27)+IF($Q27="",0,VLOOKUP($Q27,'⚪设计'!$B$85:$H$104,4,FALSE)*$R27)+IF($V27="",0,VLOOKUP($V27,'⚪设计'!$B$85:$H$104,4,FALSE)*$W27))*IF(G27="",0,VLOOKUP(G27,'⚪设计'!$B$85:$H$104,4,FALSE)),0))</f>
        <v>270</v>
      </c>
      <c r="K27" s="97">
        <f>IF(G27="","",ROUND(VLOOKUP($B27,战斗节奏!$A$4:$F$13,2,FALSE)/(IF($G27="",0,VLOOKUP($G27,'⚪设计'!$B$85:$H$104,5,FALSE)*$H27)+IF($L27="",0,VLOOKUP($L27,'⚪设计'!$B$85:$H$104,5,FALSE)*$M27)+IF($Q27="",0,VLOOKUP($Q27,'⚪设计'!$B$85:$H$104,5,FALSE)*$R27)+IF($V27="",0,VLOOKUP($V27,'⚪设计'!$B$85:$H$104,5,FALSE)*$W27))*IF(G27="",0,VLOOKUP(G27,'⚪设计'!$B$85:$H$104,5,FALSE)),0))</f>
        <v>3</v>
      </c>
      <c r="L27" s="97" t="str">
        <f>IF(VLOOKUP($A27,'⚪设计'!$A$144:$N$196,8,FALSE)="","",VLOOKUP($A27,'⚪设计'!$A$144:$N$196,8,FALSE))</f>
        <v>种子1</v>
      </c>
      <c r="M27" s="97">
        <f t="shared" si="2"/>
        <v>10</v>
      </c>
      <c r="N27" s="97">
        <f>IF(VLOOKUP($A27,'⚪设计'!$A$144:$N$196,12,FALSE)="","",VLOOKUP($A27,'⚪设计'!$A$144:$N$196,12,FALSE))</f>
        <v>2</v>
      </c>
      <c r="O27" s="97">
        <f>IF(L27="","",ROUND($D27*'⚪设计'!$D168/(IF($G27="",0,VLOOKUP($G27,'⚪设计'!$B$85:$H$104,4,FALSE)*$H27)+IF($L27="",0,VLOOKUP($L27,'⚪设计'!$B$85:$H$104,4,FALSE)*$M27)+IF($Q27="",0,VLOOKUP($Q27,'⚪设计'!$B$85:$H$104,4,FALSE)*$R27)+IF($V27="",0,VLOOKUP($V27,'⚪设计'!$B$85:$H$104,4,FALSE)*$W27))*IF(L27="",0,VLOOKUP(L27,'⚪设计'!$B$85:$H$104,4,FALSE)),0))</f>
        <v>810</v>
      </c>
      <c r="P27" s="97">
        <f>IF(L27="","",ROUND(VLOOKUP($B27,战斗节奏!$A$4:$F$13,2,FALSE)/(IF($G27="",0,VLOOKUP($G27,'⚪设计'!$B$85:$H$104,5,FALSE)*$H27)+IF($L27="",0,VLOOKUP($L27,'⚪设计'!$B$85:$H$104,5,FALSE)*$M27)+IF($Q27="",0,VLOOKUP($Q27,'⚪设计'!$B$85:$H$104,5,FALSE)*$R27)+IF($V27="",0,VLOOKUP($V27,'⚪设计'!$B$85:$H$104,5,FALSE)*$W27))*IF(L27="",0,VLOOKUP(L27,'⚪设计'!$B$85:$H$104,5,FALSE)),0))</f>
        <v>6</v>
      </c>
      <c r="Q27" s="97" t="str">
        <f>IF(VLOOKUP($A27,'⚪设计'!$A$144:$N$196,9,FALSE)="","",VLOOKUP($A27,'⚪设计'!$A$144:$N$196,9,FALSE))</f>
        <v>蜘蛛1</v>
      </c>
      <c r="R27" s="97">
        <f t="shared" si="3"/>
        <v>20</v>
      </c>
      <c r="S27" s="97">
        <f>IF(VLOOKUP($A27,'⚪设计'!$A$144:$N$196,13,FALSE)="","",VLOOKUP($A27,'⚪设计'!$A$144:$N$196,13,FALSE))</f>
        <v>1</v>
      </c>
      <c r="T27" s="97">
        <f>IF(Q27="","",ROUND($D27*'⚪设计'!$D168/(IF($G27="",0,VLOOKUP($G27,'⚪设计'!$B$85:$H$104,4,FALSE)*$H27)+IF($L27="",0,VLOOKUP($L27,'⚪设计'!$B$85:$H$104,4,FALSE)*$M27)+IF($Q27="",0,VLOOKUP($Q27,'⚪设计'!$B$85:$H$104,4,FALSE)*$R27)+IF($V27="",0,VLOOKUP($V27,'⚪设计'!$B$85:$H$104,4,FALSE)*$W27))*IF(Q27="",0,VLOOKUP(Q27,'⚪设计'!$B$85:$H$104,4,FALSE)),0))</f>
        <v>270</v>
      </c>
      <c r="U27" s="97">
        <f>IF(Q27="","",ROUND(VLOOKUP($B27,战斗节奏!$A$4:$F$13,2,FALSE)/(IF($G27="",0,VLOOKUP($G27,'⚪设计'!$B$85:$H$104,5,FALSE)*$H27)+IF($L27="",0,VLOOKUP($L27,'⚪设计'!$B$85:$H$104,5,FALSE)*$M27)+IF($Q27="",0,VLOOKUP($Q27,'⚪设计'!$B$85:$H$104,5,FALSE)*$R27)+IF($V27="",0,VLOOKUP($V27,'⚪设计'!$B$85:$H$104,5,FALSE)*$W27))*IF(Q27="",0,VLOOKUP(Q27,'⚪设计'!$B$85:$H$104,5,FALSE)),0))</f>
        <v>3</v>
      </c>
      <c r="V27" s="97" t="str">
        <f>IF(VLOOKUP($A27,'⚪设计'!$A$144:$N$196,10,FALSE)="","",VLOOKUP($A27,'⚪设计'!$A$144:$N$196,10,FALSE))</f>
        <v>蝙蝠2</v>
      </c>
      <c r="W27" s="97">
        <f t="shared" si="4"/>
        <v>50</v>
      </c>
      <c r="X27" s="97">
        <f>IF(VLOOKUP($A27,'⚪设计'!$A$144:$N$196,14,FALSE)="","",VLOOKUP($A27,'⚪设计'!$A$144:$N$196,14,FALSE))</f>
        <v>0.4</v>
      </c>
      <c r="Y27" s="97">
        <f>IF(V27="","",ROUND($D27*'⚪设计'!$D168/(IF($G27="",0,VLOOKUP($G27,'⚪设计'!$B$85:$H$104,4,FALSE)*$H27)+IF($L27="",0,VLOOKUP($L27,'⚪设计'!$B$85:$H$104,4,FALSE)*$M27)+IF($Q27="",0,VLOOKUP($Q27,'⚪设计'!$B$85:$H$104,4,FALSE)*$R27)+IF($V27="",0,VLOOKUP($V27,'⚪设计'!$B$85:$H$104,4,FALSE)*$W27))*IF(V27="",0,VLOOKUP(V27,'⚪设计'!$B$85:$H$104,4,FALSE)),0))</f>
        <v>270</v>
      </c>
      <c r="Z27" s="97">
        <f>IF(V27="","",ROUND(VLOOKUP($B27,战斗节奏!$A$4:$F$13,2,FALSE)/(IF($G27="",0,VLOOKUP($G27,'⚪设计'!$B$85:$H$104,5,FALSE)*$H27)+IF($L27="",0,VLOOKUP($L27,'⚪设计'!$B$85:$H$104,5,FALSE)*$M27)+IF($Q27="",0,VLOOKUP($Q27,'⚪设计'!$B$85:$H$104,5,FALSE)*$R27)+IF($V27="",0,VLOOKUP($V27,'⚪设计'!$B$85:$H$104,5,FALSE)*$W27))*IF(V27="",0,VLOOKUP(V27,'⚪设计'!$B$85:$H$104,5,FALSE)),0))</f>
        <v>1</v>
      </c>
    </row>
    <row r="28" spans="1:26" x14ac:dyDescent="0.2">
      <c r="A28" s="2" t="str">
        <f t="shared" si="0"/>
        <v>6_1</v>
      </c>
      <c r="B28" s="2">
        <v>6</v>
      </c>
      <c r="C28" s="2">
        <v>1</v>
      </c>
      <c r="D28" s="97">
        <f>VLOOKUP(C28,无限模式!$A$3:$B$22,2,FALSE)</f>
        <v>540</v>
      </c>
      <c r="E28" s="98">
        <v>1</v>
      </c>
      <c r="F28" s="97">
        <f>'⚪设计'!F169</f>
        <v>10</v>
      </c>
      <c r="G28" s="97" t="str">
        <f>IF(VLOOKUP($A28,'⚪设计'!$A$144:$N$196,7,FALSE)="","",VLOOKUP($A28,'⚪设计'!$A$144:$N$196,7,FALSE))</f>
        <v>鬼2</v>
      </c>
      <c r="H28" s="97">
        <f>IF(I28=0,1,IF(I28="","",ROUND($F28/I28,0)))</f>
        <v>7</v>
      </c>
      <c r="I28" s="97">
        <f>IF(VLOOKUP($A28,'⚪设计'!$A$144:$N$196,11,FALSE)="","",VLOOKUP($A28,'⚪设计'!$A$144:$N$196,11,FALSE))</f>
        <v>1.5</v>
      </c>
      <c r="J28" s="97">
        <f>IF(G28="","",ROUND($D28*'⚪设计'!$D169/(IF($G28="",0,VLOOKUP($G28,'⚪设计'!$B$85:$H$104,4,FALSE)*$H28)+IF($L28="",0,VLOOKUP($L28,'⚪设计'!$B$85:$H$104,4,FALSE)*$M28)+IF($Q28="",0,VLOOKUP($Q28,'⚪设计'!$B$85:$H$104,4,FALSE)*$R28)+IF($V28="",0,VLOOKUP($V28,'⚪设计'!$B$85:$H$104,4,FALSE)*$W28))*IF(G28="",0,VLOOKUP(G28,'⚪设计'!$B$85:$H$104,4,FALSE)),0))</f>
        <v>215</v>
      </c>
      <c r="K28" s="97">
        <f>IF(G28="","",ROUND(VLOOKUP($B28,战斗节奏!$A$4:$F$13,2,FALSE)/(IF($G28="",0,VLOOKUP($G28,'⚪设计'!$B$85:$H$104,5,FALSE)*$H28)+IF($L28="",0,VLOOKUP($L28,'⚪设计'!$B$85:$H$104,5,FALSE)*$M28)+IF($Q28="",0,VLOOKUP($Q28,'⚪设计'!$B$85:$H$104,5,FALSE)*$R28)+IF($V28="",0,VLOOKUP($V28,'⚪设计'!$B$85:$H$104,5,FALSE)*$W28))*IF(G28="",0,VLOOKUP(G28,'⚪设计'!$B$85:$H$104,5,FALSE)),0))</f>
        <v>18</v>
      </c>
      <c r="L28" s="97" t="str">
        <f>IF(VLOOKUP($A28,'⚪设计'!$A$144:$N$196,8,FALSE)="","",VLOOKUP($A28,'⚪设计'!$A$144:$N$196,8,FALSE))</f>
        <v>种子1</v>
      </c>
      <c r="M28" s="97">
        <f>IF(N28=0,1,IF(N28="","",ROUND($F28/N28,0)))</f>
        <v>5</v>
      </c>
      <c r="N28" s="97">
        <f>IF(VLOOKUP($A28,'⚪设计'!$A$144:$N$196,12,FALSE)="","",VLOOKUP($A28,'⚪设计'!$A$144:$N$196,12,FALSE))</f>
        <v>2</v>
      </c>
      <c r="O28" s="97">
        <f>IF(L28="","",ROUND($D28*'⚪设计'!$D169/(IF($G28="",0,VLOOKUP($G28,'⚪设计'!$B$85:$H$104,4,FALSE)*$H28)+IF($L28="",0,VLOOKUP($L28,'⚪设计'!$B$85:$H$104,4,FALSE)*$M28)+IF($Q28="",0,VLOOKUP($Q28,'⚪设计'!$B$85:$H$104,4,FALSE)*$R28)+IF($V28="",0,VLOOKUP($V28,'⚪设计'!$B$85:$H$104,4,FALSE)*$W28))*IF(L28="",0,VLOOKUP(L28,'⚪设计'!$B$85:$H$104,4,FALSE)),0))</f>
        <v>322</v>
      </c>
      <c r="P28" s="97">
        <f>IF(L28="","",ROUND(VLOOKUP($B28,战斗节奏!$A$4:$F$13,2,FALSE)/(IF($G28="",0,VLOOKUP($G28,'⚪设计'!$B$85:$H$104,5,FALSE)*$H28)+IF($L28="",0,VLOOKUP($L28,'⚪设计'!$B$85:$H$104,5,FALSE)*$M28)+IF($Q28="",0,VLOOKUP($Q28,'⚪设计'!$B$85:$H$104,5,FALSE)*$R28)+IF($V28="",0,VLOOKUP($V28,'⚪设计'!$B$85:$H$104,5,FALSE)*$W28))*IF(L28="",0,VLOOKUP(L28,'⚪设计'!$B$85:$H$104,5,FALSE)),0))</f>
        <v>35</v>
      </c>
      <c r="Q28" s="97" t="str">
        <f>IF(VLOOKUP($A28,'⚪设计'!$A$144:$N$196,9,FALSE)="","",VLOOKUP($A28,'⚪设计'!$A$144:$N$196,9,FALSE))</f>
        <v/>
      </c>
      <c r="R28" s="97" t="str">
        <f>IF(S28=0,1,IF(S28="","",ROUND($F28/S28,0)))</f>
        <v/>
      </c>
      <c r="S28" s="97" t="str">
        <f>IF(VLOOKUP($A28,'⚪设计'!$A$144:$N$196,13,FALSE)="","",VLOOKUP($A28,'⚪设计'!$A$144:$N$196,13,FALSE))</f>
        <v/>
      </c>
      <c r="T28" s="97" t="str">
        <f>IF(Q28="","",ROUND($D28*'⚪设计'!$D169/(IF($G28="",0,VLOOKUP($G28,'⚪设计'!$B$85:$H$104,4,FALSE)*$H28)+IF($L28="",0,VLOOKUP($L28,'⚪设计'!$B$85:$H$104,4,FALSE)*$M28)+IF($Q28="",0,VLOOKUP($Q28,'⚪设计'!$B$85:$H$104,4,FALSE)*$R28)+IF($V28="",0,VLOOKUP($V28,'⚪设计'!$B$85:$H$104,4,FALSE)*$W28))*IF(Q28="",0,VLOOKUP(Q28,'⚪设计'!$B$85:$H$104,4,FALSE)),0))</f>
        <v/>
      </c>
      <c r="U28" s="97" t="str">
        <f>IF(Q28="","",ROUND(VLOOKUP($B28,战斗节奏!$A$4:$F$13,2,FALSE)/(IF($G28="",0,VLOOKUP($G28,'⚪设计'!$B$85:$H$104,5,FALSE)*$H28)+IF($L28="",0,VLOOKUP($L28,'⚪设计'!$B$85:$H$104,5,FALSE)*$M28)+IF($Q28="",0,VLOOKUP($Q28,'⚪设计'!$B$85:$H$104,5,FALSE)*$R28)+IF($V28="",0,VLOOKUP($V28,'⚪设计'!$B$85:$H$104,5,FALSE)*$W28))*IF(Q28="",0,VLOOKUP(Q28,'⚪设计'!$B$85:$H$104,5,FALSE)),0))</f>
        <v/>
      </c>
      <c r="V28" s="97" t="str">
        <f>IF(VLOOKUP($A28,'⚪设计'!$A$144:$N$196,10,FALSE)="","",VLOOKUP($A28,'⚪设计'!$A$144:$N$196,10,FALSE))</f>
        <v/>
      </c>
      <c r="W28" s="97" t="str">
        <f>IF(X28=0,1,IF(X28="","",ROUND($F28/X28,0)))</f>
        <v/>
      </c>
      <c r="X28" s="97" t="str">
        <f>IF(VLOOKUP($A28,'⚪设计'!$A$144:$N$196,14,FALSE)="","",VLOOKUP($A28,'⚪设计'!$A$144:$N$196,14,FALSE))</f>
        <v/>
      </c>
      <c r="Y28" s="97" t="str">
        <f>IF(V28="","",ROUND($D28*'⚪设计'!$D169/(IF($G28="",0,VLOOKUP($G28,'⚪设计'!$B$85:$H$104,4,FALSE)*$H28)+IF($L28="",0,VLOOKUP($L28,'⚪设计'!$B$85:$H$104,4,FALSE)*$M28)+IF($Q28="",0,VLOOKUP($Q28,'⚪设计'!$B$85:$H$104,4,FALSE)*$R28)+IF($V28="",0,VLOOKUP($V28,'⚪设计'!$B$85:$H$104,4,FALSE)*$W28))*IF(V28="",0,VLOOKUP(V28,'⚪设计'!$B$85:$H$104,4,FALSE)),0))</f>
        <v/>
      </c>
      <c r="Z28" s="97" t="str">
        <f>IF(V28="","",ROUND(VLOOKUP($B28,战斗节奏!$A$4:$F$13,2,FALSE)/(IF($G28="",0,VLOOKUP($G28,'⚪设计'!$B$85:$H$104,5,FALSE)*$H28)+IF($L28="",0,VLOOKUP($L28,'⚪设计'!$B$85:$H$104,5,FALSE)*$M28)+IF($Q28="",0,VLOOKUP($Q28,'⚪设计'!$B$85:$H$104,5,FALSE)*$R28)+IF($V28="",0,VLOOKUP($V28,'⚪设计'!$B$85:$H$104,5,FALSE)*$W28))*IF(V28="",0,VLOOKUP(V28,'⚪设计'!$B$85:$H$104,5,FALSE)),0))</f>
        <v/>
      </c>
    </row>
    <row r="29" spans="1:26" x14ac:dyDescent="0.2">
      <c r="A29" s="2" t="str">
        <f t="shared" si="0"/>
        <v>6_2</v>
      </c>
      <c r="B29" s="2">
        <v>6</v>
      </c>
      <c r="C29" s="2">
        <v>2</v>
      </c>
      <c r="D29" s="97">
        <f>VLOOKUP(C29,无限模式!$A$3:$B$22,2,FALSE)</f>
        <v>1080</v>
      </c>
      <c r="E29" s="98">
        <v>1</v>
      </c>
      <c r="F29" s="97">
        <f>'⚪设计'!F170</f>
        <v>12.5</v>
      </c>
      <c r="G29" s="97" t="str">
        <f>IF(VLOOKUP($A29,'⚪设计'!$A$144:$N$196,7,FALSE)="","",VLOOKUP($A29,'⚪设计'!$A$144:$N$196,7,FALSE))</f>
        <v>鬼2</v>
      </c>
      <c r="H29" s="97">
        <f t="shared" si="1"/>
        <v>8</v>
      </c>
      <c r="I29" s="97">
        <f>IF(VLOOKUP($A29,'⚪设计'!$A$144:$N$196,11,FALSE)="","",VLOOKUP($A29,'⚪设计'!$A$144:$N$196,11,FALSE))</f>
        <v>1.5</v>
      </c>
      <c r="J29" s="97">
        <f>IF(G29="","",ROUND($D29*'⚪设计'!$D170/(IF($G29="",0,VLOOKUP($G29,'⚪设计'!$B$85:$H$104,4,FALSE)*$H29)+IF($L29="",0,VLOOKUP($L29,'⚪设计'!$B$85:$H$104,4,FALSE)*$M29)+IF($Q29="",0,VLOOKUP($Q29,'⚪设计'!$B$85:$H$104,4,FALSE)*$R29)+IF($V29="",0,VLOOKUP($V29,'⚪设计'!$B$85:$H$104,4,FALSE)*$W29))*IF(G29="",0,VLOOKUP(G29,'⚪设计'!$B$85:$H$104,4,FALSE)),0))</f>
        <v>276</v>
      </c>
      <c r="K29" s="97">
        <f>IF(G29="","",ROUND(VLOOKUP($B29,战斗节奏!$A$4:$F$13,2,FALSE)/(IF($G29="",0,VLOOKUP($G29,'⚪设计'!$B$85:$H$104,5,FALSE)*$H29)+IF($L29="",0,VLOOKUP($L29,'⚪设计'!$B$85:$H$104,5,FALSE)*$M29)+IF($Q29="",0,VLOOKUP($Q29,'⚪设计'!$B$85:$H$104,5,FALSE)*$R29)+IF($V29="",0,VLOOKUP($V29,'⚪设计'!$B$85:$H$104,5,FALSE)*$W29))*IF(G29="",0,VLOOKUP(G29,'⚪设计'!$B$85:$H$104,5,FALSE)),0))</f>
        <v>9</v>
      </c>
      <c r="L29" s="97" t="str">
        <f>IF(VLOOKUP($A29,'⚪设计'!$A$144:$N$196,8,FALSE)="","",VLOOKUP($A29,'⚪设计'!$A$144:$N$196,8,FALSE))</f>
        <v>蜘蛛1</v>
      </c>
      <c r="M29" s="97">
        <f t="shared" si="2"/>
        <v>13</v>
      </c>
      <c r="N29" s="97">
        <f>IF(VLOOKUP($A29,'⚪设计'!$A$144:$N$196,12,FALSE)="","",VLOOKUP($A29,'⚪设计'!$A$144:$N$196,12,FALSE))</f>
        <v>1</v>
      </c>
      <c r="O29" s="97">
        <f>IF(L29="","",ROUND($D29*'⚪设计'!$D170/(IF($G29="",0,VLOOKUP($G29,'⚪设计'!$B$85:$H$104,4,FALSE)*$H29)+IF($L29="",0,VLOOKUP($L29,'⚪设计'!$B$85:$H$104,4,FALSE)*$M29)+IF($Q29="",0,VLOOKUP($Q29,'⚪设计'!$B$85:$H$104,4,FALSE)*$R29)+IF($V29="",0,VLOOKUP($V29,'⚪设计'!$B$85:$H$104,4,FALSE)*$W29))*IF(L29="",0,VLOOKUP(L29,'⚪设计'!$B$85:$H$104,4,FALSE)),0))</f>
        <v>138</v>
      </c>
      <c r="P29" s="97">
        <f>IF(L29="","",ROUND(VLOOKUP($B29,战斗节奏!$A$4:$F$13,2,FALSE)/(IF($G29="",0,VLOOKUP($G29,'⚪设计'!$B$85:$H$104,5,FALSE)*$H29)+IF($L29="",0,VLOOKUP($L29,'⚪设计'!$B$85:$H$104,5,FALSE)*$M29)+IF($Q29="",0,VLOOKUP($Q29,'⚪设计'!$B$85:$H$104,5,FALSE)*$R29)+IF($V29="",0,VLOOKUP($V29,'⚪设计'!$B$85:$H$104,5,FALSE)*$W29))*IF(L29="",0,VLOOKUP(L29,'⚪设计'!$B$85:$H$104,5,FALSE)),0))</f>
        <v>9</v>
      </c>
      <c r="Q29" s="97" t="str">
        <f>IF(VLOOKUP($A29,'⚪设计'!$A$144:$N$196,9,FALSE)="","",VLOOKUP($A29,'⚪设计'!$A$144:$N$196,9,FALSE))</f>
        <v>种子1</v>
      </c>
      <c r="R29" s="97">
        <f t="shared" si="3"/>
        <v>6</v>
      </c>
      <c r="S29" s="97">
        <f>IF(VLOOKUP($A29,'⚪设计'!$A$144:$N$196,13,FALSE)="","",VLOOKUP($A29,'⚪设计'!$A$144:$N$196,13,FALSE))</f>
        <v>2</v>
      </c>
      <c r="T29" s="97">
        <f>IF(Q29="","",ROUND($D29*'⚪设计'!$D170/(IF($G29="",0,VLOOKUP($G29,'⚪设计'!$B$85:$H$104,4,FALSE)*$H29)+IF($L29="",0,VLOOKUP($L29,'⚪设计'!$B$85:$H$104,4,FALSE)*$M29)+IF($Q29="",0,VLOOKUP($Q29,'⚪设计'!$B$85:$H$104,4,FALSE)*$R29)+IF($V29="",0,VLOOKUP($V29,'⚪设计'!$B$85:$H$104,4,FALSE)*$W29))*IF(Q29="",0,VLOOKUP(Q29,'⚪设计'!$B$85:$H$104,4,FALSE)),0))</f>
        <v>414</v>
      </c>
      <c r="U29" s="97">
        <f>IF(Q29="","",ROUND(VLOOKUP($B29,战斗节奏!$A$4:$F$13,2,FALSE)/(IF($G29="",0,VLOOKUP($G29,'⚪设计'!$B$85:$H$104,5,FALSE)*$H29)+IF($L29="",0,VLOOKUP($L29,'⚪设计'!$B$85:$H$104,5,FALSE)*$M29)+IF($Q29="",0,VLOOKUP($Q29,'⚪设计'!$B$85:$H$104,5,FALSE)*$R29)+IF($V29="",0,VLOOKUP($V29,'⚪设计'!$B$85:$H$104,5,FALSE)*$W29))*IF(Q29="",0,VLOOKUP(Q29,'⚪设计'!$B$85:$H$104,5,FALSE)),0))</f>
        <v>18</v>
      </c>
      <c r="V29" s="97" t="str">
        <f>IF(VLOOKUP($A29,'⚪设计'!$A$144:$N$196,10,FALSE)="","",VLOOKUP($A29,'⚪设计'!$A$144:$N$196,10,FALSE))</f>
        <v/>
      </c>
      <c r="W29" s="97" t="str">
        <f t="shared" si="4"/>
        <v/>
      </c>
      <c r="X29" s="97" t="str">
        <f>IF(VLOOKUP($A29,'⚪设计'!$A$144:$N$196,14,FALSE)="","",VLOOKUP($A29,'⚪设计'!$A$144:$N$196,14,FALSE))</f>
        <v/>
      </c>
      <c r="Y29" s="97" t="str">
        <f>IF(V29="","",ROUND($D29*'⚪设计'!$D170/(IF($G29="",0,VLOOKUP($G29,'⚪设计'!$B$85:$H$104,4,FALSE)*$H29)+IF($L29="",0,VLOOKUP($L29,'⚪设计'!$B$85:$H$104,4,FALSE)*$M29)+IF($Q29="",0,VLOOKUP($Q29,'⚪设计'!$B$85:$H$104,4,FALSE)*$R29)+IF($V29="",0,VLOOKUP($V29,'⚪设计'!$B$85:$H$104,4,FALSE)*$W29))*IF(V29="",0,VLOOKUP(V29,'⚪设计'!$B$85:$H$104,4,FALSE)),0))</f>
        <v/>
      </c>
      <c r="Z29" s="97" t="str">
        <f>IF(V29="","",ROUND(VLOOKUP($B29,战斗节奏!$A$4:$F$13,2,FALSE)/(IF($G29="",0,VLOOKUP($G29,'⚪设计'!$B$85:$H$104,5,FALSE)*$H29)+IF($L29="",0,VLOOKUP($L29,'⚪设计'!$B$85:$H$104,5,FALSE)*$M29)+IF($Q29="",0,VLOOKUP($Q29,'⚪设计'!$B$85:$H$104,5,FALSE)*$R29)+IF($V29="",0,VLOOKUP($V29,'⚪设计'!$B$85:$H$104,5,FALSE)*$W29))*IF(V29="",0,VLOOKUP(V29,'⚪设计'!$B$85:$H$104,5,FALSE)),0))</f>
        <v/>
      </c>
    </row>
    <row r="30" spans="1:26" x14ac:dyDescent="0.2">
      <c r="A30" s="2" t="str">
        <f t="shared" si="0"/>
        <v>6_3</v>
      </c>
      <c r="B30" s="2">
        <v>6</v>
      </c>
      <c r="C30" s="2">
        <v>3</v>
      </c>
      <c r="D30" s="97">
        <f>VLOOKUP(C30,无限模式!$A$3:$B$22,2,FALSE)</f>
        <v>1620</v>
      </c>
      <c r="E30" s="98">
        <v>1</v>
      </c>
      <c r="F30" s="97">
        <f>'⚪设计'!F171</f>
        <v>15</v>
      </c>
      <c r="G30" s="97" t="str">
        <f>IF(VLOOKUP($A30,'⚪设计'!$A$144:$N$196,7,FALSE)="","",VLOOKUP($A30,'⚪设计'!$A$144:$N$196,7,FALSE))</f>
        <v>鬼2</v>
      </c>
      <c r="H30" s="97">
        <f t="shared" si="1"/>
        <v>10</v>
      </c>
      <c r="I30" s="97">
        <f>IF(VLOOKUP($A30,'⚪设计'!$A$144:$N$196,11,FALSE)="","",VLOOKUP($A30,'⚪设计'!$A$144:$N$196,11,FALSE))</f>
        <v>1.5</v>
      </c>
      <c r="J30" s="97">
        <f>IF(G30="","",ROUND($D30*'⚪设计'!$D171/(IF($G30="",0,VLOOKUP($G30,'⚪设计'!$B$85:$H$104,4,FALSE)*$H30)+IF($L30="",0,VLOOKUP($L30,'⚪设计'!$B$85:$H$104,4,FALSE)*$M30)+IF($Q30="",0,VLOOKUP($Q30,'⚪设计'!$B$85:$H$104,4,FALSE)*$R30)+IF($V30="",0,VLOOKUP($V30,'⚪设计'!$B$85:$H$104,4,FALSE)*$W30))*IF(G30="",0,VLOOKUP(G30,'⚪设计'!$B$85:$H$104,4,FALSE)),0))</f>
        <v>299</v>
      </c>
      <c r="K30" s="97">
        <f>IF(G30="","",ROUND(VLOOKUP($B30,战斗节奏!$A$4:$F$13,2,FALSE)/(IF($G30="",0,VLOOKUP($G30,'⚪设计'!$B$85:$H$104,5,FALSE)*$H30)+IF($L30="",0,VLOOKUP($L30,'⚪设计'!$B$85:$H$104,5,FALSE)*$M30)+IF($Q30="",0,VLOOKUP($Q30,'⚪设计'!$B$85:$H$104,5,FALSE)*$R30)+IF($V30="",0,VLOOKUP($V30,'⚪设计'!$B$85:$H$104,5,FALSE)*$W30))*IF(G30="",0,VLOOKUP(G30,'⚪设计'!$B$85:$H$104,5,FALSE)),0))</f>
        <v>5</v>
      </c>
      <c r="L30" s="97" t="str">
        <f>IF(VLOOKUP($A30,'⚪设计'!$A$144:$N$196,8,FALSE)="","",VLOOKUP($A30,'⚪设计'!$A$144:$N$196,8,FALSE))</f>
        <v>种子1</v>
      </c>
      <c r="M30" s="97">
        <f t="shared" si="2"/>
        <v>8</v>
      </c>
      <c r="N30" s="97">
        <f>IF(VLOOKUP($A30,'⚪设计'!$A$144:$N$196,12,FALSE)="","",VLOOKUP($A30,'⚪设计'!$A$144:$N$196,12,FALSE))</f>
        <v>2</v>
      </c>
      <c r="O30" s="97">
        <f>IF(L30="","",ROUND($D30*'⚪设计'!$D171/(IF($G30="",0,VLOOKUP($G30,'⚪设计'!$B$85:$H$104,4,FALSE)*$H30)+IF($L30="",0,VLOOKUP($L30,'⚪设计'!$B$85:$H$104,4,FALSE)*$M30)+IF($Q30="",0,VLOOKUP($Q30,'⚪设计'!$B$85:$H$104,4,FALSE)*$R30)+IF($V30="",0,VLOOKUP($V30,'⚪设计'!$B$85:$H$104,4,FALSE)*$W30))*IF(L30="",0,VLOOKUP(L30,'⚪设计'!$B$85:$H$104,4,FALSE)),0))</f>
        <v>449</v>
      </c>
      <c r="P30" s="97">
        <f>IF(L30="","",ROUND(VLOOKUP($B30,战斗节奏!$A$4:$F$13,2,FALSE)/(IF($G30="",0,VLOOKUP($G30,'⚪设计'!$B$85:$H$104,5,FALSE)*$H30)+IF($L30="",0,VLOOKUP($L30,'⚪设计'!$B$85:$H$104,5,FALSE)*$M30)+IF($Q30="",0,VLOOKUP($Q30,'⚪设计'!$B$85:$H$104,5,FALSE)*$R30)+IF($V30="",0,VLOOKUP($V30,'⚪设计'!$B$85:$H$104,5,FALSE)*$W30))*IF(L30="",0,VLOOKUP(L30,'⚪设计'!$B$85:$H$104,5,FALSE)),0))</f>
        <v>10</v>
      </c>
      <c r="Q30" s="97" t="str">
        <f>IF(VLOOKUP($A30,'⚪设计'!$A$144:$N$196,9,FALSE)="","",VLOOKUP($A30,'⚪设计'!$A$144:$N$196,9,FALSE))</f>
        <v>蜘蛛1</v>
      </c>
      <c r="R30" s="97">
        <f t="shared" si="3"/>
        <v>15</v>
      </c>
      <c r="S30" s="97">
        <f>IF(VLOOKUP($A30,'⚪设计'!$A$144:$N$196,13,FALSE)="","",VLOOKUP($A30,'⚪设计'!$A$144:$N$196,13,FALSE))</f>
        <v>1</v>
      </c>
      <c r="T30" s="97">
        <f>IF(Q30="","",ROUND($D30*'⚪设计'!$D171/(IF($G30="",0,VLOOKUP($G30,'⚪设计'!$B$85:$H$104,4,FALSE)*$H30)+IF($L30="",0,VLOOKUP($L30,'⚪设计'!$B$85:$H$104,4,FALSE)*$M30)+IF($Q30="",0,VLOOKUP($Q30,'⚪设计'!$B$85:$H$104,4,FALSE)*$R30)+IF($V30="",0,VLOOKUP($V30,'⚪设计'!$B$85:$H$104,4,FALSE)*$W30))*IF(Q30="",0,VLOOKUP(Q30,'⚪设计'!$B$85:$H$104,4,FALSE)),0))</f>
        <v>150</v>
      </c>
      <c r="U30" s="97">
        <f>IF(Q30="","",ROUND(VLOOKUP($B30,战斗节奏!$A$4:$F$13,2,FALSE)/(IF($G30="",0,VLOOKUP($G30,'⚪设计'!$B$85:$H$104,5,FALSE)*$H30)+IF($L30="",0,VLOOKUP($L30,'⚪设计'!$B$85:$H$104,5,FALSE)*$M30)+IF($Q30="",0,VLOOKUP($Q30,'⚪设计'!$B$85:$H$104,5,FALSE)*$R30)+IF($V30="",0,VLOOKUP($V30,'⚪设计'!$B$85:$H$104,5,FALSE)*$W30))*IF(Q30="",0,VLOOKUP(Q30,'⚪设计'!$B$85:$H$104,5,FALSE)),0))</f>
        <v>5</v>
      </c>
      <c r="V30" s="97" t="str">
        <f>IF(VLOOKUP($A30,'⚪设计'!$A$144:$N$196,10,FALSE)="","",VLOOKUP($A30,'⚪设计'!$A$144:$N$196,10,FALSE))</f>
        <v>蝙蝠1</v>
      </c>
      <c r="W30" s="97">
        <f t="shared" si="4"/>
        <v>38</v>
      </c>
      <c r="X30" s="97">
        <f>IF(VLOOKUP($A30,'⚪设计'!$A$144:$N$196,14,FALSE)="","",VLOOKUP($A30,'⚪设计'!$A$144:$N$196,14,FALSE))</f>
        <v>0.4</v>
      </c>
      <c r="Y30" s="97">
        <f>IF(V30="","",ROUND($D30*'⚪设计'!$D171/(IF($G30="",0,VLOOKUP($G30,'⚪设计'!$B$85:$H$104,4,FALSE)*$H30)+IF($L30="",0,VLOOKUP($L30,'⚪设计'!$B$85:$H$104,4,FALSE)*$M30)+IF($Q30="",0,VLOOKUP($Q30,'⚪设计'!$B$85:$H$104,4,FALSE)*$R30)+IF($V30="",0,VLOOKUP($V30,'⚪设计'!$B$85:$H$104,4,FALSE)*$W30))*IF(V30="",0,VLOOKUP(V30,'⚪设计'!$B$85:$H$104,4,FALSE)),0))</f>
        <v>75</v>
      </c>
      <c r="Z30" s="97">
        <f>IF(V30="","",ROUND(VLOOKUP($B30,战斗节奏!$A$4:$F$13,2,FALSE)/(IF($G30="",0,VLOOKUP($G30,'⚪设计'!$B$85:$H$104,5,FALSE)*$H30)+IF($L30="",0,VLOOKUP($L30,'⚪设计'!$B$85:$H$104,5,FALSE)*$M30)+IF($Q30="",0,VLOOKUP($Q30,'⚪设计'!$B$85:$H$104,5,FALSE)*$R30)+IF($V30="",0,VLOOKUP($V30,'⚪设计'!$B$85:$H$104,5,FALSE)*$W30))*IF(V30="",0,VLOOKUP(V30,'⚪设计'!$B$85:$H$104,5,FALSE)),0))</f>
        <v>3</v>
      </c>
    </row>
    <row r="31" spans="1:26" x14ac:dyDescent="0.2">
      <c r="A31" s="2" t="str">
        <f t="shared" si="0"/>
        <v>6_4</v>
      </c>
      <c r="B31" s="2">
        <v>6</v>
      </c>
      <c r="C31" s="2">
        <v>4</v>
      </c>
      <c r="D31" s="97">
        <f>VLOOKUP(C31,无限模式!$A$3:$B$22,2,FALSE)</f>
        <v>2160</v>
      </c>
      <c r="E31" s="98">
        <v>1</v>
      </c>
      <c r="F31" s="97">
        <f>'⚪设计'!F172</f>
        <v>17.5</v>
      </c>
      <c r="G31" s="97" t="str">
        <f>IF(VLOOKUP($A31,'⚪设计'!$A$144:$N$196,7,FALSE)="","",VLOOKUP($A31,'⚪设计'!$A$144:$N$196,7,FALSE))</f>
        <v>鬼2</v>
      </c>
      <c r="H31" s="97">
        <f t="shared" si="1"/>
        <v>12</v>
      </c>
      <c r="I31" s="97">
        <f>IF(VLOOKUP($A31,'⚪设计'!$A$144:$N$196,11,FALSE)="","",VLOOKUP($A31,'⚪设计'!$A$144:$N$196,11,FALSE))</f>
        <v>1.5</v>
      </c>
      <c r="J31" s="97">
        <f>IF(G31="","",ROUND($D31*'⚪设计'!$D172/(IF($G31="",0,VLOOKUP($G31,'⚪设计'!$B$85:$H$104,4,FALSE)*$H31)+IF($L31="",0,VLOOKUP($L31,'⚪设计'!$B$85:$H$104,4,FALSE)*$M31)+IF($Q31="",0,VLOOKUP($Q31,'⚪设计'!$B$85:$H$104,4,FALSE)*$R31)+IF($V31="",0,VLOOKUP($V31,'⚪设计'!$B$85:$H$104,4,FALSE)*$W31))*IF(G31="",0,VLOOKUP(G31,'⚪设计'!$B$85:$H$104,4,FALSE)),0))</f>
        <v>432</v>
      </c>
      <c r="K31" s="97">
        <f>IF(G31="","",ROUND(VLOOKUP($B31,战斗节奏!$A$4:$F$13,2,FALSE)/(IF($G31="",0,VLOOKUP($G31,'⚪设计'!$B$85:$H$104,5,FALSE)*$H31)+IF($L31="",0,VLOOKUP($L31,'⚪设计'!$B$85:$H$104,5,FALSE)*$M31)+IF($Q31="",0,VLOOKUP($Q31,'⚪设计'!$B$85:$H$104,5,FALSE)*$R31)+IF($V31="",0,VLOOKUP($V31,'⚪设计'!$B$85:$H$104,5,FALSE)*$W31))*IF(G31="",0,VLOOKUP(G31,'⚪设计'!$B$85:$H$104,5,FALSE)),0))</f>
        <v>8</v>
      </c>
      <c r="L31" s="97" t="str">
        <f>IF(VLOOKUP($A31,'⚪设计'!$A$144:$N$196,8,FALSE)="","",VLOOKUP($A31,'⚪设计'!$A$144:$N$196,8,FALSE))</f>
        <v>蝙蝠2</v>
      </c>
      <c r="M31" s="97">
        <f t="shared" si="2"/>
        <v>18</v>
      </c>
      <c r="N31" s="97">
        <f>IF(VLOOKUP($A31,'⚪设计'!$A$144:$N$196,12,FALSE)="","",VLOOKUP($A31,'⚪设计'!$A$144:$N$196,12,FALSE))</f>
        <v>1</v>
      </c>
      <c r="O31" s="97">
        <f>IF(L31="","",ROUND($D31*'⚪设计'!$D172/(IF($G31="",0,VLOOKUP($G31,'⚪设计'!$B$85:$H$104,4,FALSE)*$H31)+IF($L31="",0,VLOOKUP($L31,'⚪设计'!$B$85:$H$104,4,FALSE)*$M31)+IF($Q31="",0,VLOOKUP($Q31,'⚪设计'!$B$85:$H$104,4,FALSE)*$R31)+IF($V31="",0,VLOOKUP($V31,'⚪设计'!$B$85:$H$104,4,FALSE)*$W31))*IF(L31="",0,VLOOKUP(L31,'⚪设计'!$B$85:$H$104,4,FALSE)),0))</f>
        <v>216</v>
      </c>
      <c r="P31" s="97">
        <f>IF(L31="","",ROUND(VLOOKUP($B31,战斗节奏!$A$4:$F$13,2,FALSE)/(IF($G31="",0,VLOOKUP($G31,'⚪设计'!$B$85:$H$104,5,FALSE)*$H31)+IF($L31="",0,VLOOKUP($L31,'⚪设计'!$B$85:$H$104,5,FALSE)*$M31)+IF($Q31="",0,VLOOKUP($Q31,'⚪设计'!$B$85:$H$104,5,FALSE)*$R31)+IF($V31="",0,VLOOKUP($V31,'⚪设计'!$B$85:$H$104,5,FALSE)*$W31))*IF(L31="",0,VLOOKUP(L31,'⚪设计'!$B$85:$H$104,5,FALSE)),0))</f>
        <v>4</v>
      </c>
      <c r="Q31" s="97" t="str">
        <f>IF(VLOOKUP($A31,'⚪设计'!$A$144:$N$196,9,FALSE)="","",VLOOKUP($A31,'⚪设计'!$A$144:$N$196,9,FALSE))</f>
        <v>种子2</v>
      </c>
      <c r="R31" s="97">
        <f t="shared" si="3"/>
        <v>9</v>
      </c>
      <c r="S31" s="97">
        <f>IF(VLOOKUP($A31,'⚪设计'!$A$144:$N$196,13,FALSE)="","",VLOOKUP($A31,'⚪设计'!$A$144:$N$196,13,FALSE))</f>
        <v>2</v>
      </c>
      <c r="T31" s="97">
        <f>IF(Q31="","",ROUND($D31*'⚪设计'!$D172/(IF($G31="",0,VLOOKUP($G31,'⚪设计'!$B$85:$H$104,4,FALSE)*$H31)+IF($L31="",0,VLOOKUP($L31,'⚪设计'!$B$85:$H$104,4,FALSE)*$M31)+IF($Q31="",0,VLOOKUP($Q31,'⚪设计'!$B$85:$H$104,4,FALSE)*$R31)+IF($V31="",0,VLOOKUP($V31,'⚪设计'!$B$85:$H$104,4,FALSE)*$W31))*IF(Q31="",0,VLOOKUP(Q31,'⚪设计'!$B$85:$H$104,4,FALSE)),0))</f>
        <v>1296</v>
      </c>
      <c r="U31" s="97">
        <f>IF(Q31="","",ROUND(VLOOKUP($B31,战斗节奏!$A$4:$F$13,2,FALSE)/(IF($G31="",0,VLOOKUP($G31,'⚪设计'!$B$85:$H$104,5,FALSE)*$H31)+IF($L31="",0,VLOOKUP($L31,'⚪设计'!$B$85:$H$104,5,FALSE)*$M31)+IF($Q31="",0,VLOOKUP($Q31,'⚪设计'!$B$85:$H$104,5,FALSE)*$R31)+IF($V31="",0,VLOOKUP($V31,'⚪设计'!$B$85:$H$104,5,FALSE)*$W31))*IF(Q31="",0,VLOOKUP(Q31,'⚪设计'!$B$85:$H$104,5,FALSE)),0))</f>
        <v>15</v>
      </c>
      <c r="V31" s="97" t="str">
        <f>IF(VLOOKUP($A31,'⚪设计'!$A$144:$N$196,10,FALSE)="","",VLOOKUP($A31,'⚪设计'!$A$144:$N$196,10,FALSE))</f>
        <v/>
      </c>
      <c r="W31" s="97" t="str">
        <f t="shared" si="4"/>
        <v/>
      </c>
      <c r="X31" s="97" t="str">
        <f>IF(VLOOKUP($A31,'⚪设计'!$A$144:$N$196,14,FALSE)="","",VLOOKUP($A31,'⚪设计'!$A$144:$N$196,14,FALSE))</f>
        <v/>
      </c>
      <c r="Y31" s="97" t="str">
        <f>IF(V31="","",ROUND($D31*'⚪设计'!$D172/(IF($G31="",0,VLOOKUP($G31,'⚪设计'!$B$85:$H$104,4,FALSE)*$H31)+IF($L31="",0,VLOOKUP($L31,'⚪设计'!$B$85:$H$104,4,FALSE)*$M31)+IF($Q31="",0,VLOOKUP($Q31,'⚪设计'!$B$85:$H$104,4,FALSE)*$R31)+IF($V31="",0,VLOOKUP($V31,'⚪设计'!$B$85:$H$104,4,FALSE)*$W31))*IF(V31="",0,VLOOKUP(V31,'⚪设计'!$B$85:$H$104,4,FALSE)),0))</f>
        <v/>
      </c>
      <c r="Z31" s="97" t="str">
        <f>IF(V31="","",ROUND(VLOOKUP($B31,战斗节奏!$A$4:$F$13,2,FALSE)/(IF($G31="",0,VLOOKUP($G31,'⚪设计'!$B$85:$H$104,5,FALSE)*$H31)+IF($L31="",0,VLOOKUP($L31,'⚪设计'!$B$85:$H$104,5,FALSE)*$M31)+IF($Q31="",0,VLOOKUP($Q31,'⚪设计'!$B$85:$H$104,5,FALSE)*$R31)+IF($V31="",0,VLOOKUP($V31,'⚪设计'!$B$85:$H$104,5,FALSE)*$W31))*IF(V31="",0,VLOOKUP(V31,'⚪设计'!$B$85:$H$104,5,FALSE)),0))</f>
        <v/>
      </c>
    </row>
    <row r="32" spans="1:26" x14ac:dyDescent="0.2">
      <c r="A32" s="2" t="str">
        <f t="shared" si="0"/>
        <v>6_5</v>
      </c>
      <c r="B32" s="2">
        <v>6</v>
      </c>
      <c r="C32" s="2">
        <v>5</v>
      </c>
      <c r="D32" s="97">
        <f>VLOOKUP(C32,无限模式!$A$3:$B$22,2,FALSE)</f>
        <v>2700</v>
      </c>
      <c r="E32" s="98">
        <v>1</v>
      </c>
      <c r="F32" s="97">
        <f>'⚪设计'!F173</f>
        <v>20</v>
      </c>
      <c r="G32" s="97" t="str">
        <f>IF(VLOOKUP($A32,'⚪设计'!$A$144:$N$196,7,FALSE)="","",VLOOKUP($A32,'⚪设计'!$A$144:$N$196,7,FALSE))</f>
        <v>鬼2</v>
      </c>
      <c r="H32" s="97">
        <f t="shared" si="1"/>
        <v>40</v>
      </c>
      <c r="I32" s="97">
        <f>IF(VLOOKUP($A32,'⚪设计'!$A$144:$N$196,11,FALSE)="","",VLOOKUP($A32,'⚪设计'!$A$144:$N$196,11,FALSE))</f>
        <v>0.5</v>
      </c>
      <c r="J32" s="97">
        <f>IF(G32="","",ROUND($D32*'⚪设计'!$D173/(IF($G32="",0,VLOOKUP($G32,'⚪设计'!$B$85:$H$104,4,FALSE)*$H32)+IF($L32="",0,VLOOKUP($L32,'⚪设计'!$B$85:$H$104,4,FALSE)*$M32)+IF($Q32="",0,VLOOKUP($Q32,'⚪设计'!$B$85:$H$104,4,FALSE)*$R32)+IF($V32="",0,VLOOKUP($V32,'⚪设计'!$B$85:$H$104,4,FALSE)*$W32))*IF(G32="",0,VLOOKUP(G32,'⚪设计'!$B$85:$H$104,4,FALSE)),0))</f>
        <v>394</v>
      </c>
      <c r="K32" s="97">
        <f>IF(G32="","",ROUND(VLOOKUP($B32,战斗节奏!$A$4:$F$13,2,FALSE)/(IF($G32="",0,VLOOKUP($G32,'⚪设计'!$B$85:$H$104,5,FALSE)*$H32)+IF($L32="",0,VLOOKUP($L32,'⚪设计'!$B$85:$H$104,5,FALSE)*$M32)+IF($Q32="",0,VLOOKUP($Q32,'⚪设计'!$B$85:$H$104,5,FALSE)*$R32)+IF($V32="",0,VLOOKUP($V32,'⚪设计'!$B$85:$H$104,5,FALSE)*$W32))*IF(G32="",0,VLOOKUP(G32,'⚪设计'!$B$85:$H$104,5,FALSE)),0))</f>
        <v>3</v>
      </c>
      <c r="L32" s="97" t="str">
        <f>IF(VLOOKUP($A32,'⚪设计'!$A$144:$N$196,8,FALSE)="","",VLOOKUP($A32,'⚪设计'!$A$144:$N$196,8,FALSE))</f>
        <v>种子2</v>
      </c>
      <c r="M32" s="97">
        <f t="shared" si="2"/>
        <v>10</v>
      </c>
      <c r="N32" s="97">
        <f>IF(VLOOKUP($A32,'⚪设计'!$A$144:$N$196,12,FALSE)="","",VLOOKUP($A32,'⚪设计'!$A$144:$N$196,12,FALSE))</f>
        <v>2</v>
      </c>
      <c r="O32" s="97">
        <f>IF(L32="","",ROUND($D32*'⚪设计'!$D173/(IF($G32="",0,VLOOKUP($G32,'⚪设计'!$B$85:$H$104,4,FALSE)*$H32)+IF($L32="",0,VLOOKUP($L32,'⚪设计'!$B$85:$H$104,4,FALSE)*$M32)+IF($Q32="",0,VLOOKUP($Q32,'⚪设计'!$B$85:$H$104,4,FALSE)*$R32)+IF($V32="",0,VLOOKUP($V32,'⚪设计'!$B$85:$H$104,4,FALSE)*$W32))*IF(L32="",0,VLOOKUP(L32,'⚪设计'!$B$85:$H$104,4,FALSE)),0))</f>
        <v>1183</v>
      </c>
      <c r="P32" s="97">
        <f>IF(L32="","",ROUND(VLOOKUP($B32,战斗节奏!$A$4:$F$13,2,FALSE)/(IF($G32="",0,VLOOKUP($G32,'⚪设计'!$B$85:$H$104,5,FALSE)*$H32)+IF($L32="",0,VLOOKUP($L32,'⚪设计'!$B$85:$H$104,5,FALSE)*$M32)+IF($Q32="",0,VLOOKUP($Q32,'⚪设计'!$B$85:$H$104,5,FALSE)*$R32)+IF($V32="",0,VLOOKUP($V32,'⚪设计'!$B$85:$H$104,5,FALSE)*$W32))*IF(L32="",0,VLOOKUP(L32,'⚪设计'!$B$85:$H$104,5,FALSE)),0))</f>
        <v>6</v>
      </c>
      <c r="Q32" s="97" t="str">
        <f>IF(VLOOKUP($A32,'⚪设计'!$A$144:$N$196,9,FALSE)="","",VLOOKUP($A32,'⚪设计'!$A$144:$N$196,9,FALSE))</f>
        <v>蜘蛛2</v>
      </c>
      <c r="R32" s="97">
        <f t="shared" si="3"/>
        <v>20</v>
      </c>
      <c r="S32" s="97">
        <f>IF(VLOOKUP($A32,'⚪设计'!$A$144:$N$196,13,FALSE)="","",VLOOKUP($A32,'⚪设计'!$A$144:$N$196,13,FALSE))</f>
        <v>1</v>
      </c>
      <c r="T32" s="97">
        <f>IF(Q32="","",ROUND($D32*'⚪设计'!$D173/(IF($G32="",0,VLOOKUP($G32,'⚪设计'!$B$85:$H$104,4,FALSE)*$H32)+IF($L32="",0,VLOOKUP($L32,'⚪设计'!$B$85:$H$104,4,FALSE)*$M32)+IF($Q32="",0,VLOOKUP($Q32,'⚪设计'!$B$85:$H$104,4,FALSE)*$R32)+IF($V32="",0,VLOOKUP($V32,'⚪设计'!$B$85:$H$104,4,FALSE)*$W32))*IF(Q32="",0,VLOOKUP(Q32,'⚪设计'!$B$85:$H$104,4,FALSE)),0))</f>
        <v>394</v>
      </c>
      <c r="U32" s="97">
        <f>IF(Q32="","",ROUND(VLOOKUP($B32,战斗节奏!$A$4:$F$13,2,FALSE)/(IF($G32="",0,VLOOKUP($G32,'⚪设计'!$B$85:$H$104,5,FALSE)*$H32)+IF($L32="",0,VLOOKUP($L32,'⚪设计'!$B$85:$H$104,5,FALSE)*$M32)+IF($Q32="",0,VLOOKUP($Q32,'⚪设计'!$B$85:$H$104,5,FALSE)*$R32)+IF($V32="",0,VLOOKUP($V32,'⚪设计'!$B$85:$H$104,5,FALSE)*$W32))*IF(Q32="",0,VLOOKUP(Q32,'⚪设计'!$B$85:$H$104,5,FALSE)),0))</f>
        <v>3</v>
      </c>
      <c r="V32" s="97" t="str">
        <f>IF(VLOOKUP($A32,'⚪设计'!$A$144:$N$196,10,FALSE)="","",VLOOKUP($A32,'⚪设计'!$A$144:$N$196,10,FALSE))</f>
        <v>蝙蝠2</v>
      </c>
      <c r="W32" s="97">
        <f t="shared" si="4"/>
        <v>50</v>
      </c>
      <c r="X32" s="97">
        <f>IF(VLOOKUP($A32,'⚪设计'!$A$144:$N$196,14,FALSE)="","",VLOOKUP($A32,'⚪设计'!$A$144:$N$196,14,FALSE))</f>
        <v>0.4</v>
      </c>
      <c r="Y32" s="97">
        <f>IF(V32="","",ROUND($D32*'⚪设计'!$D173/(IF($G32="",0,VLOOKUP($G32,'⚪设计'!$B$85:$H$104,4,FALSE)*$H32)+IF($L32="",0,VLOOKUP($L32,'⚪设计'!$B$85:$H$104,4,FALSE)*$M32)+IF($Q32="",0,VLOOKUP($Q32,'⚪设计'!$B$85:$H$104,4,FALSE)*$R32)+IF($V32="",0,VLOOKUP($V32,'⚪设计'!$B$85:$H$104,4,FALSE)*$W32))*IF(V32="",0,VLOOKUP(V32,'⚪设计'!$B$85:$H$104,4,FALSE)),0))</f>
        <v>197</v>
      </c>
      <c r="Z32" s="97">
        <f>IF(V32="","",ROUND(VLOOKUP($B32,战斗节奏!$A$4:$F$13,2,FALSE)/(IF($G32="",0,VLOOKUP($G32,'⚪设计'!$B$85:$H$104,5,FALSE)*$H32)+IF($L32="",0,VLOOKUP($L32,'⚪设计'!$B$85:$H$104,5,FALSE)*$M32)+IF($Q32="",0,VLOOKUP($Q32,'⚪设计'!$B$85:$H$104,5,FALSE)*$R32)+IF($V32="",0,VLOOKUP($V32,'⚪设计'!$B$85:$H$104,5,FALSE)*$W32))*IF(V32="",0,VLOOKUP(V32,'⚪设计'!$B$85:$H$104,5,FALSE)),0))</f>
        <v>1</v>
      </c>
    </row>
    <row r="33" spans="1:26" x14ac:dyDescent="0.2">
      <c r="A33" s="2" t="str">
        <f t="shared" si="0"/>
        <v>7_1</v>
      </c>
      <c r="B33" s="2">
        <v>7</v>
      </c>
      <c r="C33" s="2">
        <v>1</v>
      </c>
      <c r="D33" s="97">
        <f>VLOOKUP(C33,无限模式!$A$3:$B$22,2,FALSE)</f>
        <v>540</v>
      </c>
      <c r="E33" s="98">
        <v>1</v>
      </c>
      <c r="F33" s="97">
        <f>'⚪设计'!F174</f>
        <v>10</v>
      </c>
      <c r="G33" s="97" t="str">
        <f>IF(VLOOKUP($A33,'⚪设计'!$A$144:$N$196,7,FALSE)="","",VLOOKUP($A33,'⚪设计'!$A$144:$N$196,7,FALSE))</f>
        <v>蛋2</v>
      </c>
      <c r="H33" s="97">
        <f t="shared" si="1"/>
        <v>7</v>
      </c>
      <c r="I33" s="97">
        <f>IF(VLOOKUP($A33,'⚪设计'!$A$144:$N$196,11,FALSE)="","",VLOOKUP($A33,'⚪设计'!$A$144:$N$196,11,FALSE))</f>
        <v>1.5</v>
      </c>
      <c r="J33" s="97">
        <f>IF(G33="","",ROUND($D33*'⚪设计'!$D174/(IF($G33="",0,VLOOKUP($G33,'⚪设计'!$B$85:$H$104,4,FALSE)*$H33)+IF($L33="",0,VLOOKUP($L33,'⚪设计'!$B$85:$H$104,4,FALSE)*$M33)+IF($Q33="",0,VLOOKUP($Q33,'⚪设计'!$B$85:$H$104,4,FALSE)*$R33)+IF($V33="",0,VLOOKUP($V33,'⚪设计'!$B$85:$H$104,4,FALSE)*$W33))*IF(G33="",0,VLOOKUP(G33,'⚪设计'!$B$85:$H$104,4,FALSE)),0))</f>
        <v>489</v>
      </c>
      <c r="K33" s="97">
        <f>IF(G33="","",ROUND(VLOOKUP($B33,战斗节奏!$A$4:$F$13,2,FALSE)/(IF($G33="",0,VLOOKUP($G33,'⚪设计'!$B$85:$H$104,5,FALSE)*$H33)+IF($L33="",0,VLOOKUP($L33,'⚪设计'!$B$85:$H$104,5,FALSE)*$M33)+IF($Q33="",0,VLOOKUP($Q33,'⚪设计'!$B$85:$H$104,5,FALSE)*$R33)+IF($V33="",0,VLOOKUP($V33,'⚪设计'!$B$85:$H$104,5,FALSE)*$W33))*IF(G33="",0,VLOOKUP(G33,'⚪设计'!$B$85:$H$104,5,FALSE)),0))</f>
        <v>43</v>
      </c>
      <c r="L33" s="97" t="str">
        <f>IF(VLOOKUP($A33,'⚪设计'!$A$144:$N$196,8,FALSE)="","",VLOOKUP($A33,'⚪设计'!$A$144:$N$196,8,FALSE))</f>
        <v/>
      </c>
      <c r="M33" s="97" t="str">
        <f t="shared" si="2"/>
        <v/>
      </c>
      <c r="N33" s="97" t="str">
        <f>IF(VLOOKUP($A33,'⚪设计'!$A$144:$N$196,12,FALSE)="","",VLOOKUP($A33,'⚪设计'!$A$144:$N$196,12,FALSE))</f>
        <v/>
      </c>
      <c r="O33" s="97" t="str">
        <f>IF(L33="","",ROUND($D33*'⚪设计'!$D174/(IF($G33="",0,VLOOKUP($G33,'⚪设计'!$B$85:$H$104,4,FALSE)*$H33)+IF($L33="",0,VLOOKUP($L33,'⚪设计'!$B$85:$H$104,4,FALSE)*$M33)+IF($Q33="",0,VLOOKUP($Q33,'⚪设计'!$B$85:$H$104,4,FALSE)*$R33)+IF($V33="",0,VLOOKUP($V33,'⚪设计'!$B$85:$H$104,4,FALSE)*$W33))*IF(L33="",0,VLOOKUP(L33,'⚪设计'!$B$85:$H$104,4,FALSE)),0))</f>
        <v/>
      </c>
      <c r="P33" s="97" t="str">
        <f>IF(L33="","",ROUND(VLOOKUP($B33,战斗节奏!$A$4:$F$13,2,FALSE)/(IF($G33="",0,VLOOKUP($G33,'⚪设计'!$B$85:$H$104,5,FALSE)*$H33)+IF($L33="",0,VLOOKUP($L33,'⚪设计'!$B$85:$H$104,5,FALSE)*$M33)+IF($Q33="",0,VLOOKUP($Q33,'⚪设计'!$B$85:$H$104,5,FALSE)*$R33)+IF($V33="",0,VLOOKUP($V33,'⚪设计'!$B$85:$H$104,5,FALSE)*$W33))*IF(L33="",0,VLOOKUP(L33,'⚪设计'!$B$85:$H$104,5,FALSE)),0))</f>
        <v/>
      </c>
      <c r="Q33" s="97" t="str">
        <f>IF(VLOOKUP($A33,'⚪设计'!$A$144:$N$196,9,FALSE)="","",VLOOKUP($A33,'⚪设计'!$A$144:$N$196,9,FALSE))</f>
        <v/>
      </c>
      <c r="R33" s="97" t="str">
        <f t="shared" si="3"/>
        <v/>
      </c>
      <c r="S33" s="97" t="str">
        <f>IF(VLOOKUP($A33,'⚪设计'!$A$144:$N$196,13,FALSE)="","",VLOOKUP($A33,'⚪设计'!$A$144:$N$196,13,FALSE))</f>
        <v/>
      </c>
      <c r="T33" s="97" t="str">
        <f>IF(Q33="","",ROUND($D33*'⚪设计'!$D174/(IF($G33="",0,VLOOKUP($G33,'⚪设计'!$B$85:$H$104,4,FALSE)*$H33)+IF($L33="",0,VLOOKUP($L33,'⚪设计'!$B$85:$H$104,4,FALSE)*$M33)+IF($Q33="",0,VLOOKUP($Q33,'⚪设计'!$B$85:$H$104,4,FALSE)*$R33)+IF($V33="",0,VLOOKUP($V33,'⚪设计'!$B$85:$H$104,4,FALSE)*$W33))*IF(Q33="",0,VLOOKUP(Q33,'⚪设计'!$B$85:$H$104,4,FALSE)),0))</f>
        <v/>
      </c>
      <c r="U33" s="97" t="str">
        <f>IF(Q33="","",ROUND(VLOOKUP($B33,战斗节奏!$A$4:$F$13,2,FALSE)/(IF($G33="",0,VLOOKUP($G33,'⚪设计'!$B$85:$H$104,5,FALSE)*$H33)+IF($L33="",0,VLOOKUP($L33,'⚪设计'!$B$85:$H$104,5,FALSE)*$M33)+IF($Q33="",0,VLOOKUP($Q33,'⚪设计'!$B$85:$H$104,5,FALSE)*$R33)+IF($V33="",0,VLOOKUP($V33,'⚪设计'!$B$85:$H$104,5,FALSE)*$W33))*IF(Q33="",0,VLOOKUP(Q33,'⚪设计'!$B$85:$H$104,5,FALSE)),0))</f>
        <v/>
      </c>
      <c r="V33" s="97" t="str">
        <f>IF(VLOOKUP($A33,'⚪设计'!$A$144:$N$196,10,FALSE)="","",VLOOKUP($A33,'⚪设计'!$A$144:$N$196,10,FALSE))</f>
        <v/>
      </c>
      <c r="W33" s="97" t="str">
        <f t="shared" si="4"/>
        <v/>
      </c>
      <c r="X33" s="97" t="str">
        <f>IF(VLOOKUP($A33,'⚪设计'!$A$144:$N$196,14,FALSE)="","",VLOOKUP($A33,'⚪设计'!$A$144:$N$196,14,FALSE))</f>
        <v/>
      </c>
      <c r="Y33" s="97" t="str">
        <f>IF(V33="","",ROUND($D33*'⚪设计'!$D174/(IF($G33="",0,VLOOKUP($G33,'⚪设计'!$B$85:$H$104,4,FALSE)*$H33)+IF($L33="",0,VLOOKUP($L33,'⚪设计'!$B$85:$H$104,4,FALSE)*$M33)+IF($Q33="",0,VLOOKUP($Q33,'⚪设计'!$B$85:$H$104,4,FALSE)*$R33)+IF($V33="",0,VLOOKUP($V33,'⚪设计'!$B$85:$H$104,4,FALSE)*$W33))*IF(V33="",0,VLOOKUP(V33,'⚪设计'!$B$85:$H$104,4,FALSE)),0))</f>
        <v/>
      </c>
      <c r="Z33" s="97" t="str">
        <f>IF(V33="","",ROUND(VLOOKUP($B33,战斗节奏!$A$4:$F$13,2,FALSE)/(IF($G33="",0,VLOOKUP($G33,'⚪设计'!$B$85:$H$104,5,FALSE)*$H33)+IF($L33="",0,VLOOKUP($L33,'⚪设计'!$B$85:$H$104,5,FALSE)*$M33)+IF($Q33="",0,VLOOKUP($Q33,'⚪设计'!$B$85:$H$104,5,FALSE)*$R33)+IF($V33="",0,VLOOKUP($V33,'⚪设计'!$B$85:$H$104,5,FALSE)*$W33))*IF(V33="",0,VLOOKUP(V33,'⚪设计'!$B$85:$H$104,5,FALSE)),0))</f>
        <v/>
      </c>
    </row>
    <row r="34" spans="1:26" x14ac:dyDescent="0.2">
      <c r="A34" s="2" t="str">
        <f t="shared" si="0"/>
        <v>7_2</v>
      </c>
      <c r="B34" s="2">
        <v>7</v>
      </c>
      <c r="C34" s="2">
        <v>2</v>
      </c>
      <c r="D34" s="97">
        <f>VLOOKUP(C34,无限模式!$A$3:$B$22,2,FALSE)</f>
        <v>1080</v>
      </c>
      <c r="E34" s="98">
        <v>1</v>
      </c>
      <c r="F34" s="97">
        <f>'⚪设计'!F175</f>
        <v>12.5</v>
      </c>
      <c r="G34" s="97" t="str">
        <f>IF(VLOOKUP($A34,'⚪设计'!$A$144:$N$196,7,FALSE)="","",VLOOKUP($A34,'⚪设计'!$A$144:$N$196,7,FALSE))</f>
        <v>蛋2</v>
      </c>
      <c r="H34" s="97">
        <f t="shared" si="1"/>
        <v>8</v>
      </c>
      <c r="I34" s="97">
        <f>IF(VLOOKUP($A34,'⚪设计'!$A$144:$N$196,11,FALSE)="","",VLOOKUP($A34,'⚪设计'!$A$144:$N$196,11,FALSE))</f>
        <v>1.5</v>
      </c>
      <c r="J34" s="97">
        <f>IF(G34="","",ROUND($D34*'⚪设计'!$D175/(IF($G34="",0,VLOOKUP($G34,'⚪设计'!$B$85:$H$104,4,FALSE)*$H34)+IF($L34="",0,VLOOKUP($L34,'⚪设计'!$B$85:$H$104,4,FALSE)*$M34)+IF($Q34="",0,VLOOKUP($Q34,'⚪设计'!$B$85:$H$104,4,FALSE)*$R34)+IF($V34="",0,VLOOKUP($V34,'⚪设计'!$B$85:$H$104,4,FALSE)*$W34))*IF(G34="",0,VLOOKUP(G34,'⚪设计'!$B$85:$H$104,4,FALSE)),0))</f>
        <v>449</v>
      </c>
      <c r="K34" s="97">
        <f>IF(G34="","",ROUND(VLOOKUP($B34,战斗节奏!$A$4:$F$13,2,FALSE)/(IF($G34="",0,VLOOKUP($G34,'⚪设计'!$B$85:$H$104,5,FALSE)*$H34)+IF($L34="",0,VLOOKUP($L34,'⚪设计'!$B$85:$H$104,5,FALSE)*$M34)+IF($Q34="",0,VLOOKUP($Q34,'⚪设计'!$B$85:$H$104,5,FALSE)*$R34)+IF($V34="",0,VLOOKUP($V34,'⚪设计'!$B$85:$H$104,5,FALSE)*$W34))*IF(G34="",0,VLOOKUP(G34,'⚪设计'!$B$85:$H$104,5,FALSE)),0))</f>
        <v>13</v>
      </c>
      <c r="L34" s="97" t="str">
        <f>IF(VLOOKUP($A34,'⚪设计'!$A$144:$N$196,8,FALSE)="","",VLOOKUP($A34,'⚪设计'!$A$144:$N$196,8,FALSE))</f>
        <v>蝙蝠1</v>
      </c>
      <c r="M34" s="97">
        <f t="shared" si="2"/>
        <v>63</v>
      </c>
      <c r="N34" s="97">
        <f>IF(VLOOKUP($A34,'⚪设计'!$A$144:$N$196,12,FALSE)="","",VLOOKUP($A34,'⚪设计'!$A$144:$N$196,12,FALSE))</f>
        <v>0.2</v>
      </c>
      <c r="O34" s="97">
        <f>IF(L34="","",ROUND($D34*'⚪设计'!$D175/(IF($G34="",0,VLOOKUP($G34,'⚪设计'!$B$85:$H$104,4,FALSE)*$H34)+IF($L34="",0,VLOOKUP($L34,'⚪设计'!$B$85:$H$104,4,FALSE)*$M34)+IF($Q34="",0,VLOOKUP($Q34,'⚪设计'!$B$85:$H$104,4,FALSE)*$R34)+IF($V34="",0,VLOOKUP($V34,'⚪设计'!$B$85:$H$104,4,FALSE)*$W34))*IF(L34="",0,VLOOKUP(L34,'⚪设计'!$B$85:$H$104,4,FALSE)),0))</f>
        <v>56</v>
      </c>
      <c r="P34" s="97">
        <f>IF(L34="","",ROUND(VLOOKUP($B34,战斗节奏!$A$4:$F$13,2,FALSE)/(IF($G34="",0,VLOOKUP($G34,'⚪设计'!$B$85:$H$104,5,FALSE)*$H34)+IF($L34="",0,VLOOKUP($L34,'⚪设计'!$B$85:$H$104,5,FALSE)*$M34)+IF($Q34="",0,VLOOKUP($Q34,'⚪设计'!$B$85:$H$104,5,FALSE)*$R34)+IF($V34="",0,VLOOKUP($V34,'⚪设计'!$B$85:$H$104,5,FALSE)*$W34))*IF(L34="",0,VLOOKUP(L34,'⚪设计'!$B$85:$H$104,5,FALSE)),0))</f>
        <v>3</v>
      </c>
      <c r="Q34" s="97" t="str">
        <f>IF(VLOOKUP($A34,'⚪设计'!$A$144:$N$196,9,FALSE)="","",VLOOKUP($A34,'⚪设计'!$A$144:$N$196,9,FALSE))</f>
        <v/>
      </c>
      <c r="R34" s="97" t="str">
        <f t="shared" si="3"/>
        <v/>
      </c>
      <c r="S34" s="97" t="str">
        <f>IF(VLOOKUP($A34,'⚪设计'!$A$144:$N$196,13,FALSE)="","",VLOOKUP($A34,'⚪设计'!$A$144:$N$196,13,FALSE))</f>
        <v/>
      </c>
      <c r="T34" s="97" t="str">
        <f>IF(Q34="","",ROUND($D34*'⚪设计'!$D175/(IF($G34="",0,VLOOKUP($G34,'⚪设计'!$B$85:$H$104,4,FALSE)*$H34)+IF($L34="",0,VLOOKUP($L34,'⚪设计'!$B$85:$H$104,4,FALSE)*$M34)+IF($Q34="",0,VLOOKUP($Q34,'⚪设计'!$B$85:$H$104,4,FALSE)*$R34)+IF($V34="",0,VLOOKUP($V34,'⚪设计'!$B$85:$H$104,4,FALSE)*$W34))*IF(Q34="",0,VLOOKUP(Q34,'⚪设计'!$B$85:$H$104,4,FALSE)),0))</f>
        <v/>
      </c>
      <c r="U34" s="97" t="str">
        <f>IF(Q34="","",ROUND(VLOOKUP($B34,战斗节奏!$A$4:$F$13,2,FALSE)/(IF($G34="",0,VLOOKUP($G34,'⚪设计'!$B$85:$H$104,5,FALSE)*$H34)+IF($L34="",0,VLOOKUP($L34,'⚪设计'!$B$85:$H$104,5,FALSE)*$M34)+IF($Q34="",0,VLOOKUP($Q34,'⚪设计'!$B$85:$H$104,5,FALSE)*$R34)+IF($V34="",0,VLOOKUP($V34,'⚪设计'!$B$85:$H$104,5,FALSE)*$W34))*IF(Q34="",0,VLOOKUP(Q34,'⚪设计'!$B$85:$H$104,5,FALSE)),0))</f>
        <v/>
      </c>
      <c r="V34" s="97" t="str">
        <f>IF(VLOOKUP($A34,'⚪设计'!$A$144:$N$196,10,FALSE)="","",VLOOKUP($A34,'⚪设计'!$A$144:$N$196,10,FALSE))</f>
        <v/>
      </c>
      <c r="W34" s="97" t="str">
        <f t="shared" si="4"/>
        <v/>
      </c>
      <c r="X34" s="97" t="str">
        <f>IF(VLOOKUP($A34,'⚪设计'!$A$144:$N$196,14,FALSE)="","",VLOOKUP($A34,'⚪设计'!$A$144:$N$196,14,FALSE))</f>
        <v/>
      </c>
      <c r="Y34" s="97" t="str">
        <f>IF(V34="","",ROUND($D34*'⚪设计'!$D175/(IF($G34="",0,VLOOKUP($G34,'⚪设计'!$B$85:$H$104,4,FALSE)*$H34)+IF($L34="",0,VLOOKUP($L34,'⚪设计'!$B$85:$H$104,4,FALSE)*$M34)+IF($Q34="",0,VLOOKUP($Q34,'⚪设计'!$B$85:$H$104,4,FALSE)*$R34)+IF($V34="",0,VLOOKUP($V34,'⚪设计'!$B$85:$H$104,4,FALSE)*$W34))*IF(V34="",0,VLOOKUP(V34,'⚪设计'!$B$85:$H$104,4,FALSE)),0))</f>
        <v/>
      </c>
      <c r="Z34" s="97" t="str">
        <f>IF(V34="","",ROUND(VLOOKUP($B34,战斗节奏!$A$4:$F$13,2,FALSE)/(IF($G34="",0,VLOOKUP($G34,'⚪设计'!$B$85:$H$104,5,FALSE)*$H34)+IF($L34="",0,VLOOKUP($L34,'⚪设计'!$B$85:$H$104,5,FALSE)*$M34)+IF($Q34="",0,VLOOKUP($Q34,'⚪设计'!$B$85:$H$104,5,FALSE)*$R34)+IF($V34="",0,VLOOKUP($V34,'⚪设计'!$B$85:$H$104,5,FALSE)*$W34))*IF(V34="",0,VLOOKUP(V34,'⚪设计'!$B$85:$H$104,5,FALSE)),0))</f>
        <v/>
      </c>
    </row>
    <row r="35" spans="1:26" x14ac:dyDescent="0.2">
      <c r="A35" s="2" t="str">
        <f t="shared" si="0"/>
        <v>7_3</v>
      </c>
      <c r="B35" s="2">
        <v>7</v>
      </c>
      <c r="C35" s="2">
        <v>3</v>
      </c>
      <c r="D35" s="97">
        <f>VLOOKUP(C35,无限模式!$A$3:$B$22,2,FALSE)</f>
        <v>1620</v>
      </c>
      <c r="E35" s="98">
        <v>1</v>
      </c>
      <c r="F35" s="97">
        <f>'⚪设计'!F176</f>
        <v>15</v>
      </c>
      <c r="G35" s="97" t="str">
        <f>IF(VLOOKUP($A35,'⚪设计'!$A$144:$N$196,7,FALSE)="","",VLOOKUP($A35,'⚪设计'!$A$144:$N$196,7,FALSE))</f>
        <v>蛋2</v>
      </c>
      <c r="H35" s="97">
        <f t="shared" si="1"/>
        <v>10</v>
      </c>
      <c r="I35" s="97">
        <f>IF(VLOOKUP($A35,'⚪设计'!$A$144:$N$196,11,FALSE)="","",VLOOKUP($A35,'⚪设计'!$A$144:$N$196,11,FALSE))</f>
        <v>1.5</v>
      </c>
      <c r="J35" s="97">
        <f>IF(G35="","",ROUND($D35*'⚪设计'!$D176/(IF($G35="",0,VLOOKUP($G35,'⚪设计'!$B$85:$H$104,4,FALSE)*$H35)+IF($L35="",0,VLOOKUP($L35,'⚪设计'!$B$85:$H$104,4,FALSE)*$M35)+IF($Q35="",0,VLOOKUP($Q35,'⚪设计'!$B$85:$H$104,4,FALSE)*$R35)+IF($V35="",0,VLOOKUP($V35,'⚪设计'!$B$85:$H$104,4,FALSE)*$W35))*IF(G35="",0,VLOOKUP(G35,'⚪设计'!$B$85:$H$104,4,FALSE)),0))</f>
        <v>583</v>
      </c>
      <c r="K35" s="97">
        <f>IF(G35="","",ROUND(VLOOKUP($B35,战斗节奏!$A$4:$F$13,2,FALSE)/(IF($G35="",0,VLOOKUP($G35,'⚪设计'!$B$85:$H$104,5,FALSE)*$H35)+IF($L35="",0,VLOOKUP($L35,'⚪设计'!$B$85:$H$104,5,FALSE)*$M35)+IF($Q35="",0,VLOOKUP($Q35,'⚪设计'!$B$85:$H$104,5,FALSE)*$R35)+IF($V35="",0,VLOOKUP($V35,'⚪设计'!$B$85:$H$104,5,FALSE)*$W35))*IF(G35="",0,VLOOKUP(G35,'⚪设计'!$B$85:$H$104,5,FALSE)),0))</f>
        <v>9</v>
      </c>
      <c r="L35" s="97" t="str">
        <f>IF(VLOOKUP($A35,'⚪设计'!$A$144:$N$196,8,FALSE)="","",VLOOKUP($A35,'⚪设计'!$A$144:$N$196,8,FALSE))</f>
        <v>蜘蛛1</v>
      </c>
      <c r="M35" s="97">
        <f t="shared" si="2"/>
        <v>38</v>
      </c>
      <c r="N35" s="97">
        <f>IF(VLOOKUP($A35,'⚪设计'!$A$144:$N$196,12,FALSE)="","",VLOOKUP($A35,'⚪设计'!$A$144:$N$196,12,FALSE))</f>
        <v>0.4</v>
      </c>
      <c r="O35" s="97">
        <f>IF(L35="","",ROUND($D35*'⚪设计'!$D176/(IF($G35="",0,VLOOKUP($G35,'⚪设计'!$B$85:$H$104,4,FALSE)*$H35)+IF($L35="",0,VLOOKUP($L35,'⚪设计'!$B$85:$H$104,4,FALSE)*$M35)+IF($Q35="",0,VLOOKUP($Q35,'⚪设计'!$B$85:$H$104,4,FALSE)*$R35)+IF($V35="",0,VLOOKUP($V35,'⚪设计'!$B$85:$H$104,4,FALSE)*$W35))*IF(L35="",0,VLOOKUP(L35,'⚪设计'!$B$85:$H$104,4,FALSE)),0))</f>
        <v>146</v>
      </c>
      <c r="P35" s="97">
        <f>IF(L35="","",ROUND(VLOOKUP($B35,战斗节奏!$A$4:$F$13,2,FALSE)/(IF($G35="",0,VLOOKUP($G35,'⚪设计'!$B$85:$H$104,5,FALSE)*$H35)+IF($L35="",0,VLOOKUP($L35,'⚪设计'!$B$85:$H$104,5,FALSE)*$M35)+IF($Q35="",0,VLOOKUP($Q35,'⚪设计'!$B$85:$H$104,5,FALSE)*$R35)+IF($V35="",0,VLOOKUP($V35,'⚪设计'!$B$85:$H$104,5,FALSE)*$W35))*IF(L35="",0,VLOOKUP(L35,'⚪设计'!$B$85:$H$104,5,FALSE)),0))</f>
        <v>4</v>
      </c>
      <c r="Q35" s="97" t="str">
        <f>IF(VLOOKUP($A35,'⚪设计'!$A$144:$N$196,9,FALSE)="","",VLOOKUP($A35,'⚪设计'!$A$144:$N$196,9,FALSE))</f>
        <v>鬼1</v>
      </c>
      <c r="R35" s="97">
        <f t="shared" si="3"/>
        <v>10</v>
      </c>
      <c r="S35" s="97">
        <f>IF(VLOOKUP($A35,'⚪设计'!$A$144:$N$196,13,FALSE)="","",VLOOKUP($A35,'⚪设计'!$A$144:$N$196,13,FALSE))</f>
        <v>1.5</v>
      </c>
      <c r="T35" s="97">
        <f>IF(Q35="","",ROUND($D35*'⚪设计'!$D176/(IF($G35="",0,VLOOKUP($G35,'⚪设计'!$B$85:$H$104,4,FALSE)*$H35)+IF($L35="",0,VLOOKUP($L35,'⚪设计'!$B$85:$H$104,4,FALSE)*$M35)+IF($Q35="",0,VLOOKUP($Q35,'⚪设计'!$B$85:$H$104,4,FALSE)*$R35)+IF($V35="",0,VLOOKUP($V35,'⚪设计'!$B$85:$H$104,4,FALSE)*$W35))*IF(Q35="",0,VLOOKUP(Q35,'⚪设计'!$B$85:$H$104,4,FALSE)),0))</f>
        <v>146</v>
      </c>
      <c r="U35" s="97">
        <f>IF(Q35="","",ROUND(VLOOKUP($B35,战斗节奏!$A$4:$F$13,2,FALSE)/(IF($G35="",0,VLOOKUP($G35,'⚪设计'!$B$85:$H$104,5,FALSE)*$H35)+IF($L35="",0,VLOOKUP($L35,'⚪设计'!$B$85:$H$104,5,FALSE)*$M35)+IF($Q35="",0,VLOOKUP($Q35,'⚪设计'!$B$85:$H$104,5,FALSE)*$R35)+IF($V35="",0,VLOOKUP($V35,'⚪设计'!$B$85:$H$104,5,FALSE)*$W35))*IF(Q35="",0,VLOOKUP(Q35,'⚪设计'!$B$85:$H$104,5,FALSE)),0))</f>
        <v>4</v>
      </c>
      <c r="V35" s="97" t="str">
        <f>IF(VLOOKUP($A35,'⚪设计'!$A$144:$N$196,10,FALSE)="","",VLOOKUP($A35,'⚪设计'!$A$144:$N$196,10,FALSE))</f>
        <v/>
      </c>
      <c r="W35" s="97" t="str">
        <f t="shared" si="4"/>
        <v/>
      </c>
      <c r="X35" s="97" t="str">
        <f>IF(VLOOKUP($A35,'⚪设计'!$A$144:$N$196,14,FALSE)="","",VLOOKUP($A35,'⚪设计'!$A$144:$N$196,14,FALSE))</f>
        <v/>
      </c>
      <c r="Y35" s="97" t="str">
        <f>IF(V35="","",ROUND($D35*'⚪设计'!$D176/(IF($G35="",0,VLOOKUP($G35,'⚪设计'!$B$85:$H$104,4,FALSE)*$H35)+IF($L35="",0,VLOOKUP($L35,'⚪设计'!$B$85:$H$104,4,FALSE)*$M35)+IF($Q35="",0,VLOOKUP($Q35,'⚪设计'!$B$85:$H$104,4,FALSE)*$R35)+IF($V35="",0,VLOOKUP($V35,'⚪设计'!$B$85:$H$104,4,FALSE)*$W35))*IF(V35="",0,VLOOKUP(V35,'⚪设计'!$B$85:$H$104,4,FALSE)),0))</f>
        <v/>
      </c>
      <c r="Z35" s="97" t="str">
        <f>IF(V35="","",ROUND(VLOOKUP($B35,战斗节奏!$A$4:$F$13,2,FALSE)/(IF($G35="",0,VLOOKUP($G35,'⚪设计'!$B$85:$H$104,5,FALSE)*$H35)+IF($L35="",0,VLOOKUP($L35,'⚪设计'!$B$85:$H$104,5,FALSE)*$M35)+IF($Q35="",0,VLOOKUP($Q35,'⚪设计'!$B$85:$H$104,5,FALSE)*$R35)+IF($V35="",0,VLOOKUP($V35,'⚪设计'!$B$85:$H$104,5,FALSE)*$W35))*IF(V35="",0,VLOOKUP(V35,'⚪设计'!$B$85:$H$104,5,FALSE)),0))</f>
        <v/>
      </c>
    </row>
    <row r="36" spans="1:26" x14ac:dyDescent="0.2">
      <c r="A36" s="2" t="str">
        <f t="shared" si="0"/>
        <v>7_4</v>
      </c>
      <c r="B36" s="2">
        <v>7</v>
      </c>
      <c r="C36" s="2">
        <v>4</v>
      </c>
      <c r="D36" s="97">
        <f>VLOOKUP(C36,无限模式!$A$3:$B$22,2,FALSE)</f>
        <v>2160</v>
      </c>
      <c r="E36" s="98">
        <v>1</v>
      </c>
      <c r="F36" s="97">
        <f>'⚪设计'!F177</f>
        <v>17.5</v>
      </c>
      <c r="G36" s="97" t="str">
        <f>IF(VLOOKUP($A36,'⚪设计'!$A$144:$N$196,7,FALSE)="","",VLOOKUP($A36,'⚪设计'!$A$144:$N$196,7,FALSE))</f>
        <v>蛋2</v>
      </c>
      <c r="H36" s="97">
        <f t="shared" si="1"/>
        <v>12</v>
      </c>
      <c r="I36" s="97">
        <f>IF(VLOOKUP($A36,'⚪设计'!$A$144:$N$196,11,FALSE)="","",VLOOKUP($A36,'⚪设计'!$A$144:$N$196,11,FALSE))</f>
        <v>1.5</v>
      </c>
      <c r="J36" s="97">
        <f>IF(G36="","",ROUND($D36*'⚪设计'!$D177/(IF($G36="",0,VLOOKUP($G36,'⚪设计'!$B$85:$H$104,4,FALSE)*$H36)+IF($L36="",0,VLOOKUP($L36,'⚪设计'!$B$85:$H$104,4,FALSE)*$M36)+IF($Q36="",0,VLOOKUP($Q36,'⚪设计'!$B$85:$H$104,4,FALSE)*$R36)+IF($V36="",0,VLOOKUP($V36,'⚪设计'!$B$85:$H$104,4,FALSE)*$W36))*IF(G36="",0,VLOOKUP(G36,'⚪设计'!$B$85:$H$104,4,FALSE)),0))</f>
        <v>773</v>
      </c>
      <c r="K36" s="97">
        <f>IF(G36="","",ROUND(VLOOKUP($B36,战斗节奏!$A$4:$F$13,2,FALSE)/(IF($G36="",0,VLOOKUP($G36,'⚪设计'!$B$85:$H$104,5,FALSE)*$H36)+IF($L36="",0,VLOOKUP($L36,'⚪设计'!$B$85:$H$104,5,FALSE)*$M36)+IF($Q36="",0,VLOOKUP($Q36,'⚪设计'!$B$85:$H$104,5,FALSE)*$R36)+IF($V36="",0,VLOOKUP($V36,'⚪设计'!$B$85:$H$104,5,FALSE)*$W36))*IF(G36="",0,VLOOKUP(G36,'⚪设计'!$B$85:$H$104,5,FALSE)),0))</f>
        <v>8</v>
      </c>
      <c r="L36" s="97" t="str">
        <f>IF(VLOOKUP($A36,'⚪设计'!$A$144:$N$196,8,FALSE)="","",VLOOKUP($A36,'⚪设计'!$A$144:$N$196,8,FALSE))</f>
        <v>鬼1</v>
      </c>
      <c r="M36" s="97">
        <f t="shared" si="2"/>
        <v>35</v>
      </c>
      <c r="N36" s="97">
        <f>IF(VLOOKUP($A36,'⚪设计'!$A$144:$N$196,12,FALSE)="","",VLOOKUP($A36,'⚪设计'!$A$144:$N$196,12,FALSE))</f>
        <v>0.5</v>
      </c>
      <c r="O36" s="97">
        <f>IF(L36="","",ROUND($D36*'⚪设计'!$D177/(IF($G36="",0,VLOOKUP($G36,'⚪设计'!$B$85:$H$104,4,FALSE)*$H36)+IF($L36="",0,VLOOKUP($L36,'⚪设计'!$B$85:$H$104,4,FALSE)*$M36)+IF($Q36="",0,VLOOKUP($Q36,'⚪设计'!$B$85:$H$104,4,FALSE)*$R36)+IF($V36="",0,VLOOKUP($V36,'⚪设计'!$B$85:$H$104,4,FALSE)*$W36))*IF(L36="",0,VLOOKUP(L36,'⚪设计'!$B$85:$H$104,4,FALSE)),0))</f>
        <v>193</v>
      </c>
      <c r="P36" s="97">
        <f>IF(L36="","",ROUND(VLOOKUP($B36,战斗节奏!$A$4:$F$13,2,FALSE)/(IF($G36="",0,VLOOKUP($G36,'⚪设计'!$B$85:$H$104,5,FALSE)*$H36)+IF($L36="",0,VLOOKUP($L36,'⚪设计'!$B$85:$H$104,5,FALSE)*$M36)+IF($Q36="",0,VLOOKUP($Q36,'⚪设计'!$B$85:$H$104,5,FALSE)*$R36)+IF($V36="",0,VLOOKUP($V36,'⚪设计'!$B$85:$H$104,5,FALSE)*$W36))*IF(L36="",0,VLOOKUP(L36,'⚪设计'!$B$85:$H$104,5,FALSE)),0))</f>
        <v>4</v>
      </c>
      <c r="Q36" s="97" t="str">
        <f>IF(VLOOKUP($A36,'⚪设计'!$A$144:$N$196,9,FALSE)="","",VLOOKUP($A36,'⚪设计'!$A$144:$N$196,9,FALSE))</f>
        <v>蝙蝠2</v>
      </c>
      <c r="R36" s="97">
        <f t="shared" si="3"/>
        <v>35</v>
      </c>
      <c r="S36" s="97">
        <f>IF(VLOOKUP($A36,'⚪设计'!$A$144:$N$196,13,FALSE)="","",VLOOKUP($A36,'⚪设计'!$A$144:$N$196,13,FALSE))</f>
        <v>0.5</v>
      </c>
      <c r="T36" s="97">
        <f>IF(Q36="","",ROUND($D36*'⚪设计'!$D177/(IF($G36="",0,VLOOKUP($G36,'⚪设计'!$B$85:$H$104,4,FALSE)*$H36)+IF($L36="",0,VLOOKUP($L36,'⚪设计'!$B$85:$H$104,4,FALSE)*$M36)+IF($Q36="",0,VLOOKUP($Q36,'⚪设计'!$B$85:$H$104,4,FALSE)*$R36)+IF($V36="",0,VLOOKUP($V36,'⚪设计'!$B$85:$H$104,4,FALSE)*$W36))*IF(Q36="",0,VLOOKUP(Q36,'⚪设计'!$B$85:$H$104,4,FALSE)),0))</f>
        <v>193</v>
      </c>
      <c r="U36" s="97">
        <f>IF(Q36="","",ROUND(VLOOKUP($B36,战斗节奏!$A$4:$F$13,2,FALSE)/(IF($G36="",0,VLOOKUP($G36,'⚪设计'!$B$85:$H$104,5,FALSE)*$H36)+IF($L36="",0,VLOOKUP($L36,'⚪设计'!$B$85:$H$104,5,FALSE)*$M36)+IF($Q36="",0,VLOOKUP($Q36,'⚪设计'!$B$85:$H$104,5,FALSE)*$R36)+IF($V36="",0,VLOOKUP($V36,'⚪设计'!$B$85:$H$104,5,FALSE)*$W36))*IF(Q36="",0,VLOOKUP(Q36,'⚪设计'!$B$85:$H$104,5,FALSE)),0))</f>
        <v>2</v>
      </c>
      <c r="V36" s="97" t="str">
        <f>IF(VLOOKUP($A36,'⚪设计'!$A$144:$N$196,10,FALSE)="","",VLOOKUP($A36,'⚪设计'!$A$144:$N$196,10,FALSE))</f>
        <v/>
      </c>
      <c r="W36" s="97" t="str">
        <f t="shared" si="4"/>
        <v/>
      </c>
      <c r="X36" s="97" t="str">
        <f>IF(VLOOKUP($A36,'⚪设计'!$A$144:$N$196,14,FALSE)="","",VLOOKUP($A36,'⚪设计'!$A$144:$N$196,14,FALSE))</f>
        <v/>
      </c>
      <c r="Y36" s="97" t="str">
        <f>IF(V36="","",ROUND($D36*'⚪设计'!$D177/(IF($G36="",0,VLOOKUP($G36,'⚪设计'!$B$85:$H$104,4,FALSE)*$H36)+IF($L36="",0,VLOOKUP($L36,'⚪设计'!$B$85:$H$104,4,FALSE)*$M36)+IF($Q36="",0,VLOOKUP($Q36,'⚪设计'!$B$85:$H$104,4,FALSE)*$R36)+IF($V36="",0,VLOOKUP($V36,'⚪设计'!$B$85:$H$104,4,FALSE)*$W36))*IF(V36="",0,VLOOKUP(V36,'⚪设计'!$B$85:$H$104,4,FALSE)),0))</f>
        <v/>
      </c>
      <c r="Z36" s="97" t="str">
        <f>IF(V36="","",ROUND(VLOOKUP($B36,战斗节奏!$A$4:$F$13,2,FALSE)/(IF($G36="",0,VLOOKUP($G36,'⚪设计'!$B$85:$H$104,5,FALSE)*$H36)+IF($L36="",0,VLOOKUP($L36,'⚪设计'!$B$85:$H$104,5,FALSE)*$M36)+IF($Q36="",0,VLOOKUP($Q36,'⚪设计'!$B$85:$H$104,5,FALSE)*$R36)+IF($V36="",0,VLOOKUP($V36,'⚪设计'!$B$85:$H$104,5,FALSE)*$W36))*IF(V36="",0,VLOOKUP(V36,'⚪设计'!$B$85:$H$104,5,FALSE)),0))</f>
        <v/>
      </c>
    </row>
    <row r="37" spans="1:26" x14ac:dyDescent="0.2">
      <c r="A37" s="2" t="str">
        <f t="shared" si="0"/>
        <v>7_5</v>
      </c>
      <c r="B37" s="2">
        <v>7</v>
      </c>
      <c r="C37" s="2">
        <v>5</v>
      </c>
      <c r="D37" s="97">
        <f>VLOOKUP(C37,无限模式!$A$3:$B$22,2,FALSE)</f>
        <v>2700</v>
      </c>
      <c r="E37" s="98">
        <v>1</v>
      </c>
      <c r="F37" s="97">
        <f>'⚪设计'!F178</f>
        <v>20</v>
      </c>
      <c r="G37" s="97" t="str">
        <f>IF(VLOOKUP($A37,'⚪设计'!$A$144:$N$196,7,FALSE)="","",VLOOKUP($A37,'⚪设计'!$A$144:$N$196,7,FALSE))</f>
        <v>蛋2</v>
      </c>
      <c r="H37" s="97">
        <f t="shared" si="1"/>
        <v>13</v>
      </c>
      <c r="I37" s="97">
        <f>IF(VLOOKUP($A37,'⚪设计'!$A$144:$N$196,11,FALSE)="","",VLOOKUP($A37,'⚪设计'!$A$144:$N$196,11,FALSE))</f>
        <v>1.5</v>
      </c>
      <c r="J37" s="97">
        <f>IF(G37="","",ROUND($D37*'⚪设计'!$D178/(IF($G37="",0,VLOOKUP($G37,'⚪设计'!$B$85:$H$104,4,FALSE)*$H37)+IF($L37="",0,VLOOKUP($L37,'⚪设计'!$B$85:$H$104,4,FALSE)*$M37)+IF($Q37="",0,VLOOKUP($Q37,'⚪设计'!$B$85:$H$104,4,FALSE)*$R37)+IF($V37="",0,VLOOKUP($V37,'⚪设计'!$B$85:$H$104,4,FALSE)*$W37))*IF(G37="",0,VLOOKUP(G37,'⚪设计'!$B$85:$H$104,4,FALSE)),0))</f>
        <v>1313</v>
      </c>
      <c r="K37" s="97">
        <f>IF(G37="","",ROUND(VLOOKUP($B37,战斗节奏!$A$4:$F$13,2,FALSE)/(IF($G37="",0,VLOOKUP($G37,'⚪设计'!$B$85:$H$104,5,FALSE)*$H37)+IF($L37="",0,VLOOKUP($L37,'⚪设计'!$B$85:$H$104,5,FALSE)*$M37)+IF($Q37="",0,VLOOKUP($Q37,'⚪设计'!$B$85:$H$104,5,FALSE)*$R37)+IF($V37="",0,VLOOKUP($V37,'⚪设计'!$B$85:$H$104,5,FALSE)*$W37))*IF(G37="",0,VLOOKUP(G37,'⚪设计'!$B$85:$H$104,5,FALSE)),0))</f>
        <v>7</v>
      </c>
      <c r="L37" s="97" t="str">
        <f>IF(VLOOKUP($A37,'⚪设计'!$A$144:$N$196,8,FALSE)="","",VLOOKUP($A37,'⚪设计'!$A$144:$N$196,8,FALSE))</f>
        <v>鬼2</v>
      </c>
      <c r="M37" s="97">
        <f t="shared" si="2"/>
        <v>40</v>
      </c>
      <c r="N37" s="97">
        <f>IF(VLOOKUP($A37,'⚪设计'!$A$144:$N$196,12,FALSE)="","",VLOOKUP($A37,'⚪设计'!$A$144:$N$196,12,FALSE))</f>
        <v>0.5</v>
      </c>
      <c r="O37" s="97">
        <f>IF(L37="","",ROUND($D37*'⚪设计'!$D178/(IF($G37="",0,VLOOKUP($G37,'⚪设计'!$B$85:$H$104,4,FALSE)*$H37)+IF($L37="",0,VLOOKUP($L37,'⚪设计'!$B$85:$H$104,4,FALSE)*$M37)+IF($Q37="",0,VLOOKUP($Q37,'⚪设计'!$B$85:$H$104,4,FALSE)*$R37)+IF($V37="",0,VLOOKUP($V37,'⚪设计'!$B$85:$H$104,4,FALSE)*$W37))*IF(L37="",0,VLOOKUP(L37,'⚪设计'!$B$85:$H$104,4,FALSE)),0))</f>
        <v>657</v>
      </c>
      <c r="P37" s="97">
        <f>IF(L37="","",ROUND(VLOOKUP($B37,战斗节奏!$A$4:$F$13,2,FALSE)/(IF($G37="",0,VLOOKUP($G37,'⚪设计'!$B$85:$H$104,5,FALSE)*$H37)+IF($L37="",0,VLOOKUP($L37,'⚪设计'!$B$85:$H$104,5,FALSE)*$M37)+IF($Q37="",0,VLOOKUP($Q37,'⚪设计'!$B$85:$H$104,5,FALSE)*$R37)+IF($V37="",0,VLOOKUP($V37,'⚪设计'!$B$85:$H$104,5,FALSE)*$W37))*IF(L37="",0,VLOOKUP(L37,'⚪设计'!$B$85:$H$104,5,FALSE)),0))</f>
        <v>3</v>
      </c>
      <c r="Q37" s="97" t="str">
        <f>IF(VLOOKUP($A37,'⚪设计'!$A$144:$N$196,9,FALSE)="","",VLOOKUP($A37,'⚪设计'!$A$144:$N$196,9,FALSE))</f>
        <v>蜜蜂2</v>
      </c>
      <c r="R37" s="97">
        <f t="shared" si="3"/>
        <v>10</v>
      </c>
      <c r="S37" s="97">
        <f>IF(VLOOKUP($A37,'⚪设计'!$A$144:$N$196,13,FALSE)="","",VLOOKUP($A37,'⚪设计'!$A$144:$N$196,13,FALSE))</f>
        <v>2</v>
      </c>
      <c r="T37" s="97">
        <f>IF(Q37="","",ROUND($D37*'⚪设计'!$D178/(IF($G37="",0,VLOOKUP($G37,'⚪设计'!$B$85:$H$104,4,FALSE)*$H37)+IF($L37="",0,VLOOKUP($L37,'⚪设计'!$B$85:$H$104,4,FALSE)*$M37)+IF($Q37="",0,VLOOKUP($Q37,'⚪设计'!$B$85:$H$104,4,FALSE)*$R37)+IF($V37="",0,VLOOKUP($V37,'⚪设计'!$B$85:$H$104,4,FALSE)*$W37))*IF(Q37="",0,VLOOKUP(Q37,'⚪设计'!$B$85:$H$104,4,FALSE)),0))</f>
        <v>657</v>
      </c>
      <c r="U37" s="97">
        <f>IF(Q37="","",ROUND(VLOOKUP($B37,战斗节奏!$A$4:$F$13,2,FALSE)/(IF($G37="",0,VLOOKUP($G37,'⚪设计'!$B$85:$H$104,5,FALSE)*$H37)+IF($L37="",0,VLOOKUP($L37,'⚪设计'!$B$85:$H$104,5,FALSE)*$M37)+IF($Q37="",0,VLOOKUP($Q37,'⚪设计'!$B$85:$H$104,5,FALSE)*$R37)+IF($V37="",0,VLOOKUP($V37,'⚪设计'!$B$85:$H$104,5,FALSE)*$W37))*IF(Q37="",0,VLOOKUP(Q37,'⚪设计'!$B$85:$H$104,5,FALSE)),0))</f>
        <v>7</v>
      </c>
      <c r="V37" s="97" t="str">
        <f>IF(VLOOKUP($A37,'⚪设计'!$A$144:$N$196,10,FALSE)="","",VLOOKUP($A37,'⚪设计'!$A$144:$N$196,10,FALSE))</f>
        <v/>
      </c>
      <c r="W37" s="97" t="str">
        <f t="shared" si="4"/>
        <v/>
      </c>
      <c r="X37" s="97" t="str">
        <f>IF(VLOOKUP($A37,'⚪设计'!$A$144:$N$196,14,FALSE)="","",VLOOKUP($A37,'⚪设计'!$A$144:$N$196,14,FALSE))</f>
        <v/>
      </c>
      <c r="Y37" s="97" t="str">
        <f>IF(V37="","",ROUND($D37*'⚪设计'!$D178/(IF($G37="",0,VLOOKUP($G37,'⚪设计'!$B$85:$H$104,4,FALSE)*$H37)+IF($L37="",0,VLOOKUP($L37,'⚪设计'!$B$85:$H$104,4,FALSE)*$M37)+IF($Q37="",0,VLOOKUP($Q37,'⚪设计'!$B$85:$H$104,4,FALSE)*$R37)+IF($V37="",0,VLOOKUP($V37,'⚪设计'!$B$85:$H$104,4,FALSE)*$W37))*IF(V37="",0,VLOOKUP(V37,'⚪设计'!$B$85:$H$104,4,FALSE)),0))</f>
        <v/>
      </c>
      <c r="Z37" s="97" t="str">
        <f>IF(V37="","",ROUND(VLOOKUP($B37,战斗节奏!$A$4:$F$13,2,FALSE)/(IF($G37="",0,VLOOKUP($G37,'⚪设计'!$B$85:$H$104,5,FALSE)*$H37)+IF($L37="",0,VLOOKUP($L37,'⚪设计'!$B$85:$H$104,5,FALSE)*$M37)+IF($Q37="",0,VLOOKUP($Q37,'⚪设计'!$B$85:$H$104,5,FALSE)*$R37)+IF($V37="",0,VLOOKUP($V37,'⚪设计'!$B$85:$H$104,5,FALSE)*$W37))*IF(V37="",0,VLOOKUP(V37,'⚪设计'!$B$85:$H$104,5,FALSE)),0))</f>
        <v/>
      </c>
    </row>
    <row r="38" spans="1:26" x14ac:dyDescent="0.2">
      <c r="A38" s="2" t="str">
        <f t="shared" si="0"/>
        <v>8_1</v>
      </c>
      <c r="B38" s="2">
        <v>8</v>
      </c>
      <c r="C38" s="2">
        <v>1</v>
      </c>
      <c r="D38" s="97">
        <f>VLOOKUP(C38,无限模式!$A$3:$B$22,2,FALSE)</f>
        <v>540</v>
      </c>
      <c r="E38" s="98">
        <v>1</v>
      </c>
      <c r="F38" s="97">
        <f>'⚪设计'!F179</f>
        <v>10</v>
      </c>
      <c r="G38" s="97" t="str">
        <f>IF(VLOOKUP($A38,'⚪设计'!$A$144:$N$196,7,FALSE)="","",VLOOKUP($A38,'⚪设计'!$A$144:$N$196,7,FALSE))</f>
        <v>蛋2</v>
      </c>
      <c r="H38" s="97">
        <f t="shared" si="1"/>
        <v>7</v>
      </c>
      <c r="I38" s="97">
        <f>IF(VLOOKUP($A38,'⚪设计'!$A$144:$N$196,11,FALSE)="","",VLOOKUP($A38,'⚪设计'!$A$144:$N$196,11,FALSE))</f>
        <v>1.5</v>
      </c>
      <c r="J38" s="97">
        <f>IF(G38="","",ROUND($D38*'⚪设计'!$D179/(IF($G38="",0,VLOOKUP($G38,'⚪设计'!$B$85:$H$104,4,FALSE)*$H38)+IF($L38="",0,VLOOKUP($L38,'⚪设计'!$B$85:$H$104,4,FALSE)*$M38)+IF($Q38="",0,VLOOKUP($Q38,'⚪设计'!$B$85:$H$104,4,FALSE)*$R38)+IF($V38="",0,VLOOKUP($V38,'⚪设计'!$B$85:$H$104,4,FALSE)*$W38))*IF(G38="",0,VLOOKUP(G38,'⚪设计'!$B$85:$H$104,4,FALSE)),0))</f>
        <v>270</v>
      </c>
      <c r="K38" s="97">
        <f>IF(G38="","",ROUND(VLOOKUP($B38,战斗节奏!$A$4:$F$13,2,FALSE)/(IF($G38="",0,VLOOKUP($G38,'⚪设计'!$B$85:$H$104,5,FALSE)*$H38)+IF($L38="",0,VLOOKUP($L38,'⚪设计'!$B$85:$H$104,5,FALSE)*$M38)+IF($Q38="",0,VLOOKUP($Q38,'⚪设计'!$B$85:$H$104,5,FALSE)*$R38)+IF($V38="",0,VLOOKUP($V38,'⚪设计'!$B$85:$H$104,5,FALSE)*$W38))*IF(G38="",0,VLOOKUP(G38,'⚪设计'!$B$85:$H$104,5,FALSE)),0))</f>
        <v>18</v>
      </c>
      <c r="L38" s="97" t="str">
        <f>IF(VLOOKUP($A38,'⚪设计'!$A$144:$N$196,8,FALSE)="","",VLOOKUP($A38,'⚪设计'!$A$144:$N$196,8,FALSE))</f>
        <v>鬼1</v>
      </c>
      <c r="M38" s="97">
        <f t="shared" si="2"/>
        <v>20</v>
      </c>
      <c r="N38" s="97">
        <f>IF(VLOOKUP($A38,'⚪设计'!$A$144:$N$196,12,FALSE)="","",VLOOKUP($A38,'⚪设计'!$A$144:$N$196,12,FALSE))</f>
        <v>0.5</v>
      </c>
      <c r="O38" s="97">
        <f>IF(L38="","",ROUND($D38*'⚪设计'!$D179/(IF($G38="",0,VLOOKUP($G38,'⚪设计'!$B$85:$H$104,4,FALSE)*$H38)+IF($L38="",0,VLOOKUP($L38,'⚪设计'!$B$85:$H$104,4,FALSE)*$M38)+IF($Q38="",0,VLOOKUP($Q38,'⚪设计'!$B$85:$H$104,4,FALSE)*$R38)+IF($V38="",0,VLOOKUP($V38,'⚪设计'!$B$85:$H$104,4,FALSE)*$W38))*IF(L38="",0,VLOOKUP(L38,'⚪设计'!$B$85:$H$104,4,FALSE)),0))</f>
        <v>68</v>
      </c>
      <c r="P38" s="97">
        <f>IF(L38="","",ROUND(VLOOKUP($B38,战斗节奏!$A$4:$F$13,2,FALSE)/(IF($G38="",0,VLOOKUP($G38,'⚪设计'!$B$85:$H$104,5,FALSE)*$H38)+IF($L38="",0,VLOOKUP($L38,'⚪设计'!$B$85:$H$104,5,FALSE)*$M38)+IF($Q38="",0,VLOOKUP($Q38,'⚪设计'!$B$85:$H$104,5,FALSE)*$R38)+IF($V38="",0,VLOOKUP($V38,'⚪设计'!$B$85:$H$104,5,FALSE)*$W38))*IF(L38="",0,VLOOKUP(L38,'⚪设计'!$B$85:$H$104,5,FALSE)),0))</f>
        <v>9</v>
      </c>
      <c r="Q38" s="97" t="str">
        <f>IF(VLOOKUP($A38,'⚪设计'!$A$144:$N$196,9,FALSE)="","",VLOOKUP($A38,'⚪设计'!$A$144:$N$196,9,FALSE))</f>
        <v/>
      </c>
      <c r="R38" s="97" t="str">
        <f t="shared" si="3"/>
        <v/>
      </c>
      <c r="S38" s="97" t="str">
        <f>IF(VLOOKUP($A38,'⚪设计'!$A$144:$N$196,13,FALSE)="","",VLOOKUP($A38,'⚪设计'!$A$144:$N$196,13,FALSE))</f>
        <v/>
      </c>
      <c r="T38" s="97" t="str">
        <f>IF(Q38="","",ROUND($D38*'⚪设计'!$D179/(IF($G38="",0,VLOOKUP($G38,'⚪设计'!$B$85:$H$104,4,FALSE)*$H38)+IF($L38="",0,VLOOKUP($L38,'⚪设计'!$B$85:$H$104,4,FALSE)*$M38)+IF($Q38="",0,VLOOKUP($Q38,'⚪设计'!$B$85:$H$104,4,FALSE)*$R38)+IF($V38="",0,VLOOKUP($V38,'⚪设计'!$B$85:$H$104,4,FALSE)*$W38))*IF(Q38="",0,VLOOKUP(Q38,'⚪设计'!$B$85:$H$104,4,FALSE)),0))</f>
        <v/>
      </c>
      <c r="U38" s="97" t="str">
        <f>IF(Q38="","",ROUND(VLOOKUP($B38,战斗节奏!$A$4:$F$13,2,FALSE)/(IF($G38="",0,VLOOKUP($G38,'⚪设计'!$B$85:$H$104,5,FALSE)*$H38)+IF($L38="",0,VLOOKUP($L38,'⚪设计'!$B$85:$H$104,5,FALSE)*$M38)+IF($Q38="",0,VLOOKUP($Q38,'⚪设计'!$B$85:$H$104,5,FALSE)*$R38)+IF($V38="",0,VLOOKUP($V38,'⚪设计'!$B$85:$H$104,5,FALSE)*$W38))*IF(Q38="",0,VLOOKUP(Q38,'⚪设计'!$B$85:$H$104,5,FALSE)),0))</f>
        <v/>
      </c>
      <c r="V38" s="97" t="str">
        <f>IF(VLOOKUP($A38,'⚪设计'!$A$144:$N$196,10,FALSE)="","",VLOOKUP($A38,'⚪设计'!$A$144:$N$196,10,FALSE))</f>
        <v/>
      </c>
      <c r="W38" s="97" t="str">
        <f t="shared" si="4"/>
        <v/>
      </c>
      <c r="X38" s="97" t="str">
        <f>IF(VLOOKUP($A38,'⚪设计'!$A$144:$N$196,14,FALSE)="","",VLOOKUP($A38,'⚪设计'!$A$144:$N$196,14,FALSE))</f>
        <v/>
      </c>
      <c r="Y38" s="97" t="str">
        <f>IF(V38="","",ROUND($D38*'⚪设计'!$D179/(IF($G38="",0,VLOOKUP($G38,'⚪设计'!$B$85:$H$104,4,FALSE)*$H38)+IF($L38="",0,VLOOKUP($L38,'⚪设计'!$B$85:$H$104,4,FALSE)*$M38)+IF($Q38="",0,VLOOKUP($Q38,'⚪设计'!$B$85:$H$104,4,FALSE)*$R38)+IF($V38="",0,VLOOKUP($V38,'⚪设计'!$B$85:$H$104,4,FALSE)*$W38))*IF(V38="",0,VLOOKUP(V38,'⚪设计'!$B$85:$H$104,4,FALSE)),0))</f>
        <v/>
      </c>
      <c r="Z38" s="97" t="str">
        <f>IF(V38="","",ROUND(VLOOKUP($B38,战斗节奏!$A$4:$F$13,2,FALSE)/(IF($G38="",0,VLOOKUP($G38,'⚪设计'!$B$85:$H$104,5,FALSE)*$H38)+IF($L38="",0,VLOOKUP($L38,'⚪设计'!$B$85:$H$104,5,FALSE)*$M38)+IF($Q38="",0,VLOOKUP($Q38,'⚪设计'!$B$85:$H$104,5,FALSE)*$R38)+IF($V38="",0,VLOOKUP($V38,'⚪设计'!$B$85:$H$104,5,FALSE)*$W38))*IF(V38="",0,VLOOKUP(V38,'⚪设计'!$B$85:$H$104,5,FALSE)),0))</f>
        <v/>
      </c>
    </row>
    <row r="39" spans="1:26" x14ac:dyDescent="0.2">
      <c r="A39" s="2" t="str">
        <f t="shared" si="0"/>
        <v>8_2</v>
      </c>
      <c r="B39" s="2">
        <v>8</v>
      </c>
      <c r="C39" s="2">
        <v>2</v>
      </c>
      <c r="D39" s="97">
        <f>VLOOKUP(C39,无限模式!$A$3:$B$22,2,FALSE)</f>
        <v>1080</v>
      </c>
      <c r="E39" s="98">
        <v>1</v>
      </c>
      <c r="F39" s="97">
        <f>'⚪设计'!F180</f>
        <v>12.5</v>
      </c>
      <c r="G39" s="97" t="str">
        <f>IF(VLOOKUP($A39,'⚪设计'!$A$144:$N$196,7,FALSE)="","",VLOOKUP($A39,'⚪设计'!$A$144:$N$196,7,FALSE))</f>
        <v>蛋2</v>
      </c>
      <c r="H39" s="97">
        <f t="shared" si="1"/>
        <v>8</v>
      </c>
      <c r="I39" s="97">
        <f>IF(VLOOKUP($A39,'⚪设计'!$A$144:$N$196,11,FALSE)="","",VLOOKUP($A39,'⚪设计'!$A$144:$N$196,11,FALSE))</f>
        <v>1.5</v>
      </c>
      <c r="J39" s="97">
        <f>IF(G39="","",ROUND($D39*'⚪设计'!$D180/(IF($G39="",0,VLOOKUP($G39,'⚪设计'!$B$85:$H$104,4,FALSE)*$H39)+IF($L39="",0,VLOOKUP($L39,'⚪设计'!$B$85:$H$104,4,FALSE)*$M39)+IF($Q39="",0,VLOOKUP($Q39,'⚪设计'!$B$85:$H$104,4,FALSE)*$R39)+IF($V39="",0,VLOOKUP($V39,'⚪设计'!$B$85:$H$104,4,FALSE)*$W39))*IF(G39="",0,VLOOKUP(G39,'⚪设计'!$B$85:$H$104,4,FALSE)),0))</f>
        <v>434</v>
      </c>
      <c r="K39" s="97">
        <f>IF(G39="","",ROUND(VLOOKUP($B39,战斗节奏!$A$4:$F$13,2,FALSE)/(IF($G39="",0,VLOOKUP($G39,'⚪设计'!$B$85:$H$104,5,FALSE)*$H39)+IF($L39="",0,VLOOKUP($L39,'⚪设计'!$B$85:$H$104,5,FALSE)*$M39)+IF($Q39="",0,VLOOKUP($Q39,'⚪设计'!$B$85:$H$104,5,FALSE)*$R39)+IF($V39="",0,VLOOKUP($V39,'⚪设计'!$B$85:$H$104,5,FALSE)*$W39))*IF(G39="",0,VLOOKUP(G39,'⚪设计'!$B$85:$H$104,5,FALSE)),0))</f>
        <v>10</v>
      </c>
      <c r="L39" s="97" t="str">
        <f>IF(VLOOKUP($A39,'⚪设计'!$A$144:$N$196,8,FALSE)="","",VLOOKUP($A39,'⚪设计'!$A$144:$N$196,8,FALSE))</f>
        <v>蝙蝠1</v>
      </c>
      <c r="M39" s="97">
        <f t="shared" si="2"/>
        <v>63</v>
      </c>
      <c r="N39" s="97">
        <f>IF(VLOOKUP($A39,'⚪设计'!$A$144:$N$196,12,FALSE)="","",VLOOKUP($A39,'⚪设计'!$A$144:$N$196,12,FALSE))</f>
        <v>0.2</v>
      </c>
      <c r="O39" s="97">
        <f>IF(L39="","",ROUND($D39*'⚪设计'!$D180/(IF($G39="",0,VLOOKUP($G39,'⚪设计'!$B$85:$H$104,4,FALSE)*$H39)+IF($L39="",0,VLOOKUP($L39,'⚪设计'!$B$85:$H$104,4,FALSE)*$M39)+IF($Q39="",0,VLOOKUP($Q39,'⚪设计'!$B$85:$H$104,4,FALSE)*$R39)+IF($V39="",0,VLOOKUP($V39,'⚪设计'!$B$85:$H$104,4,FALSE)*$W39))*IF(L39="",0,VLOOKUP(L39,'⚪设计'!$B$85:$H$104,4,FALSE)),0))</f>
        <v>54</v>
      </c>
      <c r="P39" s="97">
        <f>IF(L39="","",ROUND(VLOOKUP($B39,战斗节奏!$A$4:$F$13,2,FALSE)/(IF($G39="",0,VLOOKUP($G39,'⚪设计'!$B$85:$H$104,5,FALSE)*$H39)+IF($L39="",0,VLOOKUP($L39,'⚪设计'!$B$85:$H$104,5,FALSE)*$M39)+IF($Q39="",0,VLOOKUP($Q39,'⚪设计'!$B$85:$H$104,5,FALSE)*$R39)+IF($V39="",0,VLOOKUP($V39,'⚪设计'!$B$85:$H$104,5,FALSE)*$W39))*IF(L39="",0,VLOOKUP(L39,'⚪设计'!$B$85:$H$104,5,FALSE)),0))</f>
        <v>2</v>
      </c>
      <c r="Q39" s="97" t="str">
        <f>IF(VLOOKUP($A39,'⚪设计'!$A$144:$N$196,9,FALSE)="","",VLOOKUP($A39,'⚪设计'!$A$144:$N$196,9,FALSE))</f>
        <v>蜘蛛2</v>
      </c>
      <c r="R39" s="97">
        <f t="shared" si="3"/>
        <v>13</v>
      </c>
      <c r="S39" s="97">
        <f>IF(VLOOKUP($A39,'⚪设计'!$A$144:$N$196,13,FALSE)="","",VLOOKUP($A39,'⚪设计'!$A$144:$N$196,13,FALSE))</f>
        <v>1</v>
      </c>
      <c r="T39" s="97">
        <f>IF(Q39="","",ROUND($D39*'⚪设计'!$D180/(IF($G39="",0,VLOOKUP($G39,'⚪设计'!$B$85:$H$104,4,FALSE)*$H39)+IF($L39="",0,VLOOKUP($L39,'⚪设计'!$B$85:$H$104,4,FALSE)*$M39)+IF($Q39="",0,VLOOKUP($Q39,'⚪设计'!$B$85:$H$104,4,FALSE)*$R39)+IF($V39="",0,VLOOKUP($V39,'⚪设计'!$B$85:$H$104,4,FALSE)*$W39))*IF(Q39="",0,VLOOKUP(Q39,'⚪设计'!$B$85:$H$104,4,FALSE)),0))</f>
        <v>217</v>
      </c>
      <c r="U39" s="97">
        <f>IF(Q39="","",ROUND(VLOOKUP($B39,战斗节奏!$A$4:$F$13,2,FALSE)/(IF($G39="",0,VLOOKUP($G39,'⚪设计'!$B$85:$H$104,5,FALSE)*$H39)+IF($L39="",0,VLOOKUP($L39,'⚪设计'!$B$85:$H$104,5,FALSE)*$M39)+IF($Q39="",0,VLOOKUP($Q39,'⚪设计'!$B$85:$H$104,5,FALSE)*$R39)+IF($V39="",0,VLOOKUP($V39,'⚪设计'!$B$85:$H$104,5,FALSE)*$W39))*IF(Q39="",0,VLOOKUP(Q39,'⚪设计'!$B$85:$H$104,5,FALSE)),0))</f>
        <v>5</v>
      </c>
      <c r="V39" s="97" t="str">
        <f>IF(VLOOKUP($A39,'⚪设计'!$A$144:$N$196,10,FALSE)="","",VLOOKUP($A39,'⚪设计'!$A$144:$N$196,10,FALSE))</f>
        <v/>
      </c>
      <c r="W39" s="97" t="str">
        <f t="shared" si="4"/>
        <v/>
      </c>
      <c r="X39" s="97" t="str">
        <f>IF(VLOOKUP($A39,'⚪设计'!$A$144:$N$196,14,FALSE)="","",VLOOKUP($A39,'⚪设计'!$A$144:$N$196,14,FALSE))</f>
        <v/>
      </c>
      <c r="Y39" s="97" t="str">
        <f>IF(V39="","",ROUND($D39*'⚪设计'!$D180/(IF($G39="",0,VLOOKUP($G39,'⚪设计'!$B$85:$H$104,4,FALSE)*$H39)+IF($L39="",0,VLOOKUP($L39,'⚪设计'!$B$85:$H$104,4,FALSE)*$M39)+IF($Q39="",0,VLOOKUP($Q39,'⚪设计'!$B$85:$H$104,4,FALSE)*$R39)+IF($V39="",0,VLOOKUP($V39,'⚪设计'!$B$85:$H$104,4,FALSE)*$W39))*IF(V39="",0,VLOOKUP(V39,'⚪设计'!$B$85:$H$104,4,FALSE)),0))</f>
        <v/>
      </c>
      <c r="Z39" s="97" t="str">
        <f>IF(V39="","",ROUND(VLOOKUP($B39,战斗节奏!$A$4:$F$13,2,FALSE)/(IF($G39="",0,VLOOKUP($G39,'⚪设计'!$B$85:$H$104,5,FALSE)*$H39)+IF($L39="",0,VLOOKUP($L39,'⚪设计'!$B$85:$H$104,5,FALSE)*$M39)+IF($Q39="",0,VLOOKUP($Q39,'⚪设计'!$B$85:$H$104,5,FALSE)*$R39)+IF($V39="",0,VLOOKUP($V39,'⚪设计'!$B$85:$H$104,5,FALSE)*$W39))*IF(V39="",0,VLOOKUP(V39,'⚪设计'!$B$85:$H$104,5,FALSE)),0))</f>
        <v/>
      </c>
    </row>
    <row r="40" spans="1:26" x14ac:dyDescent="0.2">
      <c r="A40" s="2" t="str">
        <f t="shared" si="0"/>
        <v>8_3</v>
      </c>
      <c r="B40" s="2">
        <v>8</v>
      </c>
      <c r="C40" s="2">
        <v>3</v>
      </c>
      <c r="D40" s="97">
        <f>VLOOKUP(C40,无限模式!$A$3:$B$22,2,FALSE)</f>
        <v>1620</v>
      </c>
      <c r="E40" s="98">
        <v>1</v>
      </c>
      <c r="F40" s="97">
        <f>'⚪设计'!F181</f>
        <v>15</v>
      </c>
      <c r="G40" s="97" t="str">
        <f>IF(VLOOKUP($A40,'⚪设计'!$A$144:$N$196,7,FALSE)="","",VLOOKUP($A40,'⚪设计'!$A$144:$N$196,7,FALSE))</f>
        <v>蛋2</v>
      </c>
      <c r="H40" s="97">
        <f t="shared" si="1"/>
        <v>10</v>
      </c>
      <c r="I40" s="97">
        <f>IF(VLOOKUP($A40,'⚪设计'!$A$144:$N$196,11,FALSE)="","",VLOOKUP($A40,'⚪设计'!$A$144:$N$196,11,FALSE))</f>
        <v>1.5</v>
      </c>
      <c r="J40" s="97">
        <f>IF(G40="","",ROUND($D40*'⚪设计'!$D181/(IF($G40="",0,VLOOKUP($G40,'⚪设计'!$B$85:$H$104,4,FALSE)*$H40)+IF($L40="",0,VLOOKUP($L40,'⚪设计'!$B$85:$H$104,4,FALSE)*$M40)+IF($Q40="",0,VLOOKUP($Q40,'⚪设计'!$B$85:$H$104,4,FALSE)*$R40)+IF($V40="",0,VLOOKUP($V40,'⚪设计'!$B$85:$H$104,4,FALSE)*$W40))*IF(G40="",0,VLOOKUP(G40,'⚪设计'!$B$85:$H$104,4,FALSE)),0))</f>
        <v>992</v>
      </c>
      <c r="K40" s="97">
        <f>IF(G40="","",ROUND(VLOOKUP($B40,战斗节奏!$A$4:$F$13,2,FALSE)/(IF($G40="",0,VLOOKUP($G40,'⚪设计'!$B$85:$H$104,5,FALSE)*$H40)+IF($L40="",0,VLOOKUP($L40,'⚪设计'!$B$85:$H$104,5,FALSE)*$M40)+IF($Q40="",0,VLOOKUP($Q40,'⚪设计'!$B$85:$H$104,5,FALSE)*$R40)+IF($V40="",0,VLOOKUP($V40,'⚪设计'!$B$85:$H$104,5,FALSE)*$W40))*IF(G40="",0,VLOOKUP(G40,'⚪设计'!$B$85:$H$104,5,FALSE)),0))</f>
        <v>9</v>
      </c>
      <c r="L40" s="97" t="str">
        <f>IF(VLOOKUP($A40,'⚪设计'!$A$144:$N$196,8,FALSE)="","",VLOOKUP($A40,'⚪设计'!$A$144:$N$196,8,FALSE))</f>
        <v>蜘蛛1</v>
      </c>
      <c r="M40" s="97">
        <f t="shared" si="2"/>
        <v>38</v>
      </c>
      <c r="N40" s="97">
        <f>IF(VLOOKUP($A40,'⚪设计'!$A$144:$N$196,12,FALSE)="","",VLOOKUP($A40,'⚪设计'!$A$144:$N$196,12,FALSE))</f>
        <v>0.4</v>
      </c>
      <c r="O40" s="97">
        <f>IF(L40="","",ROUND($D40*'⚪设计'!$D181/(IF($G40="",0,VLOOKUP($G40,'⚪设计'!$B$85:$H$104,4,FALSE)*$H40)+IF($L40="",0,VLOOKUP($L40,'⚪设计'!$B$85:$H$104,4,FALSE)*$M40)+IF($Q40="",0,VLOOKUP($Q40,'⚪设计'!$B$85:$H$104,4,FALSE)*$R40)+IF($V40="",0,VLOOKUP($V40,'⚪设计'!$B$85:$H$104,4,FALSE)*$W40))*IF(L40="",0,VLOOKUP(L40,'⚪设计'!$B$85:$H$104,4,FALSE)),0))</f>
        <v>248</v>
      </c>
      <c r="P40" s="97">
        <f>IF(L40="","",ROUND(VLOOKUP($B40,战斗节奏!$A$4:$F$13,2,FALSE)/(IF($G40="",0,VLOOKUP($G40,'⚪设计'!$B$85:$H$104,5,FALSE)*$H40)+IF($L40="",0,VLOOKUP($L40,'⚪设计'!$B$85:$H$104,5,FALSE)*$M40)+IF($Q40="",0,VLOOKUP($Q40,'⚪设计'!$B$85:$H$104,5,FALSE)*$R40)+IF($V40="",0,VLOOKUP($V40,'⚪设计'!$B$85:$H$104,5,FALSE)*$W40))*IF(L40="",0,VLOOKUP(L40,'⚪设计'!$B$85:$H$104,5,FALSE)),0))</f>
        <v>4</v>
      </c>
      <c r="Q40" s="97" t="str">
        <f>IF(VLOOKUP($A40,'⚪设计'!$A$144:$N$196,9,FALSE)="","",VLOOKUP($A40,'⚪设计'!$A$144:$N$196,9,FALSE))</f>
        <v>鬼2</v>
      </c>
      <c r="R40" s="97">
        <f t="shared" si="3"/>
        <v>10</v>
      </c>
      <c r="S40" s="97">
        <f>IF(VLOOKUP($A40,'⚪设计'!$A$144:$N$196,13,FALSE)="","",VLOOKUP($A40,'⚪设计'!$A$144:$N$196,13,FALSE))</f>
        <v>1.5</v>
      </c>
      <c r="T40" s="97">
        <f>IF(Q40="","",ROUND($D40*'⚪设计'!$D181/(IF($G40="",0,VLOOKUP($G40,'⚪设计'!$B$85:$H$104,4,FALSE)*$H40)+IF($L40="",0,VLOOKUP($L40,'⚪设计'!$B$85:$H$104,4,FALSE)*$M40)+IF($Q40="",0,VLOOKUP($Q40,'⚪设计'!$B$85:$H$104,4,FALSE)*$R40)+IF($V40="",0,VLOOKUP($V40,'⚪设计'!$B$85:$H$104,4,FALSE)*$W40))*IF(Q40="",0,VLOOKUP(Q40,'⚪设计'!$B$85:$H$104,4,FALSE)),0))</f>
        <v>496</v>
      </c>
      <c r="U40" s="97">
        <f>IF(Q40="","",ROUND(VLOOKUP($B40,战斗节奏!$A$4:$F$13,2,FALSE)/(IF($G40="",0,VLOOKUP($G40,'⚪设计'!$B$85:$H$104,5,FALSE)*$H40)+IF($L40="",0,VLOOKUP($L40,'⚪设计'!$B$85:$H$104,5,FALSE)*$M40)+IF($Q40="",0,VLOOKUP($Q40,'⚪设计'!$B$85:$H$104,5,FALSE)*$R40)+IF($V40="",0,VLOOKUP($V40,'⚪设计'!$B$85:$H$104,5,FALSE)*$W40))*IF(Q40="",0,VLOOKUP(Q40,'⚪设计'!$B$85:$H$104,5,FALSE)),0))</f>
        <v>4</v>
      </c>
      <c r="V40" s="97" t="str">
        <f>IF(VLOOKUP($A40,'⚪设计'!$A$144:$N$196,10,FALSE)="","",VLOOKUP($A40,'⚪设计'!$A$144:$N$196,10,FALSE))</f>
        <v/>
      </c>
      <c r="W40" s="97" t="str">
        <f t="shared" si="4"/>
        <v/>
      </c>
      <c r="X40" s="97" t="str">
        <f>IF(VLOOKUP($A40,'⚪设计'!$A$144:$N$196,14,FALSE)="","",VLOOKUP($A40,'⚪设计'!$A$144:$N$196,14,FALSE))</f>
        <v/>
      </c>
      <c r="Y40" s="97" t="str">
        <f>IF(V40="","",ROUND($D40*'⚪设计'!$D181/(IF($G40="",0,VLOOKUP($G40,'⚪设计'!$B$85:$H$104,4,FALSE)*$H40)+IF($L40="",0,VLOOKUP($L40,'⚪设计'!$B$85:$H$104,4,FALSE)*$M40)+IF($Q40="",0,VLOOKUP($Q40,'⚪设计'!$B$85:$H$104,4,FALSE)*$R40)+IF($V40="",0,VLOOKUP($V40,'⚪设计'!$B$85:$H$104,4,FALSE)*$W40))*IF(V40="",0,VLOOKUP(V40,'⚪设计'!$B$85:$H$104,4,FALSE)),0))</f>
        <v/>
      </c>
      <c r="Z40" s="97" t="str">
        <f>IF(V40="","",ROUND(VLOOKUP($B40,战斗节奏!$A$4:$F$13,2,FALSE)/(IF($G40="",0,VLOOKUP($G40,'⚪设计'!$B$85:$H$104,5,FALSE)*$H40)+IF($L40="",0,VLOOKUP($L40,'⚪设计'!$B$85:$H$104,5,FALSE)*$M40)+IF($Q40="",0,VLOOKUP($Q40,'⚪设计'!$B$85:$H$104,5,FALSE)*$R40)+IF($V40="",0,VLOOKUP($V40,'⚪设计'!$B$85:$H$104,5,FALSE)*$W40))*IF(V40="",0,VLOOKUP(V40,'⚪设计'!$B$85:$H$104,5,FALSE)),0))</f>
        <v/>
      </c>
    </row>
    <row r="41" spans="1:26" x14ac:dyDescent="0.2">
      <c r="A41" s="2" t="str">
        <f t="shared" si="0"/>
        <v>8_4</v>
      </c>
      <c r="B41" s="2">
        <v>8</v>
      </c>
      <c r="C41" s="2">
        <v>4</v>
      </c>
      <c r="D41" s="97">
        <f>VLOOKUP(C41,无限模式!$A$3:$B$22,2,FALSE)</f>
        <v>2160</v>
      </c>
      <c r="E41" s="98">
        <v>1</v>
      </c>
      <c r="F41" s="97">
        <f>'⚪设计'!F182</f>
        <v>17.5</v>
      </c>
      <c r="G41" s="97" t="str">
        <f>IF(VLOOKUP($A41,'⚪设计'!$A$144:$N$196,7,FALSE)="","",VLOOKUP($A41,'⚪设计'!$A$144:$N$196,7,FALSE))</f>
        <v>蛋2</v>
      </c>
      <c r="H41" s="97">
        <f t="shared" si="1"/>
        <v>12</v>
      </c>
      <c r="I41" s="97">
        <f>IF(VLOOKUP($A41,'⚪设计'!$A$144:$N$196,11,FALSE)="","",VLOOKUP($A41,'⚪设计'!$A$144:$N$196,11,FALSE))</f>
        <v>1.5</v>
      </c>
      <c r="J41" s="97">
        <f>IF(G41="","",ROUND($D41*'⚪设计'!$D182/(IF($G41="",0,VLOOKUP($G41,'⚪设计'!$B$85:$H$104,4,FALSE)*$H41)+IF($L41="",0,VLOOKUP($L41,'⚪设计'!$B$85:$H$104,4,FALSE)*$M41)+IF($Q41="",0,VLOOKUP($Q41,'⚪设计'!$B$85:$H$104,4,FALSE)*$R41)+IF($V41="",0,VLOOKUP($V41,'⚪设计'!$B$85:$H$104,4,FALSE)*$W41))*IF(G41="",0,VLOOKUP(G41,'⚪设计'!$B$85:$H$104,4,FALSE)),0))</f>
        <v>1242</v>
      </c>
      <c r="K41" s="97">
        <f>IF(G41="","",ROUND(VLOOKUP($B41,战斗节奏!$A$4:$F$13,2,FALSE)/(IF($G41="",0,VLOOKUP($G41,'⚪设计'!$B$85:$H$104,5,FALSE)*$H41)+IF($L41="",0,VLOOKUP($L41,'⚪设计'!$B$85:$H$104,5,FALSE)*$M41)+IF($Q41="",0,VLOOKUP($Q41,'⚪设计'!$B$85:$H$104,5,FALSE)*$R41)+IF($V41="",0,VLOOKUP($V41,'⚪设计'!$B$85:$H$104,5,FALSE)*$W41))*IF(G41="",0,VLOOKUP(G41,'⚪设计'!$B$85:$H$104,5,FALSE)),0))</f>
        <v>8</v>
      </c>
      <c r="L41" s="97" t="str">
        <f>IF(VLOOKUP($A41,'⚪设计'!$A$144:$N$196,8,FALSE)="","",VLOOKUP($A41,'⚪设计'!$A$144:$N$196,8,FALSE))</f>
        <v>鬼2</v>
      </c>
      <c r="M41" s="97">
        <f t="shared" si="2"/>
        <v>35</v>
      </c>
      <c r="N41" s="97">
        <f>IF(VLOOKUP($A41,'⚪设计'!$A$144:$N$196,12,FALSE)="","",VLOOKUP($A41,'⚪设计'!$A$144:$N$196,12,FALSE))</f>
        <v>0.5</v>
      </c>
      <c r="O41" s="97">
        <f>IF(L41="","",ROUND($D41*'⚪设计'!$D182/(IF($G41="",0,VLOOKUP($G41,'⚪设计'!$B$85:$H$104,4,FALSE)*$H41)+IF($L41="",0,VLOOKUP($L41,'⚪设计'!$B$85:$H$104,4,FALSE)*$M41)+IF($Q41="",0,VLOOKUP($Q41,'⚪设计'!$B$85:$H$104,4,FALSE)*$R41)+IF($V41="",0,VLOOKUP($V41,'⚪设计'!$B$85:$H$104,4,FALSE)*$W41))*IF(L41="",0,VLOOKUP(L41,'⚪设计'!$B$85:$H$104,4,FALSE)),0))</f>
        <v>621</v>
      </c>
      <c r="P41" s="97">
        <f>IF(L41="","",ROUND(VLOOKUP($B41,战斗节奏!$A$4:$F$13,2,FALSE)/(IF($G41="",0,VLOOKUP($G41,'⚪设计'!$B$85:$H$104,5,FALSE)*$H41)+IF($L41="",0,VLOOKUP($L41,'⚪设计'!$B$85:$H$104,5,FALSE)*$M41)+IF($Q41="",0,VLOOKUP($Q41,'⚪设计'!$B$85:$H$104,5,FALSE)*$R41)+IF($V41="",0,VLOOKUP($V41,'⚪设计'!$B$85:$H$104,5,FALSE)*$W41))*IF(L41="",0,VLOOKUP(L41,'⚪设计'!$B$85:$H$104,5,FALSE)),0))</f>
        <v>4</v>
      </c>
      <c r="Q41" s="97" t="str">
        <f>IF(VLOOKUP($A41,'⚪设计'!$A$144:$N$196,9,FALSE)="","",VLOOKUP($A41,'⚪设计'!$A$144:$N$196,9,FALSE))</f>
        <v>蝙蝠2</v>
      </c>
      <c r="R41" s="97">
        <f t="shared" si="3"/>
        <v>35</v>
      </c>
      <c r="S41" s="97">
        <f>IF(VLOOKUP($A41,'⚪设计'!$A$144:$N$196,13,FALSE)="","",VLOOKUP($A41,'⚪设计'!$A$144:$N$196,13,FALSE))</f>
        <v>0.5</v>
      </c>
      <c r="T41" s="97">
        <f>IF(Q41="","",ROUND($D41*'⚪设计'!$D182/(IF($G41="",0,VLOOKUP($G41,'⚪设计'!$B$85:$H$104,4,FALSE)*$H41)+IF($L41="",0,VLOOKUP($L41,'⚪设计'!$B$85:$H$104,4,FALSE)*$M41)+IF($Q41="",0,VLOOKUP($Q41,'⚪设计'!$B$85:$H$104,4,FALSE)*$R41)+IF($V41="",0,VLOOKUP($V41,'⚪设计'!$B$85:$H$104,4,FALSE)*$W41))*IF(Q41="",0,VLOOKUP(Q41,'⚪设计'!$B$85:$H$104,4,FALSE)),0))</f>
        <v>311</v>
      </c>
      <c r="U41" s="97">
        <f>IF(Q41="","",ROUND(VLOOKUP($B41,战斗节奏!$A$4:$F$13,2,FALSE)/(IF($G41="",0,VLOOKUP($G41,'⚪设计'!$B$85:$H$104,5,FALSE)*$H41)+IF($L41="",0,VLOOKUP($L41,'⚪设计'!$B$85:$H$104,5,FALSE)*$M41)+IF($Q41="",0,VLOOKUP($Q41,'⚪设计'!$B$85:$H$104,5,FALSE)*$R41)+IF($V41="",0,VLOOKUP($V41,'⚪设计'!$B$85:$H$104,5,FALSE)*$W41))*IF(Q41="",0,VLOOKUP(Q41,'⚪设计'!$B$85:$H$104,5,FALSE)),0))</f>
        <v>2</v>
      </c>
      <c r="V41" s="97" t="str">
        <f>IF(VLOOKUP($A41,'⚪设计'!$A$144:$N$196,10,FALSE)="","",VLOOKUP($A41,'⚪设计'!$A$144:$N$196,10,FALSE))</f>
        <v/>
      </c>
      <c r="W41" s="97" t="str">
        <f t="shared" si="4"/>
        <v/>
      </c>
      <c r="X41" s="97" t="str">
        <f>IF(VLOOKUP($A41,'⚪设计'!$A$144:$N$196,14,FALSE)="","",VLOOKUP($A41,'⚪设计'!$A$144:$N$196,14,FALSE))</f>
        <v/>
      </c>
      <c r="Y41" s="97" t="str">
        <f>IF(V41="","",ROUND($D41*'⚪设计'!$D182/(IF($G41="",0,VLOOKUP($G41,'⚪设计'!$B$85:$H$104,4,FALSE)*$H41)+IF($L41="",0,VLOOKUP($L41,'⚪设计'!$B$85:$H$104,4,FALSE)*$M41)+IF($Q41="",0,VLOOKUP($Q41,'⚪设计'!$B$85:$H$104,4,FALSE)*$R41)+IF($V41="",0,VLOOKUP($V41,'⚪设计'!$B$85:$H$104,4,FALSE)*$W41))*IF(V41="",0,VLOOKUP(V41,'⚪设计'!$B$85:$H$104,4,FALSE)),0))</f>
        <v/>
      </c>
      <c r="Z41" s="97" t="str">
        <f>IF(V41="","",ROUND(VLOOKUP($B41,战斗节奏!$A$4:$F$13,2,FALSE)/(IF($G41="",0,VLOOKUP($G41,'⚪设计'!$B$85:$H$104,5,FALSE)*$H41)+IF($L41="",0,VLOOKUP($L41,'⚪设计'!$B$85:$H$104,5,FALSE)*$M41)+IF($Q41="",0,VLOOKUP($Q41,'⚪设计'!$B$85:$H$104,5,FALSE)*$R41)+IF($V41="",0,VLOOKUP($V41,'⚪设计'!$B$85:$H$104,5,FALSE)*$W41))*IF(V41="",0,VLOOKUP(V41,'⚪设计'!$B$85:$H$104,5,FALSE)),0))</f>
        <v/>
      </c>
    </row>
    <row r="42" spans="1:26" x14ac:dyDescent="0.2">
      <c r="A42" s="2" t="str">
        <f t="shared" si="0"/>
        <v>8_5</v>
      </c>
      <c r="B42" s="2">
        <v>8</v>
      </c>
      <c r="C42" s="2">
        <v>5</v>
      </c>
      <c r="D42" s="97">
        <f>VLOOKUP(C42,无限模式!$A$3:$B$22,2,FALSE)</f>
        <v>2700</v>
      </c>
      <c r="E42" s="98">
        <v>1</v>
      </c>
      <c r="F42" s="97">
        <f>'⚪设计'!F183</f>
        <v>20</v>
      </c>
      <c r="G42" s="97" t="str">
        <f>IF(VLOOKUP($A42,'⚪设计'!$A$144:$N$196,7,FALSE)="","",VLOOKUP($A42,'⚪设计'!$A$144:$N$196,7,FALSE))</f>
        <v>蛋2</v>
      </c>
      <c r="H42" s="97">
        <f t="shared" si="1"/>
        <v>13</v>
      </c>
      <c r="I42" s="97">
        <f>IF(VLOOKUP($A42,'⚪设计'!$A$144:$N$196,11,FALSE)="","",VLOOKUP($A42,'⚪设计'!$A$144:$N$196,11,FALSE))</f>
        <v>1.5</v>
      </c>
      <c r="J42" s="97">
        <f>IF(G42="","",ROUND($D42*'⚪设计'!$D183/(IF($G42="",0,VLOOKUP($G42,'⚪设计'!$B$85:$H$104,4,FALSE)*$H42)+IF($L42="",0,VLOOKUP($L42,'⚪设计'!$B$85:$H$104,4,FALSE)*$M42)+IF($Q42="",0,VLOOKUP($Q42,'⚪设计'!$B$85:$H$104,4,FALSE)*$R42)+IF($V42="",0,VLOOKUP($V42,'⚪设计'!$B$85:$H$104,4,FALSE)*$W42))*IF(G42="",0,VLOOKUP(G42,'⚪设计'!$B$85:$H$104,4,FALSE)),0))</f>
        <v>1688</v>
      </c>
      <c r="K42" s="97">
        <f>IF(G42="","",ROUND(VLOOKUP($B42,战斗节奏!$A$4:$F$13,2,FALSE)/(IF($G42="",0,VLOOKUP($G42,'⚪设计'!$B$85:$H$104,5,FALSE)*$H42)+IF($L42="",0,VLOOKUP($L42,'⚪设计'!$B$85:$H$104,5,FALSE)*$M42)+IF($Q42="",0,VLOOKUP($Q42,'⚪设计'!$B$85:$H$104,5,FALSE)*$R42)+IF($V42="",0,VLOOKUP($V42,'⚪设计'!$B$85:$H$104,5,FALSE)*$W42))*IF(G42="",0,VLOOKUP(G42,'⚪设计'!$B$85:$H$104,5,FALSE)),0))</f>
        <v>6</v>
      </c>
      <c r="L42" s="97" t="str">
        <f>IF(VLOOKUP($A42,'⚪设计'!$A$144:$N$196,8,FALSE)="","",VLOOKUP($A42,'⚪设计'!$A$144:$N$196,8,FALSE))</f>
        <v>鬼2</v>
      </c>
      <c r="M42" s="97">
        <f t="shared" si="2"/>
        <v>40</v>
      </c>
      <c r="N42" s="97">
        <f>IF(VLOOKUP($A42,'⚪设计'!$A$144:$N$196,12,FALSE)="","",VLOOKUP($A42,'⚪设计'!$A$144:$N$196,12,FALSE))</f>
        <v>0.5</v>
      </c>
      <c r="O42" s="97">
        <f>IF(L42="","",ROUND($D42*'⚪设计'!$D183/(IF($G42="",0,VLOOKUP($G42,'⚪设计'!$B$85:$H$104,4,FALSE)*$H42)+IF($L42="",0,VLOOKUP($L42,'⚪设计'!$B$85:$H$104,4,FALSE)*$M42)+IF($Q42="",0,VLOOKUP($Q42,'⚪设计'!$B$85:$H$104,4,FALSE)*$R42)+IF($V42="",0,VLOOKUP($V42,'⚪设计'!$B$85:$H$104,4,FALSE)*$W42))*IF(L42="",0,VLOOKUP(L42,'⚪设计'!$B$85:$H$104,4,FALSE)),0))</f>
        <v>844</v>
      </c>
      <c r="P42" s="97">
        <f>IF(L42="","",ROUND(VLOOKUP($B42,战斗节奏!$A$4:$F$13,2,FALSE)/(IF($G42="",0,VLOOKUP($G42,'⚪设计'!$B$85:$H$104,5,FALSE)*$H42)+IF($L42="",0,VLOOKUP($L42,'⚪设计'!$B$85:$H$104,5,FALSE)*$M42)+IF($Q42="",0,VLOOKUP($Q42,'⚪设计'!$B$85:$H$104,5,FALSE)*$R42)+IF($V42="",0,VLOOKUP($V42,'⚪设计'!$B$85:$H$104,5,FALSE)*$W42))*IF(L42="",0,VLOOKUP(L42,'⚪设计'!$B$85:$H$104,5,FALSE)),0))</f>
        <v>3</v>
      </c>
      <c r="Q42" s="97" t="str">
        <f>IF(VLOOKUP($A42,'⚪设计'!$A$144:$N$196,9,FALSE)="","",VLOOKUP($A42,'⚪设计'!$A$144:$N$196,9,FALSE))</f>
        <v>蜜蜂2</v>
      </c>
      <c r="R42" s="97">
        <f t="shared" si="3"/>
        <v>10</v>
      </c>
      <c r="S42" s="97">
        <f>IF(VLOOKUP($A42,'⚪设计'!$A$144:$N$196,13,FALSE)="","",VLOOKUP($A42,'⚪设计'!$A$144:$N$196,13,FALSE))</f>
        <v>2</v>
      </c>
      <c r="T42" s="97">
        <f>IF(Q42="","",ROUND($D42*'⚪设计'!$D183/(IF($G42="",0,VLOOKUP($G42,'⚪设计'!$B$85:$H$104,4,FALSE)*$H42)+IF($L42="",0,VLOOKUP($L42,'⚪设计'!$B$85:$H$104,4,FALSE)*$M42)+IF($Q42="",0,VLOOKUP($Q42,'⚪设计'!$B$85:$H$104,4,FALSE)*$R42)+IF($V42="",0,VLOOKUP($V42,'⚪设计'!$B$85:$H$104,4,FALSE)*$W42))*IF(Q42="",0,VLOOKUP(Q42,'⚪设计'!$B$85:$H$104,4,FALSE)),0))</f>
        <v>844</v>
      </c>
      <c r="U42" s="97">
        <f>IF(Q42="","",ROUND(VLOOKUP($B42,战斗节奏!$A$4:$F$13,2,FALSE)/(IF($G42="",0,VLOOKUP($G42,'⚪设计'!$B$85:$H$104,5,FALSE)*$H42)+IF($L42="",0,VLOOKUP($L42,'⚪设计'!$B$85:$H$104,5,FALSE)*$M42)+IF($Q42="",0,VLOOKUP($Q42,'⚪设计'!$B$85:$H$104,5,FALSE)*$R42)+IF($V42="",0,VLOOKUP($V42,'⚪设计'!$B$85:$H$104,5,FALSE)*$W42))*IF(Q42="",0,VLOOKUP(Q42,'⚪设计'!$B$85:$H$104,5,FALSE)),0))</f>
        <v>6</v>
      </c>
      <c r="V42" s="97" t="str">
        <f>IF(VLOOKUP($A42,'⚪设计'!$A$144:$N$196,10,FALSE)="","",VLOOKUP($A42,'⚪设计'!$A$144:$N$196,10,FALSE))</f>
        <v>蝙蝠2</v>
      </c>
      <c r="W42" s="97">
        <f t="shared" si="4"/>
        <v>40</v>
      </c>
      <c r="X42" s="97">
        <f>IF(VLOOKUP($A42,'⚪设计'!$A$144:$N$196,14,FALSE)="","",VLOOKUP($A42,'⚪设计'!$A$144:$N$196,14,FALSE))</f>
        <v>0.5</v>
      </c>
      <c r="Y42" s="97">
        <f>IF(V42="","",ROUND($D42*'⚪设计'!$D183/(IF($G42="",0,VLOOKUP($G42,'⚪设计'!$B$85:$H$104,4,FALSE)*$H42)+IF($L42="",0,VLOOKUP($L42,'⚪设计'!$B$85:$H$104,4,FALSE)*$M42)+IF($Q42="",0,VLOOKUP($Q42,'⚪设计'!$B$85:$H$104,4,FALSE)*$R42)+IF($V42="",0,VLOOKUP($V42,'⚪设计'!$B$85:$H$104,4,FALSE)*$W42))*IF(V42="",0,VLOOKUP(V42,'⚪设计'!$B$85:$H$104,4,FALSE)),0))</f>
        <v>422</v>
      </c>
      <c r="Z42" s="97">
        <f>IF(V42="","",ROUND(VLOOKUP($B42,战斗节奏!$A$4:$F$13,2,FALSE)/(IF($G42="",0,VLOOKUP($G42,'⚪设计'!$B$85:$H$104,5,FALSE)*$H42)+IF($L42="",0,VLOOKUP($L42,'⚪设计'!$B$85:$H$104,5,FALSE)*$M42)+IF($Q42="",0,VLOOKUP($Q42,'⚪设计'!$B$85:$H$104,5,FALSE)*$R42)+IF($V42="",0,VLOOKUP($V42,'⚪设计'!$B$85:$H$104,5,FALSE)*$W42))*IF(V42="",0,VLOOKUP(V42,'⚪设计'!$B$85:$H$104,5,FALSE)),0))</f>
        <v>1</v>
      </c>
    </row>
    <row r="43" spans="1:26" x14ac:dyDescent="0.2">
      <c r="A43" s="2" t="str">
        <f t="shared" si="0"/>
        <v>9_1</v>
      </c>
      <c r="B43" s="2">
        <v>9</v>
      </c>
      <c r="C43" s="2">
        <v>1</v>
      </c>
      <c r="D43" s="97">
        <f>VLOOKUP(C43,无限模式!$A$3:$B$22,2,FALSE)</f>
        <v>540</v>
      </c>
      <c r="E43" s="98">
        <v>1</v>
      </c>
      <c r="F43" s="97">
        <f>'⚪设计'!F184</f>
        <v>10</v>
      </c>
      <c r="G43" s="97" t="str">
        <f>IF(VLOOKUP($A43,'⚪设计'!$A$144:$N$196,7,FALSE)="","",VLOOKUP($A43,'⚪设计'!$A$144:$N$196,7,FALSE))</f>
        <v>种子1</v>
      </c>
      <c r="H43" s="97">
        <f t="shared" si="1"/>
        <v>5</v>
      </c>
      <c r="I43" s="97">
        <f>IF(VLOOKUP($A43,'⚪设计'!$A$144:$N$196,11,FALSE)="","",VLOOKUP($A43,'⚪设计'!$A$144:$N$196,11,FALSE))</f>
        <v>2</v>
      </c>
      <c r="J43" s="97">
        <f>IF(G43="","",ROUND($D43*'⚪设计'!$D184/(IF($G43="",0,VLOOKUP($G43,'⚪设计'!$B$85:$H$104,4,FALSE)*$H43)+IF($L43="",0,VLOOKUP($L43,'⚪设计'!$B$85:$H$104,4,FALSE)*$M43)+IF($Q43="",0,VLOOKUP($Q43,'⚪设计'!$B$85:$H$104,4,FALSE)*$R43)+IF($V43="",0,VLOOKUP($V43,'⚪设计'!$B$85:$H$104,4,FALSE)*$W43))*IF(G43="",0,VLOOKUP(G43,'⚪设计'!$B$85:$H$104,4,FALSE)),0))</f>
        <v>305</v>
      </c>
      <c r="K43" s="97">
        <f>IF(G43="","",ROUND(VLOOKUP($B43,战斗节奏!$A$4:$F$13,2,FALSE)/(IF($G43="",0,VLOOKUP($G43,'⚪设计'!$B$85:$H$104,5,FALSE)*$H43)+IF($L43="",0,VLOOKUP($L43,'⚪设计'!$B$85:$H$104,5,FALSE)*$M43)+IF($Q43="",0,VLOOKUP($Q43,'⚪设计'!$B$85:$H$104,5,FALSE)*$R43)+IF($V43="",0,VLOOKUP($V43,'⚪设计'!$B$85:$H$104,5,FALSE)*$W43))*IF(G43="",0,VLOOKUP(G43,'⚪设计'!$B$85:$H$104,5,FALSE)),0))</f>
        <v>20</v>
      </c>
      <c r="L43" s="97" t="str">
        <f>IF(VLOOKUP($A43,'⚪设计'!$A$144:$N$196,8,FALSE)="","",VLOOKUP($A43,'⚪设计'!$A$144:$N$196,8,FALSE))</f>
        <v>蛋1</v>
      </c>
      <c r="M43" s="97">
        <f t="shared" si="2"/>
        <v>10</v>
      </c>
      <c r="N43" s="97">
        <f>IF(VLOOKUP($A43,'⚪设计'!$A$144:$N$196,12,FALSE)="","",VLOOKUP($A43,'⚪设计'!$A$144:$N$196,12,FALSE))</f>
        <v>1</v>
      </c>
      <c r="O43" s="97">
        <f>IF(L43="","",ROUND($D43*'⚪设计'!$D184/(IF($G43="",0,VLOOKUP($G43,'⚪设计'!$B$85:$H$104,4,FALSE)*$H43)+IF($L43="",0,VLOOKUP($L43,'⚪设计'!$B$85:$H$104,4,FALSE)*$M43)+IF($Q43="",0,VLOOKUP($Q43,'⚪设计'!$B$85:$H$104,4,FALSE)*$R43)+IF($V43="",0,VLOOKUP($V43,'⚪设计'!$B$85:$H$104,4,FALSE)*$W43))*IF(L43="",0,VLOOKUP(L43,'⚪设计'!$B$85:$H$104,4,FALSE)),0))</f>
        <v>204</v>
      </c>
      <c r="P43" s="97">
        <f>IF(L43="","",ROUND(VLOOKUP($B43,战斗节奏!$A$4:$F$13,2,FALSE)/(IF($G43="",0,VLOOKUP($G43,'⚪设计'!$B$85:$H$104,5,FALSE)*$H43)+IF($L43="",0,VLOOKUP($L43,'⚪设计'!$B$85:$H$104,5,FALSE)*$M43)+IF($Q43="",0,VLOOKUP($Q43,'⚪设计'!$B$85:$H$104,5,FALSE)*$R43)+IF($V43="",0,VLOOKUP($V43,'⚪设计'!$B$85:$H$104,5,FALSE)*$W43))*IF(L43="",0,VLOOKUP(L43,'⚪设计'!$B$85:$H$104,5,FALSE)),0))</f>
        <v>20</v>
      </c>
      <c r="Q43" s="97" t="str">
        <f>IF(VLOOKUP($A43,'⚪设计'!$A$144:$N$196,9,FALSE)="","",VLOOKUP($A43,'⚪设计'!$A$144:$N$196,9,FALSE))</f>
        <v/>
      </c>
      <c r="R43" s="97" t="str">
        <f t="shared" si="3"/>
        <v/>
      </c>
      <c r="S43" s="97" t="str">
        <f>IF(VLOOKUP($A43,'⚪设计'!$A$144:$N$196,13,FALSE)="","",VLOOKUP($A43,'⚪设计'!$A$144:$N$196,13,FALSE))</f>
        <v/>
      </c>
      <c r="T43" s="97" t="str">
        <f>IF(Q43="","",ROUND($D43*'⚪设计'!$D184/(IF($G43="",0,VLOOKUP($G43,'⚪设计'!$B$85:$H$104,4,FALSE)*$H43)+IF($L43="",0,VLOOKUP($L43,'⚪设计'!$B$85:$H$104,4,FALSE)*$M43)+IF($Q43="",0,VLOOKUP($Q43,'⚪设计'!$B$85:$H$104,4,FALSE)*$R43)+IF($V43="",0,VLOOKUP($V43,'⚪设计'!$B$85:$H$104,4,FALSE)*$W43))*IF(Q43="",0,VLOOKUP(Q43,'⚪设计'!$B$85:$H$104,4,FALSE)),0))</f>
        <v/>
      </c>
      <c r="U43" s="97" t="str">
        <f>IF(Q43="","",ROUND(VLOOKUP($B43,战斗节奏!$A$4:$F$13,2,FALSE)/(IF($G43="",0,VLOOKUP($G43,'⚪设计'!$B$85:$H$104,5,FALSE)*$H43)+IF($L43="",0,VLOOKUP($L43,'⚪设计'!$B$85:$H$104,5,FALSE)*$M43)+IF($Q43="",0,VLOOKUP($Q43,'⚪设计'!$B$85:$H$104,5,FALSE)*$R43)+IF($V43="",0,VLOOKUP($V43,'⚪设计'!$B$85:$H$104,5,FALSE)*$W43))*IF(Q43="",0,VLOOKUP(Q43,'⚪设计'!$B$85:$H$104,5,FALSE)),0))</f>
        <v/>
      </c>
      <c r="V43" s="97" t="str">
        <f>IF(VLOOKUP($A43,'⚪设计'!$A$144:$N$196,10,FALSE)="","",VLOOKUP($A43,'⚪设计'!$A$144:$N$196,10,FALSE))</f>
        <v/>
      </c>
      <c r="W43" s="97" t="str">
        <f t="shared" si="4"/>
        <v/>
      </c>
      <c r="X43" s="97" t="str">
        <f>IF(VLOOKUP($A43,'⚪设计'!$A$144:$N$196,14,FALSE)="","",VLOOKUP($A43,'⚪设计'!$A$144:$N$196,14,FALSE))</f>
        <v/>
      </c>
      <c r="Y43" s="97" t="str">
        <f>IF(V43="","",ROUND($D43*'⚪设计'!$D184/(IF($G43="",0,VLOOKUP($G43,'⚪设计'!$B$85:$H$104,4,FALSE)*$H43)+IF($L43="",0,VLOOKUP($L43,'⚪设计'!$B$85:$H$104,4,FALSE)*$M43)+IF($Q43="",0,VLOOKUP($Q43,'⚪设计'!$B$85:$H$104,4,FALSE)*$R43)+IF($V43="",0,VLOOKUP($V43,'⚪设计'!$B$85:$H$104,4,FALSE)*$W43))*IF(V43="",0,VLOOKUP(V43,'⚪设计'!$B$85:$H$104,4,FALSE)),0))</f>
        <v/>
      </c>
      <c r="Z43" s="97" t="str">
        <f>IF(V43="","",ROUND(VLOOKUP($B43,战斗节奏!$A$4:$F$13,2,FALSE)/(IF($G43="",0,VLOOKUP($G43,'⚪设计'!$B$85:$H$104,5,FALSE)*$H43)+IF($L43="",0,VLOOKUP($L43,'⚪设计'!$B$85:$H$104,5,FALSE)*$M43)+IF($Q43="",0,VLOOKUP($Q43,'⚪设计'!$B$85:$H$104,5,FALSE)*$R43)+IF($V43="",0,VLOOKUP($V43,'⚪设计'!$B$85:$H$104,5,FALSE)*$W43))*IF(V43="",0,VLOOKUP(V43,'⚪设计'!$B$85:$H$104,5,FALSE)),0))</f>
        <v/>
      </c>
    </row>
    <row r="44" spans="1:26" x14ac:dyDescent="0.2">
      <c r="A44" s="2" t="str">
        <f t="shared" si="0"/>
        <v>9_2</v>
      </c>
      <c r="B44" s="2">
        <v>9</v>
      </c>
      <c r="C44" s="2">
        <v>2</v>
      </c>
      <c r="D44" s="97">
        <f>VLOOKUP(C44,无限模式!$A$3:$B$22,2,FALSE)</f>
        <v>1080</v>
      </c>
      <c r="E44" s="98">
        <v>1</v>
      </c>
      <c r="F44" s="97">
        <f>'⚪设计'!F185</f>
        <v>12.5</v>
      </c>
      <c r="G44" s="97" t="str">
        <f>IF(VLOOKUP($A44,'⚪设计'!$A$144:$N$196,7,FALSE)="","",VLOOKUP($A44,'⚪设计'!$A$144:$N$196,7,FALSE))</f>
        <v>鬼1</v>
      </c>
      <c r="H44" s="97">
        <f t="shared" si="1"/>
        <v>25</v>
      </c>
      <c r="I44" s="97">
        <f>IF(VLOOKUP($A44,'⚪设计'!$A$144:$N$196,11,FALSE)="","",VLOOKUP($A44,'⚪设计'!$A$144:$N$196,11,FALSE))</f>
        <v>0.5</v>
      </c>
      <c r="J44" s="97">
        <f>IF(G44="","",ROUND($D44*'⚪设计'!$D185/(IF($G44="",0,VLOOKUP($G44,'⚪设计'!$B$85:$H$104,4,FALSE)*$H44)+IF($L44="",0,VLOOKUP($L44,'⚪设计'!$B$85:$H$104,4,FALSE)*$M44)+IF($Q44="",0,VLOOKUP($Q44,'⚪设计'!$B$85:$H$104,4,FALSE)*$R44)+IF($V44="",0,VLOOKUP($V44,'⚪设计'!$B$85:$H$104,4,FALSE)*$W44))*IF(G44="",0,VLOOKUP(G44,'⚪设计'!$B$85:$H$104,4,FALSE)),0))</f>
        <v>210</v>
      </c>
      <c r="K44" s="97">
        <f>IF(G44="","",ROUND(VLOOKUP($B44,战斗节奏!$A$4:$F$13,2,FALSE)/(IF($G44="",0,VLOOKUP($G44,'⚪设计'!$B$85:$H$104,5,FALSE)*$H44)+IF($L44="",0,VLOOKUP($L44,'⚪设计'!$B$85:$H$104,5,FALSE)*$M44)+IF($Q44="",0,VLOOKUP($Q44,'⚪设计'!$B$85:$H$104,5,FALSE)*$R44)+IF($V44="",0,VLOOKUP($V44,'⚪设计'!$B$85:$H$104,5,FALSE)*$W44))*IF(G44="",0,VLOOKUP(G44,'⚪设计'!$B$85:$H$104,5,FALSE)),0))</f>
        <v>8</v>
      </c>
      <c r="L44" s="97" t="str">
        <f>IF(VLOOKUP($A44,'⚪设计'!$A$144:$N$196,8,FALSE)="","",VLOOKUP($A44,'⚪设计'!$A$144:$N$196,8,FALSE))</f>
        <v>蜘蛛2</v>
      </c>
      <c r="M44" s="97">
        <f t="shared" si="2"/>
        <v>13</v>
      </c>
      <c r="N44" s="97">
        <f>IF(VLOOKUP($A44,'⚪设计'!$A$144:$N$196,12,FALSE)="","",VLOOKUP($A44,'⚪设计'!$A$144:$N$196,12,FALSE))</f>
        <v>1</v>
      </c>
      <c r="O44" s="97">
        <f>IF(L44="","",ROUND($D44*'⚪设计'!$D185/(IF($G44="",0,VLOOKUP($G44,'⚪设计'!$B$85:$H$104,4,FALSE)*$H44)+IF($L44="",0,VLOOKUP($L44,'⚪设计'!$B$85:$H$104,4,FALSE)*$M44)+IF($Q44="",0,VLOOKUP($Q44,'⚪设计'!$B$85:$H$104,4,FALSE)*$R44)+IF($V44="",0,VLOOKUP($V44,'⚪设计'!$B$85:$H$104,4,FALSE)*$W44))*IF(L44="",0,VLOOKUP(L44,'⚪设计'!$B$85:$H$104,4,FALSE)),0))</f>
        <v>419</v>
      </c>
      <c r="P44" s="97">
        <f>IF(L44="","",ROUND(VLOOKUP($B44,战斗节奏!$A$4:$F$13,2,FALSE)/(IF($G44="",0,VLOOKUP($G44,'⚪设计'!$B$85:$H$104,5,FALSE)*$H44)+IF($L44="",0,VLOOKUP($L44,'⚪设计'!$B$85:$H$104,5,FALSE)*$M44)+IF($Q44="",0,VLOOKUP($Q44,'⚪设计'!$B$85:$H$104,5,FALSE)*$R44)+IF($V44="",0,VLOOKUP($V44,'⚪设计'!$B$85:$H$104,5,FALSE)*$W44))*IF(L44="",0,VLOOKUP(L44,'⚪设计'!$B$85:$H$104,5,FALSE)),0))</f>
        <v>8</v>
      </c>
      <c r="Q44" s="97" t="str">
        <f>IF(VLOOKUP($A44,'⚪设计'!$A$144:$N$196,9,FALSE)="","",VLOOKUP($A44,'⚪设计'!$A$144:$N$196,9,FALSE))</f>
        <v/>
      </c>
      <c r="R44" s="97" t="str">
        <f t="shared" si="3"/>
        <v/>
      </c>
      <c r="S44" s="97" t="str">
        <f>IF(VLOOKUP($A44,'⚪设计'!$A$144:$N$196,13,FALSE)="","",VLOOKUP($A44,'⚪设计'!$A$144:$N$196,13,FALSE))</f>
        <v/>
      </c>
      <c r="T44" s="97" t="str">
        <f>IF(Q44="","",ROUND($D44*'⚪设计'!$D185/(IF($G44="",0,VLOOKUP($G44,'⚪设计'!$B$85:$H$104,4,FALSE)*$H44)+IF($L44="",0,VLOOKUP($L44,'⚪设计'!$B$85:$H$104,4,FALSE)*$M44)+IF($Q44="",0,VLOOKUP($Q44,'⚪设计'!$B$85:$H$104,4,FALSE)*$R44)+IF($V44="",0,VLOOKUP($V44,'⚪设计'!$B$85:$H$104,4,FALSE)*$W44))*IF(Q44="",0,VLOOKUP(Q44,'⚪设计'!$B$85:$H$104,4,FALSE)),0))</f>
        <v/>
      </c>
      <c r="U44" s="97" t="str">
        <f>IF(Q44="","",ROUND(VLOOKUP($B44,战斗节奏!$A$4:$F$13,2,FALSE)/(IF($G44="",0,VLOOKUP($G44,'⚪设计'!$B$85:$H$104,5,FALSE)*$H44)+IF($L44="",0,VLOOKUP($L44,'⚪设计'!$B$85:$H$104,5,FALSE)*$M44)+IF($Q44="",0,VLOOKUP($Q44,'⚪设计'!$B$85:$H$104,5,FALSE)*$R44)+IF($V44="",0,VLOOKUP($V44,'⚪设计'!$B$85:$H$104,5,FALSE)*$W44))*IF(Q44="",0,VLOOKUP(Q44,'⚪设计'!$B$85:$H$104,5,FALSE)),0))</f>
        <v/>
      </c>
      <c r="V44" s="97" t="str">
        <f>IF(VLOOKUP($A44,'⚪设计'!$A$144:$N$196,10,FALSE)="","",VLOOKUP($A44,'⚪设计'!$A$144:$N$196,10,FALSE))</f>
        <v/>
      </c>
      <c r="W44" s="97" t="str">
        <f t="shared" si="4"/>
        <v/>
      </c>
      <c r="X44" s="97" t="str">
        <f>IF(VLOOKUP($A44,'⚪设计'!$A$144:$N$196,14,FALSE)="","",VLOOKUP($A44,'⚪设计'!$A$144:$N$196,14,FALSE))</f>
        <v/>
      </c>
      <c r="Y44" s="97" t="str">
        <f>IF(V44="","",ROUND($D44*'⚪设计'!$D185/(IF($G44="",0,VLOOKUP($G44,'⚪设计'!$B$85:$H$104,4,FALSE)*$H44)+IF($L44="",0,VLOOKUP($L44,'⚪设计'!$B$85:$H$104,4,FALSE)*$M44)+IF($Q44="",0,VLOOKUP($Q44,'⚪设计'!$B$85:$H$104,4,FALSE)*$R44)+IF($V44="",0,VLOOKUP($V44,'⚪设计'!$B$85:$H$104,4,FALSE)*$W44))*IF(V44="",0,VLOOKUP(V44,'⚪设计'!$B$85:$H$104,4,FALSE)),0))</f>
        <v/>
      </c>
      <c r="Z44" s="97" t="str">
        <f>IF(V44="","",ROUND(VLOOKUP($B44,战斗节奏!$A$4:$F$13,2,FALSE)/(IF($G44="",0,VLOOKUP($G44,'⚪设计'!$B$85:$H$104,5,FALSE)*$H44)+IF($L44="",0,VLOOKUP($L44,'⚪设计'!$B$85:$H$104,5,FALSE)*$M44)+IF($Q44="",0,VLOOKUP($Q44,'⚪设计'!$B$85:$H$104,5,FALSE)*$R44)+IF($V44="",0,VLOOKUP($V44,'⚪设计'!$B$85:$H$104,5,FALSE)*$W44))*IF(V44="",0,VLOOKUP(V44,'⚪设计'!$B$85:$H$104,5,FALSE)),0))</f>
        <v/>
      </c>
    </row>
    <row r="45" spans="1:26" x14ac:dyDescent="0.2">
      <c r="A45" s="2" t="str">
        <f t="shared" si="0"/>
        <v>9_3</v>
      </c>
      <c r="B45" s="2">
        <v>9</v>
      </c>
      <c r="C45" s="2">
        <v>3</v>
      </c>
      <c r="D45" s="97">
        <f>VLOOKUP(C45,无限模式!$A$3:$B$22,2,FALSE)</f>
        <v>1620</v>
      </c>
      <c r="E45" s="98">
        <v>1</v>
      </c>
      <c r="F45" s="97">
        <f>'⚪设计'!F186</f>
        <v>15</v>
      </c>
      <c r="G45" s="97" t="str">
        <f>IF(VLOOKUP($A45,'⚪设计'!$A$144:$N$196,7,FALSE)="","",VLOOKUP($A45,'⚪设计'!$A$144:$N$196,7,FALSE))</f>
        <v>鬼2</v>
      </c>
      <c r="H45" s="97">
        <f t="shared" si="1"/>
        <v>30</v>
      </c>
      <c r="I45" s="97">
        <f>IF(VLOOKUP($A45,'⚪设计'!$A$144:$N$196,11,FALSE)="","",VLOOKUP($A45,'⚪设计'!$A$144:$N$196,11,FALSE))</f>
        <v>0.5</v>
      </c>
      <c r="J45" s="97">
        <f>IF(G45="","",ROUND($D45*'⚪设计'!$D186/(IF($G45="",0,VLOOKUP($G45,'⚪设计'!$B$85:$H$104,4,FALSE)*$H45)+IF($L45="",0,VLOOKUP($L45,'⚪设计'!$B$85:$H$104,4,FALSE)*$M45)+IF($Q45="",0,VLOOKUP($Q45,'⚪设计'!$B$85:$H$104,4,FALSE)*$R45)+IF($V45="",0,VLOOKUP($V45,'⚪设计'!$B$85:$H$104,4,FALSE)*$W45))*IF(G45="",0,VLOOKUP(G45,'⚪设计'!$B$85:$H$104,4,FALSE)),0))</f>
        <v>411</v>
      </c>
      <c r="K45" s="97">
        <f>IF(G45="","",ROUND(VLOOKUP($B45,战斗节奏!$A$4:$F$13,2,FALSE)/(IF($G45="",0,VLOOKUP($G45,'⚪设计'!$B$85:$H$104,5,FALSE)*$H45)+IF($L45="",0,VLOOKUP($L45,'⚪设计'!$B$85:$H$104,5,FALSE)*$M45)+IF($Q45="",0,VLOOKUP($Q45,'⚪设计'!$B$85:$H$104,5,FALSE)*$R45)+IF($V45="",0,VLOOKUP($V45,'⚪设计'!$B$85:$H$104,5,FALSE)*$W45))*IF(G45="",0,VLOOKUP(G45,'⚪设计'!$B$85:$H$104,5,FALSE)),0))</f>
        <v>4</v>
      </c>
      <c r="L45" s="97" t="str">
        <f>IF(VLOOKUP($A45,'⚪设计'!$A$144:$N$196,8,FALSE)="","",VLOOKUP($A45,'⚪设计'!$A$144:$N$196,8,FALSE))</f>
        <v>蛋2</v>
      </c>
      <c r="M45" s="97">
        <f t="shared" si="2"/>
        <v>10</v>
      </c>
      <c r="N45" s="97">
        <f>IF(VLOOKUP($A45,'⚪设计'!$A$144:$N$196,12,FALSE)="","",VLOOKUP($A45,'⚪设计'!$A$144:$N$196,12,FALSE))</f>
        <v>1.5</v>
      </c>
      <c r="O45" s="97">
        <f>IF(L45="","",ROUND($D45*'⚪设计'!$D186/(IF($G45="",0,VLOOKUP($G45,'⚪设计'!$B$85:$H$104,4,FALSE)*$H45)+IF($L45="",0,VLOOKUP($L45,'⚪设计'!$B$85:$H$104,4,FALSE)*$M45)+IF($Q45="",0,VLOOKUP($Q45,'⚪设计'!$B$85:$H$104,4,FALSE)*$R45)+IF($V45="",0,VLOOKUP($V45,'⚪设计'!$B$85:$H$104,4,FALSE)*$W45))*IF(L45="",0,VLOOKUP(L45,'⚪设计'!$B$85:$H$104,4,FALSE)),0))</f>
        <v>822</v>
      </c>
      <c r="P45" s="97">
        <f>IF(L45="","",ROUND(VLOOKUP($B45,战斗节奏!$A$4:$F$13,2,FALSE)/(IF($G45="",0,VLOOKUP($G45,'⚪设计'!$B$85:$H$104,5,FALSE)*$H45)+IF($L45="",0,VLOOKUP($L45,'⚪设计'!$B$85:$H$104,5,FALSE)*$M45)+IF($Q45="",0,VLOOKUP($Q45,'⚪设计'!$B$85:$H$104,5,FALSE)*$R45)+IF($V45="",0,VLOOKUP($V45,'⚪设计'!$B$85:$H$104,5,FALSE)*$W45))*IF(L45="",0,VLOOKUP(L45,'⚪设计'!$B$85:$H$104,5,FALSE)),0))</f>
        <v>8</v>
      </c>
      <c r="Q45" s="97" t="str">
        <f>IF(VLOOKUP($A45,'⚪设计'!$A$144:$N$196,9,FALSE)="","",VLOOKUP($A45,'⚪设计'!$A$144:$N$196,9,FALSE))</f>
        <v>蛋1</v>
      </c>
      <c r="R45" s="97">
        <f t="shared" si="3"/>
        <v>15</v>
      </c>
      <c r="S45" s="97">
        <f>IF(VLOOKUP($A45,'⚪设计'!$A$144:$N$196,13,FALSE)="","",VLOOKUP($A45,'⚪设计'!$A$144:$N$196,13,FALSE))</f>
        <v>1</v>
      </c>
      <c r="T45" s="97">
        <f>IF(Q45="","",ROUND($D45*'⚪设计'!$D186/(IF($G45="",0,VLOOKUP($G45,'⚪设计'!$B$85:$H$104,4,FALSE)*$H45)+IF($L45="",0,VLOOKUP($L45,'⚪设计'!$B$85:$H$104,4,FALSE)*$M45)+IF($Q45="",0,VLOOKUP($Q45,'⚪设计'!$B$85:$H$104,4,FALSE)*$R45)+IF($V45="",0,VLOOKUP($V45,'⚪设计'!$B$85:$H$104,4,FALSE)*$W45))*IF(Q45="",0,VLOOKUP(Q45,'⚪设计'!$B$85:$H$104,4,FALSE)),0))</f>
        <v>411</v>
      </c>
      <c r="U45" s="97">
        <f>IF(Q45="","",ROUND(VLOOKUP($B45,战斗节奏!$A$4:$F$13,2,FALSE)/(IF($G45="",0,VLOOKUP($G45,'⚪设计'!$B$85:$H$104,5,FALSE)*$H45)+IF($L45="",0,VLOOKUP($L45,'⚪设计'!$B$85:$H$104,5,FALSE)*$M45)+IF($Q45="",0,VLOOKUP($Q45,'⚪设计'!$B$85:$H$104,5,FALSE)*$R45)+IF($V45="",0,VLOOKUP($V45,'⚪设计'!$B$85:$H$104,5,FALSE)*$W45))*IF(Q45="",0,VLOOKUP(Q45,'⚪设计'!$B$85:$H$104,5,FALSE)),0))</f>
        <v>8</v>
      </c>
      <c r="V45" s="97" t="str">
        <f>IF(VLOOKUP($A45,'⚪设计'!$A$144:$N$196,10,FALSE)="","",VLOOKUP($A45,'⚪设计'!$A$144:$N$196,10,FALSE))</f>
        <v/>
      </c>
      <c r="W45" s="97" t="str">
        <f t="shared" si="4"/>
        <v/>
      </c>
      <c r="X45" s="97" t="str">
        <f>IF(VLOOKUP($A45,'⚪设计'!$A$144:$N$196,14,FALSE)="","",VLOOKUP($A45,'⚪设计'!$A$144:$N$196,14,FALSE))</f>
        <v/>
      </c>
      <c r="Y45" s="97" t="str">
        <f>IF(V45="","",ROUND($D45*'⚪设计'!$D186/(IF($G45="",0,VLOOKUP($G45,'⚪设计'!$B$85:$H$104,4,FALSE)*$H45)+IF($L45="",0,VLOOKUP($L45,'⚪设计'!$B$85:$H$104,4,FALSE)*$M45)+IF($Q45="",0,VLOOKUP($Q45,'⚪设计'!$B$85:$H$104,4,FALSE)*$R45)+IF($V45="",0,VLOOKUP($V45,'⚪设计'!$B$85:$H$104,4,FALSE)*$W45))*IF(V45="",0,VLOOKUP(V45,'⚪设计'!$B$85:$H$104,4,FALSE)),0))</f>
        <v/>
      </c>
      <c r="Z45" s="97" t="str">
        <f>IF(V45="","",ROUND(VLOOKUP($B45,战斗节奏!$A$4:$F$13,2,FALSE)/(IF($G45="",0,VLOOKUP($G45,'⚪设计'!$B$85:$H$104,5,FALSE)*$H45)+IF($L45="",0,VLOOKUP($L45,'⚪设计'!$B$85:$H$104,5,FALSE)*$M45)+IF($Q45="",0,VLOOKUP($Q45,'⚪设计'!$B$85:$H$104,5,FALSE)*$R45)+IF($V45="",0,VLOOKUP($V45,'⚪设计'!$B$85:$H$104,5,FALSE)*$W45))*IF(V45="",0,VLOOKUP(V45,'⚪设计'!$B$85:$H$104,5,FALSE)),0))</f>
        <v/>
      </c>
    </row>
    <row r="46" spans="1:26" x14ac:dyDescent="0.2">
      <c r="A46" s="2" t="str">
        <f t="shared" si="0"/>
        <v>9_4</v>
      </c>
      <c r="B46" s="2">
        <v>9</v>
      </c>
      <c r="C46" s="2">
        <v>4</v>
      </c>
      <c r="D46" s="97">
        <f>VLOOKUP(C46,无限模式!$A$3:$B$22,2,FALSE)</f>
        <v>2160</v>
      </c>
      <c r="E46" s="98">
        <v>1</v>
      </c>
      <c r="F46" s="97">
        <f>'⚪设计'!F187</f>
        <v>17.5</v>
      </c>
      <c r="G46" s="97" t="str">
        <f>IF(VLOOKUP($A46,'⚪设计'!$A$144:$N$196,7,FALSE)="","",VLOOKUP($A46,'⚪设计'!$A$144:$N$196,7,FALSE))</f>
        <v>种子2</v>
      </c>
      <c r="H46" s="97">
        <f t="shared" si="1"/>
        <v>9</v>
      </c>
      <c r="I46" s="97">
        <f>IF(VLOOKUP($A46,'⚪设计'!$A$144:$N$196,11,FALSE)="","",VLOOKUP($A46,'⚪设计'!$A$144:$N$196,11,FALSE))</f>
        <v>2</v>
      </c>
      <c r="J46" s="97">
        <f>IF(G46="","",ROUND($D46*'⚪设计'!$D187/(IF($G46="",0,VLOOKUP($G46,'⚪设计'!$B$85:$H$104,4,FALSE)*$H46)+IF($L46="",0,VLOOKUP($L46,'⚪设计'!$B$85:$H$104,4,FALSE)*$M46)+IF($Q46="",0,VLOOKUP($Q46,'⚪设计'!$B$85:$H$104,4,FALSE)*$R46)+IF($V46="",0,VLOOKUP($V46,'⚪设计'!$B$85:$H$104,4,FALSE)*$W46))*IF(G46="",0,VLOOKUP(G46,'⚪设计'!$B$85:$H$104,4,FALSE)),0))</f>
        <v>1973</v>
      </c>
      <c r="K46" s="97">
        <f>IF(G46="","",ROUND(VLOOKUP($B46,战斗节奏!$A$4:$F$13,2,FALSE)/(IF($G46="",0,VLOOKUP($G46,'⚪设计'!$B$85:$H$104,5,FALSE)*$H46)+IF($L46="",0,VLOOKUP($L46,'⚪设计'!$B$85:$H$104,5,FALSE)*$M46)+IF($Q46="",0,VLOOKUP($Q46,'⚪设计'!$B$85:$H$104,5,FALSE)*$R46)+IF($V46="",0,VLOOKUP($V46,'⚪设计'!$B$85:$H$104,5,FALSE)*$W46))*IF(G46="",0,VLOOKUP(G46,'⚪设计'!$B$85:$H$104,5,FALSE)),0))</f>
        <v>9</v>
      </c>
      <c r="L46" s="97" t="str">
        <f>IF(VLOOKUP($A46,'⚪设计'!$A$144:$N$196,8,FALSE)="","",VLOOKUP($A46,'⚪设计'!$A$144:$N$196,8,FALSE))</f>
        <v>鬼2</v>
      </c>
      <c r="M46" s="97">
        <f t="shared" si="2"/>
        <v>35</v>
      </c>
      <c r="N46" s="97">
        <f>IF(VLOOKUP($A46,'⚪设计'!$A$144:$N$196,12,FALSE)="","",VLOOKUP($A46,'⚪设计'!$A$144:$N$196,12,FALSE))</f>
        <v>0.5</v>
      </c>
      <c r="O46" s="97">
        <f>IF(L46="","",ROUND($D46*'⚪设计'!$D187/(IF($G46="",0,VLOOKUP($G46,'⚪设计'!$B$85:$H$104,4,FALSE)*$H46)+IF($L46="",0,VLOOKUP($L46,'⚪设计'!$B$85:$H$104,4,FALSE)*$M46)+IF($Q46="",0,VLOOKUP($Q46,'⚪设计'!$B$85:$H$104,4,FALSE)*$R46)+IF($V46="",0,VLOOKUP($V46,'⚪设计'!$B$85:$H$104,4,FALSE)*$W46))*IF(L46="",0,VLOOKUP(L46,'⚪设计'!$B$85:$H$104,4,FALSE)),0))</f>
        <v>658</v>
      </c>
      <c r="P46" s="97">
        <f>IF(L46="","",ROUND(VLOOKUP($B46,战斗节奏!$A$4:$F$13,2,FALSE)/(IF($G46="",0,VLOOKUP($G46,'⚪设计'!$B$85:$H$104,5,FALSE)*$H46)+IF($L46="",0,VLOOKUP($L46,'⚪设计'!$B$85:$H$104,5,FALSE)*$M46)+IF($Q46="",0,VLOOKUP($Q46,'⚪设计'!$B$85:$H$104,5,FALSE)*$R46)+IF($V46="",0,VLOOKUP($V46,'⚪设计'!$B$85:$H$104,5,FALSE)*$W46))*IF(L46="",0,VLOOKUP(L46,'⚪设计'!$B$85:$H$104,5,FALSE)),0))</f>
        <v>4</v>
      </c>
      <c r="Q46" s="97" t="str">
        <f>IF(VLOOKUP($A46,'⚪设计'!$A$144:$N$196,9,FALSE)="","",VLOOKUP($A46,'⚪设计'!$A$144:$N$196,9,FALSE))</f>
        <v>蝙蝠2</v>
      </c>
      <c r="R46" s="97">
        <f t="shared" si="3"/>
        <v>35</v>
      </c>
      <c r="S46" s="97">
        <f>IF(VLOOKUP($A46,'⚪设计'!$A$144:$N$196,13,FALSE)="","",VLOOKUP($A46,'⚪设计'!$A$144:$N$196,13,FALSE))</f>
        <v>0.5</v>
      </c>
      <c r="T46" s="97">
        <f>IF(Q46="","",ROUND($D46*'⚪设计'!$D187/(IF($G46="",0,VLOOKUP($G46,'⚪设计'!$B$85:$H$104,4,FALSE)*$H46)+IF($L46="",0,VLOOKUP($L46,'⚪设计'!$B$85:$H$104,4,FALSE)*$M46)+IF($Q46="",0,VLOOKUP($Q46,'⚪设计'!$B$85:$H$104,4,FALSE)*$R46)+IF($V46="",0,VLOOKUP($V46,'⚪设计'!$B$85:$H$104,4,FALSE)*$W46))*IF(Q46="",0,VLOOKUP(Q46,'⚪设计'!$B$85:$H$104,4,FALSE)),0))</f>
        <v>329</v>
      </c>
      <c r="U46" s="97">
        <f>IF(Q46="","",ROUND(VLOOKUP($B46,战斗节奏!$A$4:$F$13,2,FALSE)/(IF($G46="",0,VLOOKUP($G46,'⚪设计'!$B$85:$H$104,5,FALSE)*$H46)+IF($L46="",0,VLOOKUP($L46,'⚪设计'!$B$85:$H$104,5,FALSE)*$M46)+IF($Q46="",0,VLOOKUP($Q46,'⚪设计'!$B$85:$H$104,5,FALSE)*$R46)+IF($V46="",0,VLOOKUP($V46,'⚪设计'!$B$85:$H$104,5,FALSE)*$W46))*IF(Q46="",0,VLOOKUP(Q46,'⚪设计'!$B$85:$H$104,5,FALSE)),0))</f>
        <v>2</v>
      </c>
      <c r="V46" s="97" t="str">
        <f>IF(VLOOKUP($A46,'⚪设计'!$A$144:$N$196,10,FALSE)="","",VLOOKUP($A46,'⚪设计'!$A$144:$N$196,10,FALSE))</f>
        <v/>
      </c>
      <c r="W46" s="97" t="str">
        <f t="shared" si="4"/>
        <v/>
      </c>
      <c r="X46" s="97" t="str">
        <f>IF(VLOOKUP($A46,'⚪设计'!$A$144:$N$196,14,FALSE)="","",VLOOKUP($A46,'⚪设计'!$A$144:$N$196,14,FALSE))</f>
        <v/>
      </c>
      <c r="Y46" s="97" t="str">
        <f>IF(V46="","",ROUND($D46*'⚪设计'!$D187/(IF($G46="",0,VLOOKUP($G46,'⚪设计'!$B$85:$H$104,4,FALSE)*$H46)+IF($L46="",0,VLOOKUP($L46,'⚪设计'!$B$85:$H$104,4,FALSE)*$M46)+IF($Q46="",0,VLOOKUP($Q46,'⚪设计'!$B$85:$H$104,4,FALSE)*$R46)+IF($V46="",0,VLOOKUP($V46,'⚪设计'!$B$85:$H$104,4,FALSE)*$W46))*IF(V46="",0,VLOOKUP(V46,'⚪设计'!$B$85:$H$104,4,FALSE)),0))</f>
        <v/>
      </c>
      <c r="Z46" s="97" t="str">
        <f>IF(V46="","",ROUND(VLOOKUP($B46,战斗节奏!$A$4:$F$13,2,FALSE)/(IF($G46="",0,VLOOKUP($G46,'⚪设计'!$B$85:$H$104,5,FALSE)*$H46)+IF($L46="",0,VLOOKUP($L46,'⚪设计'!$B$85:$H$104,5,FALSE)*$M46)+IF($Q46="",0,VLOOKUP($Q46,'⚪设计'!$B$85:$H$104,5,FALSE)*$R46)+IF($V46="",0,VLOOKUP($V46,'⚪设计'!$B$85:$H$104,5,FALSE)*$W46))*IF(V46="",0,VLOOKUP(V46,'⚪设计'!$B$85:$H$104,5,FALSE)),0))</f>
        <v/>
      </c>
    </row>
    <row r="47" spans="1:26" x14ac:dyDescent="0.2">
      <c r="A47" s="2" t="str">
        <f t="shared" si="0"/>
        <v>9_5</v>
      </c>
      <c r="B47" s="2">
        <v>9</v>
      </c>
      <c r="C47" s="2">
        <v>5</v>
      </c>
      <c r="D47" s="97">
        <f>VLOOKUP(C47,无限模式!$A$3:$B$22,2,FALSE)</f>
        <v>2700</v>
      </c>
      <c r="E47" s="98">
        <v>1</v>
      </c>
      <c r="F47" s="97">
        <f>'⚪设计'!F188</f>
        <v>20</v>
      </c>
      <c r="G47" s="97" t="str">
        <f>IF(VLOOKUP($A47,'⚪设计'!$A$144:$N$196,7,FALSE)="","",VLOOKUP($A47,'⚪设计'!$A$144:$N$196,7,FALSE))</f>
        <v>种子2</v>
      </c>
      <c r="H47" s="97">
        <f t="shared" si="1"/>
        <v>10</v>
      </c>
      <c r="I47" s="97">
        <f>IF(VLOOKUP($A47,'⚪设计'!$A$144:$N$196,11,FALSE)="","",VLOOKUP($A47,'⚪设计'!$A$144:$N$196,11,FALSE))</f>
        <v>2</v>
      </c>
      <c r="J47" s="97">
        <f>IF(G47="","",ROUND($D47*'⚪设计'!$D188/(IF($G47="",0,VLOOKUP($G47,'⚪设计'!$B$85:$H$104,4,FALSE)*$H47)+IF($L47="",0,VLOOKUP($L47,'⚪设计'!$B$85:$H$104,4,FALSE)*$M47)+IF($Q47="",0,VLOOKUP($Q47,'⚪设计'!$B$85:$H$104,4,FALSE)*$R47)+IF($V47="",0,VLOOKUP($V47,'⚪设计'!$B$85:$H$104,4,FALSE)*$W47))*IF(G47="",0,VLOOKUP(G47,'⚪设计'!$B$85:$H$104,4,FALSE)),0))</f>
        <v>2304</v>
      </c>
      <c r="K47" s="97">
        <f>IF(G47="","",ROUND(VLOOKUP($B47,战斗节奏!$A$4:$F$13,2,FALSE)/(IF($G47="",0,VLOOKUP($G47,'⚪设计'!$B$85:$H$104,5,FALSE)*$H47)+IF($L47="",0,VLOOKUP($L47,'⚪设计'!$B$85:$H$104,5,FALSE)*$M47)+IF($Q47="",0,VLOOKUP($Q47,'⚪设计'!$B$85:$H$104,5,FALSE)*$R47)+IF($V47="",0,VLOOKUP($V47,'⚪设计'!$B$85:$H$104,5,FALSE)*$W47))*IF(G47="",0,VLOOKUP(G47,'⚪设计'!$B$85:$H$104,5,FALSE)),0))</f>
        <v>5</v>
      </c>
      <c r="L47" s="97" t="str">
        <f>IF(VLOOKUP($A47,'⚪设计'!$A$144:$N$196,8,FALSE)="","",VLOOKUP($A47,'⚪设计'!$A$144:$N$196,8,FALSE))</f>
        <v>鬼2</v>
      </c>
      <c r="M47" s="97">
        <f t="shared" si="2"/>
        <v>40</v>
      </c>
      <c r="N47" s="97">
        <f>IF(VLOOKUP($A47,'⚪设计'!$A$144:$N$196,12,FALSE)="","",VLOOKUP($A47,'⚪设计'!$A$144:$N$196,12,FALSE))</f>
        <v>0.5</v>
      </c>
      <c r="O47" s="97">
        <f>IF(L47="","",ROUND($D47*'⚪设计'!$D188/(IF($G47="",0,VLOOKUP($G47,'⚪设计'!$B$85:$H$104,4,FALSE)*$H47)+IF($L47="",0,VLOOKUP($L47,'⚪设计'!$B$85:$H$104,4,FALSE)*$M47)+IF($Q47="",0,VLOOKUP($Q47,'⚪设计'!$B$85:$H$104,4,FALSE)*$R47)+IF($V47="",0,VLOOKUP($V47,'⚪设计'!$B$85:$H$104,4,FALSE)*$W47))*IF(L47="",0,VLOOKUP(L47,'⚪设计'!$B$85:$H$104,4,FALSE)),0))</f>
        <v>768</v>
      </c>
      <c r="P47" s="97">
        <f>IF(L47="","",ROUND(VLOOKUP($B47,战斗节奏!$A$4:$F$13,2,FALSE)/(IF($G47="",0,VLOOKUP($G47,'⚪设计'!$B$85:$H$104,5,FALSE)*$H47)+IF($L47="",0,VLOOKUP($L47,'⚪设计'!$B$85:$H$104,5,FALSE)*$M47)+IF($Q47="",0,VLOOKUP($Q47,'⚪设计'!$B$85:$H$104,5,FALSE)*$R47)+IF($V47="",0,VLOOKUP($V47,'⚪设计'!$B$85:$H$104,5,FALSE)*$W47))*IF(L47="",0,VLOOKUP(L47,'⚪设计'!$B$85:$H$104,5,FALSE)),0))</f>
        <v>2</v>
      </c>
      <c r="Q47" s="97" t="str">
        <f>IF(VLOOKUP($A47,'⚪设计'!$A$144:$N$196,9,FALSE)="","",VLOOKUP($A47,'⚪设计'!$A$144:$N$196,9,FALSE))</f>
        <v>蛋2</v>
      </c>
      <c r="R47" s="97">
        <f t="shared" si="3"/>
        <v>13</v>
      </c>
      <c r="S47" s="97">
        <f>IF(VLOOKUP($A47,'⚪设计'!$A$144:$N$196,13,FALSE)="","",VLOOKUP($A47,'⚪设计'!$A$144:$N$196,13,FALSE))</f>
        <v>1.5</v>
      </c>
      <c r="T47" s="97">
        <f>IF(Q47="","",ROUND($D47*'⚪设计'!$D188/(IF($G47="",0,VLOOKUP($G47,'⚪设计'!$B$85:$H$104,4,FALSE)*$H47)+IF($L47="",0,VLOOKUP($L47,'⚪设计'!$B$85:$H$104,4,FALSE)*$M47)+IF($Q47="",0,VLOOKUP($Q47,'⚪设计'!$B$85:$H$104,4,FALSE)*$R47)+IF($V47="",0,VLOOKUP($V47,'⚪设计'!$B$85:$H$104,4,FALSE)*$W47))*IF(Q47="",0,VLOOKUP(Q47,'⚪设计'!$B$85:$H$104,4,FALSE)),0))</f>
        <v>1536</v>
      </c>
      <c r="U47" s="97">
        <f>IF(Q47="","",ROUND(VLOOKUP($B47,战斗节奏!$A$4:$F$13,2,FALSE)/(IF($G47="",0,VLOOKUP($G47,'⚪设计'!$B$85:$H$104,5,FALSE)*$H47)+IF($L47="",0,VLOOKUP($L47,'⚪设计'!$B$85:$H$104,5,FALSE)*$M47)+IF($Q47="",0,VLOOKUP($Q47,'⚪设计'!$B$85:$H$104,5,FALSE)*$R47)+IF($V47="",0,VLOOKUP($V47,'⚪设计'!$B$85:$H$104,5,FALSE)*$W47))*IF(Q47="",0,VLOOKUP(Q47,'⚪设计'!$B$85:$H$104,5,FALSE)),0))</f>
        <v>5</v>
      </c>
      <c r="V47" s="97" t="str">
        <f>IF(VLOOKUP($A47,'⚪设计'!$A$144:$N$196,10,FALSE)="","",VLOOKUP($A47,'⚪设计'!$A$144:$N$196,10,FALSE))</f>
        <v>蛋1</v>
      </c>
      <c r="W47" s="97">
        <f t="shared" si="4"/>
        <v>20</v>
      </c>
      <c r="X47" s="97">
        <f>IF(VLOOKUP($A47,'⚪设计'!$A$144:$N$196,14,FALSE)="","",VLOOKUP($A47,'⚪设计'!$A$144:$N$196,14,FALSE))</f>
        <v>1</v>
      </c>
      <c r="Y47" s="97">
        <f>IF(V47="","",ROUND($D47*'⚪设计'!$D188/(IF($G47="",0,VLOOKUP($G47,'⚪设计'!$B$85:$H$104,4,FALSE)*$H47)+IF($L47="",0,VLOOKUP($L47,'⚪设计'!$B$85:$H$104,4,FALSE)*$M47)+IF($Q47="",0,VLOOKUP($Q47,'⚪设计'!$B$85:$H$104,4,FALSE)*$R47)+IF($V47="",0,VLOOKUP($V47,'⚪设计'!$B$85:$H$104,4,FALSE)*$W47))*IF(V47="",0,VLOOKUP(V47,'⚪设计'!$B$85:$H$104,4,FALSE)),0))</f>
        <v>768</v>
      </c>
      <c r="Z47" s="97">
        <f>IF(V47="","",ROUND(VLOOKUP($B47,战斗节奏!$A$4:$F$13,2,FALSE)/(IF($G47="",0,VLOOKUP($G47,'⚪设计'!$B$85:$H$104,5,FALSE)*$H47)+IF($L47="",0,VLOOKUP($L47,'⚪设计'!$B$85:$H$104,5,FALSE)*$M47)+IF($Q47="",0,VLOOKUP($Q47,'⚪设计'!$B$85:$H$104,5,FALSE)*$R47)+IF($V47="",0,VLOOKUP($V47,'⚪设计'!$B$85:$H$104,5,FALSE)*$W47))*IF(V47="",0,VLOOKUP(V47,'⚪设计'!$B$85:$H$104,5,FALSE)),0))</f>
        <v>5</v>
      </c>
    </row>
    <row r="48" spans="1:26" x14ac:dyDescent="0.2">
      <c r="A48" s="2" t="str">
        <f t="shared" si="0"/>
        <v>10_1</v>
      </c>
      <c r="B48" s="2">
        <v>10</v>
      </c>
      <c r="C48" s="2">
        <v>1</v>
      </c>
      <c r="D48" s="97">
        <f>VLOOKUP(C48,无限模式!$A$3:$B$22,2,FALSE)</f>
        <v>540</v>
      </c>
      <c r="E48" s="98">
        <v>1</v>
      </c>
      <c r="F48" s="97">
        <f>'⚪设计'!F189</f>
        <v>10</v>
      </c>
      <c r="G48" s="97" t="str">
        <f>IF(VLOOKUP($A48,'⚪设计'!$A$144:$N$196,7,FALSE)="","",VLOOKUP($A48,'⚪设计'!$A$144:$N$196,7,FALSE))</f>
        <v>鬼1</v>
      </c>
      <c r="H48" s="97">
        <f t="shared" si="1"/>
        <v>20</v>
      </c>
      <c r="I48" s="97">
        <f>IF(VLOOKUP($A48,'⚪设计'!$A$144:$N$196,11,FALSE)="","",VLOOKUP($A48,'⚪设计'!$A$144:$N$196,11,FALSE))</f>
        <v>0.5</v>
      </c>
      <c r="J48" s="97">
        <f>IF(G48="","",ROUND($D48*'⚪设计'!$D189/(IF($G48="",0,VLOOKUP($G48,'⚪设计'!$B$85:$H$104,4,FALSE)*$H48)+IF($L48="",0,VLOOKUP($L48,'⚪设计'!$B$85:$H$104,4,FALSE)*$M48)+IF($Q48="",0,VLOOKUP($Q48,'⚪设计'!$B$85:$H$104,4,FALSE)*$R48)+IF($V48="",0,VLOOKUP($V48,'⚪设计'!$B$85:$H$104,4,FALSE)*$W48))*IF(G48="",0,VLOOKUP(G48,'⚪设计'!$B$85:$H$104,4,FALSE)),0))</f>
        <v>203</v>
      </c>
      <c r="K48" s="97">
        <f>IF(G48="","",ROUND(VLOOKUP($B48,战斗节奏!$A$4:$F$13,2,FALSE)/(IF($G48="",0,VLOOKUP($G48,'⚪设计'!$B$85:$H$104,5,FALSE)*$H48)+IF($L48="",0,VLOOKUP($L48,'⚪设计'!$B$85:$H$104,5,FALSE)*$M48)+IF($Q48="",0,VLOOKUP($Q48,'⚪设计'!$B$85:$H$104,5,FALSE)*$R48)+IF($V48="",0,VLOOKUP($V48,'⚪设计'!$B$85:$H$104,5,FALSE)*$W48))*IF(G48="",0,VLOOKUP(G48,'⚪设计'!$B$85:$H$104,5,FALSE)),0))</f>
        <v>8</v>
      </c>
      <c r="L48" s="97" t="str">
        <f>IF(VLOOKUP($A48,'⚪设计'!$A$144:$N$196,8,FALSE)="","",VLOOKUP($A48,'⚪设计'!$A$144:$N$196,8,FALSE))</f>
        <v>蜘蛛1</v>
      </c>
      <c r="M48" s="97">
        <f t="shared" si="2"/>
        <v>20</v>
      </c>
      <c r="N48" s="97">
        <f>IF(VLOOKUP($A48,'⚪设计'!$A$144:$N$196,12,FALSE)="","",VLOOKUP($A48,'⚪设计'!$A$144:$N$196,12,FALSE))</f>
        <v>0.5</v>
      </c>
      <c r="O48" s="97">
        <f>IF(L48="","",ROUND($D48*'⚪设计'!$D189/(IF($G48="",0,VLOOKUP($G48,'⚪设计'!$B$85:$H$104,4,FALSE)*$H48)+IF($L48="",0,VLOOKUP($L48,'⚪设计'!$B$85:$H$104,4,FALSE)*$M48)+IF($Q48="",0,VLOOKUP($Q48,'⚪设计'!$B$85:$H$104,4,FALSE)*$R48)+IF($V48="",0,VLOOKUP($V48,'⚪设计'!$B$85:$H$104,4,FALSE)*$W48))*IF(L48="",0,VLOOKUP(L48,'⚪设计'!$B$85:$H$104,4,FALSE)),0))</f>
        <v>203</v>
      </c>
      <c r="P48" s="97">
        <f>IF(L48="","",ROUND(VLOOKUP($B48,战斗节奏!$A$4:$F$13,2,FALSE)/(IF($G48="",0,VLOOKUP($G48,'⚪设计'!$B$85:$H$104,5,FALSE)*$H48)+IF($L48="",0,VLOOKUP($L48,'⚪设计'!$B$85:$H$104,5,FALSE)*$M48)+IF($Q48="",0,VLOOKUP($Q48,'⚪设计'!$B$85:$H$104,5,FALSE)*$R48)+IF($V48="",0,VLOOKUP($V48,'⚪设计'!$B$85:$H$104,5,FALSE)*$W48))*IF(L48="",0,VLOOKUP(L48,'⚪设计'!$B$85:$H$104,5,FALSE)),0))</f>
        <v>8</v>
      </c>
      <c r="Q48" s="97" t="str">
        <f>IF(VLOOKUP($A48,'⚪设计'!$A$144:$N$196,9,FALSE)="","",VLOOKUP($A48,'⚪设计'!$A$144:$N$196,9,FALSE))</f>
        <v/>
      </c>
      <c r="R48" s="97" t="str">
        <f t="shared" si="3"/>
        <v/>
      </c>
      <c r="S48" s="97" t="str">
        <f>IF(VLOOKUP($A48,'⚪设计'!$A$144:$N$196,13,FALSE)="","",VLOOKUP($A48,'⚪设计'!$A$144:$N$196,13,FALSE))</f>
        <v/>
      </c>
      <c r="T48" s="97" t="str">
        <f>IF(Q48="","",ROUND($D48*'⚪设计'!$D189/(IF($G48="",0,VLOOKUP($G48,'⚪设计'!$B$85:$H$104,4,FALSE)*$H48)+IF($L48="",0,VLOOKUP($L48,'⚪设计'!$B$85:$H$104,4,FALSE)*$M48)+IF($Q48="",0,VLOOKUP($Q48,'⚪设计'!$B$85:$H$104,4,FALSE)*$R48)+IF($V48="",0,VLOOKUP($V48,'⚪设计'!$B$85:$H$104,4,FALSE)*$W48))*IF(Q48="",0,VLOOKUP(Q48,'⚪设计'!$B$85:$H$104,4,FALSE)),0))</f>
        <v/>
      </c>
      <c r="U48" s="97" t="str">
        <f>IF(Q48="","",ROUND(VLOOKUP($B48,战斗节奏!$A$4:$F$13,2,FALSE)/(IF($G48="",0,VLOOKUP($G48,'⚪设计'!$B$85:$H$104,5,FALSE)*$H48)+IF($L48="",0,VLOOKUP($L48,'⚪设计'!$B$85:$H$104,5,FALSE)*$M48)+IF($Q48="",0,VLOOKUP($Q48,'⚪设计'!$B$85:$H$104,5,FALSE)*$R48)+IF($V48="",0,VLOOKUP($V48,'⚪设计'!$B$85:$H$104,5,FALSE)*$W48))*IF(Q48="",0,VLOOKUP(Q48,'⚪设计'!$B$85:$H$104,5,FALSE)),0))</f>
        <v/>
      </c>
      <c r="V48" s="97" t="str">
        <f>IF(VLOOKUP($A48,'⚪设计'!$A$144:$N$196,10,FALSE)="","",VLOOKUP($A48,'⚪设计'!$A$144:$N$196,10,FALSE))</f>
        <v/>
      </c>
      <c r="W48" s="97" t="str">
        <f t="shared" si="4"/>
        <v/>
      </c>
      <c r="X48" s="97" t="str">
        <f>IF(VLOOKUP($A48,'⚪设计'!$A$144:$N$196,14,FALSE)="","",VLOOKUP($A48,'⚪设计'!$A$144:$N$196,14,FALSE))</f>
        <v/>
      </c>
      <c r="Y48" s="97" t="str">
        <f>IF(V48="","",ROUND($D48*'⚪设计'!$D189/(IF($G48="",0,VLOOKUP($G48,'⚪设计'!$B$85:$H$104,4,FALSE)*$H48)+IF($L48="",0,VLOOKUP($L48,'⚪设计'!$B$85:$H$104,4,FALSE)*$M48)+IF($Q48="",0,VLOOKUP($Q48,'⚪设计'!$B$85:$H$104,4,FALSE)*$R48)+IF($V48="",0,VLOOKUP($V48,'⚪设计'!$B$85:$H$104,4,FALSE)*$W48))*IF(V48="",0,VLOOKUP(V48,'⚪设计'!$B$85:$H$104,4,FALSE)),0))</f>
        <v/>
      </c>
      <c r="Z48" s="97" t="str">
        <f>IF(V48="","",ROUND(VLOOKUP($B48,战斗节奏!$A$4:$F$13,2,FALSE)/(IF($G48="",0,VLOOKUP($G48,'⚪设计'!$B$85:$H$104,5,FALSE)*$H48)+IF($L48="",0,VLOOKUP($L48,'⚪设计'!$B$85:$H$104,5,FALSE)*$M48)+IF($Q48="",0,VLOOKUP($Q48,'⚪设计'!$B$85:$H$104,5,FALSE)*$R48)+IF($V48="",0,VLOOKUP($V48,'⚪设计'!$B$85:$H$104,5,FALSE)*$W48))*IF(V48="",0,VLOOKUP(V48,'⚪设计'!$B$85:$H$104,5,FALSE)),0))</f>
        <v/>
      </c>
    </row>
    <row r="49" spans="1:26" x14ac:dyDescent="0.2">
      <c r="A49" s="2" t="str">
        <f t="shared" si="0"/>
        <v>10_2</v>
      </c>
      <c r="B49" s="2">
        <v>10</v>
      </c>
      <c r="C49" s="2">
        <v>2</v>
      </c>
      <c r="D49" s="97">
        <f>VLOOKUP(C49,无限模式!$A$3:$B$22,2,FALSE)</f>
        <v>1080</v>
      </c>
      <c r="E49" s="98">
        <v>1</v>
      </c>
      <c r="F49" s="97">
        <f>'⚪设计'!F190</f>
        <v>12.5</v>
      </c>
      <c r="G49" s="97" t="str">
        <f>IF(VLOOKUP($A49,'⚪设计'!$A$144:$N$196,7,FALSE)="","",VLOOKUP($A49,'⚪设计'!$A$144:$N$196,7,FALSE))</f>
        <v>鬼2</v>
      </c>
      <c r="H49" s="97">
        <f t="shared" si="1"/>
        <v>25</v>
      </c>
      <c r="I49" s="97">
        <f>IF(VLOOKUP($A49,'⚪设计'!$A$144:$N$196,11,FALSE)="","",VLOOKUP($A49,'⚪设计'!$A$144:$N$196,11,FALSE))</f>
        <v>0.5</v>
      </c>
      <c r="J49" s="97">
        <f>IF(G49="","",ROUND($D49*'⚪设计'!$D190/(IF($G49="",0,VLOOKUP($G49,'⚪设计'!$B$85:$H$104,4,FALSE)*$H49)+IF($L49="",0,VLOOKUP($L49,'⚪设计'!$B$85:$H$104,4,FALSE)*$M49)+IF($Q49="",0,VLOOKUP($Q49,'⚪设计'!$B$85:$H$104,4,FALSE)*$R49)+IF($V49="",0,VLOOKUP($V49,'⚪设计'!$B$85:$H$104,4,FALSE)*$W49))*IF(G49="",0,VLOOKUP(G49,'⚪设计'!$B$85:$H$104,4,FALSE)),0))</f>
        <v>341</v>
      </c>
      <c r="K49" s="97">
        <f>IF(G49="","",ROUND(VLOOKUP($B49,战斗节奏!$A$4:$F$13,2,FALSE)/(IF($G49="",0,VLOOKUP($G49,'⚪设计'!$B$85:$H$104,5,FALSE)*$H49)+IF($L49="",0,VLOOKUP($L49,'⚪设计'!$B$85:$H$104,5,FALSE)*$M49)+IF($Q49="",0,VLOOKUP($Q49,'⚪设计'!$B$85:$H$104,5,FALSE)*$R49)+IF($V49="",0,VLOOKUP($V49,'⚪设计'!$B$85:$H$104,5,FALSE)*$W49))*IF(G49="",0,VLOOKUP(G49,'⚪设计'!$B$85:$H$104,5,FALSE)),0))</f>
        <v>6</v>
      </c>
      <c r="L49" s="97" t="str">
        <f>IF(VLOOKUP($A49,'⚪设计'!$A$144:$N$196,8,FALSE)="","",VLOOKUP($A49,'⚪设计'!$A$144:$N$196,8,FALSE))</f>
        <v>蛋1</v>
      </c>
      <c r="M49" s="97">
        <f t="shared" si="2"/>
        <v>13</v>
      </c>
      <c r="N49" s="97">
        <f>IF(VLOOKUP($A49,'⚪设计'!$A$144:$N$196,12,FALSE)="","",VLOOKUP($A49,'⚪设计'!$A$144:$N$196,12,FALSE))</f>
        <v>1</v>
      </c>
      <c r="O49" s="97">
        <f>IF(L49="","",ROUND($D49*'⚪设计'!$D190/(IF($G49="",0,VLOOKUP($G49,'⚪设计'!$B$85:$H$104,4,FALSE)*$H49)+IF($L49="",0,VLOOKUP($L49,'⚪设计'!$B$85:$H$104,4,FALSE)*$M49)+IF($Q49="",0,VLOOKUP($Q49,'⚪设计'!$B$85:$H$104,4,FALSE)*$R49)+IF($V49="",0,VLOOKUP($V49,'⚪设计'!$B$85:$H$104,4,FALSE)*$W49))*IF(L49="",0,VLOOKUP(L49,'⚪设计'!$B$85:$H$104,4,FALSE)),0))</f>
        <v>341</v>
      </c>
      <c r="P49" s="97">
        <f>IF(L49="","",ROUND(VLOOKUP($B49,战斗节奏!$A$4:$F$13,2,FALSE)/(IF($G49="",0,VLOOKUP($G49,'⚪设计'!$B$85:$H$104,5,FALSE)*$H49)+IF($L49="",0,VLOOKUP($L49,'⚪设计'!$B$85:$H$104,5,FALSE)*$M49)+IF($Q49="",0,VLOOKUP($Q49,'⚪设计'!$B$85:$H$104,5,FALSE)*$R49)+IF($V49="",0,VLOOKUP($V49,'⚪设计'!$B$85:$H$104,5,FALSE)*$W49))*IF(L49="",0,VLOOKUP(L49,'⚪设计'!$B$85:$H$104,5,FALSE)),0))</f>
        <v>12</v>
      </c>
      <c r="Q49" s="97" t="str">
        <f>IF(VLOOKUP($A49,'⚪设计'!$A$144:$N$196,9,FALSE)="","",VLOOKUP($A49,'⚪设计'!$A$144:$N$196,9,FALSE))</f>
        <v/>
      </c>
      <c r="R49" s="97" t="str">
        <f t="shared" si="3"/>
        <v/>
      </c>
      <c r="S49" s="97" t="str">
        <f>IF(VLOOKUP($A49,'⚪设计'!$A$144:$N$196,13,FALSE)="","",VLOOKUP($A49,'⚪设计'!$A$144:$N$196,13,FALSE))</f>
        <v/>
      </c>
      <c r="T49" s="97" t="str">
        <f>IF(Q49="","",ROUND($D49*'⚪设计'!$D190/(IF($G49="",0,VLOOKUP($G49,'⚪设计'!$B$85:$H$104,4,FALSE)*$H49)+IF($L49="",0,VLOOKUP($L49,'⚪设计'!$B$85:$H$104,4,FALSE)*$M49)+IF($Q49="",0,VLOOKUP($Q49,'⚪设计'!$B$85:$H$104,4,FALSE)*$R49)+IF($V49="",0,VLOOKUP($V49,'⚪设计'!$B$85:$H$104,4,FALSE)*$W49))*IF(Q49="",0,VLOOKUP(Q49,'⚪设计'!$B$85:$H$104,4,FALSE)),0))</f>
        <v/>
      </c>
      <c r="U49" s="97" t="str">
        <f>IF(Q49="","",ROUND(VLOOKUP($B49,战斗节奏!$A$4:$F$13,2,FALSE)/(IF($G49="",0,VLOOKUP($G49,'⚪设计'!$B$85:$H$104,5,FALSE)*$H49)+IF($L49="",0,VLOOKUP($L49,'⚪设计'!$B$85:$H$104,5,FALSE)*$M49)+IF($Q49="",0,VLOOKUP($Q49,'⚪设计'!$B$85:$H$104,5,FALSE)*$R49)+IF($V49="",0,VLOOKUP($V49,'⚪设计'!$B$85:$H$104,5,FALSE)*$W49))*IF(Q49="",0,VLOOKUP(Q49,'⚪设计'!$B$85:$H$104,5,FALSE)),0))</f>
        <v/>
      </c>
      <c r="V49" s="97" t="str">
        <f>IF(VLOOKUP($A49,'⚪设计'!$A$144:$N$196,10,FALSE)="","",VLOOKUP($A49,'⚪设计'!$A$144:$N$196,10,FALSE))</f>
        <v/>
      </c>
      <c r="W49" s="97" t="str">
        <f t="shared" si="4"/>
        <v/>
      </c>
      <c r="X49" s="97" t="str">
        <f>IF(VLOOKUP($A49,'⚪设计'!$A$144:$N$196,14,FALSE)="","",VLOOKUP($A49,'⚪设计'!$A$144:$N$196,14,FALSE))</f>
        <v/>
      </c>
      <c r="Y49" s="97" t="str">
        <f>IF(V49="","",ROUND($D49*'⚪设计'!$D190/(IF($G49="",0,VLOOKUP($G49,'⚪设计'!$B$85:$H$104,4,FALSE)*$H49)+IF($L49="",0,VLOOKUP($L49,'⚪设计'!$B$85:$H$104,4,FALSE)*$M49)+IF($Q49="",0,VLOOKUP($Q49,'⚪设计'!$B$85:$H$104,4,FALSE)*$R49)+IF($V49="",0,VLOOKUP($V49,'⚪设计'!$B$85:$H$104,4,FALSE)*$W49))*IF(V49="",0,VLOOKUP(V49,'⚪设计'!$B$85:$H$104,4,FALSE)),0))</f>
        <v/>
      </c>
      <c r="Z49" s="97" t="str">
        <f>IF(V49="","",ROUND(VLOOKUP($B49,战斗节奏!$A$4:$F$13,2,FALSE)/(IF($G49="",0,VLOOKUP($G49,'⚪设计'!$B$85:$H$104,5,FALSE)*$H49)+IF($L49="",0,VLOOKUP($L49,'⚪设计'!$B$85:$H$104,5,FALSE)*$M49)+IF($Q49="",0,VLOOKUP($Q49,'⚪设计'!$B$85:$H$104,5,FALSE)*$R49)+IF($V49="",0,VLOOKUP($V49,'⚪设计'!$B$85:$H$104,5,FALSE)*$W49))*IF(V49="",0,VLOOKUP(V49,'⚪设计'!$B$85:$H$104,5,FALSE)),0))</f>
        <v/>
      </c>
    </row>
    <row r="50" spans="1:26" x14ac:dyDescent="0.2">
      <c r="A50" s="2" t="str">
        <f t="shared" si="0"/>
        <v>10_3</v>
      </c>
      <c r="B50" s="2">
        <v>10</v>
      </c>
      <c r="C50" s="2">
        <v>3</v>
      </c>
      <c r="D50" s="97">
        <f>VLOOKUP(C50,无限模式!$A$3:$B$22,2,FALSE)</f>
        <v>1620</v>
      </c>
      <c r="E50" s="98">
        <v>1</v>
      </c>
      <c r="F50" s="97">
        <f>'⚪设计'!F191</f>
        <v>15</v>
      </c>
      <c r="G50" s="97" t="str">
        <f>IF(VLOOKUP($A50,'⚪设计'!$A$144:$N$196,7,FALSE)="","",VLOOKUP($A50,'⚪设计'!$A$144:$N$196,7,FALSE))</f>
        <v>鬼2</v>
      </c>
      <c r="H50" s="97">
        <f t="shared" si="1"/>
        <v>30</v>
      </c>
      <c r="I50" s="97">
        <f>IF(VLOOKUP($A50,'⚪设计'!$A$144:$N$196,11,FALSE)="","",VLOOKUP($A50,'⚪设计'!$A$144:$N$196,11,FALSE))</f>
        <v>0.5</v>
      </c>
      <c r="J50" s="97">
        <f>IF(G50="","",ROUND($D50*'⚪设计'!$D191/(IF($G50="",0,VLOOKUP($G50,'⚪设计'!$B$85:$H$104,4,FALSE)*$H50)+IF($L50="",0,VLOOKUP($L50,'⚪设计'!$B$85:$H$104,4,FALSE)*$M50)+IF($Q50="",0,VLOOKUP($Q50,'⚪设计'!$B$85:$H$104,4,FALSE)*$R50)+IF($V50="",0,VLOOKUP($V50,'⚪设计'!$B$85:$H$104,4,FALSE)*$W50))*IF(G50="",0,VLOOKUP(G50,'⚪设计'!$B$85:$H$104,4,FALSE)),0))</f>
        <v>281</v>
      </c>
      <c r="K50" s="97">
        <f>IF(G50="","",ROUND(VLOOKUP($B50,战斗节奏!$A$4:$F$13,2,FALSE)/(IF($G50="",0,VLOOKUP($G50,'⚪设计'!$B$85:$H$104,5,FALSE)*$H50)+IF($L50="",0,VLOOKUP($L50,'⚪设计'!$B$85:$H$104,5,FALSE)*$M50)+IF($Q50="",0,VLOOKUP($Q50,'⚪设计'!$B$85:$H$104,5,FALSE)*$R50)+IF($V50="",0,VLOOKUP($V50,'⚪设计'!$B$85:$H$104,5,FALSE)*$W50))*IF(G50="",0,VLOOKUP(G50,'⚪设计'!$B$85:$H$104,5,FALSE)),0))</f>
        <v>3</v>
      </c>
      <c r="L50" s="97" t="str">
        <f>IF(VLOOKUP($A50,'⚪设计'!$A$144:$N$196,8,FALSE)="","",VLOOKUP($A50,'⚪设计'!$A$144:$N$196,8,FALSE))</f>
        <v>蛋2</v>
      </c>
      <c r="M50" s="97">
        <f t="shared" si="2"/>
        <v>15</v>
      </c>
      <c r="N50" s="97">
        <f>IF(VLOOKUP($A50,'⚪设计'!$A$144:$N$196,12,FALSE)="","",VLOOKUP($A50,'⚪设计'!$A$144:$N$196,12,FALSE))</f>
        <v>1</v>
      </c>
      <c r="O50" s="97">
        <f>IF(L50="","",ROUND($D50*'⚪设计'!$D191/(IF($G50="",0,VLOOKUP($G50,'⚪设计'!$B$85:$H$104,4,FALSE)*$H50)+IF($L50="",0,VLOOKUP($L50,'⚪设计'!$B$85:$H$104,4,FALSE)*$M50)+IF($Q50="",0,VLOOKUP($Q50,'⚪设计'!$B$85:$H$104,4,FALSE)*$R50)+IF($V50="",0,VLOOKUP($V50,'⚪设计'!$B$85:$H$104,4,FALSE)*$W50))*IF(L50="",0,VLOOKUP(L50,'⚪设计'!$B$85:$H$104,4,FALSE)),0))</f>
        <v>562</v>
      </c>
      <c r="P50" s="97">
        <f>IF(L50="","",ROUND(VLOOKUP($B50,战斗节奏!$A$4:$F$13,2,FALSE)/(IF($G50="",0,VLOOKUP($G50,'⚪设计'!$B$85:$H$104,5,FALSE)*$H50)+IF($L50="",0,VLOOKUP($L50,'⚪设计'!$B$85:$H$104,5,FALSE)*$M50)+IF($Q50="",0,VLOOKUP($Q50,'⚪设计'!$B$85:$H$104,5,FALSE)*$R50)+IF($V50="",0,VLOOKUP($V50,'⚪设计'!$B$85:$H$104,5,FALSE)*$W50))*IF(L50="",0,VLOOKUP(L50,'⚪设计'!$B$85:$H$104,5,FALSE)),0))</f>
        <v>7</v>
      </c>
      <c r="Q50" s="97" t="str">
        <f>IF(VLOOKUP($A50,'⚪设计'!$A$144:$N$196,9,FALSE)="","",VLOOKUP($A50,'⚪设计'!$A$144:$N$196,9,FALSE))</f>
        <v>蜜蜂2</v>
      </c>
      <c r="R50" s="97">
        <f t="shared" si="3"/>
        <v>15</v>
      </c>
      <c r="S50" s="97">
        <f>IF(VLOOKUP($A50,'⚪设计'!$A$144:$N$196,13,FALSE)="","",VLOOKUP($A50,'⚪设计'!$A$144:$N$196,13,FALSE))</f>
        <v>1</v>
      </c>
      <c r="T50" s="97">
        <f>IF(Q50="","",ROUND($D50*'⚪设计'!$D191/(IF($G50="",0,VLOOKUP($G50,'⚪设计'!$B$85:$H$104,4,FALSE)*$H50)+IF($L50="",0,VLOOKUP($L50,'⚪设计'!$B$85:$H$104,4,FALSE)*$M50)+IF($Q50="",0,VLOOKUP($Q50,'⚪设计'!$B$85:$H$104,4,FALSE)*$R50)+IF($V50="",0,VLOOKUP($V50,'⚪设计'!$B$85:$H$104,4,FALSE)*$W50))*IF(Q50="",0,VLOOKUP(Q50,'⚪设计'!$B$85:$H$104,4,FALSE)),0))</f>
        <v>281</v>
      </c>
      <c r="U50" s="97">
        <f>IF(Q50="","",ROUND(VLOOKUP($B50,战斗节奏!$A$4:$F$13,2,FALSE)/(IF($G50="",0,VLOOKUP($G50,'⚪设计'!$B$85:$H$104,5,FALSE)*$H50)+IF($L50="",0,VLOOKUP($L50,'⚪设计'!$B$85:$H$104,5,FALSE)*$M50)+IF($Q50="",0,VLOOKUP($Q50,'⚪设计'!$B$85:$H$104,5,FALSE)*$R50)+IF($V50="",0,VLOOKUP($V50,'⚪设计'!$B$85:$H$104,5,FALSE)*$W50))*IF(Q50="",0,VLOOKUP(Q50,'⚪设计'!$B$85:$H$104,5,FALSE)),0))</f>
        <v>7</v>
      </c>
      <c r="V50" s="97" t="str">
        <f>IF(VLOOKUP($A50,'⚪设计'!$A$144:$N$196,10,FALSE)="","",VLOOKUP($A50,'⚪设计'!$A$144:$N$196,10,FALSE))</f>
        <v/>
      </c>
      <c r="W50" s="97" t="str">
        <f t="shared" si="4"/>
        <v/>
      </c>
      <c r="X50" s="97" t="str">
        <f>IF(VLOOKUP($A50,'⚪设计'!$A$144:$N$196,14,FALSE)="","",VLOOKUP($A50,'⚪设计'!$A$144:$N$196,14,FALSE))</f>
        <v/>
      </c>
      <c r="Y50" s="97" t="str">
        <f>IF(V50="","",ROUND($D50*'⚪设计'!$D191/(IF($G50="",0,VLOOKUP($G50,'⚪设计'!$B$85:$H$104,4,FALSE)*$H50)+IF($L50="",0,VLOOKUP($L50,'⚪设计'!$B$85:$H$104,4,FALSE)*$M50)+IF($Q50="",0,VLOOKUP($Q50,'⚪设计'!$B$85:$H$104,4,FALSE)*$R50)+IF($V50="",0,VLOOKUP($V50,'⚪设计'!$B$85:$H$104,4,FALSE)*$W50))*IF(V50="",0,VLOOKUP(V50,'⚪设计'!$B$85:$H$104,4,FALSE)),0))</f>
        <v/>
      </c>
      <c r="Z50" s="97" t="str">
        <f>IF(V50="","",ROUND(VLOOKUP($B50,战斗节奏!$A$4:$F$13,2,FALSE)/(IF($G50="",0,VLOOKUP($G50,'⚪设计'!$B$85:$H$104,5,FALSE)*$H50)+IF($L50="",0,VLOOKUP($L50,'⚪设计'!$B$85:$H$104,5,FALSE)*$M50)+IF($Q50="",0,VLOOKUP($Q50,'⚪设计'!$B$85:$H$104,5,FALSE)*$R50)+IF($V50="",0,VLOOKUP($V50,'⚪设计'!$B$85:$H$104,5,FALSE)*$W50))*IF(V50="",0,VLOOKUP(V50,'⚪设计'!$B$85:$H$104,5,FALSE)),0))</f>
        <v/>
      </c>
    </row>
    <row r="51" spans="1:26" x14ac:dyDescent="0.2">
      <c r="A51" s="2" t="str">
        <f t="shared" si="0"/>
        <v>10_4</v>
      </c>
      <c r="B51" s="2">
        <v>10</v>
      </c>
      <c r="C51" s="2">
        <v>4</v>
      </c>
      <c r="D51" s="97">
        <f>VLOOKUP(C51,无限模式!$A$3:$B$22,2,FALSE)</f>
        <v>2160</v>
      </c>
      <c r="E51" s="98">
        <v>1</v>
      </c>
      <c r="F51" s="97">
        <f>'⚪设计'!F192</f>
        <v>17.5</v>
      </c>
      <c r="G51" s="97" t="str">
        <f>IF(VLOOKUP($A51,'⚪设计'!$A$144:$N$196,7,FALSE)="","",VLOOKUP($A51,'⚪设计'!$A$144:$N$196,7,FALSE))</f>
        <v>种子2</v>
      </c>
      <c r="H51" s="97">
        <f t="shared" si="1"/>
        <v>9</v>
      </c>
      <c r="I51" s="97">
        <f>IF(VLOOKUP($A51,'⚪设计'!$A$144:$N$196,11,FALSE)="","",VLOOKUP($A51,'⚪设计'!$A$144:$N$196,11,FALSE))</f>
        <v>2</v>
      </c>
      <c r="J51" s="97">
        <f>IF(G51="","",ROUND($D51*'⚪设计'!$D192/(IF($G51="",0,VLOOKUP($G51,'⚪设计'!$B$85:$H$104,4,FALSE)*$H51)+IF($L51="",0,VLOOKUP($L51,'⚪设计'!$B$85:$H$104,4,FALSE)*$M51)+IF($Q51="",0,VLOOKUP($Q51,'⚪设计'!$B$85:$H$104,4,FALSE)*$R51)+IF($V51="",0,VLOOKUP($V51,'⚪设计'!$B$85:$H$104,4,FALSE)*$W51))*IF(G51="",0,VLOOKUP(G51,'⚪设计'!$B$85:$H$104,4,FALSE)),0))</f>
        <v>1058</v>
      </c>
      <c r="K51" s="97">
        <f>IF(G51="","",ROUND(VLOOKUP($B51,战斗节奏!$A$4:$F$13,2,FALSE)/(IF($G51="",0,VLOOKUP($G51,'⚪设计'!$B$85:$H$104,5,FALSE)*$H51)+IF($L51="",0,VLOOKUP($L51,'⚪设计'!$B$85:$H$104,5,FALSE)*$M51)+IF($Q51="",0,VLOOKUP($Q51,'⚪设计'!$B$85:$H$104,5,FALSE)*$R51)+IF($V51="",0,VLOOKUP($V51,'⚪设计'!$B$85:$H$104,5,FALSE)*$W51))*IF(G51="",0,VLOOKUP(G51,'⚪设计'!$B$85:$H$104,5,FALSE)),0))</f>
        <v>7</v>
      </c>
      <c r="L51" s="97" t="str">
        <f>IF(VLOOKUP($A51,'⚪设计'!$A$144:$N$196,8,FALSE)="","",VLOOKUP($A51,'⚪设计'!$A$144:$N$196,8,FALSE))</f>
        <v>蛋2</v>
      </c>
      <c r="M51" s="97">
        <f t="shared" si="2"/>
        <v>18</v>
      </c>
      <c r="N51" s="97">
        <f>IF(VLOOKUP($A51,'⚪设计'!$A$144:$N$196,12,FALSE)="","",VLOOKUP($A51,'⚪设计'!$A$144:$N$196,12,FALSE))</f>
        <v>1</v>
      </c>
      <c r="O51" s="97">
        <f>IF(L51="","",ROUND($D51*'⚪设计'!$D192/(IF($G51="",0,VLOOKUP($G51,'⚪设计'!$B$85:$H$104,4,FALSE)*$H51)+IF($L51="",0,VLOOKUP($L51,'⚪设计'!$B$85:$H$104,4,FALSE)*$M51)+IF($Q51="",0,VLOOKUP($Q51,'⚪设计'!$B$85:$H$104,4,FALSE)*$R51)+IF($V51="",0,VLOOKUP($V51,'⚪设计'!$B$85:$H$104,4,FALSE)*$W51))*IF(L51="",0,VLOOKUP(L51,'⚪设计'!$B$85:$H$104,4,FALSE)),0))</f>
        <v>705</v>
      </c>
      <c r="P51" s="97">
        <f>IF(L51="","",ROUND(VLOOKUP($B51,战斗节奏!$A$4:$F$13,2,FALSE)/(IF($G51="",0,VLOOKUP($G51,'⚪设计'!$B$85:$H$104,5,FALSE)*$H51)+IF($L51="",0,VLOOKUP($L51,'⚪设计'!$B$85:$H$104,5,FALSE)*$M51)+IF($Q51="",0,VLOOKUP($Q51,'⚪设计'!$B$85:$H$104,5,FALSE)*$R51)+IF($V51="",0,VLOOKUP($V51,'⚪设计'!$B$85:$H$104,5,FALSE)*$W51))*IF(L51="",0,VLOOKUP(L51,'⚪设计'!$B$85:$H$104,5,FALSE)),0))</f>
        <v>7</v>
      </c>
      <c r="Q51" s="97" t="str">
        <f>IF(VLOOKUP($A51,'⚪设计'!$A$144:$N$196,9,FALSE)="","",VLOOKUP($A51,'⚪设计'!$A$144:$N$196,9,FALSE))</f>
        <v>蜘蛛2</v>
      </c>
      <c r="R51" s="97">
        <f t="shared" si="3"/>
        <v>35</v>
      </c>
      <c r="S51" s="97">
        <f>IF(VLOOKUP($A51,'⚪设计'!$A$144:$N$196,13,FALSE)="","",VLOOKUP($A51,'⚪设计'!$A$144:$N$196,13,FALSE))</f>
        <v>0.5</v>
      </c>
      <c r="T51" s="97">
        <f>IF(Q51="","",ROUND($D51*'⚪设计'!$D192/(IF($G51="",0,VLOOKUP($G51,'⚪设计'!$B$85:$H$104,4,FALSE)*$H51)+IF($L51="",0,VLOOKUP($L51,'⚪设计'!$B$85:$H$104,4,FALSE)*$M51)+IF($Q51="",0,VLOOKUP($Q51,'⚪设计'!$B$85:$H$104,4,FALSE)*$R51)+IF($V51="",0,VLOOKUP($V51,'⚪设计'!$B$85:$H$104,4,FALSE)*$W51))*IF(Q51="",0,VLOOKUP(Q51,'⚪设计'!$B$85:$H$104,4,FALSE)),0))</f>
        <v>353</v>
      </c>
      <c r="U51" s="97">
        <f>IF(Q51="","",ROUND(VLOOKUP($B51,战斗节奏!$A$4:$F$13,2,FALSE)/(IF($G51="",0,VLOOKUP($G51,'⚪设计'!$B$85:$H$104,5,FALSE)*$H51)+IF($L51="",0,VLOOKUP($L51,'⚪设计'!$B$85:$H$104,5,FALSE)*$M51)+IF($Q51="",0,VLOOKUP($Q51,'⚪设计'!$B$85:$H$104,5,FALSE)*$R51)+IF($V51="",0,VLOOKUP($V51,'⚪设计'!$B$85:$H$104,5,FALSE)*$W51))*IF(Q51="",0,VLOOKUP(Q51,'⚪设计'!$B$85:$H$104,5,FALSE)),0))</f>
        <v>3</v>
      </c>
      <c r="V51" s="97" t="str">
        <f>IF(VLOOKUP($A51,'⚪设计'!$A$144:$N$196,10,FALSE)="","",VLOOKUP($A51,'⚪设计'!$A$144:$N$196,10,FALSE))</f>
        <v/>
      </c>
      <c r="W51" s="97" t="str">
        <f t="shared" si="4"/>
        <v/>
      </c>
      <c r="X51" s="97" t="str">
        <f>IF(VLOOKUP($A51,'⚪设计'!$A$144:$N$196,14,FALSE)="","",VLOOKUP($A51,'⚪设计'!$A$144:$N$196,14,FALSE))</f>
        <v/>
      </c>
      <c r="Y51" s="97" t="str">
        <f>IF(V51="","",ROUND($D51*'⚪设计'!$D192/(IF($G51="",0,VLOOKUP($G51,'⚪设计'!$B$85:$H$104,4,FALSE)*$H51)+IF($L51="",0,VLOOKUP($L51,'⚪设计'!$B$85:$H$104,4,FALSE)*$M51)+IF($Q51="",0,VLOOKUP($Q51,'⚪设计'!$B$85:$H$104,4,FALSE)*$R51)+IF($V51="",0,VLOOKUP($V51,'⚪设计'!$B$85:$H$104,4,FALSE)*$W51))*IF(V51="",0,VLOOKUP(V51,'⚪设计'!$B$85:$H$104,4,FALSE)),0))</f>
        <v/>
      </c>
      <c r="Z51" s="97" t="str">
        <f>IF(V51="","",ROUND(VLOOKUP($B51,战斗节奏!$A$4:$F$13,2,FALSE)/(IF($G51="",0,VLOOKUP($G51,'⚪设计'!$B$85:$H$104,5,FALSE)*$H51)+IF($L51="",0,VLOOKUP($L51,'⚪设计'!$B$85:$H$104,5,FALSE)*$M51)+IF($Q51="",0,VLOOKUP($Q51,'⚪设计'!$B$85:$H$104,5,FALSE)*$R51)+IF($V51="",0,VLOOKUP($V51,'⚪设计'!$B$85:$H$104,5,FALSE)*$W51))*IF(V51="",0,VLOOKUP(V51,'⚪设计'!$B$85:$H$104,5,FALSE)),0))</f>
        <v/>
      </c>
    </row>
    <row r="52" spans="1:26" x14ac:dyDescent="0.2">
      <c r="A52" s="2" t="str">
        <f t="shared" si="0"/>
        <v>10_5</v>
      </c>
      <c r="B52" s="2">
        <v>10</v>
      </c>
      <c r="C52" s="2">
        <v>5</v>
      </c>
      <c r="D52" s="97">
        <f>VLOOKUP(C52,无限模式!$A$3:$B$22,2,FALSE)</f>
        <v>2700</v>
      </c>
      <c r="E52" s="98">
        <v>1</v>
      </c>
      <c r="F52" s="97">
        <f>'⚪设计'!F193</f>
        <v>20</v>
      </c>
      <c r="G52" s="97" t="str">
        <f>IF(VLOOKUP($A52,'⚪设计'!$A$144:$N$196,7,FALSE)="","",VLOOKUP($A52,'⚪设计'!$A$144:$N$196,7,FALSE))</f>
        <v>种子2</v>
      </c>
      <c r="H52" s="97">
        <f t="shared" si="1"/>
        <v>10</v>
      </c>
      <c r="I52" s="97">
        <f>IF(VLOOKUP($A52,'⚪设计'!$A$144:$N$196,11,FALSE)="","",VLOOKUP($A52,'⚪设计'!$A$144:$N$196,11,FALSE))</f>
        <v>2</v>
      </c>
      <c r="J52" s="97">
        <f>IF(G52="","",ROUND($D52*'⚪设计'!$D193/(IF($G52="",0,VLOOKUP($G52,'⚪设计'!$B$85:$H$104,4,FALSE)*$H52)+IF($L52="",0,VLOOKUP($L52,'⚪设计'!$B$85:$H$104,4,FALSE)*$M52)+IF($Q52="",0,VLOOKUP($Q52,'⚪设计'!$B$85:$H$104,4,FALSE)*$R52)+IF($V52="",0,VLOOKUP($V52,'⚪设计'!$B$85:$H$104,4,FALSE)*$W52))*IF(G52="",0,VLOOKUP(G52,'⚪设计'!$B$85:$H$104,4,FALSE)),0))</f>
        <v>1710</v>
      </c>
      <c r="K52" s="97">
        <f>IF(G52="","",ROUND(VLOOKUP($B52,战斗节奏!$A$4:$F$13,2,FALSE)/(IF($G52="",0,VLOOKUP($G52,'⚪设计'!$B$85:$H$104,5,FALSE)*$H52)+IF($L52="",0,VLOOKUP($L52,'⚪设计'!$B$85:$H$104,5,FALSE)*$M52)+IF($Q52="",0,VLOOKUP($Q52,'⚪设计'!$B$85:$H$104,5,FALSE)*$R52)+IF($V52="",0,VLOOKUP($V52,'⚪设计'!$B$85:$H$104,5,FALSE)*$W52))*IF(G52="",0,VLOOKUP(G52,'⚪设计'!$B$85:$H$104,5,FALSE)),0))</f>
        <v>8</v>
      </c>
      <c r="L52" s="97" t="str">
        <f>IF(VLOOKUP($A52,'⚪设计'!$A$144:$N$196,8,FALSE)="","",VLOOKUP($A52,'⚪设计'!$A$144:$N$196,8,FALSE))</f>
        <v>鬼2</v>
      </c>
      <c r="M52" s="97">
        <f t="shared" si="2"/>
        <v>40</v>
      </c>
      <c r="N52" s="97">
        <f>IF(VLOOKUP($A52,'⚪设计'!$A$144:$N$196,12,FALSE)="","",VLOOKUP($A52,'⚪设计'!$A$144:$N$196,12,FALSE))</f>
        <v>0.5</v>
      </c>
      <c r="O52" s="97">
        <f>IF(L52="","",ROUND($D52*'⚪设计'!$D193/(IF($G52="",0,VLOOKUP($G52,'⚪设计'!$B$85:$H$104,4,FALSE)*$H52)+IF($L52="",0,VLOOKUP($L52,'⚪设计'!$B$85:$H$104,4,FALSE)*$M52)+IF($Q52="",0,VLOOKUP($Q52,'⚪设计'!$B$85:$H$104,4,FALSE)*$R52)+IF($V52="",0,VLOOKUP($V52,'⚪设计'!$B$85:$H$104,4,FALSE)*$W52))*IF(L52="",0,VLOOKUP(L52,'⚪设计'!$B$85:$H$104,4,FALSE)),0))</f>
        <v>570</v>
      </c>
      <c r="P52" s="97">
        <f>IF(L52="","",ROUND(VLOOKUP($B52,战斗节奏!$A$4:$F$13,2,FALSE)/(IF($G52="",0,VLOOKUP($G52,'⚪设计'!$B$85:$H$104,5,FALSE)*$H52)+IF($L52="",0,VLOOKUP($L52,'⚪设计'!$B$85:$H$104,5,FALSE)*$M52)+IF($Q52="",0,VLOOKUP($Q52,'⚪设计'!$B$85:$H$104,5,FALSE)*$R52)+IF($V52="",0,VLOOKUP($V52,'⚪设计'!$B$85:$H$104,5,FALSE)*$W52))*IF(L52="",0,VLOOKUP(L52,'⚪设计'!$B$85:$H$104,5,FALSE)),0))</f>
        <v>4</v>
      </c>
      <c r="Q52" s="97" t="str">
        <f>IF(VLOOKUP($A52,'⚪设计'!$A$144:$N$196,9,FALSE)="","",VLOOKUP($A52,'⚪设计'!$A$144:$N$196,9,FALSE))</f>
        <v>蝙蝠2</v>
      </c>
      <c r="R52" s="97">
        <f t="shared" si="3"/>
        <v>40</v>
      </c>
      <c r="S52" s="97">
        <f>IF(VLOOKUP($A52,'⚪设计'!$A$144:$N$196,13,FALSE)="","",VLOOKUP($A52,'⚪设计'!$A$144:$N$196,13,FALSE))</f>
        <v>0.5</v>
      </c>
      <c r="T52" s="97">
        <f>IF(Q52="","",ROUND($D52*'⚪设计'!$D193/(IF($G52="",0,VLOOKUP($G52,'⚪设计'!$B$85:$H$104,4,FALSE)*$H52)+IF($L52="",0,VLOOKUP($L52,'⚪设计'!$B$85:$H$104,4,FALSE)*$M52)+IF($Q52="",0,VLOOKUP($Q52,'⚪设计'!$B$85:$H$104,4,FALSE)*$R52)+IF($V52="",0,VLOOKUP($V52,'⚪设计'!$B$85:$H$104,4,FALSE)*$W52))*IF(Q52="",0,VLOOKUP(Q52,'⚪设计'!$B$85:$H$104,4,FALSE)),0))</f>
        <v>285</v>
      </c>
      <c r="U52" s="97">
        <f>IF(Q52="","",ROUND(VLOOKUP($B52,战斗节奏!$A$4:$F$13,2,FALSE)/(IF($G52="",0,VLOOKUP($G52,'⚪设计'!$B$85:$H$104,5,FALSE)*$H52)+IF($L52="",0,VLOOKUP($L52,'⚪设计'!$B$85:$H$104,5,FALSE)*$M52)+IF($Q52="",0,VLOOKUP($Q52,'⚪设计'!$B$85:$H$104,5,FALSE)*$R52)+IF($V52="",0,VLOOKUP($V52,'⚪设计'!$B$85:$H$104,5,FALSE)*$W52))*IF(Q52="",0,VLOOKUP(Q52,'⚪设计'!$B$85:$H$104,5,FALSE)),0))</f>
        <v>2</v>
      </c>
      <c r="V52" s="97" t="str">
        <f>IF(VLOOKUP($A52,'⚪设计'!$A$144:$N$196,10,FALSE)="","",VLOOKUP($A52,'⚪设计'!$A$144:$N$196,10,FALSE))</f>
        <v/>
      </c>
      <c r="W52" s="97" t="str">
        <f t="shared" si="4"/>
        <v/>
      </c>
      <c r="X52" s="97" t="str">
        <f>IF(VLOOKUP($A52,'⚪设计'!$A$144:$N$196,14,FALSE)="","",VLOOKUP($A52,'⚪设计'!$A$144:$N$196,14,FALSE))</f>
        <v/>
      </c>
      <c r="Y52" s="97" t="str">
        <f>IF(V52="","",ROUND($D52*'⚪设计'!$D193/(IF($G52="",0,VLOOKUP($G52,'⚪设计'!$B$85:$H$104,4,FALSE)*$H52)+IF($L52="",0,VLOOKUP($L52,'⚪设计'!$B$85:$H$104,4,FALSE)*$M52)+IF($Q52="",0,VLOOKUP($Q52,'⚪设计'!$B$85:$H$104,4,FALSE)*$R52)+IF($V52="",0,VLOOKUP($V52,'⚪设计'!$B$85:$H$104,4,FALSE)*$W52))*IF(V52="",0,VLOOKUP(V52,'⚪设计'!$B$85:$H$104,4,FALSE)),0))</f>
        <v/>
      </c>
      <c r="Z52" s="97" t="str">
        <f>IF(V52="","",ROUND(VLOOKUP($B52,战斗节奏!$A$4:$F$13,2,FALSE)/(IF($G52="",0,VLOOKUP($G52,'⚪设计'!$B$85:$H$104,5,FALSE)*$H52)+IF($L52="",0,VLOOKUP($L52,'⚪设计'!$B$85:$H$104,5,FALSE)*$M52)+IF($Q52="",0,VLOOKUP($Q52,'⚪设计'!$B$85:$H$104,5,FALSE)*$R52)+IF($V52="",0,VLOOKUP($V52,'⚪设计'!$B$85:$H$104,5,FALSE)*$W52))*IF(V52="",0,VLOOKUP(V52,'⚪设计'!$B$85:$H$104,5,FALSE)),0))</f>
        <v/>
      </c>
    </row>
    <row r="53" spans="1:26" x14ac:dyDescent="0.2">
      <c r="A53" s="2" t="str">
        <f t="shared" si="0"/>
        <v>10_6</v>
      </c>
      <c r="B53" s="2">
        <v>10</v>
      </c>
      <c r="C53" s="2">
        <v>6</v>
      </c>
      <c r="D53" s="97">
        <f>VLOOKUP(C53,无限模式!$A$3:$B$22,2,FALSE)</f>
        <v>3240</v>
      </c>
      <c r="E53" s="98">
        <v>1</v>
      </c>
      <c r="F53" s="97">
        <f>'⚪设计'!F194</f>
        <v>15</v>
      </c>
      <c r="G53" s="97" t="str">
        <f>IF(VLOOKUP($A53,'⚪设计'!$A$144:$N$196,7,FALSE)="","",VLOOKUP($A53,'⚪设计'!$A$144:$N$196,7,FALSE))</f>
        <v>种子2</v>
      </c>
      <c r="H53" s="97">
        <f t="shared" ref="H53:H55" si="5">IF(I53=0,1,IF(I53="","",ROUND($F53/I53,0)))</f>
        <v>15</v>
      </c>
      <c r="I53" s="97">
        <f>IF(VLOOKUP($A53,'⚪设计'!$A$144:$N$196,11,FALSE)="","",VLOOKUP($A53,'⚪设计'!$A$144:$N$196,11,FALSE))</f>
        <v>1</v>
      </c>
      <c r="J53" s="97">
        <f>IF(G53="","",ROUND($D53*'⚪设计'!$D194/(IF($G53="",0,VLOOKUP($G53,'⚪设计'!$B$85:$H$104,4,FALSE)*$H53)+IF($L53="",0,VLOOKUP($L53,'⚪设计'!$B$85:$H$104,4,FALSE)*$M53)+IF($Q53="",0,VLOOKUP($Q53,'⚪设计'!$B$85:$H$104,4,FALSE)*$R53)+IF($V53="",0,VLOOKUP($V53,'⚪设计'!$B$85:$H$104,4,FALSE)*$W53))*IF(G53="",0,VLOOKUP(G53,'⚪设计'!$B$85:$H$104,4,FALSE)),0))</f>
        <v>1842</v>
      </c>
      <c r="K53" s="97">
        <f>IF(G53="","",ROUND(VLOOKUP($B53,战斗节奏!$A$4:$F$13,2,FALSE)/(IF($G53="",0,VLOOKUP($G53,'⚪设计'!$B$85:$H$104,5,FALSE)*$H53)+IF($L53="",0,VLOOKUP($L53,'⚪设计'!$B$85:$H$104,5,FALSE)*$M53)+IF($Q53="",0,VLOOKUP($Q53,'⚪设计'!$B$85:$H$104,5,FALSE)*$R53)+IF($V53="",0,VLOOKUP($V53,'⚪设计'!$B$85:$H$104,5,FALSE)*$W53))*IF(G53="",0,VLOOKUP(G53,'⚪设计'!$B$85:$H$104,5,FALSE)),0))</f>
        <v>8</v>
      </c>
      <c r="L53" s="97" t="str">
        <f>IF(VLOOKUP($A53,'⚪设计'!$A$144:$N$196,8,FALSE)="","",VLOOKUP($A53,'⚪设计'!$A$144:$N$196,8,FALSE))</f>
        <v>鬼2</v>
      </c>
      <c r="M53" s="97">
        <f t="shared" ref="M53:M55" si="6">IF(N53=0,1,IF(N53="","",ROUND($F53/N53,0)))</f>
        <v>30</v>
      </c>
      <c r="N53" s="97">
        <f>IF(VLOOKUP($A53,'⚪设计'!$A$144:$N$196,12,FALSE)="","",VLOOKUP($A53,'⚪设计'!$A$144:$N$196,12,FALSE))</f>
        <v>0.5</v>
      </c>
      <c r="O53" s="97">
        <f>IF(L53="","",ROUND($D53*'⚪设计'!$D194/(IF($G53="",0,VLOOKUP($G53,'⚪设计'!$B$85:$H$104,4,FALSE)*$H53)+IF($L53="",0,VLOOKUP($L53,'⚪设计'!$B$85:$H$104,4,FALSE)*$M53)+IF($Q53="",0,VLOOKUP($Q53,'⚪设计'!$B$85:$H$104,4,FALSE)*$R53)+IF($V53="",0,VLOOKUP($V53,'⚪设计'!$B$85:$H$104,4,FALSE)*$W53))*IF(L53="",0,VLOOKUP(L53,'⚪设计'!$B$85:$H$104,4,FALSE)),0))</f>
        <v>614</v>
      </c>
      <c r="P53" s="97">
        <f>IF(L53="","",ROUND(VLOOKUP($B53,战斗节奏!$A$4:$F$13,2,FALSE)/(IF($G53="",0,VLOOKUP($G53,'⚪设计'!$B$85:$H$104,5,FALSE)*$H53)+IF($L53="",0,VLOOKUP($L53,'⚪设计'!$B$85:$H$104,5,FALSE)*$M53)+IF($Q53="",0,VLOOKUP($Q53,'⚪设计'!$B$85:$H$104,5,FALSE)*$R53)+IF($V53="",0,VLOOKUP($V53,'⚪设计'!$B$85:$H$104,5,FALSE)*$W53))*IF(L53="",0,VLOOKUP(L53,'⚪设计'!$B$85:$H$104,5,FALSE)),0))</f>
        <v>4</v>
      </c>
      <c r="Q53" s="97" t="str">
        <f>IF(VLOOKUP($A53,'⚪设计'!$A$144:$N$196,9,FALSE)="","",VLOOKUP($A53,'⚪设计'!$A$144:$N$196,9,FALSE))</f>
        <v>蛋2</v>
      </c>
      <c r="R53" s="97">
        <f t="shared" ref="R53:R55" si="7">IF(S53=0,1,IF(S53="","",ROUND($F53/S53,0)))</f>
        <v>10</v>
      </c>
      <c r="S53" s="97">
        <f>IF(VLOOKUP($A53,'⚪设计'!$A$144:$N$196,13,FALSE)="","",VLOOKUP($A53,'⚪设计'!$A$144:$N$196,13,FALSE))</f>
        <v>1.5</v>
      </c>
      <c r="T53" s="97">
        <f>IF(Q53="","",ROUND($D53*'⚪设计'!$D194/(IF($G53="",0,VLOOKUP($G53,'⚪设计'!$B$85:$H$104,4,FALSE)*$H53)+IF($L53="",0,VLOOKUP($L53,'⚪设计'!$B$85:$H$104,4,FALSE)*$M53)+IF($Q53="",0,VLOOKUP($Q53,'⚪设计'!$B$85:$H$104,4,FALSE)*$R53)+IF($V53="",0,VLOOKUP($V53,'⚪设计'!$B$85:$H$104,4,FALSE)*$W53))*IF(Q53="",0,VLOOKUP(Q53,'⚪设计'!$B$85:$H$104,4,FALSE)),0))</f>
        <v>1228</v>
      </c>
      <c r="U53" s="97">
        <f>IF(Q53="","",ROUND(VLOOKUP($B53,战斗节奏!$A$4:$F$13,2,FALSE)/(IF($G53="",0,VLOOKUP($G53,'⚪设计'!$B$85:$H$104,5,FALSE)*$H53)+IF($L53="",0,VLOOKUP($L53,'⚪设计'!$B$85:$H$104,5,FALSE)*$M53)+IF($Q53="",0,VLOOKUP($Q53,'⚪设计'!$B$85:$H$104,5,FALSE)*$R53)+IF($V53="",0,VLOOKUP($V53,'⚪设计'!$B$85:$H$104,5,FALSE)*$W53))*IF(Q53="",0,VLOOKUP(Q53,'⚪设计'!$B$85:$H$104,5,FALSE)),0))</f>
        <v>8</v>
      </c>
      <c r="V53" s="97" t="str">
        <f>IF(VLOOKUP($A53,'⚪设计'!$A$144:$N$196,10,FALSE)="","",VLOOKUP($A53,'⚪设计'!$A$144:$N$196,10,FALSE))</f>
        <v/>
      </c>
      <c r="W53" s="97" t="str">
        <f t="shared" ref="W53:W55" si="8">IF(X53=0,1,IF(X53="","",ROUND($F53/X53,0)))</f>
        <v/>
      </c>
      <c r="X53" s="97" t="str">
        <f>IF(VLOOKUP($A53,'⚪设计'!$A$144:$N$196,14,FALSE)="","",VLOOKUP($A53,'⚪设计'!$A$144:$N$196,14,FALSE))</f>
        <v/>
      </c>
      <c r="Y53" s="97" t="str">
        <f>IF(V53="","",ROUND($D53*'⚪设计'!$D194/(IF($G53="",0,VLOOKUP($G53,'⚪设计'!$B$85:$H$104,4,FALSE)*$H53)+IF($L53="",0,VLOOKUP($L53,'⚪设计'!$B$85:$H$104,4,FALSE)*$M53)+IF($Q53="",0,VLOOKUP($Q53,'⚪设计'!$B$85:$H$104,4,FALSE)*$R53)+IF($V53="",0,VLOOKUP($V53,'⚪设计'!$B$85:$H$104,4,FALSE)*$W53))*IF(V53="",0,VLOOKUP(V53,'⚪设计'!$B$85:$H$104,4,FALSE)),0))</f>
        <v/>
      </c>
      <c r="Z53" s="97" t="str">
        <f>IF(V53="","",ROUND(VLOOKUP($B53,战斗节奏!$A$4:$F$13,2,FALSE)/(IF($G53="",0,VLOOKUP($G53,'⚪设计'!$B$85:$H$104,5,FALSE)*$H53)+IF($L53="",0,VLOOKUP($L53,'⚪设计'!$B$85:$H$104,5,FALSE)*$M53)+IF($Q53="",0,VLOOKUP($Q53,'⚪设计'!$B$85:$H$104,5,FALSE)*$R53)+IF($V53="",0,VLOOKUP($V53,'⚪设计'!$B$85:$H$104,5,FALSE)*$W53))*IF(V53="",0,VLOOKUP(V53,'⚪设计'!$B$85:$H$104,5,FALSE)),0))</f>
        <v/>
      </c>
    </row>
    <row r="54" spans="1:26" x14ac:dyDescent="0.2">
      <c r="A54" s="2" t="str">
        <f t="shared" si="0"/>
        <v>10_7</v>
      </c>
      <c r="B54" s="2">
        <v>10</v>
      </c>
      <c r="C54" s="2">
        <v>7</v>
      </c>
      <c r="D54" s="97">
        <f>VLOOKUP(C54,无限模式!$A$3:$B$22,2,FALSE)</f>
        <v>3780</v>
      </c>
      <c r="E54" s="98">
        <v>1</v>
      </c>
      <c r="F54" s="97">
        <f>'⚪设计'!F195</f>
        <v>17.5</v>
      </c>
      <c r="G54" s="97" t="str">
        <f>IF(VLOOKUP($A54,'⚪设计'!$A$144:$N$196,7,FALSE)="","",VLOOKUP($A54,'⚪设计'!$A$144:$N$196,7,FALSE))</f>
        <v>种子2</v>
      </c>
      <c r="H54" s="97">
        <f t="shared" si="5"/>
        <v>18</v>
      </c>
      <c r="I54" s="97">
        <f>IF(VLOOKUP($A54,'⚪设计'!$A$144:$N$196,11,FALSE)="","",VLOOKUP($A54,'⚪设计'!$A$144:$N$196,11,FALSE))</f>
        <v>1</v>
      </c>
      <c r="J54" s="97">
        <f>IF(G54="","",ROUND($D54*'⚪设计'!$D195/(IF($G54="",0,VLOOKUP($G54,'⚪设计'!$B$85:$H$104,4,FALSE)*$H54)+IF($L54="",0,VLOOKUP($L54,'⚪设计'!$B$85:$H$104,4,FALSE)*$M54)+IF($Q54="",0,VLOOKUP($Q54,'⚪设计'!$B$85:$H$104,4,FALSE)*$R54)+IF($V54="",0,VLOOKUP($V54,'⚪设计'!$B$85:$H$104,4,FALSE)*$W54))*IF(G54="",0,VLOOKUP(G54,'⚪设计'!$B$85:$H$104,4,FALSE)),0))</f>
        <v>2126</v>
      </c>
      <c r="K54" s="97">
        <f>IF(G54="","",ROUND(VLOOKUP($B54,战斗节奏!$A$4:$F$13,2,FALSE)/(IF($G54="",0,VLOOKUP($G54,'⚪设计'!$B$85:$H$104,5,FALSE)*$H54)+IF($L54="",0,VLOOKUP($L54,'⚪设计'!$B$85:$H$104,5,FALSE)*$M54)+IF($Q54="",0,VLOOKUP($Q54,'⚪设计'!$B$85:$H$104,5,FALSE)*$R54)+IF($V54="",0,VLOOKUP($V54,'⚪设计'!$B$85:$H$104,5,FALSE)*$W54))*IF(G54="",0,VLOOKUP(G54,'⚪设计'!$B$85:$H$104,5,FALSE)),0))</f>
        <v>4</v>
      </c>
      <c r="L54" s="97" t="str">
        <f>IF(VLOOKUP($A54,'⚪设计'!$A$144:$N$196,8,FALSE)="","",VLOOKUP($A54,'⚪设计'!$A$144:$N$196,8,FALSE))</f>
        <v>鬼2</v>
      </c>
      <c r="M54" s="97">
        <f t="shared" si="6"/>
        <v>35</v>
      </c>
      <c r="N54" s="97">
        <f>IF(VLOOKUP($A54,'⚪设计'!$A$144:$N$196,12,FALSE)="","",VLOOKUP($A54,'⚪设计'!$A$144:$N$196,12,FALSE))</f>
        <v>0.5</v>
      </c>
      <c r="O54" s="97">
        <f>IF(L54="","",ROUND($D54*'⚪设计'!$D195/(IF($G54="",0,VLOOKUP($G54,'⚪设计'!$B$85:$H$104,4,FALSE)*$H54)+IF($L54="",0,VLOOKUP($L54,'⚪设计'!$B$85:$H$104,4,FALSE)*$M54)+IF($Q54="",0,VLOOKUP($Q54,'⚪设计'!$B$85:$H$104,4,FALSE)*$R54)+IF($V54="",0,VLOOKUP($V54,'⚪设计'!$B$85:$H$104,4,FALSE)*$W54))*IF(L54="",0,VLOOKUP(L54,'⚪设计'!$B$85:$H$104,4,FALSE)),0))</f>
        <v>709</v>
      </c>
      <c r="P54" s="97">
        <f>IF(L54="","",ROUND(VLOOKUP($B54,战斗节奏!$A$4:$F$13,2,FALSE)/(IF($G54="",0,VLOOKUP($G54,'⚪设计'!$B$85:$H$104,5,FALSE)*$H54)+IF($L54="",0,VLOOKUP($L54,'⚪设计'!$B$85:$H$104,5,FALSE)*$M54)+IF($Q54="",0,VLOOKUP($Q54,'⚪设计'!$B$85:$H$104,5,FALSE)*$R54)+IF($V54="",0,VLOOKUP($V54,'⚪设计'!$B$85:$H$104,5,FALSE)*$W54))*IF(L54="",0,VLOOKUP(L54,'⚪设计'!$B$85:$H$104,5,FALSE)),0))</f>
        <v>2</v>
      </c>
      <c r="Q54" s="97" t="str">
        <f>IF(VLOOKUP($A54,'⚪设计'!$A$144:$N$196,9,FALSE)="","",VLOOKUP($A54,'⚪设计'!$A$144:$N$196,9,FALSE))</f>
        <v>蛋2</v>
      </c>
      <c r="R54" s="97">
        <f t="shared" si="7"/>
        <v>18</v>
      </c>
      <c r="S54" s="97">
        <f>IF(VLOOKUP($A54,'⚪设计'!$A$144:$N$196,13,FALSE)="","",VLOOKUP($A54,'⚪设计'!$A$144:$N$196,13,FALSE))</f>
        <v>1</v>
      </c>
      <c r="T54" s="97">
        <f>IF(Q54="","",ROUND($D54*'⚪设计'!$D195/(IF($G54="",0,VLOOKUP($G54,'⚪设计'!$B$85:$H$104,4,FALSE)*$H54)+IF($L54="",0,VLOOKUP($L54,'⚪设计'!$B$85:$H$104,4,FALSE)*$M54)+IF($Q54="",0,VLOOKUP($Q54,'⚪设计'!$B$85:$H$104,4,FALSE)*$R54)+IF($V54="",0,VLOOKUP($V54,'⚪设计'!$B$85:$H$104,4,FALSE)*$W54))*IF(Q54="",0,VLOOKUP(Q54,'⚪设计'!$B$85:$H$104,4,FALSE)),0))</f>
        <v>1418</v>
      </c>
      <c r="U54" s="97">
        <f>IF(Q54="","",ROUND(VLOOKUP($B54,战斗节奏!$A$4:$F$13,2,FALSE)/(IF($G54="",0,VLOOKUP($G54,'⚪设计'!$B$85:$H$104,5,FALSE)*$H54)+IF($L54="",0,VLOOKUP($L54,'⚪设计'!$B$85:$H$104,5,FALSE)*$M54)+IF($Q54="",0,VLOOKUP($Q54,'⚪设计'!$B$85:$H$104,5,FALSE)*$R54)+IF($V54="",0,VLOOKUP($V54,'⚪设计'!$B$85:$H$104,5,FALSE)*$W54))*IF(Q54="",0,VLOOKUP(Q54,'⚪设计'!$B$85:$H$104,5,FALSE)),0))</f>
        <v>4</v>
      </c>
      <c r="V54" s="97" t="str">
        <f>IF(VLOOKUP($A54,'⚪设计'!$A$144:$N$196,10,FALSE)="","",VLOOKUP($A54,'⚪设计'!$A$144:$N$196,10,FALSE))</f>
        <v>蜘蛛2</v>
      </c>
      <c r="W54" s="97">
        <f t="shared" si="8"/>
        <v>35</v>
      </c>
      <c r="X54" s="97">
        <f>IF(VLOOKUP($A54,'⚪设计'!$A$144:$N$196,14,FALSE)="","",VLOOKUP($A54,'⚪设计'!$A$144:$N$196,14,FALSE))</f>
        <v>0.5</v>
      </c>
      <c r="Y54" s="97">
        <f>IF(V54="","",ROUND($D54*'⚪设计'!$D195/(IF($G54="",0,VLOOKUP($G54,'⚪设计'!$B$85:$H$104,4,FALSE)*$H54)+IF($L54="",0,VLOOKUP($L54,'⚪设计'!$B$85:$H$104,4,FALSE)*$M54)+IF($Q54="",0,VLOOKUP($Q54,'⚪设计'!$B$85:$H$104,4,FALSE)*$R54)+IF($V54="",0,VLOOKUP($V54,'⚪设计'!$B$85:$H$104,4,FALSE)*$W54))*IF(V54="",0,VLOOKUP(V54,'⚪设计'!$B$85:$H$104,4,FALSE)),0))</f>
        <v>709</v>
      </c>
      <c r="Z54" s="97">
        <f>IF(V54="","",ROUND(VLOOKUP($B54,战斗节奏!$A$4:$F$13,2,FALSE)/(IF($G54="",0,VLOOKUP($G54,'⚪设计'!$B$85:$H$104,5,FALSE)*$H54)+IF($L54="",0,VLOOKUP($L54,'⚪设计'!$B$85:$H$104,5,FALSE)*$M54)+IF($Q54="",0,VLOOKUP($Q54,'⚪设计'!$B$85:$H$104,5,FALSE)*$R54)+IF($V54="",0,VLOOKUP($V54,'⚪设计'!$B$85:$H$104,5,FALSE)*$W54))*IF(V54="",0,VLOOKUP(V54,'⚪设计'!$B$85:$H$104,5,FALSE)),0))</f>
        <v>2</v>
      </c>
    </row>
    <row r="55" spans="1:26" x14ac:dyDescent="0.2">
      <c r="A55" s="2" t="str">
        <f t="shared" si="0"/>
        <v>10_8</v>
      </c>
      <c r="B55" s="2">
        <v>10</v>
      </c>
      <c r="C55" s="2">
        <v>8</v>
      </c>
      <c r="D55" s="97">
        <f>VLOOKUP(C55,无限模式!$A$3:$B$22,2,FALSE)</f>
        <v>4320</v>
      </c>
      <c r="E55" s="98">
        <v>1</v>
      </c>
      <c r="F55" s="97">
        <f>'⚪设计'!F196</f>
        <v>20</v>
      </c>
      <c r="G55" s="97" t="str">
        <f>IF(VLOOKUP($A55,'⚪设计'!$A$144:$N$196,7,FALSE)="","",VLOOKUP($A55,'⚪设计'!$A$144:$N$196,7,FALSE))</f>
        <v>种子2</v>
      </c>
      <c r="H55" s="97">
        <f t="shared" si="5"/>
        <v>20</v>
      </c>
      <c r="I55" s="97">
        <f>IF(VLOOKUP($A55,'⚪设计'!$A$144:$N$196,11,FALSE)="","",VLOOKUP($A55,'⚪设计'!$A$144:$N$196,11,FALSE))</f>
        <v>1</v>
      </c>
      <c r="J55" s="97">
        <f>IF(G55="","",ROUND($D55*'⚪设计'!$D196/(IF($G55="",0,VLOOKUP($G55,'⚪设计'!$B$85:$H$104,4,FALSE)*$H55)+IF($L55="",0,VLOOKUP($L55,'⚪设计'!$B$85:$H$104,4,FALSE)*$M55)+IF($Q55="",0,VLOOKUP($Q55,'⚪设计'!$B$85:$H$104,4,FALSE)*$R55)+IF($V55="",0,VLOOKUP($V55,'⚪设计'!$B$85:$H$104,4,FALSE)*$W55))*IF(G55="",0,VLOOKUP(G55,'⚪设计'!$B$85:$H$104,4,FALSE)),0))</f>
        <v>2398</v>
      </c>
      <c r="K55" s="97">
        <f>IF(G55="","",ROUND(VLOOKUP($B55,战斗节奏!$A$4:$F$13,2,FALSE)/(IF($G55="",0,VLOOKUP($G55,'⚪设计'!$B$85:$H$104,5,FALSE)*$H55)+IF($L55="",0,VLOOKUP($L55,'⚪设计'!$B$85:$H$104,5,FALSE)*$M55)+IF($Q55="",0,VLOOKUP($Q55,'⚪设计'!$B$85:$H$104,5,FALSE)*$R55)+IF($V55="",0,VLOOKUP($V55,'⚪设计'!$B$85:$H$104,5,FALSE)*$W55))*IF(G55="",0,VLOOKUP(G55,'⚪设计'!$B$85:$H$104,5,FALSE)),0))</f>
        <v>3</v>
      </c>
      <c r="L55" s="97" t="str">
        <f>IF(VLOOKUP($A55,'⚪设计'!$A$144:$N$196,8,FALSE)="","",VLOOKUP($A55,'⚪设计'!$A$144:$N$196,8,FALSE))</f>
        <v>鬼2</v>
      </c>
      <c r="M55" s="97">
        <f t="shared" si="6"/>
        <v>40</v>
      </c>
      <c r="N55" s="97">
        <f>IF(VLOOKUP($A55,'⚪设计'!$A$144:$N$196,12,FALSE)="","",VLOOKUP($A55,'⚪设计'!$A$144:$N$196,12,FALSE))</f>
        <v>0.5</v>
      </c>
      <c r="O55" s="97">
        <f>IF(L55="","",ROUND($D55*'⚪设计'!$D196/(IF($G55="",0,VLOOKUP($G55,'⚪设计'!$B$85:$H$104,4,FALSE)*$H55)+IF($L55="",0,VLOOKUP($L55,'⚪设计'!$B$85:$H$104,4,FALSE)*$M55)+IF($Q55="",0,VLOOKUP($Q55,'⚪设计'!$B$85:$H$104,4,FALSE)*$R55)+IF($V55="",0,VLOOKUP($V55,'⚪设计'!$B$85:$H$104,4,FALSE)*$W55))*IF(L55="",0,VLOOKUP(L55,'⚪设计'!$B$85:$H$104,4,FALSE)),0))</f>
        <v>799</v>
      </c>
      <c r="P55" s="97">
        <f>IF(L55="","",ROUND(VLOOKUP($B55,战斗节奏!$A$4:$F$13,2,FALSE)/(IF($G55="",0,VLOOKUP($G55,'⚪设计'!$B$85:$H$104,5,FALSE)*$H55)+IF($L55="",0,VLOOKUP($L55,'⚪设计'!$B$85:$H$104,5,FALSE)*$M55)+IF($Q55="",0,VLOOKUP($Q55,'⚪设计'!$B$85:$H$104,5,FALSE)*$R55)+IF($V55="",0,VLOOKUP($V55,'⚪设计'!$B$85:$H$104,5,FALSE)*$W55))*IF(L55="",0,VLOOKUP(L55,'⚪设计'!$B$85:$H$104,5,FALSE)),0))</f>
        <v>2</v>
      </c>
      <c r="Q55" s="97" t="str">
        <f>IF(VLOOKUP($A55,'⚪设计'!$A$144:$N$196,9,FALSE)="","",VLOOKUP($A55,'⚪设计'!$A$144:$N$196,9,FALSE))</f>
        <v>蛋2</v>
      </c>
      <c r="R55" s="97">
        <f t="shared" si="7"/>
        <v>40</v>
      </c>
      <c r="S55" s="97">
        <f>IF(VLOOKUP($A55,'⚪设计'!$A$144:$N$196,13,FALSE)="","",VLOOKUP($A55,'⚪设计'!$A$144:$N$196,13,FALSE))</f>
        <v>0.5</v>
      </c>
      <c r="T55" s="97">
        <f>IF(Q55="","",ROUND($D55*'⚪设计'!$D196/(IF($G55="",0,VLOOKUP($G55,'⚪设计'!$B$85:$H$104,4,FALSE)*$H55)+IF($L55="",0,VLOOKUP($L55,'⚪设计'!$B$85:$H$104,4,FALSE)*$M55)+IF($Q55="",0,VLOOKUP($Q55,'⚪设计'!$B$85:$H$104,4,FALSE)*$R55)+IF($V55="",0,VLOOKUP($V55,'⚪设计'!$B$85:$H$104,4,FALSE)*$W55))*IF(Q55="",0,VLOOKUP(Q55,'⚪设计'!$B$85:$H$104,4,FALSE)),0))</f>
        <v>1598</v>
      </c>
      <c r="U55" s="97">
        <f>IF(Q55="","",ROUND(VLOOKUP($B55,战斗节奏!$A$4:$F$13,2,FALSE)/(IF($G55="",0,VLOOKUP($G55,'⚪设计'!$B$85:$H$104,5,FALSE)*$H55)+IF($L55="",0,VLOOKUP($L55,'⚪设计'!$B$85:$H$104,5,FALSE)*$M55)+IF($Q55="",0,VLOOKUP($Q55,'⚪设计'!$B$85:$H$104,5,FALSE)*$R55)+IF($V55="",0,VLOOKUP($V55,'⚪设计'!$B$85:$H$104,5,FALSE)*$W55))*IF(Q55="",0,VLOOKUP(Q55,'⚪设计'!$B$85:$H$104,5,FALSE)),0))</f>
        <v>3</v>
      </c>
      <c r="V55" s="97" t="str">
        <f>IF(VLOOKUP($A55,'⚪设计'!$A$144:$N$196,10,FALSE)="","",VLOOKUP($A55,'⚪设计'!$A$144:$N$196,10,FALSE))</f>
        <v>蛋3</v>
      </c>
      <c r="W55" s="97">
        <f t="shared" si="8"/>
        <v>1</v>
      </c>
      <c r="X55" s="97">
        <f>IF(VLOOKUP($A55,'⚪设计'!$A$144:$N$196,14,FALSE)="","",VLOOKUP($A55,'⚪设计'!$A$144:$N$196,14,FALSE))</f>
        <v>0</v>
      </c>
      <c r="Y55" s="97">
        <f>IF(V55="","",ROUND($D55*'⚪设计'!$D196/(IF($G55="",0,VLOOKUP($G55,'⚪设计'!$B$85:$H$104,4,FALSE)*$H55)+IF($L55="",0,VLOOKUP($L55,'⚪设计'!$B$85:$H$104,4,FALSE)*$M55)+IF($Q55="",0,VLOOKUP($Q55,'⚪设计'!$B$85:$H$104,4,FALSE)*$R55)+IF($V55="",0,VLOOKUP($V55,'⚪设计'!$B$85:$H$104,4,FALSE)*$W55))*IF(V55="",0,VLOOKUP(V55,'⚪设计'!$B$85:$H$104,4,FALSE)),0))</f>
        <v>15984</v>
      </c>
      <c r="Z55" s="97">
        <f>IF(V55="","",ROUND(VLOOKUP($B55,战斗节奏!$A$4:$F$13,2,FALSE)/(IF($G55="",0,VLOOKUP($G55,'⚪设计'!$B$85:$H$104,5,FALSE)*$H55)+IF($L55="",0,VLOOKUP($L55,'⚪设计'!$B$85:$H$104,5,FALSE)*$M55)+IF($Q55="",0,VLOOKUP($Q55,'⚪设计'!$B$85:$H$104,5,FALSE)*$R55)+IF($V55="",0,VLOOKUP($V55,'⚪设计'!$B$85:$H$104,5,FALSE)*$W55))*IF(V55="",0,VLOOKUP(V55,'⚪设计'!$B$85:$H$104,5,FALSE)),0))</f>
        <v>60</v>
      </c>
    </row>
  </sheetData>
  <mergeCells count="10">
    <mergeCell ref="G1:K1"/>
    <mergeCell ref="L1:P1"/>
    <mergeCell ref="Q1:U1"/>
    <mergeCell ref="V1:Z1"/>
    <mergeCell ref="A1:A2"/>
    <mergeCell ref="C1:C2"/>
    <mergeCell ref="D1:D2"/>
    <mergeCell ref="E1:E2"/>
    <mergeCell ref="F1:F2"/>
    <mergeCell ref="B1:B2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514EF-F6E7-4A75-AA2C-606EA1B75FD1}">
  <dimension ref="A1:Y119"/>
  <sheetViews>
    <sheetView topLeftCell="A43" zoomScale="85" zoomScaleNormal="85" workbookViewId="0">
      <selection activeCell="F43" sqref="F1:F1048576"/>
    </sheetView>
  </sheetViews>
  <sheetFormatPr defaultColWidth="9" defaultRowHeight="14.25" x14ac:dyDescent="0.2"/>
  <cols>
    <col min="1" max="4" width="9" style="94"/>
    <col min="5" max="5" width="17.75" style="94" bestFit="1" customWidth="1"/>
    <col min="6" max="9" width="9" style="94"/>
    <col min="10" max="10" width="17.75" style="94" bestFit="1" customWidth="1"/>
    <col min="11" max="14" width="9" style="94"/>
    <col min="15" max="15" width="17.75" style="94" bestFit="1" customWidth="1"/>
    <col min="16" max="19" width="9" style="94"/>
    <col min="20" max="20" width="13.625" style="94" bestFit="1" customWidth="1"/>
    <col min="21" max="16384" width="9" style="94"/>
  </cols>
  <sheetData>
    <row r="1" spans="1:24" x14ac:dyDescent="0.2">
      <c r="A1" s="195" t="s">
        <v>380</v>
      </c>
      <c r="B1" s="195" t="s">
        <v>428</v>
      </c>
      <c r="C1" s="197" t="s">
        <v>431</v>
      </c>
      <c r="D1" s="197" t="s">
        <v>396</v>
      </c>
      <c r="E1" s="195" t="s">
        <v>400</v>
      </c>
      <c r="F1" s="196"/>
      <c r="G1" s="196"/>
      <c r="H1" s="196"/>
      <c r="I1" s="196"/>
      <c r="J1" s="195" t="s">
        <v>401</v>
      </c>
      <c r="K1" s="196"/>
      <c r="L1" s="196"/>
      <c r="M1" s="196"/>
      <c r="N1" s="196"/>
      <c r="O1" s="195" t="s">
        <v>402</v>
      </c>
      <c r="P1" s="196"/>
      <c r="Q1" s="196"/>
      <c r="R1" s="196"/>
      <c r="S1" s="196"/>
      <c r="T1" s="195" t="s">
        <v>403</v>
      </c>
      <c r="U1" s="196"/>
      <c r="V1" s="196"/>
      <c r="W1" s="196"/>
      <c r="X1" s="197"/>
    </row>
    <row r="2" spans="1:24" x14ac:dyDescent="0.2">
      <c r="A2" s="198"/>
      <c r="B2" s="198"/>
      <c r="C2" s="199"/>
      <c r="D2" s="199"/>
      <c r="E2" s="93" t="s">
        <v>397</v>
      </c>
      <c r="F2" s="172" t="s">
        <v>283</v>
      </c>
      <c r="G2" s="172" t="s">
        <v>404</v>
      </c>
      <c r="H2" s="172" t="s">
        <v>398</v>
      </c>
      <c r="I2" s="172" t="s">
        <v>399</v>
      </c>
      <c r="J2" s="93" t="s">
        <v>397</v>
      </c>
      <c r="K2" s="172" t="s">
        <v>283</v>
      </c>
      <c r="L2" s="172" t="s">
        <v>404</v>
      </c>
      <c r="M2" s="172" t="s">
        <v>398</v>
      </c>
      <c r="N2" s="172" t="s">
        <v>399</v>
      </c>
      <c r="O2" s="93" t="s">
        <v>397</v>
      </c>
      <c r="P2" s="172" t="s">
        <v>283</v>
      </c>
      <c r="Q2" s="172" t="s">
        <v>404</v>
      </c>
      <c r="R2" s="172" t="s">
        <v>398</v>
      </c>
      <c r="S2" s="172" t="s">
        <v>399</v>
      </c>
      <c r="T2" s="93" t="s">
        <v>397</v>
      </c>
      <c r="U2" s="172" t="s">
        <v>283</v>
      </c>
      <c r="V2" s="172" t="s">
        <v>404</v>
      </c>
      <c r="W2" s="172" t="s">
        <v>398</v>
      </c>
      <c r="X2" s="171" t="s">
        <v>399</v>
      </c>
    </row>
    <row r="3" spans="1:24" x14ac:dyDescent="0.2">
      <c r="A3" s="94">
        <v>1</v>
      </c>
      <c r="B3" s="71">
        <f>MAX(MIN(战斗节奏!$C$3-INT(A3/'⚪设计'!$C$55),MOD(A3,'⚪设计'!$C$55)),0)*'⚪设计'!$C$79*防御塔!$C$2+MIN(INT(A3/'⚪设计'!$C$55),战斗节奏!$C$3)*'⚪设计'!$C$80*防御塔!$C$2</f>
        <v>540</v>
      </c>
      <c r="C3" s="173">
        <v>1</v>
      </c>
      <c r="D3" s="173">
        <v>10</v>
      </c>
      <c r="E3" s="71" t="str">
        <f>IF(VLOOKUP(A3,'⚪设计'!$A$205:$G$224,4,FALSE)="","",VLOOKUP(VLOOKUP(A3,'⚪设计'!$A$205:$G$224,4,FALSE),'⚪设计'!$B$85:$D$113,2,FALSE))</f>
        <v>ResUnit_MiFeng1</v>
      </c>
      <c r="F3" s="71">
        <f>IF(E3="",0,IF(G3=0,1,ROUND($D3/G3,0)))</f>
        <v>7</v>
      </c>
      <c r="G3" s="71">
        <f>IF(VLOOKUP($A3,'⚪设计'!$A$229:$K$249,7+1,FALSE)="","",VLOOKUP(A3,'⚪设计'!$A$229:$K$249,7+1,FALSE))</f>
        <v>1.5</v>
      </c>
      <c r="H3" s="71">
        <f>IF(E3="",0,ROUND(VLOOKUP($A3,'⚪设计'!$A$205:$B$224,2,FALSE)*$B3/SUM(IF($E3="",0,VLOOKUP($E3,'⚪设计'!$C$85:$E$113,3,FALSE))*$F3,IF($J3="",0,VLOOKUP($J3,'⚪设计'!$C$85:$E$113,3,FALSE))*$K3,IF($O3="",0,VLOOKUP($O3,'⚪设计'!$C$85:$E$113,3,FALSE))*$P3,IF($T3="",0,VLOOKUP($T3,'⚪设计'!$C$85:$E$113,3,FALSE))*$U3)*VLOOKUP(E3,'⚪设计'!$C$85:$E$113,3,FALSE),0))</f>
        <v>193</v>
      </c>
      <c r="I3" s="71">
        <f>ROUND(战斗节奏!$B$3/SUM(IF(无限模式!$E3="",0,VLOOKUP(无限模式!$E3,'⚪设计'!$C$85:$I$113,4,FALSE)*无限模式!$F3),IF(无限模式!$J3="",0,VLOOKUP(无限模式!$J3,'⚪设计'!$C$85:$I$113,4,FALSE)*无限模式!$K3),IF(无限模式!$O3="",0,VLOOKUP(无限模式!$O3,'⚪设计'!$C$85:$I$113,4,FALSE)*无限模式!$P3),IF(无限模式!$T3="",0,VLOOKUP(无限模式!$T3,'⚪设计'!$C$85:$I$113,4,FALSE)*无限模式!$U3))*IF(E3="",0,VLOOKUP(E3,'⚪设计'!$C$85:$I$113,4,FALSE)),0)</f>
        <v>43</v>
      </c>
      <c r="J3" s="71" t="str">
        <f>IF(VLOOKUP(A3,'⚪设计'!$A$205:$G$224,5,FALSE)="","",VLOOKUP(VLOOKUP(A3,'⚪设计'!$A$205:$G$224,5,FALSE),'⚪设计'!$B$85:$D$113,2,FALSE))</f>
        <v/>
      </c>
      <c r="K3" s="71">
        <f>IF(J3="",0,IF(L3=0,1,ROUND($D3/L3,0)))</f>
        <v>0</v>
      </c>
      <c r="L3" s="71" t="str">
        <f>IF(VLOOKUP($A3,'⚪设计'!$A$229:$K$249,7+2,FALSE)="","",VLOOKUP(A3,'⚪设计'!$A$229:$K$249,7+2,FALSE))</f>
        <v/>
      </c>
      <c r="M3" s="71">
        <f>IF(J3="",0,ROUND(VLOOKUP($A3,'⚪设计'!$A$205:$B$224,2,FALSE)*$B3/SUM(IF($E3="",0,VLOOKUP($E3,'⚪设计'!$C$85:$E$113,3,FALSE))*$F3,IF($J3="",0,VLOOKUP($J3,'⚪设计'!$C$85:$E$113,3,FALSE))*$K3,IF($O3="",0,VLOOKUP($O3,'⚪设计'!$C$85:$E$113,3,FALSE))*$P3,IF($T3="",0,VLOOKUP($T3,'⚪设计'!$C$85:$E$113,3,FALSE))*$U3)*VLOOKUP(J3,'⚪设计'!$C$85:$E$113,3,FALSE),0))</f>
        <v>0</v>
      </c>
      <c r="N3" s="71">
        <f>ROUND(战斗节奏!$B$3/SUM(IF(无限模式!$E3="",0,VLOOKUP(无限模式!$E3,'⚪设计'!$C$85:$I$113,4,FALSE)*无限模式!$F3),IF(无限模式!$J3="",0,VLOOKUP(无限模式!$J3,'⚪设计'!$C$85:$I$113,4,FALSE)*无限模式!$K3),IF(无限模式!$O3="",0,VLOOKUP(无限模式!$O3,'⚪设计'!$C$85:$I$113,4,FALSE)*无限模式!$P3),IF(无限模式!$T3="",0,VLOOKUP(无限模式!$T3,'⚪设计'!$C$85:$I$113,4,FALSE)*无限模式!$U3))*IF(J3="",0,VLOOKUP(J3,'⚪设计'!$C$85:$I$113,4,FALSE)),0)</f>
        <v>0</v>
      </c>
      <c r="O3" s="71" t="str">
        <f>IF(VLOOKUP(A3,'⚪设计'!$A$205:$G$224,6,FALSE)="","",VLOOKUP(VLOOKUP(A3,'⚪设计'!$A$205:$G$224,6,FALSE),'⚪设计'!$B$85:$D$113,2,FALSE))</f>
        <v/>
      </c>
      <c r="P3" s="71">
        <f>IF(O3="",0,IF(Q3=0,1,ROUND($D3/Q3,0)))</f>
        <v>0</v>
      </c>
      <c r="Q3" s="71" t="str">
        <f>IF(VLOOKUP($A3,'⚪设计'!$A$229:$K$249,7+3,FALSE)="","",VLOOKUP(A3,'⚪设计'!$A$229:$K$249,7+3,FALSE))</f>
        <v/>
      </c>
      <c r="R3" s="71">
        <f>IF(O3="",0,ROUND(VLOOKUP($A3,'⚪设计'!$A$205:$B$224,2,FALSE)*$B3/SUM(IF($E3="",0,VLOOKUP($E3,'⚪设计'!$C$85:$E$113,3,FALSE))*$F3,IF($J3="",0,VLOOKUP($J3,'⚪设计'!$C$85:$E$113,3,FALSE))*$K3,IF($O3="",0,VLOOKUP($O3,'⚪设计'!$C$85:$E$113,3,FALSE))*$P3,IF($T3="",0,VLOOKUP($T3,'⚪设计'!$C$85:$E$113,3,FALSE))*$U3)*VLOOKUP(O3,'⚪设计'!$C$85:$E$113,3,FALSE),0))</f>
        <v>0</v>
      </c>
      <c r="S3" s="71">
        <f>ROUND(战斗节奏!$B$3/SUM(IF(无限模式!$E3="",0,VLOOKUP(无限模式!$E3,'⚪设计'!$C$85:$I$113,4,FALSE)*无限模式!$F3),IF(无限模式!$J3="",0,VLOOKUP(无限模式!$J3,'⚪设计'!$C$85:$I$113,4,FALSE)*无限模式!$K3),IF(无限模式!$O3="",0,VLOOKUP(无限模式!$O3,'⚪设计'!$C$85:$I$113,4,FALSE)*无限模式!$P3),IF(无限模式!$T3="",0,VLOOKUP(无限模式!$T3,'⚪设计'!$C$85:$I$113,4,FALSE)*无限模式!$U3))*IF(O3="",0,VLOOKUP(O3,'⚪设计'!$C$85:$I$113,4,FALSE)),0)</f>
        <v>0</v>
      </c>
      <c r="T3" s="71" t="str">
        <f>IF(VLOOKUP(A3,'⚪设计'!$A$205:$G$224,7,FALSE)="","",VLOOKUP(VLOOKUP(A3,'⚪设计'!$A$205:$G$224,7,FALSE),'⚪设计'!$B$85:$D$113,2,FALSE))</f>
        <v/>
      </c>
      <c r="U3" s="71">
        <f>IF(T3="",0,IF(V3=0,1,ROUND($D3/V3,0)))</f>
        <v>0</v>
      </c>
      <c r="V3" s="71" t="str">
        <f>IF(VLOOKUP($A3,'⚪设计'!$A$229:$K$249,7+4,FALSE)="","",VLOOKUP(A3,'⚪设计'!$A$229:$K$249,7+4,FALSE))</f>
        <v/>
      </c>
      <c r="W3" s="71">
        <f>IF(T3="",0,ROUND(VLOOKUP($A3,'⚪设计'!$A$205:$B$224,2,FALSE)*$B3/SUM(IF($E3="",0,VLOOKUP($E3,'⚪设计'!$C$85:$E$113,3,FALSE))*$F3,IF($J3="",0,VLOOKUP($J3,'⚪设计'!$C$85:$E$113,3,FALSE))*$K3,IF($O3="",0,VLOOKUP($O3,'⚪设计'!$C$85:$E$113,3,FALSE))*$P3,IF($T3="",0,VLOOKUP($T3,'⚪设计'!$C$85:$E$113,3,FALSE))*$U3)*VLOOKUP(T3,'⚪设计'!$C$85:$E$113,3,FALSE),0))</f>
        <v>0</v>
      </c>
      <c r="X3" s="71">
        <f>ROUND(战斗节奏!$B$3/SUM(IF(无限模式!$E3="",0,VLOOKUP(无限模式!$E3,'⚪设计'!$C$85:$I$113,4,FALSE)*无限模式!$F3),IF(无限模式!$J3="",0,VLOOKUP(无限模式!$J3,'⚪设计'!$C$85:$I$113,4,FALSE)*无限模式!$K3),IF(无限模式!$O3="",0,VLOOKUP(无限模式!$O3,'⚪设计'!$C$85:$I$113,4,FALSE)*无限模式!$P3),IF(无限模式!$T3="",0,VLOOKUP(无限模式!$T3,'⚪设计'!$C$85:$I$113,4,FALSE)*无限模式!$U3))*IF(T3="",0,VLOOKUP(T3,'⚪设计'!$C$85:$I$113,4,FALSE)),0)</f>
        <v>0</v>
      </c>
    </row>
    <row r="4" spans="1:24" x14ac:dyDescent="0.2">
      <c r="A4" s="94">
        <v>2</v>
      </c>
      <c r="B4" s="71">
        <f>MAX(MIN(战斗节奏!$C$3-INT(A4/'⚪设计'!$C$55),MOD(A4,'⚪设计'!$C$55)),0)*'⚪设计'!$C$79*防御塔!$C$2+MIN(INT(A4/'⚪设计'!$C$55),战斗节奏!$C$3)*'⚪设计'!$C$80*防御塔!$C$2</f>
        <v>1080</v>
      </c>
      <c r="C4" s="173">
        <v>1.05</v>
      </c>
      <c r="D4" s="173">
        <v>11</v>
      </c>
      <c r="E4" s="71" t="str">
        <f>IF(VLOOKUP(A4,'⚪设计'!$A$205:$G$224,4,FALSE)="","",VLOOKUP(VLOOKUP(A4,'⚪设计'!$A$205:$G$224,4,FALSE),'⚪设计'!$B$85:$D$113,2,FALSE))</f>
        <v>ResUnit_MiFeng1</v>
      </c>
      <c r="F4" s="71">
        <f t="shared" ref="F4:F22" si="0">IF(E4="",0,IF(G4=0,1,ROUND($D4/G4,0)))</f>
        <v>15</v>
      </c>
      <c r="G4" s="71">
        <f>IF(VLOOKUP($A4,'⚪设计'!$A$229:$K$249,7+1,FALSE)="","",VLOOKUP(A4,'⚪设计'!$A$229:$K$249,7+1,FALSE))</f>
        <v>0.75</v>
      </c>
      <c r="H4" s="71">
        <f>IF(E4="",0,ROUND(VLOOKUP($A4,'⚪设计'!$A$205:$B$224,2,FALSE)*$B4/SUM(IF($E4="",0,VLOOKUP($E4,'⚪设计'!$C$85:$E$113,3,FALSE))*$F4,IF($J4="",0,VLOOKUP($J4,'⚪设计'!$C$85:$E$113,3,FALSE))*$K4,IF($O4="",0,VLOOKUP($O4,'⚪设计'!$C$85:$E$113,3,FALSE))*$P4,IF($T4="",0,VLOOKUP($T4,'⚪设计'!$C$85:$E$113,3,FALSE))*$U4)*VLOOKUP(E4,'⚪设计'!$C$85:$E$113,3,FALSE),0))</f>
        <v>163</v>
      </c>
      <c r="I4" s="71">
        <f>ROUND(战斗节奏!$B$3/SUM(IF(无限模式!$E4="",0,VLOOKUP(无限模式!$E4,'⚪设计'!$C$85:$I$113,4,FALSE)*无限模式!$F4),IF(无限模式!$J4="",0,VLOOKUP(无限模式!$J4,'⚪设计'!$C$85:$I$113,4,FALSE)*无限模式!$K4),IF(无限模式!$O4="",0,VLOOKUP(无限模式!$O4,'⚪设计'!$C$85:$I$113,4,FALSE)*无限模式!$P4),IF(无限模式!$T4="",0,VLOOKUP(无限模式!$T4,'⚪设计'!$C$85:$I$113,4,FALSE)*无限模式!$U4))*IF(E4="",0,VLOOKUP(E4,'⚪设计'!$C$85:$I$113,4,FALSE)),0)</f>
        <v>7</v>
      </c>
      <c r="J4" s="71" t="str">
        <f>IF(VLOOKUP(A4,'⚪设计'!$A$205:$G$224,5,FALSE)="","",VLOOKUP(VLOOKUP(A4,'⚪设计'!$A$205:$G$224,5,FALSE),'⚪设计'!$B$85:$D$113,2,FALSE))</f>
        <v>ResUnit_MiFeng2</v>
      </c>
      <c r="K4" s="71">
        <f t="shared" ref="K4:K22" si="1">IF(J4="",0,IF(L4=0,1,ROUND($D4/L4,0)))</f>
        <v>7</v>
      </c>
      <c r="L4" s="71">
        <f>IF(VLOOKUP($A4,'⚪设计'!$A$229:$K$249,7+2,FALSE)="","",VLOOKUP(A4,'⚪设计'!$A$229:$K$249,7+2,FALSE))</f>
        <v>1.5</v>
      </c>
      <c r="M4" s="71">
        <f>IF(J4="",0,ROUND(VLOOKUP($A4,'⚪设计'!$A$205:$B$224,2,FALSE)*$B4/SUM(IF($E4="",0,VLOOKUP($E4,'⚪设计'!$C$85:$E$113,3,FALSE))*$F4,IF($J4="",0,VLOOKUP($J4,'⚪设计'!$C$85:$E$113,3,FALSE))*$K4,IF($O4="",0,VLOOKUP($O4,'⚪设计'!$C$85:$E$113,3,FALSE))*$P4,IF($T4="",0,VLOOKUP($T4,'⚪设计'!$C$85:$E$113,3,FALSE))*$U4)*VLOOKUP(J4,'⚪设计'!$C$85:$E$113,3,FALSE),0))</f>
        <v>653</v>
      </c>
      <c r="N4" s="71">
        <f>ROUND(战斗节奏!$B$3/SUM(IF(无限模式!$E4="",0,VLOOKUP(无限模式!$E4,'⚪设计'!$C$85:$I$113,4,FALSE)*无限模式!$F4),IF(无限模式!$J4="",0,VLOOKUP(无限模式!$J4,'⚪设计'!$C$85:$I$113,4,FALSE)*无限模式!$K4),IF(无限模式!$O4="",0,VLOOKUP(无限模式!$O4,'⚪设计'!$C$85:$I$113,4,FALSE)*无限模式!$P4),IF(无限模式!$T4="",0,VLOOKUP(无限模式!$T4,'⚪设计'!$C$85:$I$113,4,FALSE)*无限模式!$U4))*IF(J4="",0,VLOOKUP(J4,'⚪设计'!$C$85:$I$113,4,FALSE)),0)</f>
        <v>28</v>
      </c>
      <c r="O4" s="71" t="str">
        <f>IF(VLOOKUP(A4,'⚪设计'!$A$205:$G$224,6,FALSE)="","",VLOOKUP(VLOOKUP(A4,'⚪设计'!$A$205:$G$224,6,FALSE),'⚪设计'!$B$85:$D$113,2,FALSE))</f>
        <v/>
      </c>
      <c r="P4" s="71">
        <f t="shared" ref="P4:P22" si="2">IF(O4="",0,IF(Q4=0,1,ROUND($D4/Q4,0)))</f>
        <v>0</v>
      </c>
      <c r="Q4" s="71" t="str">
        <f>IF(VLOOKUP($A4,'⚪设计'!$A$229:$K$249,7+3,FALSE)="","",VLOOKUP(A4,'⚪设计'!$A$229:$K$249,7+3,FALSE))</f>
        <v/>
      </c>
      <c r="R4" s="71">
        <f>IF(O4="",0,ROUND(VLOOKUP($A4,'⚪设计'!$A$205:$B$224,2,FALSE)*$B4/SUM(IF($E4="",0,VLOOKUP($E4,'⚪设计'!$C$85:$E$113,3,FALSE))*$F4,IF($J4="",0,VLOOKUP($J4,'⚪设计'!$C$85:$E$113,3,FALSE))*$K4,IF($O4="",0,VLOOKUP($O4,'⚪设计'!$C$85:$E$113,3,FALSE))*$P4,IF($T4="",0,VLOOKUP($T4,'⚪设计'!$C$85:$E$113,3,FALSE))*$U4)*VLOOKUP(O4,'⚪设计'!$C$85:$E$113,3,FALSE),0))</f>
        <v>0</v>
      </c>
      <c r="S4" s="71">
        <f>ROUND(战斗节奏!$B$3/SUM(IF(无限模式!$E4="",0,VLOOKUP(无限模式!$E4,'⚪设计'!$C$85:$I$113,4,FALSE)*无限模式!$F4),IF(无限模式!$J4="",0,VLOOKUP(无限模式!$J4,'⚪设计'!$C$85:$I$113,4,FALSE)*无限模式!$K4),IF(无限模式!$O4="",0,VLOOKUP(无限模式!$O4,'⚪设计'!$C$85:$I$113,4,FALSE)*无限模式!$P4),IF(无限模式!$T4="",0,VLOOKUP(无限模式!$T4,'⚪设计'!$C$85:$I$113,4,FALSE)*无限模式!$U4))*IF(O4="",0,VLOOKUP(O4,'⚪设计'!$C$85:$I$113,4,FALSE)),0)</f>
        <v>0</v>
      </c>
      <c r="T4" s="71" t="str">
        <f>IF(VLOOKUP(A4,'⚪设计'!$A$205:$G$224,7,FALSE)="","",VLOOKUP(VLOOKUP(A4,'⚪设计'!$A$205:$G$224,7,FALSE),'⚪设计'!$B$85:$D$113,2,FALSE))</f>
        <v/>
      </c>
      <c r="U4" s="71">
        <f t="shared" ref="U4:U22" si="3">IF(T4="",0,IF(V4=0,1,ROUND($D4/V4,0)))</f>
        <v>0</v>
      </c>
      <c r="V4" s="71" t="str">
        <f>IF(VLOOKUP($A4,'⚪设计'!$A$229:$K$249,7+4,FALSE)="","",VLOOKUP(A4,'⚪设计'!$A$229:$K$249,7+4,FALSE))</f>
        <v/>
      </c>
      <c r="W4" s="71">
        <f>IF(T4="",0,ROUND(VLOOKUP($A4,'⚪设计'!$A$205:$B$224,2,FALSE)*$B4/SUM(IF($E4="",0,VLOOKUP($E4,'⚪设计'!$C$85:$E$113,3,FALSE))*$F4,IF($J4="",0,VLOOKUP($J4,'⚪设计'!$C$85:$E$113,3,FALSE))*$K4,IF($O4="",0,VLOOKUP($O4,'⚪设计'!$C$85:$E$113,3,FALSE))*$P4,IF($T4="",0,VLOOKUP($T4,'⚪设计'!$C$85:$E$113,3,FALSE))*$U4)*VLOOKUP(T4,'⚪设计'!$C$85:$E$113,3,FALSE),0))</f>
        <v>0</v>
      </c>
      <c r="X4" s="71">
        <f>ROUND(战斗节奏!$B$3/SUM(IF(无限模式!$E4="",0,VLOOKUP(无限模式!$E4,'⚪设计'!$C$85:$I$113,4,FALSE)*无限模式!$F4),IF(无限模式!$J4="",0,VLOOKUP(无限模式!$J4,'⚪设计'!$C$85:$I$113,4,FALSE)*无限模式!$K4),IF(无限模式!$O4="",0,VLOOKUP(无限模式!$O4,'⚪设计'!$C$85:$I$113,4,FALSE)*无限模式!$P4),IF(无限模式!$T4="",0,VLOOKUP(无限模式!$T4,'⚪设计'!$C$85:$I$113,4,FALSE)*无限模式!$U4))*IF(T4="",0,VLOOKUP(T4,'⚪设计'!$C$85:$I$113,4,FALSE)),0)</f>
        <v>0</v>
      </c>
    </row>
    <row r="5" spans="1:24" x14ac:dyDescent="0.2">
      <c r="A5" s="94">
        <v>3</v>
      </c>
      <c r="B5" s="71">
        <f>MAX(MIN(战斗节奏!$C$3-INT(A5/'⚪设计'!$C$55),MOD(A5,'⚪设计'!$C$55)),0)*'⚪设计'!$C$79*防御塔!$C$2+MIN(INT(A5/'⚪设计'!$C$55),战斗节奏!$C$3)*'⚪设计'!$C$80*防御塔!$C$2</f>
        <v>1620</v>
      </c>
      <c r="C5" s="173">
        <v>1.1000000000000001</v>
      </c>
      <c r="D5" s="173">
        <v>12</v>
      </c>
      <c r="E5" s="71" t="str">
        <f>IF(VLOOKUP(A5,'⚪设计'!$A$205:$G$224,4,FALSE)="","",VLOOKUP(VLOOKUP(A5,'⚪设计'!$A$205:$G$224,4,FALSE),'⚪设计'!$B$85:$D$113,2,FALSE))</f>
        <v>ResUnit_MiFeng2</v>
      </c>
      <c r="F5" s="71">
        <f t="shared" si="0"/>
        <v>8</v>
      </c>
      <c r="G5" s="71">
        <f>IF(VLOOKUP($A5,'⚪设计'!$A$229:$K$249,7+1,FALSE)="","",VLOOKUP(A5,'⚪设计'!$A$229:$K$249,7+1,FALSE))</f>
        <v>1.5</v>
      </c>
      <c r="H5" s="71">
        <f>IF(E5="",0,ROUND(VLOOKUP($A5,'⚪设计'!$A$205:$B$224,2,FALSE)*$B5/SUM(IF($E5="",0,VLOOKUP($E5,'⚪设计'!$C$85:$E$113,3,FALSE))*$F5,IF($J5="",0,VLOOKUP($J5,'⚪设计'!$C$85:$E$113,3,FALSE))*$K5,IF($O5="",0,VLOOKUP($O5,'⚪设计'!$C$85:$E$113,3,FALSE))*$P5,IF($T5="",0,VLOOKUP($T5,'⚪设计'!$C$85:$E$113,3,FALSE))*$U5)*VLOOKUP(E5,'⚪设计'!$C$85:$E$113,3,FALSE),0))</f>
        <v>740</v>
      </c>
      <c r="I5" s="71">
        <f>ROUND(战斗节奏!$B$3/SUM(IF(无限模式!$E5="",0,VLOOKUP(无限模式!$E5,'⚪设计'!$C$85:$I$113,4,FALSE)*无限模式!$F5),IF(无限模式!$J5="",0,VLOOKUP(无限模式!$J5,'⚪设计'!$C$85:$I$113,4,FALSE)*无限模式!$K5),IF(无限模式!$O5="",0,VLOOKUP(无限模式!$O5,'⚪设计'!$C$85:$I$113,4,FALSE)*无限模式!$P5),IF(无限模式!$T5="",0,VLOOKUP(无限模式!$T5,'⚪设计'!$C$85:$I$113,4,FALSE)*无限模式!$U5))*IF(E5="",0,VLOOKUP(E5,'⚪设计'!$C$85:$I$113,4,FALSE)),0)</f>
        <v>13</v>
      </c>
      <c r="J5" s="71" t="str">
        <f>IF(VLOOKUP(A5,'⚪设计'!$A$205:$G$224,5,FALSE)="","",VLOOKUP(VLOOKUP(A5,'⚪设计'!$A$205:$G$224,5,FALSE),'⚪设计'!$B$85:$D$113,2,FALSE))</f>
        <v>ResUnit_BianFu1</v>
      </c>
      <c r="K5" s="71">
        <f t="shared" si="1"/>
        <v>60</v>
      </c>
      <c r="L5" s="71">
        <f>IF(VLOOKUP($A5,'⚪设计'!$A$229:$K$249,7+2,FALSE)="","",VLOOKUP(A5,'⚪设计'!$A$229:$K$249,7+2,FALSE))</f>
        <v>0.2</v>
      </c>
      <c r="M5" s="71">
        <f>IF(J5="",0,ROUND(VLOOKUP($A5,'⚪设计'!$A$205:$B$224,2,FALSE)*$B5/SUM(IF($E5="",0,VLOOKUP($E5,'⚪设计'!$C$85:$E$113,3,FALSE))*$F5,IF($J5="",0,VLOOKUP($J5,'⚪设计'!$C$85:$E$113,3,FALSE))*$K5,IF($O5="",0,VLOOKUP($O5,'⚪设计'!$C$85:$E$113,3,FALSE))*$P5,IF($T5="",0,VLOOKUP($T5,'⚪设计'!$C$85:$E$113,3,FALSE))*$U5)*VLOOKUP(J5,'⚪设计'!$C$85:$E$113,3,FALSE),0))</f>
        <v>185</v>
      </c>
      <c r="N5" s="71">
        <f>ROUND(战斗节奏!$B$3/SUM(IF(无限模式!$E5="",0,VLOOKUP(无限模式!$E5,'⚪设计'!$C$85:$I$113,4,FALSE)*无限模式!$F5),IF(无限模式!$J5="",0,VLOOKUP(无限模式!$J5,'⚪设计'!$C$85:$I$113,4,FALSE)*无限模式!$K5),IF(无限模式!$O5="",0,VLOOKUP(无限模式!$O5,'⚪设计'!$C$85:$I$113,4,FALSE)*无限模式!$P5),IF(无限模式!$T5="",0,VLOOKUP(无限模式!$T5,'⚪设计'!$C$85:$I$113,4,FALSE)*无限模式!$U5))*IF(J5="",0,VLOOKUP(J5,'⚪设计'!$C$85:$I$113,4,FALSE)),0)</f>
        <v>3</v>
      </c>
      <c r="O5" s="71" t="str">
        <f>IF(VLOOKUP(A5,'⚪设计'!$A$205:$G$224,6,FALSE)="","",VLOOKUP(VLOOKUP(A5,'⚪设计'!$A$205:$G$224,6,FALSE),'⚪设计'!$B$85:$D$113,2,FALSE))</f>
        <v/>
      </c>
      <c r="P5" s="71">
        <f t="shared" si="2"/>
        <v>0</v>
      </c>
      <c r="Q5" s="71" t="str">
        <f>IF(VLOOKUP($A5,'⚪设计'!$A$229:$K$249,7+3,FALSE)="","",VLOOKUP(A5,'⚪设计'!$A$229:$K$249,7+3,FALSE))</f>
        <v/>
      </c>
      <c r="R5" s="71">
        <f>IF(O5="",0,ROUND(VLOOKUP($A5,'⚪设计'!$A$205:$B$224,2,FALSE)*$B5/SUM(IF($E5="",0,VLOOKUP($E5,'⚪设计'!$C$85:$E$113,3,FALSE))*$F5,IF($J5="",0,VLOOKUP($J5,'⚪设计'!$C$85:$E$113,3,FALSE))*$K5,IF($O5="",0,VLOOKUP($O5,'⚪设计'!$C$85:$E$113,3,FALSE))*$P5,IF($T5="",0,VLOOKUP($T5,'⚪设计'!$C$85:$E$113,3,FALSE))*$U5)*VLOOKUP(O5,'⚪设计'!$C$85:$E$113,3,FALSE),0))</f>
        <v>0</v>
      </c>
      <c r="S5" s="71">
        <f>ROUND(战斗节奏!$B$3/SUM(IF(无限模式!$E5="",0,VLOOKUP(无限模式!$E5,'⚪设计'!$C$85:$I$113,4,FALSE)*无限模式!$F5),IF(无限模式!$J5="",0,VLOOKUP(无限模式!$J5,'⚪设计'!$C$85:$I$113,4,FALSE)*无限模式!$K5),IF(无限模式!$O5="",0,VLOOKUP(无限模式!$O5,'⚪设计'!$C$85:$I$113,4,FALSE)*无限模式!$P5),IF(无限模式!$T5="",0,VLOOKUP(无限模式!$T5,'⚪设计'!$C$85:$I$113,4,FALSE)*无限模式!$U5))*IF(O5="",0,VLOOKUP(O5,'⚪设计'!$C$85:$I$113,4,FALSE)),0)</f>
        <v>0</v>
      </c>
      <c r="T5" s="71" t="str">
        <f>IF(VLOOKUP(A5,'⚪设计'!$A$205:$G$224,7,FALSE)="","",VLOOKUP(VLOOKUP(A5,'⚪设计'!$A$205:$G$224,7,FALSE),'⚪设计'!$B$85:$D$113,2,FALSE))</f>
        <v/>
      </c>
      <c r="U5" s="71">
        <f t="shared" si="3"/>
        <v>0</v>
      </c>
      <c r="V5" s="71" t="str">
        <f>IF(VLOOKUP($A5,'⚪设计'!$A$229:$K$249,7+4,FALSE)="","",VLOOKUP(A5,'⚪设计'!$A$229:$K$249,7+4,FALSE))</f>
        <v/>
      </c>
      <c r="W5" s="71">
        <f>IF(T5="",0,ROUND(VLOOKUP($A5,'⚪设计'!$A$205:$B$224,2,FALSE)*$B5/SUM(IF($E5="",0,VLOOKUP($E5,'⚪设计'!$C$85:$E$113,3,FALSE))*$F5,IF($J5="",0,VLOOKUP($J5,'⚪设计'!$C$85:$E$113,3,FALSE))*$K5,IF($O5="",0,VLOOKUP($O5,'⚪设计'!$C$85:$E$113,3,FALSE))*$P5,IF($T5="",0,VLOOKUP($T5,'⚪设计'!$C$85:$E$113,3,FALSE))*$U5)*VLOOKUP(T5,'⚪设计'!$C$85:$E$113,3,FALSE),0))</f>
        <v>0</v>
      </c>
      <c r="X5" s="71">
        <f>ROUND(战斗节奏!$B$3/SUM(IF(无限模式!$E5="",0,VLOOKUP(无限模式!$E5,'⚪设计'!$C$85:$I$113,4,FALSE)*无限模式!$F5),IF(无限模式!$J5="",0,VLOOKUP(无限模式!$J5,'⚪设计'!$C$85:$I$113,4,FALSE)*无限模式!$K5),IF(无限模式!$O5="",0,VLOOKUP(无限模式!$O5,'⚪设计'!$C$85:$I$113,4,FALSE)*无限模式!$P5),IF(无限模式!$T5="",0,VLOOKUP(无限模式!$T5,'⚪设计'!$C$85:$I$113,4,FALSE)*无限模式!$U5))*IF(T5="",0,VLOOKUP(T5,'⚪设计'!$C$85:$I$113,4,FALSE)),0)</f>
        <v>0</v>
      </c>
    </row>
    <row r="6" spans="1:24" x14ac:dyDescent="0.2">
      <c r="A6" s="94">
        <v>4</v>
      </c>
      <c r="B6" s="71">
        <f>MAX(MIN(战斗节奏!$C$3-INT(A6/'⚪设计'!$C$55),MOD(A6,'⚪设计'!$C$55)),0)*'⚪设计'!$C$79*防御塔!$C$2+MIN(INT(A6/'⚪设计'!$C$55),战斗节奏!$C$3)*'⚪设计'!$C$80*防御塔!$C$2</f>
        <v>2160</v>
      </c>
      <c r="C6" s="173">
        <v>1.1499999999999999</v>
      </c>
      <c r="D6" s="173">
        <v>13</v>
      </c>
      <c r="E6" s="71" t="str">
        <f>IF(VLOOKUP(A6,'⚪设计'!$A$205:$G$224,4,FALSE)="","",VLOOKUP(VLOOKUP(A6,'⚪设计'!$A$205:$G$224,4,FALSE),'⚪设计'!$B$85:$D$113,2,FALSE))</f>
        <v>ResUnit_MiFeng3</v>
      </c>
      <c r="F6" s="71">
        <f t="shared" si="0"/>
        <v>1</v>
      </c>
      <c r="G6" s="71">
        <f>IF(VLOOKUP($A6,'⚪设计'!$A$229:$K$249,7+1,FALSE)="","",VLOOKUP(A6,'⚪设计'!$A$229:$K$249,7+1,FALSE))</f>
        <v>0</v>
      </c>
      <c r="H6" s="71">
        <f>IF(E6="",0,ROUND(VLOOKUP($A6,'⚪设计'!$A$205:$B$224,2,FALSE)*$B6/SUM(IF($E6="",0,VLOOKUP($E6,'⚪设计'!$C$85:$E$113,3,FALSE))*$F6,IF($J6="",0,VLOOKUP($J6,'⚪设计'!$C$85:$E$113,3,FALSE))*$K6,IF($O6="",0,VLOOKUP($O6,'⚪设计'!$C$85:$E$113,3,FALSE))*$P6,IF($T6="",0,VLOOKUP($T6,'⚪设计'!$C$85:$E$113,3,FALSE))*$U6)*VLOOKUP(E6,'⚪设计'!$C$85:$E$113,3,FALSE),0))</f>
        <v>47381</v>
      </c>
      <c r="I6" s="71">
        <f>ROUND(战斗节奏!$B$3/SUM(IF(无限模式!$E6="",0,VLOOKUP(无限模式!$E6,'⚪设计'!$C$85:$I$113,4,FALSE)*无限模式!$F6),IF(无限模式!$J6="",0,VLOOKUP(无限模式!$J6,'⚪设计'!$C$85:$I$113,4,FALSE)*无限模式!$K6),IF(无限模式!$O6="",0,VLOOKUP(无限模式!$O6,'⚪设计'!$C$85:$I$113,4,FALSE)*无限模式!$P6),IF(无限模式!$T6="",0,VLOOKUP(无限模式!$T6,'⚪设计'!$C$85:$I$113,4,FALSE)*无限模式!$U6))*IF(E6="",0,VLOOKUP(E6,'⚪设计'!$C$85:$I$113,4,FALSE)),0)</f>
        <v>258</v>
      </c>
      <c r="J6" s="71" t="str">
        <f>IF(VLOOKUP(A6,'⚪设计'!$A$205:$G$224,5,FALSE)="","",VLOOKUP(VLOOKUP(A6,'⚪设计'!$A$205:$G$224,5,FALSE),'⚪设计'!$B$85:$D$113,2,FALSE))</f>
        <v>ResUnit_BianFu1</v>
      </c>
      <c r="K6" s="71">
        <f t="shared" si="1"/>
        <v>13</v>
      </c>
      <c r="L6" s="71">
        <f>IF(VLOOKUP($A6,'⚪设计'!$A$229:$K$249,7+2,FALSE)="","",VLOOKUP(A6,'⚪设计'!$A$229:$K$249,7+2,FALSE))</f>
        <v>1</v>
      </c>
      <c r="M6" s="71">
        <f>IF(J6="",0,ROUND(VLOOKUP($A6,'⚪设计'!$A$205:$B$224,2,FALSE)*$B6/SUM(IF($E6="",0,VLOOKUP($E6,'⚪设计'!$C$85:$E$113,3,FALSE))*$F6,IF($J6="",0,VLOOKUP($J6,'⚪设计'!$C$85:$E$113,3,FALSE))*$K6,IF($O6="",0,VLOOKUP($O6,'⚪设计'!$C$85:$E$113,3,FALSE))*$P6,IF($T6="",0,VLOOKUP($T6,'⚪设计'!$C$85:$E$113,3,FALSE))*$U6)*VLOOKUP(J6,'⚪设计'!$C$85:$E$113,3,FALSE),0))</f>
        <v>592</v>
      </c>
      <c r="N6" s="71">
        <f>ROUND(战斗节奏!$B$3/SUM(IF(无限模式!$E6="",0,VLOOKUP(无限模式!$E6,'⚪设计'!$C$85:$I$113,4,FALSE)*无限模式!$F6),IF(无限模式!$J6="",0,VLOOKUP(无限模式!$J6,'⚪设计'!$C$85:$I$113,4,FALSE)*无限模式!$K6),IF(无限模式!$O6="",0,VLOOKUP(无限模式!$O6,'⚪设计'!$C$85:$I$113,4,FALSE)*无限模式!$P6),IF(无限模式!$T6="",0,VLOOKUP(无限模式!$T6,'⚪设计'!$C$85:$I$113,4,FALSE)*无限模式!$U6))*IF(J6="",0,VLOOKUP(J6,'⚪设计'!$C$85:$I$113,4,FALSE)),0)</f>
        <v>3</v>
      </c>
      <c r="O6" s="71" t="str">
        <f>IF(VLOOKUP(A6,'⚪设计'!$A$205:$G$224,6,FALSE)="","",VLOOKUP(VLOOKUP(A6,'⚪设计'!$A$205:$G$224,6,FALSE),'⚪设计'!$B$85:$D$113,2,FALSE))</f>
        <v/>
      </c>
      <c r="P6" s="71">
        <f t="shared" si="2"/>
        <v>0</v>
      </c>
      <c r="Q6" s="71" t="str">
        <f>IF(VLOOKUP($A6,'⚪设计'!$A$229:$K$249,7+3,FALSE)="","",VLOOKUP(A6,'⚪设计'!$A$229:$K$249,7+3,FALSE))</f>
        <v/>
      </c>
      <c r="R6" s="71">
        <f>IF(O6="",0,ROUND(VLOOKUP($A6,'⚪设计'!$A$205:$B$224,2,FALSE)*$B6/SUM(IF($E6="",0,VLOOKUP($E6,'⚪设计'!$C$85:$E$113,3,FALSE))*$F6,IF($J6="",0,VLOOKUP($J6,'⚪设计'!$C$85:$E$113,3,FALSE))*$K6,IF($O6="",0,VLOOKUP($O6,'⚪设计'!$C$85:$E$113,3,FALSE))*$P6,IF($T6="",0,VLOOKUP($T6,'⚪设计'!$C$85:$E$113,3,FALSE))*$U6)*VLOOKUP(O6,'⚪设计'!$C$85:$E$113,3,FALSE),0))</f>
        <v>0</v>
      </c>
      <c r="S6" s="71">
        <f>ROUND(战斗节奏!$B$3/SUM(IF(无限模式!$E6="",0,VLOOKUP(无限模式!$E6,'⚪设计'!$C$85:$I$113,4,FALSE)*无限模式!$F6),IF(无限模式!$J6="",0,VLOOKUP(无限模式!$J6,'⚪设计'!$C$85:$I$113,4,FALSE)*无限模式!$K6),IF(无限模式!$O6="",0,VLOOKUP(无限模式!$O6,'⚪设计'!$C$85:$I$113,4,FALSE)*无限模式!$P6),IF(无限模式!$T6="",0,VLOOKUP(无限模式!$T6,'⚪设计'!$C$85:$I$113,4,FALSE)*无限模式!$U6))*IF(O6="",0,VLOOKUP(O6,'⚪设计'!$C$85:$I$113,4,FALSE)),0)</f>
        <v>0</v>
      </c>
      <c r="T6" s="71" t="str">
        <f>IF(VLOOKUP(A6,'⚪设计'!$A$205:$G$224,7,FALSE)="","",VLOOKUP(VLOOKUP(A6,'⚪设计'!$A$205:$G$224,7,FALSE),'⚪设计'!$B$85:$D$113,2,FALSE))</f>
        <v/>
      </c>
      <c r="U6" s="71">
        <f t="shared" si="3"/>
        <v>0</v>
      </c>
      <c r="V6" s="71" t="str">
        <f>IF(VLOOKUP($A6,'⚪设计'!$A$229:$K$249,7+4,FALSE)="","",VLOOKUP(A6,'⚪设计'!$A$229:$K$249,7+4,FALSE))</f>
        <v/>
      </c>
      <c r="W6" s="71">
        <f>IF(T6="",0,ROUND(VLOOKUP($A6,'⚪设计'!$A$205:$B$224,2,FALSE)*$B6/SUM(IF($E6="",0,VLOOKUP($E6,'⚪设计'!$C$85:$E$113,3,FALSE))*$F6,IF($J6="",0,VLOOKUP($J6,'⚪设计'!$C$85:$E$113,3,FALSE))*$K6,IF($O6="",0,VLOOKUP($O6,'⚪设计'!$C$85:$E$113,3,FALSE))*$P6,IF($T6="",0,VLOOKUP($T6,'⚪设计'!$C$85:$E$113,3,FALSE))*$U6)*VLOOKUP(T6,'⚪设计'!$C$85:$E$113,3,FALSE),0))</f>
        <v>0</v>
      </c>
      <c r="X6" s="71">
        <f>ROUND(战斗节奏!$B$3/SUM(IF(无限模式!$E6="",0,VLOOKUP(无限模式!$E6,'⚪设计'!$C$85:$I$113,4,FALSE)*无限模式!$F6),IF(无限模式!$J6="",0,VLOOKUP(无限模式!$J6,'⚪设计'!$C$85:$I$113,4,FALSE)*无限模式!$K6),IF(无限模式!$O6="",0,VLOOKUP(无限模式!$O6,'⚪设计'!$C$85:$I$113,4,FALSE)*无限模式!$P6),IF(无限模式!$T6="",0,VLOOKUP(无限模式!$T6,'⚪设计'!$C$85:$I$113,4,FALSE)*无限模式!$U6))*IF(T6="",0,VLOOKUP(T6,'⚪设计'!$C$85:$I$113,4,FALSE)),0)</f>
        <v>0</v>
      </c>
    </row>
    <row r="7" spans="1:24" x14ac:dyDescent="0.2">
      <c r="A7" s="94">
        <v>5</v>
      </c>
      <c r="B7" s="71">
        <f>MAX(MIN(战斗节奏!$C$3-INT(A7/'⚪设计'!$C$55),MOD(A7,'⚪设计'!$C$55)),0)*'⚪设计'!$C$79*防御塔!$C$2+MIN(INT(A7/'⚪设计'!$C$55),战斗节奏!$C$3)*'⚪设计'!$C$80*防御塔!$C$2</f>
        <v>2700</v>
      </c>
      <c r="C7" s="173">
        <v>1.2</v>
      </c>
      <c r="D7" s="173">
        <v>14</v>
      </c>
      <c r="E7" s="71" t="str">
        <f>IF(VLOOKUP(A7,'⚪设计'!$A$205:$G$224,4,FALSE)="","",VLOOKUP(VLOOKUP(A7,'⚪设计'!$A$205:$G$224,4,FALSE),'⚪设计'!$B$85:$D$113,2,FALSE))</f>
        <v>ResUnit_MiFeng2</v>
      </c>
      <c r="F7" s="71">
        <f t="shared" si="0"/>
        <v>14</v>
      </c>
      <c r="G7" s="71">
        <f>IF(VLOOKUP($A7,'⚪设计'!$A$229:$K$249,7+1,FALSE)="","",VLOOKUP(A7,'⚪设计'!$A$229:$K$249,7+1,FALSE))</f>
        <v>1</v>
      </c>
      <c r="H7" s="71">
        <f>IF(E7="",0,ROUND(VLOOKUP($A7,'⚪设计'!$A$205:$B$224,2,FALSE)*$B7/SUM(IF($E7="",0,VLOOKUP($E7,'⚪设计'!$C$85:$E$113,3,FALSE))*$F7,IF($J7="",0,VLOOKUP($J7,'⚪设计'!$C$85:$E$113,3,FALSE))*$K7,IF($O7="",0,VLOOKUP($O7,'⚪设计'!$C$85:$E$113,3,FALSE))*$P7,IF($T7="",0,VLOOKUP($T7,'⚪设计'!$C$85:$E$113,3,FALSE))*$U7)*VLOOKUP(E7,'⚪设计'!$C$85:$E$113,3,FALSE),0))</f>
        <v>1929</v>
      </c>
      <c r="I7" s="71">
        <f>ROUND(战斗节奏!$B$3/SUM(IF(无限模式!$E7="",0,VLOOKUP(无限模式!$E7,'⚪设计'!$C$85:$I$113,4,FALSE)*无限模式!$F7),IF(无限模式!$J7="",0,VLOOKUP(无限模式!$J7,'⚪设计'!$C$85:$I$113,4,FALSE)*无限模式!$K7),IF(无限模式!$O7="",0,VLOOKUP(无限模式!$O7,'⚪设计'!$C$85:$I$113,4,FALSE)*无限模式!$P7),IF(无限模式!$T7="",0,VLOOKUP(无限模式!$T7,'⚪设计'!$C$85:$I$113,4,FALSE)*无限模式!$U7))*IF(E7="",0,VLOOKUP(E7,'⚪设计'!$C$85:$I$113,4,FALSE)),0)</f>
        <v>14</v>
      </c>
      <c r="J7" s="71" t="str">
        <f>IF(VLOOKUP(A7,'⚪设计'!$A$205:$G$224,5,FALSE)="","",VLOOKUP(VLOOKUP(A7,'⚪设计'!$A$205:$G$224,5,FALSE),'⚪设计'!$B$85:$D$113,2,FALSE))</f>
        <v>ResUnit_ZhiZhu1</v>
      </c>
      <c r="K7" s="71">
        <f t="shared" si="1"/>
        <v>14</v>
      </c>
      <c r="L7" s="71">
        <f>IF(VLOOKUP($A7,'⚪设计'!$A$229:$K$249,7+2,FALSE)="","",VLOOKUP(A7,'⚪设计'!$A$229:$K$249,7+2,FALSE))</f>
        <v>1</v>
      </c>
      <c r="M7" s="71">
        <f>IF(J7="",0,ROUND(VLOOKUP($A7,'⚪设计'!$A$205:$B$224,2,FALSE)*$B7/SUM(IF($E7="",0,VLOOKUP($E7,'⚪设计'!$C$85:$E$113,3,FALSE))*$F7,IF($J7="",0,VLOOKUP($J7,'⚪设计'!$C$85:$E$113,3,FALSE))*$K7,IF($O7="",0,VLOOKUP($O7,'⚪设计'!$C$85:$E$113,3,FALSE))*$P7,IF($T7="",0,VLOOKUP($T7,'⚪设计'!$C$85:$E$113,3,FALSE))*$U7)*VLOOKUP(J7,'⚪设计'!$C$85:$E$113,3,FALSE),0))</f>
        <v>964</v>
      </c>
      <c r="N7" s="71">
        <f>ROUND(战斗节奏!$B$3/SUM(IF(无限模式!$E7="",0,VLOOKUP(无限模式!$E7,'⚪设计'!$C$85:$I$113,4,FALSE)*无限模式!$F7),IF(无限模式!$J7="",0,VLOOKUP(无限模式!$J7,'⚪设计'!$C$85:$I$113,4,FALSE)*无限模式!$K7),IF(无限模式!$O7="",0,VLOOKUP(无限模式!$O7,'⚪设计'!$C$85:$I$113,4,FALSE)*无限模式!$P7),IF(无限模式!$T7="",0,VLOOKUP(无限模式!$T7,'⚪设计'!$C$85:$I$113,4,FALSE)*无限模式!$U7))*IF(J7="",0,VLOOKUP(J7,'⚪设计'!$C$85:$I$113,4,FALSE)),0)</f>
        <v>7</v>
      </c>
      <c r="O7" s="71" t="str">
        <f>IF(VLOOKUP(A7,'⚪设计'!$A$205:$G$224,6,FALSE)="","",VLOOKUP(VLOOKUP(A7,'⚪设计'!$A$205:$G$224,6,FALSE),'⚪设计'!$B$85:$D$113,2,FALSE))</f>
        <v/>
      </c>
      <c r="P7" s="71">
        <f t="shared" si="2"/>
        <v>0</v>
      </c>
      <c r="Q7" s="71" t="str">
        <f>IF(VLOOKUP($A7,'⚪设计'!$A$229:$K$249,7+3,FALSE)="","",VLOOKUP(A7,'⚪设计'!$A$229:$K$249,7+3,FALSE))</f>
        <v/>
      </c>
      <c r="R7" s="71">
        <f>IF(O7="",0,ROUND(VLOOKUP($A7,'⚪设计'!$A$205:$B$224,2,FALSE)*$B7/SUM(IF($E7="",0,VLOOKUP($E7,'⚪设计'!$C$85:$E$113,3,FALSE))*$F7,IF($J7="",0,VLOOKUP($J7,'⚪设计'!$C$85:$E$113,3,FALSE))*$K7,IF($O7="",0,VLOOKUP($O7,'⚪设计'!$C$85:$E$113,3,FALSE))*$P7,IF($T7="",0,VLOOKUP($T7,'⚪设计'!$C$85:$E$113,3,FALSE))*$U7)*VLOOKUP(O7,'⚪设计'!$C$85:$E$113,3,FALSE),0))</f>
        <v>0</v>
      </c>
      <c r="S7" s="71">
        <f>ROUND(战斗节奏!$B$3/SUM(IF(无限模式!$E7="",0,VLOOKUP(无限模式!$E7,'⚪设计'!$C$85:$I$113,4,FALSE)*无限模式!$F7),IF(无限模式!$J7="",0,VLOOKUP(无限模式!$J7,'⚪设计'!$C$85:$I$113,4,FALSE)*无限模式!$K7),IF(无限模式!$O7="",0,VLOOKUP(无限模式!$O7,'⚪设计'!$C$85:$I$113,4,FALSE)*无限模式!$P7),IF(无限模式!$T7="",0,VLOOKUP(无限模式!$T7,'⚪设计'!$C$85:$I$113,4,FALSE)*无限模式!$U7))*IF(O7="",0,VLOOKUP(O7,'⚪设计'!$C$85:$I$113,4,FALSE)),0)</f>
        <v>0</v>
      </c>
      <c r="T7" s="71" t="str">
        <f>IF(VLOOKUP(A7,'⚪设计'!$A$205:$G$224,7,FALSE)="","",VLOOKUP(VLOOKUP(A7,'⚪设计'!$A$205:$G$224,7,FALSE),'⚪设计'!$B$85:$D$113,2,FALSE))</f>
        <v/>
      </c>
      <c r="U7" s="71">
        <f t="shared" si="3"/>
        <v>0</v>
      </c>
      <c r="V7" s="71" t="str">
        <f>IF(VLOOKUP($A7,'⚪设计'!$A$229:$K$249,7+4,FALSE)="","",VLOOKUP(A7,'⚪设计'!$A$229:$K$249,7+4,FALSE))</f>
        <v/>
      </c>
      <c r="W7" s="71">
        <f>IF(T7="",0,ROUND(VLOOKUP($A7,'⚪设计'!$A$205:$B$224,2,FALSE)*$B7/SUM(IF($E7="",0,VLOOKUP($E7,'⚪设计'!$C$85:$E$113,3,FALSE))*$F7,IF($J7="",0,VLOOKUP($J7,'⚪设计'!$C$85:$E$113,3,FALSE))*$K7,IF($O7="",0,VLOOKUP($O7,'⚪设计'!$C$85:$E$113,3,FALSE))*$P7,IF($T7="",0,VLOOKUP($T7,'⚪设计'!$C$85:$E$113,3,FALSE))*$U7)*VLOOKUP(T7,'⚪设计'!$C$85:$E$113,3,FALSE),0))</f>
        <v>0</v>
      </c>
      <c r="X7" s="71">
        <f>ROUND(战斗节奏!$B$3/SUM(IF(无限模式!$E7="",0,VLOOKUP(无限模式!$E7,'⚪设计'!$C$85:$I$113,4,FALSE)*无限模式!$F7),IF(无限模式!$J7="",0,VLOOKUP(无限模式!$J7,'⚪设计'!$C$85:$I$113,4,FALSE)*无限模式!$K7),IF(无限模式!$O7="",0,VLOOKUP(无限模式!$O7,'⚪设计'!$C$85:$I$113,4,FALSE)*无限模式!$P7),IF(无限模式!$T7="",0,VLOOKUP(无限模式!$T7,'⚪设计'!$C$85:$I$113,4,FALSE)*无限模式!$U7))*IF(T7="",0,VLOOKUP(T7,'⚪设计'!$C$85:$I$113,4,FALSE)),0)</f>
        <v>0</v>
      </c>
    </row>
    <row r="8" spans="1:24" x14ac:dyDescent="0.2">
      <c r="A8" s="94">
        <v>6</v>
      </c>
      <c r="B8" s="71">
        <f>MAX(MIN(战斗节奏!$C$3-INT(A8/'⚪设计'!$C$55),MOD(A8,'⚪设计'!$C$55)),0)*'⚪设计'!$C$79*防御塔!$C$2+MIN(INT(A8/'⚪设计'!$C$55),战斗节奏!$C$3)*'⚪设计'!$C$80*防御塔!$C$2</f>
        <v>3240</v>
      </c>
      <c r="C8" s="173">
        <v>1.25</v>
      </c>
      <c r="D8" s="173">
        <v>15</v>
      </c>
      <c r="E8" s="71" t="str">
        <f>IF(VLOOKUP(A8,'⚪设计'!$A$205:$G$224,4,FALSE)="","",VLOOKUP(VLOOKUP(A8,'⚪设计'!$A$205:$G$224,4,FALSE),'⚪设计'!$B$85:$D$113,2,FALSE))</f>
        <v>ResUnit_MiFeng2</v>
      </c>
      <c r="F8" s="71">
        <f t="shared" si="0"/>
        <v>20</v>
      </c>
      <c r="G8" s="71">
        <f>IF(VLOOKUP($A8,'⚪设计'!$A$229:$K$249,7+1,FALSE)="","",VLOOKUP(A8,'⚪设计'!$A$229:$K$249,7+1,FALSE))</f>
        <v>0.75</v>
      </c>
      <c r="H8" s="71">
        <f>IF(E8="",0,ROUND(VLOOKUP($A8,'⚪设计'!$A$205:$B$224,2,FALSE)*$B8/SUM(IF($E8="",0,VLOOKUP($E8,'⚪设计'!$C$85:$E$113,3,FALSE))*$F8,IF($J8="",0,VLOOKUP($J8,'⚪设计'!$C$85:$E$113,3,FALSE))*$K8,IF($O8="",0,VLOOKUP($O8,'⚪设计'!$C$85:$E$113,3,FALSE))*$P8,IF($T8="",0,VLOOKUP($T8,'⚪设计'!$C$85:$E$113,3,FALSE))*$U8)*VLOOKUP(E8,'⚪设计'!$C$85:$E$113,3,FALSE),0))</f>
        <v>2062</v>
      </c>
      <c r="I8" s="71">
        <f>ROUND(战斗节奏!$B$3/SUM(IF(无限模式!$E8="",0,VLOOKUP(无限模式!$E8,'⚪设计'!$C$85:$I$113,4,FALSE)*无限模式!$F8),IF(无限模式!$J8="",0,VLOOKUP(无限模式!$J8,'⚪设计'!$C$85:$I$113,4,FALSE)*无限模式!$K8),IF(无限模式!$O8="",0,VLOOKUP(无限模式!$O8,'⚪设计'!$C$85:$I$113,4,FALSE)*无限模式!$P8),IF(无限模式!$T8="",0,VLOOKUP(无限模式!$T8,'⚪设计'!$C$85:$I$113,4,FALSE)*无限模式!$U8))*IF(E8="",0,VLOOKUP(E8,'⚪设计'!$C$85:$I$113,4,FALSE)),0)</f>
        <v>11</v>
      </c>
      <c r="J8" s="71" t="str">
        <f>IF(VLOOKUP(A8,'⚪设计'!$A$205:$G$224,5,FALSE)="","",VLOOKUP(VLOOKUP(A8,'⚪设计'!$A$205:$G$224,5,FALSE),'⚪设计'!$B$85:$D$113,2,FALSE))</f>
        <v>ResUnit_ZhiZhu1</v>
      </c>
      <c r="K8" s="71">
        <f t="shared" si="1"/>
        <v>15</v>
      </c>
      <c r="L8" s="71">
        <f>IF(VLOOKUP($A8,'⚪设计'!$A$229:$K$249,7+2,FALSE)="","",VLOOKUP(A8,'⚪设计'!$A$229:$K$249,7+2,FALSE))</f>
        <v>1</v>
      </c>
      <c r="M8" s="71">
        <f>IF(J8="",0,ROUND(VLOOKUP($A8,'⚪设计'!$A$205:$B$224,2,FALSE)*$B8/SUM(IF($E8="",0,VLOOKUP($E8,'⚪设计'!$C$85:$E$113,3,FALSE))*$F8,IF($J8="",0,VLOOKUP($J8,'⚪设计'!$C$85:$E$113,3,FALSE))*$K8,IF($O8="",0,VLOOKUP($O8,'⚪设计'!$C$85:$E$113,3,FALSE))*$P8,IF($T8="",0,VLOOKUP($T8,'⚪设计'!$C$85:$E$113,3,FALSE))*$U8)*VLOOKUP(J8,'⚪设计'!$C$85:$E$113,3,FALSE),0))</f>
        <v>1031</v>
      </c>
      <c r="N8" s="71">
        <f>ROUND(战斗节奏!$B$3/SUM(IF(无限模式!$E8="",0,VLOOKUP(无限模式!$E8,'⚪设计'!$C$85:$I$113,4,FALSE)*无限模式!$F8),IF(无限模式!$J8="",0,VLOOKUP(无限模式!$J8,'⚪设计'!$C$85:$I$113,4,FALSE)*无限模式!$K8),IF(无限模式!$O8="",0,VLOOKUP(无限模式!$O8,'⚪设计'!$C$85:$I$113,4,FALSE)*无限模式!$P8),IF(无限模式!$T8="",0,VLOOKUP(无限模式!$T8,'⚪设计'!$C$85:$I$113,4,FALSE)*无限模式!$U8))*IF(J8="",0,VLOOKUP(J8,'⚪设计'!$C$85:$I$113,4,FALSE)),0)</f>
        <v>5</v>
      </c>
      <c r="O8" s="71" t="str">
        <f>IF(VLOOKUP(A8,'⚪设计'!$A$205:$G$224,6,FALSE)="","",VLOOKUP(VLOOKUP(A8,'⚪设计'!$A$205:$G$224,6,FALSE),'⚪设计'!$B$85:$D$113,2,FALSE))</f>
        <v/>
      </c>
      <c r="P8" s="71">
        <f t="shared" si="2"/>
        <v>0</v>
      </c>
      <c r="Q8" s="71" t="str">
        <f>IF(VLOOKUP($A8,'⚪设计'!$A$229:$K$249,7+3,FALSE)="","",VLOOKUP(A8,'⚪设计'!$A$229:$K$249,7+3,FALSE))</f>
        <v/>
      </c>
      <c r="R8" s="71">
        <f>IF(O8="",0,ROUND(VLOOKUP($A8,'⚪设计'!$A$205:$B$224,2,FALSE)*$B8/SUM(IF($E8="",0,VLOOKUP($E8,'⚪设计'!$C$85:$E$113,3,FALSE))*$F8,IF($J8="",0,VLOOKUP($J8,'⚪设计'!$C$85:$E$113,3,FALSE))*$K8,IF($O8="",0,VLOOKUP($O8,'⚪设计'!$C$85:$E$113,3,FALSE))*$P8,IF($T8="",0,VLOOKUP($T8,'⚪设计'!$C$85:$E$113,3,FALSE))*$U8)*VLOOKUP(O8,'⚪设计'!$C$85:$E$113,3,FALSE),0))</f>
        <v>0</v>
      </c>
      <c r="S8" s="71">
        <f>ROUND(战斗节奏!$B$3/SUM(IF(无限模式!$E8="",0,VLOOKUP(无限模式!$E8,'⚪设计'!$C$85:$I$113,4,FALSE)*无限模式!$F8),IF(无限模式!$J8="",0,VLOOKUP(无限模式!$J8,'⚪设计'!$C$85:$I$113,4,FALSE)*无限模式!$K8),IF(无限模式!$O8="",0,VLOOKUP(无限模式!$O8,'⚪设计'!$C$85:$I$113,4,FALSE)*无限模式!$P8),IF(无限模式!$T8="",0,VLOOKUP(无限模式!$T8,'⚪设计'!$C$85:$I$113,4,FALSE)*无限模式!$U8))*IF(O8="",0,VLOOKUP(O8,'⚪设计'!$C$85:$I$113,4,FALSE)),0)</f>
        <v>0</v>
      </c>
      <c r="T8" s="71" t="str">
        <f>IF(VLOOKUP(A8,'⚪设计'!$A$205:$G$224,7,FALSE)="","",VLOOKUP(VLOOKUP(A8,'⚪设计'!$A$205:$G$224,7,FALSE),'⚪设计'!$B$85:$D$113,2,FALSE))</f>
        <v/>
      </c>
      <c r="U8" s="71">
        <f t="shared" si="3"/>
        <v>0</v>
      </c>
      <c r="V8" s="71" t="str">
        <f>IF(VLOOKUP($A8,'⚪设计'!$A$229:$K$249,7+4,FALSE)="","",VLOOKUP(A8,'⚪设计'!$A$229:$K$249,7+4,FALSE))</f>
        <v/>
      </c>
      <c r="W8" s="71">
        <f>IF(T8="",0,ROUND(VLOOKUP($A8,'⚪设计'!$A$205:$B$224,2,FALSE)*$B8/SUM(IF($E8="",0,VLOOKUP($E8,'⚪设计'!$C$85:$E$113,3,FALSE))*$F8,IF($J8="",0,VLOOKUP($J8,'⚪设计'!$C$85:$E$113,3,FALSE))*$K8,IF($O8="",0,VLOOKUP($O8,'⚪设计'!$C$85:$E$113,3,FALSE))*$P8,IF($T8="",0,VLOOKUP($T8,'⚪设计'!$C$85:$E$113,3,FALSE))*$U8)*VLOOKUP(T8,'⚪设计'!$C$85:$E$113,3,FALSE),0))</f>
        <v>0</v>
      </c>
      <c r="X8" s="71">
        <f>ROUND(战斗节奏!$B$3/SUM(IF(无限模式!$E8="",0,VLOOKUP(无限模式!$E8,'⚪设计'!$C$85:$I$113,4,FALSE)*无限模式!$F8),IF(无限模式!$J8="",0,VLOOKUP(无限模式!$J8,'⚪设计'!$C$85:$I$113,4,FALSE)*无限模式!$K8),IF(无限模式!$O8="",0,VLOOKUP(无限模式!$O8,'⚪设计'!$C$85:$I$113,4,FALSE)*无限模式!$P8),IF(无限模式!$T8="",0,VLOOKUP(无限模式!$T8,'⚪设计'!$C$85:$I$113,4,FALSE)*无限模式!$U8))*IF(T8="",0,VLOOKUP(T8,'⚪设计'!$C$85:$I$113,4,FALSE)),0)</f>
        <v>0</v>
      </c>
    </row>
    <row r="9" spans="1:24" x14ac:dyDescent="0.2">
      <c r="A9" s="94">
        <v>7</v>
      </c>
      <c r="B9" s="71">
        <f>MAX(MIN(战斗节奏!$C$3-INT(A9/'⚪设计'!$C$55),MOD(A9,'⚪设计'!$C$55)),0)*'⚪设计'!$C$79*防御塔!$C$2+MIN(INT(A9/'⚪设计'!$C$55),战斗节奏!$C$3)*'⚪设计'!$C$80*防御塔!$C$2</f>
        <v>3780</v>
      </c>
      <c r="C9" s="173">
        <v>1.3</v>
      </c>
      <c r="D9" s="173">
        <v>16</v>
      </c>
      <c r="E9" s="71" t="str">
        <f>IF(VLOOKUP(A9,'⚪设计'!$A$205:$G$224,4,FALSE)="","",VLOOKUP(VLOOKUP(A9,'⚪设计'!$A$205:$G$224,4,FALSE),'⚪设计'!$B$85:$D$113,2,FALSE))</f>
        <v>ResUnit_MiFeng1</v>
      </c>
      <c r="F9" s="71">
        <f t="shared" si="0"/>
        <v>16</v>
      </c>
      <c r="G9" s="71">
        <f>IF(VLOOKUP($A9,'⚪设计'!$A$229:$K$249,7+1,FALSE)="","",VLOOKUP(A9,'⚪设计'!$A$229:$K$249,7+1,FALSE))</f>
        <v>1</v>
      </c>
      <c r="H9" s="71">
        <f>IF(E9="",0,ROUND(VLOOKUP($A9,'⚪设计'!$A$205:$B$224,2,FALSE)*$B9/SUM(IF($E9="",0,VLOOKUP($E9,'⚪设计'!$C$85:$E$113,3,FALSE))*$F9,IF($J9="",0,VLOOKUP($J9,'⚪设计'!$C$85:$E$113,3,FALSE))*$K9,IF($O9="",0,VLOOKUP($O9,'⚪设计'!$C$85:$E$113,3,FALSE))*$P9,IF($T9="",0,VLOOKUP($T9,'⚪设计'!$C$85:$E$113,3,FALSE))*$U9)*VLOOKUP(E9,'⚪设计'!$C$85:$E$113,3,FALSE),0))</f>
        <v>945</v>
      </c>
      <c r="I9" s="71">
        <f>ROUND(战斗节奏!$B$3/SUM(IF(无限模式!$E9="",0,VLOOKUP(无限模式!$E9,'⚪设计'!$C$85:$I$113,4,FALSE)*无限模式!$F9),IF(无限模式!$J9="",0,VLOOKUP(无限模式!$J9,'⚪设计'!$C$85:$I$113,4,FALSE)*无限模式!$K9),IF(无限模式!$O9="",0,VLOOKUP(无限模式!$O9,'⚪设计'!$C$85:$I$113,4,FALSE)*无限模式!$P9),IF(无限模式!$T9="",0,VLOOKUP(无限模式!$T9,'⚪设计'!$C$85:$I$113,4,FALSE)*无限模式!$U9))*IF(E9="",0,VLOOKUP(E9,'⚪设计'!$C$85:$I$113,4,FALSE)),0)</f>
        <v>4</v>
      </c>
      <c r="J9" s="71" t="str">
        <f>IF(VLOOKUP(A9,'⚪设计'!$A$205:$G$224,5,FALSE)="","",VLOOKUP(VLOOKUP(A9,'⚪设计'!$A$205:$G$224,5,FALSE),'⚪设计'!$B$85:$D$113,2,FALSE))</f>
        <v>ResUnit_ZhiZhu1</v>
      </c>
      <c r="K9" s="71">
        <f t="shared" si="1"/>
        <v>32</v>
      </c>
      <c r="L9" s="71">
        <f>IF(VLOOKUP($A9,'⚪设计'!$A$229:$K$249,7+2,FALSE)="","",VLOOKUP(A9,'⚪设计'!$A$229:$K$249,7+2,FALSE))</f>
        <v>0.5</v>
      </c>
      <c r="M9" s="71">
        <f>IF(J9="",0,ROUND(VLOOKUP($A9,'⚪设计'!$A$205:$B$224,2,FALSE)*$B9/SUM(IF($E9="",0,VLOOKUP($E9,'⚪设计'!$C$85:$E$113,3,FALSE))*$F9,IF($J9="",0,VLOOKUP($J9,'⚪设计'!$C$85:$E$113,3,FALSE))*$K9,IF($O9="",0,VLOOKUP($O9,'⚪设计'!$C$85:$E$113,3,FALSE))*$P9,IF($T9="",0,VLOOKUP($T9,'⚪设计'!$C$85:$E$113,3,FALSE))*$U9)*VLOOKUP(J9,'⚪设计'!$C$85:$E$113,3,FALSE),0))</f>
        <v>1890</v>
      </c>
      <c r="N9" s="71">
        <f>ROUND(战斗节奏!$B$3/SUM(IF(无限模式!$E9="",0,VLOOKUP(无限模式!$E9,'⚪设计'!$C$85:$I$113,4,FALSE)*无限模式!$F9),IF(无限模式!$J9="",0,VLOOKUP(无限模式!$J9,'⚪设计'!$C$85:$I$113,4,FALSE)*无限模式!$K9),IF(无限模式!$O9="",0,VLOOKUP(无限模式!$O9,'⚪设计'!$C$85:$I$113,4,FALSE)*无限模式!$P9),IF(无限模式!$T9="",0,VLOOKUP(无限模式!$T9,'⚪设计'!$C$85:$I$113,4,FALSE)*无限模式!$U9))*IF(J9="",0,VLOOKUP(J9,'⚪设计'!$C$85:$I$113,4,FALSE)),0)</f>
        <v>8</v>
      </c>
      <c r="O9" s="71" t="str">
        <f>IF(VLOOKUP(A9,'⚪设计'!$A$205:$G$224,6,FALSE)="","",VLOOKUP(VLOOKUP(A9,'⚪设计'!$A$205:$G$224,6,FALSE),'⚪设计'!$B$85:$D$113,2,FALSE))</f>
        <v/>
      </c>
      <c r="P9" s="71">
        <f t="shared" si="2"/>
        <v>0</v>
      </c>
      <c r="Q9" s="71" t="str">
        <f>IF(VLOOKUP($A9,'⚪设计'!$A$229:$K$249,7+3,FALSE)="","",VLOOKUP(A9,'⚪设计'!$A$229:$K$249,7+3,FALSE))</f>
        <v/>
      </c>
      <c r="R9" s="71">
        <f>IF(O9="",0,ROUND(VLOOKUP($A9,'⚪设计'!$A$205:$B$224,2,FALSE)*$B9/SUM(IF($E9="",0,VLOOKUP($E9,'⚪设计'!$C$85:$E$113,3,FALSE))*$F9,IF($J9="",0,VLOOKUP($J9,'⚪设计'!$C$85:$E$113,3,FALSE))*$K9,IF($O9="",0,VLOOKUP($O9,'⚪设计'!$C$85:$E$113,3,FALSE))*$P9,IF($T9="",0,VLOOKUP($T9,'⚪设计'!$C$85:$E$113,3,FALSE))*$U9)*VLOOKUP(O9,'⚪设计'!$C$85:$E$113,3,FALSE),0))</f>
        <v>0</v>
      </c>
      <c r="S9" s="71">
        <f>ROUND(战斗节奏!$B$3/SUM(IF(无限模式!$E9="",0,VLOOKUP(无限模式!$E9,'⚪设计'!$C$85:$I$113,4,FALSE)*无限模式!$F9),IF(无限模式!$J9="",0,VLOOKUP(无限模式!$J9,'⚪设计'!$C$85:$I$113,4,FALSE)*无限模式!$K9),IF(无限模式!$O9="",0,VLOOKUP(无限模式!$O9,'⚪设计'!$C$85:$I$113,4,FALSE)*无限模式!$P9),IF(无限模式!$T9="",0,VLOOKUP(无限模式!$T9,'⚪设计'!$C$85:$I$113,4,FALSE)*无限模式!$U9))*IF(O9="",0,VLOOKUP(O9,'⚪设计'!$C$85:$I$113,4,FALSE)),0)</f>
        <v>0</v>
      </c>
      <c r="T9" s="71" t="str">
        <f>IF(VLOOKUP(A9,'⚪设计'!$A$205:$G$224,7,FALSE)="","",VLOOKUP(VLOOKUP(A9,'⚪设计'!$A$205:$G$224,7,FALSE),'⚪设计'!$B$85:$D$113,2,FALSE))</f>
        <v/>
      </c>
      <c r="U9" s="71">
        <f t="shared" si="3"/>
        <v>0</v>
      </c>
      <c r="V9" s="71" t="str">
        <f>IF(VLOOKUP($A9,'⚪设计'!$A$229:$K$249,7+4,FALSE)="","",VLOOKUP(A9,'⚪设计'!$A$229:$K$249,7+4,FALSE))</f>
        <v/>
      </c>
      <c r="W9" s="71">
        <f>IF(T9="",0,ROUND(VLOOKUP($A9,'⚪设计'!$A$205:$B$224,2,FALSE)*$B9/SUM(IF($E9="",0,VLOOKUP($E9,'⚪设计'!$C$85:$E$113,3,FALSE))*$F9,IF($J9="",0,VLOOKUP($J9,'⚪设计'!$C$85:$E$113,3,FALSE))*$K9,IF($O9="",0,VLOOKUP($O9,'⚪设计'!$C$85:$E$113,3,FALSE))*$P9,IF($T9="",0,VLOOKUP($T9,'⚪设计'!$C$85:$E$113,3,FALSE))*$U9)*VLOOKUP(T9,'⚪设计'!$C$85:$E$113,3,FALSE),0))</f>
        <v>0</v>
      </c>
      <c r="X9" s="71">
        <f>ROUND(战斗节奏!$B$3/SUM(IF(无限模式!$E9="",0,VLOOKUP(无限模式!$E9,'⚪设计'!$C$85:$I$113,4,FALSE)*无限模式!$F9),IF(无限模式!$J9="",0,VLOOKUP(无限模式!$J9,'⚪设计'!$C$85:$I$113,4,FALSE)*无限模式!$K9),IF(无限模式!$O9="",0,VLOOKUP(无限模式!$O9,'⚪设计'!$C$85:$I$113,4,FALSE)*无限模式!$P9),IF(无限模式!$T9="",0,VLOOKUP(无限模式!$T9,'⚪设计'!$C$85:$I$113,4,FALSE)*无限模式!$U9))*IF(T9="",0,VLOOKUP(T9,'⚪设计'!$C$85:$I$113,4,FALSE)),0)</f>
        <v>0</v>
      </c>
    </row>
    <row r="10" spans="1:24" x14ac:dyDescent="0.2">
      <c r="A10" s="94">
        <v>8</v>
      </c>
      <c r="B10" s="71">
        <f>MAX(MIN(战斗节奏!$C$3-INT(A10/'⚪设计'!$C$55),MOD(A10,'⚪设计'!$C$55)),0)*'⚪设计'!$C$79*防御塔!$C$2+MIN(INT(A10/'⚪设计'!$C$55),战斗节奏!$C$3)*'⚪设计'!$C$80*防御塔!$C$2</f>
        <v>4320</v>
      </c>
      <c r="C10" s="173">
        <v>1.35</v>
      </c>
      <c r="D10" s="173">
        <v>17</v>
      </c>
      <c r="E10" s="71" t="str">
        <f>IF(VLOOKUP(A10,'⚪设计'!$A$205:$G$224,4,FALSE)="","",VLOOKUP(VLOOKUP(A10,'⚪设计'!$A$205:$G$224,4,FALSE),'⚪设计'!$B$85:$D$113,2,FALSE))</f>
        <v>ResUnit_BianFu2</v>
      </c>
      <c r="F10" s="71">
        <f t="shared" si="0"/>
        <v>17</v>
      </c>
      <c r="G10" s="71">
        <f>IF(VLOOKUP($A10,'⚪设计'!$A$229:$K$249,7+1,FALSE)="","",VLOOKUP(A10,'⚪设计'!$A$229:$K$249,7+1,FALSE))</f>
        <v>1</v>
      </c>
      <c r="H10" s="71">
        <f>IF(E10="",0,ROUND(VLOOKUP($A10,'⚪设计'!$A$205:$B$224,2,FALSE)*$B10/SUM(IF($E10="",0,VLOOKUP($E10,'⚪设计'!$C$85:$E$113,3,FALSE))*$F10,IF($J10="",0,VLOOKUP($J10,'⚪设计'!$C$85:$E$113,3,FALSE))*$K10,IF($O10="",0,VLOOKUP($O10,'⚪设计'!$C$85:$E$113,3,FALSE))*$P10,IF($T10="",0,VLOOKUP($T10,'⚪设计'!$C$85:$E$113,3,FALSE))*$U10)*VLOOKUP(E10,'⚪设计'!$C$85:$E$113,3,FALSE),0))</f>
        <v>7005</v>
      </c>
      <c r="I10" s="71">
        <f>ROUND(战斗节奏!$B$3/SUM(IF(无限模式!$E10="",0,VLOOKUP(无限模式!$E10,'⚪设计'!$C$85:$I$113,4,FALSE)*无限模式!$F10),IF(无限模式!$J10="",0,VLOOKUP(无限模式!$J10,'⚪设计'!$C$85:$I$113,4,FALSE)*无限模式!$K10),IF(无限模式!$O10="",0,VLOOKUP(无限模式!$O10,'⚪设计'!$C$85:$I$113,4,FALSE)*无限模式!$P10),IF(无限模式!$T10="",0,VLOOKUP(无限模式!$T10,'⚪设计'!$C$85:$I$113,4,FALSE)*无限模式!$U10))*IF(E10="",0,VLOOKUP(E10,'⚪设计'!$C$85:$I$113,4,FALSE)),0)</f>
        <v>5</v>
      </c>
      <c r="J10" s="71" t="str">
        <f>IF(VLOOKUP(A10,'⚪设计'!$A$205:$G$224,5,FALSE)="","",VLOOKUP(VLOOKUP(A10,'⚪设计'!$A$205:$G$224,5,FALSE),'⚪设计'!$B$85:$D$113,2,FALSE))</f>
        <v>ResUnit_ZhiZhu3</v>
      </c>
      <c r="K10" s="71">
        <f t="shared" si="1"/>
        <v>1</v>
      </c>
      <c r="L10" s="71">
        <f>IF(VLOOKUP($A10,'⚪设计'!$A$229:$K$249,7+2,FALSE)="","",VLOOKUP(A10,'⚪设计'!$A$229:$K$249,7+2,FALSE))</f>
        <v>0</v>
      </c>
      <c r="M10" s="71">
        <f>IF(J10="",0,ROUND(VLOOKUP($A10,'⚪设计'!$A$205:$B$224,2,FALSE)*$B10/SUM(IF($E10="",0,VLOOKUP($E10,'⚪设计'!$C$85:$E$113,3,FALSE))*$F10,IF($J10="",0,VLOOKUP($J10,'⚪设计'!$C$85:$E$113,3,FALSE))*$K10,IF($O10="",0,VLOOKUP($O10,'⚪设计'!$C$85:$E$113,3,FALSE))*$P10,IF($T10="",0,VLOOKUP($T10,'⚪设计'!$C$85:$E$113,3,FALSE))*$U10)*VLOOKUP(J10,'⚪设计'!$C$85:$E$113,3,FALSE),0))</f>
        <v>140108</v>
      </c>
      <c r="N10" s="71">
        <f>ROUND(战斗节奏!$B$3/SUM(IF(无限模式!$E10="",0,VLOOKUP(无限模式!$E10,'⚪设计'!$C$85:$I$113,4,FALSE)*无限模式!$F10),IF(无限模式!$J10="",0,VLOOKUP(无限模式!$J10,'⚪设计'!$C$85:$I$113,4,FALSE)*无限模式!$K10),IF(无限模式!$O10="",0,VLOOKUP(无限模式!$O10,'⚪设计'!$C$85:$I$113,4,FALSE)*无限模式!$P10),IF(无限模式!$T10="",0,VLOOKUP(无限模式!$T10,'⚪设计'!$C$85:$I$113,4,FALSE)*无限模式!$U10))*IF(J10="",0,VLOOKUP(J10,'⚪设计'!$C$85:$I$113,4,FALSE)),0)</f>
        <v>211</v>
      </c>
      <c r="O10" s="71" t="str">
        <f>IF(VLOOKUP(A10,'⚪设计'!$A$205:$G$224,6,FALSE)="","",VLOOKUP(VLOOKUP(A10,'⚪设计'!$A$205:$G$224,6,FALSE),'⚪设计'!$B$85:$D$113,2,FALSE))</f>
        <v/>
      </c>
      <c r="P10" s="71">
        <f t="shared" si="2"/>
        <v>0</v>
      </c>
      <c r="Q10" s="71" t="str">
        <f>IF(VLOOKUP($A10,'⚪设计'!$A$229:$K$249,7+3,FALSE)="","",VLOOKUP(A10,'⚪设计'!$A$229:$K$249,7+3,FALSE))</f>
        <v/>
      </c>
      <c r="R10" s="71">
        <f>IF(O10="",0,ROUND(VLOOKUP($A10,'⚪设计'!$A$205:$B$224,2,FALSE)*$B10/SUM(IF($E10="",0,VLOOKUP($E10,'⚪设计'!$C$85:$E$113,3,FALSE))*$F10,IF($J10="",0,VLOOKUP($J10,'⚪设计'!$C$85:$E$113,3,FALSE))*$K10,IF($O10="",0,VLOOKUP($O10,'⚪设计'!$C$85:$E$113,3,FALSE))*$P10,IF($T10="",0,VLOOKUP($T10,'⚪设计'!$C$85:$E$113,3,FALSE))*$U10)*VLOOKUP(O10,'⚪设计'!$C$85:$E$113,3,FALSE),0))</f>
        <v>0</v>
      </c>
      <c r="S10" s="71">
        <f>ROUND(战斗节奏!$B$3/SUM(IF(无限模式!$E10="",0,VLOOKUP(无限模式!$E10,'⚪设计'!$C$85:$I$113,4,FALSE)*无限模式!$F10),IF(无限模式!$J10="",0,VLOOKUP(无限模式!$J10,'⚪设计'!$C$85:$I$113,4,FALSE)*无限模式!$K10),IF(无限模式!$O10="",0,VLOOKUP(无限模式!$O10,'⚪设计'!$C$85:$I$113,4,FALSE)*无限模式!$P10),IF(无限模式!$T10="",0,VLOOKUP(无限模式!$T10,'⚪设计'!$C$85:$I$113,4,FALSE)*无限模式!$U10))*IF(O10="",0,VLOOKUP(O10,'⚪设计'!$C$85:$I$113,4,FALSE)),0)</f>
        <v>0</v>
      </c>
      <c r="T10" s="71" t="str">
        <f>IF(VLOOKUP(A10,'⚪设计'!$A$205:$G$224,7,FALSE)="","",VLOOKUP(VLOOKUP(A10,'⚪设计'!$A$205:$G$224,7,FALSE),'⚪设计'!$B$85:$D$113,2,FALSE))</f>
        <v/>
      </c>
      <c r="U10" s="71">
        <f t="shared" si="3"/>
        <v>0</v>
      </c>
      <c r="V10" s="71" t="str">
        <f>IF(VLOOKUP($A10,'⚪设计'!$A$229:$K$249,7+4,FALSE)="","",VLOOKUP(A10,'⚪设计'!$A$229:$K$249,7+4,FALSE))</f>
        <v/>
      </c>
      <c r="W10" s="71">
        <f>IF(T10="",0,ROUND(VLOOKUP($A10,'⚪设计'!$A$205:$B$224,2,FALSE)*$B10/SUM(IF($E10="",0,VLOOKUP($E10,'⚪设计'!$C$85:$E$113,3,FALSE))*$F10,IF($J10="",0,VLOOKUP($J10,'⚪设计'!$C$85:$E$113,3,FALSE))*$K10,IF($O10="",0,VLOOKUP($O10,'⚪设计'!$C$85:$E$113,3,FALSE))*$P10,IF($T10="",0,VLOOKUP($T10,'⚪设计'!$C$85:$E$113,3,FALSE))*$U10)*VLOOKUP(T10,'⚪设计'!$C$85:$E$113,3,FALSE),0))</f>
        <v>0</v>
      </c>
      <c r="X10" s="71">
        <f>ROUND(战斗节奏!$B$3/SUM(IF(无限模式!$E10="",0,VLOOKUP(无限模式!$E10,'⚪设计'!$C$85:$I$113,4,FALSE)*无限模式!$F10),IF(无限模式!$J10="",0,VLOOKUP(无限模式!$J10,'⚪设计'!$C$85:$I$113,4,FALSE)*无限模式!$K10),IF(无限模式!$O10="",0,VLOOKUP(无限模式!$O10,'⚪设计'!$C$85:$I$113,4,FALSE)*无限模式!$P10),IF(无限模式!$T10="",0,VLOOKUP(无限模式!$T10,'⚪设计'!$C$85:$I$113,4,FALSE)*无限模式!$U10))*IF(T10="",0,VLOOKUP(T10,'⚪设计'!$C$85:$I$113,4,FALSE)),0)</f>
        <v>0</v>
      </c>
    </row>
    <row r="11" spans="1:24" x14ac:dyDescent="0.2">
      <c r="A11" s="94">
        <v>9</v>
      </c>
      <c r="B11" s="71">
        <f>MAX(MIN(战斗节奏!$C$3-INT(A11/'⚪设计'!$C$55),MOD(A11,'⚪设计'!$C$55)),0)*'⚪设计'!$C$79*防御塔!$C$2+MIN(INT(A11/'⚪设计'!$C$55),战斗节奏!$C$3)*'⚪设计'!$C$80*防御塔!$C$2</f>
        <v>4859.9999999999991</v>
      </c>
      <c r="C11" s="173">
        <v>1.4</v>
      </c>
      <c r="D11" s="173">
        <v>18</v>
      </c>
      <c r="E11" s="71" t="str">
        <f>IF(VLOOKUP(A11,'⚪设计'!$A$205:$G$224,4,FALSE)="","",VLOOKUP(VLOOKUP(A11,'⚪设计'!$A$205:$G$224,4,FALSE),'⚪设计'!$B$85:$D$113,2,FALSE))</f>
        <v>ResUnit_MiFeng2</v>
      </c>
      <c r="F11" s="71">
        <f t="shared" si="0"/>
        <v>12</v>
      </c>
      <c r="G11" s="71">
        <f>IF(VLOOKUP($A11,'⚪设计'!$A$229:$K$249,7+1,FALSE)="","",VLOOKUP(A11,'⚪设计'!$A$229:$K$249,7+1,FALSE))</f>
        <v>1.5</v>
      </c>
      <c r="H11" s="71">
        <f>IF(E11="",0,ROUND(VLOOKUP($A11,'⚪设计'!$A$205:$B$224,2,FALSE)*$B11/SUM(IF($E11="",0,VLOOKUP($E11,'⚪设计'!$C$85:$E$113,3,FALSE))*$F11,IF($J11="",0,VLOOKUP($J11,'⚪设计'!$C$85:$E$113,3,FALSE))*$K11,IF($O11="",0,VLOOKUP($O11,'⚪设计'!$C$85:$E$113,3,FALSE))*$P11,IF($T11="",0,VLOOKUP($T11,'⚪设计'!$C$85:$E$113,3,FALSE))*$U11)*VLOOKUP(E11,'⚪设计'!$C$85:$E$113,3,FALSE),0))</f>
        <v>6943</v>
      </c>
      <c r="I11" s="71">
        <f>ROUND(战斗节奏!$B$3/SUM(IF(无限模式!$E11="",0,VLOOKUP(无限模式!$E11,'⚪设计'!$C$85:$I$113,4,FALSE)*无限模式!$F11),IF(无限模式!$J11="",0,VLOOKUP(无限模式!$J11,'⚪设计'!$C$85:$I$113,4,FALSE)*无限模式!$K11),IF(无限模式!$O11="",0,VLOOKUP(无限模式!$O11,'⚪设计'!$C$85:$I$113,4,FALSE)*无限模式!$P11),IF(无限模式!$T11="",0,VLOOKUP(无限模式!$T11,'⚪设计'!$C$85:$I$113,4,FALSE)*无限模式!$U11))*IF(E11="",0,VLOOKUP(E11,'⚪设计'!$C$85:$I$113,4,FALSE)),0)</f>
        <v>17</v>
      </c>
      <c r="J11" s="71" t="str">
        <f>IF(VLOOKUP(A11,'⚪设计'!$A$205:$G$224,5,FALSE)="","",VLOOKUP(VLOOKUP(A11,'⚪设计'!$A$205:$G$224,5,FALSE),'⚪设计'!$B$85:$D$113,2,FALSE))</f>
        <v>ResUnit_ZhongZi1</v>
      </c>
      <c r="K11" s="71">
        <f t="shared" si="1"/>
        <v>6</v>
      </c>
      <c r="L11" s="71">
        <f>IF(VLOOKUP($A11,'⚪设计'!$A$229:$K$249,7+2,FALSE)="","",VLOOKUP(A11,'⚪设计'!$A$229:$K$249,7+2,FALSE))</f>
        <v>3</v>
      </c>
      <c r="M11" s="71">
        <f>IF(J11="",0,ROUND(VLOOKUP($A11,'⚪设计'!$A$205:$B$224,2,FALSE)*$B11/SUM(IF($E11="",0,VLOOKUP($E11,'⚪设计'!$C$85:$E$113,3,FALSE))*$F11,IF($J11="",0,VLOOKUP($J11,'⚪设计'!$C$85:$E$113,3,FALSE))*$K11,IF($O11="",0,VLOOKUP($O11,'⚪设计'!$C$85:$E$113,3,FALSE))*$P11,IF($T11="",0,VLOOKUP($T11,'⚪设计'!$C$85:$E$113,3,FALSE))*$U11)*VLOOKUP(J11,'⚪设计'!$C$85:$E$113,3,FALSE),0))</f>
        <v>10414</v>
      </c>
      <c r="N11" s="71">
        <f>ROUND(战斗节奏!$B$3/SUM(IF(无限模式!$E11="",0,VLOOKUP(无限模式!$E11,'⚪设计'!$C$85:$I$113,4,FALSE)*无限模式!$F11),IF(无限模式!$J11="",0,VLOOKUP(无限模式!$J11,'⚪设计'!$C$85:$I$113,4,FALSE)*无限模式!$K11),IF(无限模式!$O11="",0,VLOOKUP(无限模式!$O11,'⚪设计'!$C$85:$I$113,4,FALSE)*无限模式!$P11),IF(无限模式!$T11="",0,VLOOKUP(无限模式!$T11,'⚪设计'!$C$85:$I$113,4,FALSE)*无限模式!$U11))*IF(J11="",0,VLOOKUP(J11,'⚪设计'!$C$85:$I$113,4,FALSE)),0)</f>
        <v>17</v>
      </c>
      <c r="O11" s="71" t="str">
        <f>IF(VLOOKUP(A11,'⚪设计'!$A$205:$G$224,6,FALSE)="","",VLOOKUP(VLOOKUP(A11,'⚪设计'!$A$205:$G$224,6,FALSE),'⚪设计'!$B$85:$D$113,2,FALSE))</f>
        <v/>
      </c>
      <c r="P11" s="71">
        <f t="shared" si="2"/>
        <v>0</v>
      </c>
      <c r="Q11" s="71" t="str">
        <f>IF(VLOOKUP($A11,'⚪设计'!$A$229:$K$249,7+3,FALSE)="","",VLOOKUP(A11,'⚪设计'!$A$229:$K$249,7+3,FALSE))</f>
        <v/>
      </c>
      <c r="R11" s="71">
        <f>IF(O11="",0,ROUND(VLOOKUP($A11,'⚪设计'!$A$205:$B$224,2,FALSE)*$B11/SUM(IF($E11="",0,VLOOKUP($E11,'⚪设计'!$C$85:$E$113,3,FALSE))*$F11,IF($J11="",0,VLOOKUP($J11,'⚪设计'!$C$85:$E$113,3,FALSE))*$K11,IF($O11="",0,VLOOKUP($O11,'⚪设计'!$C$85:$E$113,3,FALSE))*$P11,IF($T11="",0,VLOOKUP($T11,'⚪设计'!$C$85:$E$113,3,FALSE))*$U11)*VLOOKUP(O11,'⚪设计'!$C$85:$E$113,3,FALSE),0))</f>
        <v>0</v>
      </c>
      <c r="S11" s="71">
        <f>ROUND(战斗节奏!$B$3/SUM(IF(无限模式!$E11="",0,VLOOKUP(无限模式!$E11,'⚪设计'!$C$85:$I$113,4,FALSE)*无限模式!$F11),IF(无限模式!$J11="",0,VLOOKUP(无限模式!$J11,'⚪设计'!$C$85:$I$113,4,FALSE)*无限模式!$K11),IF(无限模式!$O11="",0,VLOOKUP(无限模式!$O11,'⚪设计'!$C$85:$I$113,4,FALSE)*无限模式!$P11),IF(无限模式!$T11="",0,VLOOKUP(无限模式!$T11,'⚪设计'!$C$85:$I$113,4,FALSE)*无限模式!$U11))*IF(O11="",0,VLOOKUP(O11,'⚪设计'!$C$85:$I$113,4,FALSE)),0)</f>
        <v>0</v>
      </c>
      <c r="T11" s="71" t="str">
        <f>IF(VLOOKUP(A11,'⚪设计'!$A$205:$G$224,7,FALSE)="","",VLOOKUP(VLOOKUP(A11,'⚪设计'!$A$205:$G$224,7,FALSE),'⚪设计'!$B$85:$D$113,2,FALSE))</f>
        <v/>
      </c>
      <c r="U11" s="71">
        <f t="shared" si="3"/>
        <v>0</v>
      </c>
      <c r="V11" s="71" t="str">
        <f>IF(VLOOKUP($A11,'⚪设计'!$A$229:$K$249,7+4,FALSE)="","",VLOOKUP(A11,'⚪设计'!$A$229:$K$249,7+4,FALSE))</f>
        <v/>
      </c>
      <c r="W11" s="71">
        <f>IF(T11="",0,ROUND(VLOOKUP($A11,'⚪设计'!$A$205:$B$224,2,FALSE)*$B11/SUM(IF($E11="",0,VLOOKUP($E11,'⚪设计'!$C$85:$E$113,3,FALSE))*$F11,IF($J11="",0,VLOOKUP($J11,'⚪设计'!$C$85:$E$113,3,FALSE))*$K11,IF($O11="",0,VLOOKUP($O11,'⚪设计'!$C$85:$E$113,3,FALSE))*$P11,IF($T11="",0,VLOOKUP($T11,'⚪设计'!$C$85:$E$113,3,FALSE))*$U11)*VLOOKUP(T11,'⚪设计'!$C$85:$E$113,3,FALSE),0))</f>
        <v>0</v>
      </c>
      <c r="X11" s="71">
        <f>ROUND(战斗节奏!$B$3/SUM(IF(无限模式!$E11="",0,VLOOKUP(无限模式!$E11,'⚪设计'!$C$85:$I$113,4,FALSE)*无限模式!$F11),IF(无限模式!$J11="",0,VLOOKUP(无限模式!$J11,'⚪设计'!$C$85:$I$113,4,FALSE)*无限模式!$K11),IF(无限模式!$O11="",0,VLOOKUP(无限模式!$O11,'⚪设计'!$C$85:$I$113,4,FALSE)*无限模式!$P11),IF(无限模式!$T11="",0,VLOOKUP(无限模式!$T11,'⚪设计'!$C$85:$I$113,4,FALSE)*无限模式!$U11))*IF(T11="",0,VLOOKUP(T11,'⚪设计'!$C$85:$I$113,4,FALSE)),0)</f>
        <v>0</v>
      </c>
    </row>
    <row r="12" spans="1:24" x14ac:dyDescent="0.2">
      <c r="A12" s="94">
        <v>10</v>
      </c>
      <c r="B12" s="71">
        <f>MAX(MIN(战斗节奏!$C$3-INT(A12/'⚪设计'!$C$55),MOD(A12,'⚪设计'!$C$55)),0)*'⚪设计'!$C$79*防御塔!$C$2+MIN(INT(A12/'⚪设计'!$C$55),战斗节奏!$C$3)*'⚪设计'!$C$80*防御塔!$C$2</f>
        <v>5399.9999999999991</v>
      </c>
      <c r="C12" s="173">
        <v>1.45</v>
      </c>
      <c r="D12" s="173">
        <v>19</v>
      </c>
      <c r="E12" s="71" t="str">
        <f>IF(VLOOKUP(A12,'⚪设计'!$A$205:$G$224,4,FALSE)="","",VLOOKUP(VLOOKUP(A12,'⚪设计'!$A$205:$G$224,4,FALSE),'⚪设计'!$B$85:$D$113,2,FALSE))</f>
        <v>ResUnit_MiFeng2</v>
      </c>
      <c r="F12" s="71">
        <f t="shared" si="0"/>
        <v>19</v>
      </c>
      <c r="G12" s="71">
        <f>IF(VLOOKUP($A12,'⚪设计'!$A$229:$K$249,7+1,FALSE)="","",VLOOKUP(A12,'⚪设计'!$A$229:$K$249,7+1,FALSE))</f>
        <v>1</v>
      </c>
      <c r="H12" s="71">
        <f>IF(E12="",0,ROUND(VLOOKUP($A12,'⚪设计'!$A$205:$B$224,2,FALSE)*$B12/SUM(IF($E12="",0,VLOOKUP($E12,'⚪设计'!$C$85:$E$113,3,FALSE))*$F12,IF($J12="",0,VLOOKUP($J12,'⚪设计'!$C$85:$E$113,3,FALSE))*$K12,IF($O12="",0,VLOOKUP($O12,'⚪设计'!$C$85:$E$113,3,FALSE))*$P12,IF($T12="",0,VLOOKUP($T12,'⚪设计'!$C$85:$E$113,3,FALSE))*$U12)*VLOOKUP(E12,'⚪设计'!$C$85:$E$113,3,FALSE),0))</f>
        <v>7232</v>
      </c>
      <c r="I12" s="71">
        <f>ROUND(战斗节奏!$B$3/SUM(IF(无限模式!$E12="",0,VLOOKUP(无限模式!$E12,'⚪设计'!$C$85:$I$113,4,FALSE)*无限模式!$F12),IF(无限模式!$J12="",0,VLOOKUP(无限模式!$J12,'⚪设计'!$C$85:$I$113,4,FALSE)*无限模式!$K12),IF(无限模式!$O12="",0,VLOOKUP(无限模式!$O12,'⚪设计'!$C$85:$I$113,4,FALSE)*无限模式!$P12),IF(无限模式!$T12="",0,VLOOKUP(无限模式!$T12,'⚪设计'!$C$85:$I$113,4,FALSE)*无限模式!$U12))*IF(E12="",0,VLOOKUP(E12,'⚪设计'!$C$85:$I$113,4,FALSE)),0)</f>
        <v>12</v>
      </c>
      <c r="J12" s="71" t="str">
        <f>IF(VLOOKUP(A12,'⚪设计'!$A$205:$G$224,5,FALSE)="","",VLOOKUP(VLOOKUP(A12,'⚪设计'!$A$205:$G$224,5,FALSE),'⚪设计'!$B$85:$D$113,2,FALSE))</f>
        <v>ResUnit_ZhongZi1</v>
      </c>
      <c r="K12" s="71">
        <f t="shared" si="1"/>
        <v>6</v>
      </c>
      <c r="L12" s="71">
        <f>IF(VLOOKUP($A12,'⚪设计'!$A$229:$K$249,7+2,FALSE)="","",VLOOKUP(A12,'⚪设计'!$A$229:$K$249,7+2,FALSE))</f>
        <v>3</v>
      </c>
      <c r="M12" s="71">
        <f>IF(J12="",0,ROUND(VLOOKUP($A12,'⚪设计'!$A$205:$B$224,2,FALSE)*$B12/SUM(IF($E12="",0,VLOOKUP($E12,'⚪设计'!$C$85:$E$113,3,FALSE))*$F12,IF($J12="",0,VLOOKUP($J12,'⚪设计'!$C$85:$E$113,3,FALSE))*$K12,IF($O12="",0,VLOOKUP($O12,'⚪设计'!$C$85:$E$113,3,FALSE))*$P12,IF($T12="",0,VLOOKUP($T12,'⚪设计'!$C$85:$E$113,3,FALSE))*$U12)*VLOOKUP(J12,'⚪设计'!$C$85:$E$113,3,FALSE),0))</f>
        <v>10848</v>
      </c>
      <c r="N12" s="71">
        <f>ROUND(战斗节奏!$B$3/SUM(IF(无限模式!$E12="",0,VLOOKUP(无限模式!$E12,'⚪设计'!$C$85:$I$113,4,FALSE)*无限模式!$F12),IF(无限模式!$J12="",0,VLOOKUP(无限模式!$J12,'⚪设计'!$C$85:$I$113,4,FALSE)*无限模式!$K12),IF(无限模式!$O12="",0,VLOOKUP(无限模式!$O12,'⚪设计'!$C$85:$I$113,4,FALSE)*无限模式!$P12),IF(无限模式!$T12="",0,VLOOKUP(无限模式!$T12,'⚪设计'!$C$85:$I$113,4,FALSE)*无限模式!$U12))*IF(J12="",0,VLOOKUP(J12,'⚪设计'!$C$85:$I$113,4,FALSE)),0)</f>
        <v>12</v>
      </c>
      <c r="O12" s="71" t="str">
        <f>IF(VLOOKUP(A12,'⚪设计'!$A$205:$G$224,6,FALSE)="","",VLOOKUP(VLOOKUP(A12,'⚪设计'!$A$205:$G$224,6,FALSE),'⚪设计'!$B$85:$D$113,2,FALSE))</f>
        <v/>
      </c>
      <c r="P12" s="71">
        <f t="shared" si="2"/>
        <v>0</v>
      </c>
      <c r="Q12" s="71" t="str">
        <f>IF(VLOOKUP($A12,'⚪设计'!$A$229:$K$249,7+3,FALSE)="","",VLOOKUP(A12,'⚪设计'!$A$229:$K$249,7+3,FALSE))</f>
        <v/>
      </c>
      <c r="R12" s="71">
        <f>IF(O12="",0,ROUND(VLOOKUP($A12,'⚪设计'!$A$205:$B$224,2,FALSE)*$B12/SUM(IF($E12="",0,VLOOKUP($E12,'⚪设计'!$C$85:$E$113,3,FALSE))*$F12,IF($J12="",0,VLOOKUP($J12,'⚪设计'!$C$85:$E$113,3,FALSE))*$K12,IF($O12="",0,VLOOKUP($O12,'⚪设计'!$C$85:$E$113,3,FALSE))*$P12,IF($T12="",0,VLOOKUP($T12,'⚪设计'!$C$85:$E$113,3,FALSE))*$U12)*VLOOKUP(O12,'⚪设计'!$C$85:$E$113,3,FALSE),0))</f>
        <v>0</v>
      </c>
      <c r="S12" s="71">
        <f>ROUND(战斗节奏!$B$3/SUM(IF(无限模式!$E12="",0,VLOOKUP(无限模式!$E12,'⚪设计'!$C$85:$I$113,4,FALSE)*无限模式!$F12),IF(无限模式!$J12="",0,VLOOKUP(无限模式!$J12,'⚪设计'!$C$85:$I$113,4,FALSE)*无限模式!$K12),IF(无限模式!$O12="",0,VLOOKUP(无限模式!$O12,'⚪设计'!$C$85:$I$113,4,FALSE)*无限模式!$P12),IF(无限模式!$T12="",0,VLOOKUP(无限模式!$T12,'⚪设计'!$C$85:$I$113,4,FALSE)*无限模式!$U12))*IF(O12="",0,VLOOKUP(O12,'⚪设计'!$C$85:$I$113,4,FALSE)),0)</f>
        <v>0</v>
      </c>
      <c r="T12" s="71" t="str">
        <f>IF(VLOOKUP(A12,'⚪设计'!$A$205:$G$224,7,FALSE)="","",VLOOKUP(VLOOKUP(A12,'⚪设计'!$A$205:$G$224,7,FALSE),'⚪设计'!$B$85:$D$113,2,FALSE))</f>
        <v/>
      </c>
      <c r="U12" s="71">
        <f t="shared" si="3"/>
        <v>0</v>
      </c>
      <c r="V12" s="71" t="str">
        <f>IF(VLOOKUP($A12,'⚪设计'!$A$229:$K$249,7+4,FALSE)="","",VLOOKUP(A12,'⚪设计'!$A$229:$K$249,7+4,FALSE))</f>
        <v/>
      </c>
      <c r="W12" s="71">
        <f>IF(T12="",0,ROUND(VLOOKUP($A12,'⚪设计'!$A$205:$B$224,2,FALSE)*$B12/SUM(IF($E12="",0,VLOOKUP($E12,'⚪设计'!$C$85:$E$113,3,FALSE))*$F12,IF($J12="",0,VLOOKUP($J12,'⚪设计'!$C$85:$E$113,3,FALSE))*$K12,IF($O12="",0,VLOOKUP($O12,'⚪设计'!$C$85:$E$113,3,FALSE))*$P12,IF($T12="",0,VLOOKUP($T12,'⚪设计'!$C$85:$E$113,3,FALSE))*$U12)*VLOOKUP(T12,'⚪设计'!$C$85:$E$113,3,FALSE),0))</f>
        <v>0</v>
      </c>
      <c r="X12" s="71">
        <f>ROUND(战斗节奏!$B$3/SUM(IF(无限模式!$E12="",0,VLOOKUP(无限模式!$E12,'⚪设计'!$C$85:$I$113,4,FALSE)*无限模式!$F12),IF(无限模式!$J12="",0,VLOOKUP(无限模式!$J12,'⚪设计'!$C$85:$I$113,4,FALSE)*无限模式!$K12),IF(无限模式!$O12="",0,VLOOKUP(无限模式!$O12,'⚪设计'!$C$85:$I$113,4,FALSE)*无限模式!$P12),IF(无限模式!$T12="",0,VLOOKUP(无限模式!$T12,'⚪设计'!$C$85:$I$113,4,FALSE)*无限模式!$U12))*IF(T12="",0,VLOOKUP(T12,'⚪设计'!$C$85:$I$113,4,FALSE)),0)</f>
        <v>0</v>
      </c>
    </row>
    <row r="13" spans="1:24" x14ac:dyDescent="0.2">
      <c r="A13" s="94">
        <v>11</v>
      </c>
      <c r="B13" s="71">
        <f>MAX(MIN(战斗节奏!$C$3-INT(A13/'⚪设计'!$C$55),MOD(A13,'⚪设计'!$C$55)),0)*'⚪设计'!$C$79*防御塔!$C$2+MIN(INT(A13/'⚪设计'!$C$55),战斗节奏!$C$3)*'⚪设计'!$C$80*防御塔!$C$2</f>
        <v>5939.9999999999991</v>
      </c>
      <c r="C13" s="173">
        <v>1.5</v>
      </c>
      <c r="D13" s="173">
        <v>20</v>
      </c>
      <c r="E13" s="71" t="str">
        <f>IF(VLOOKUP(A13,'⚪设计'!$A$205:$G$224,4,FALSE)="","",VLOOKUP(VLOOKUP(A13,'⚪设计'!$A$205:$G$224,4,FALSE),'⚪设计'!$B$85:$D$113,2,FALSE))</f>
        <v>ResUnit_ZhongZi1</v>
      </c>
      <c r="F13" s="71">
        <f t="shared" si="0"/>
        <v>20</v>
      </c>
      <c r="G13" s="71">
        <f>IF(VLOOKUP($A13,'⚪设计'!$A$229:$K$249,7+1,FALSE)="","",VLOOKUP(A13,'⚪设计'!$A$229:$K$249,7+1,FALSE))</f>
        <v>1</v>
      </c>
      <c r="H13" s="71">
        <f>IF(E13="",0,ROUND(VLOOKUP($A13,'⚪设计'!$A$205:$B$224,2,FALSE)*$B13/SUM(IF($E13="",0,VLOOKUP($E13,'⚪设计'!$C$85:$E$113,3,FALSE))*$F13,IF($J13="",0,VLOOKUP($J13,'⚪设计'!$C$85:$E$113,3,FALSE))*$K13,IF($O13="",0,VLOOKUP($O13,'⚪设计'!$C$85:$E$113,3,FALSE))*$P13,IF($T13="",0,VLOOKUP($T13,'⚪设计'!$C$85:$E$113,3,FALSE))*$U13)*VLOOKUP(E13,'⚪设计'!$C$85:$E$113,3,FALSE),0))</f>
        <v>10024</v>
      </c>
      <c r="I13" s="71">
        <f>ROUND(战斗节奏!$B$3/SUM(IF(无限模式!$E13="",0,VLOOKUP(无限模式!$E13,'⚪设计'!$C$85:$I$113,4,FALSE)*无限模式!$F13),IF(无限模式!$J13="",0,VLOOKUP(无限模式!$J13,'⚪设计'!$C$85:$I$113,4,FALSE)*无限模式!$K13),IF(无限模式!$O13="",0,VLOOKUP(无限模式!$O13,'⚪设计'!$C$85:$I$113,4,FALSE)*无限模式!$P13),IF(无限模式!$T13="",0,VLOOKUP(无限模式!$T13,'⚪设计'!$C$85:$I$113,4,FALSE)*无限模式!$U13))*IF(E13="",0,VLOOKUP(E13,'⚪设计'!$C$85:$I$113,4,FALSE)),0)</f>
        <v>12</v>
      </c>
      <c r="J13" s="71" t="str">
        <f>IF(VLOOKUP(A13,'⚪设计'!$A$205:$G$224,5,FALSE)="","",VLOOKUP(VLOOKUP(A13,'⚪设计'!$A$205:$G$224,5,FALSE),'⚪设计'!$B$85:$D$113,2,FALSE))</f>
        <v>ResUnit_ZhiZhu2</v>
      </c>
      <c r="K13" s="71">
        <f t="shared" si="1"/>
        <v>10</v>
      </c>
      <c r="L13" s="71">
        <f>IF(VLOOKUP($A13,'⚪设计'!$A$229:$K$249,7+2,FALSE)="","",VLOOKUP(A13,'⚪设计'!$A$229:$K$249,7+2,FALSE))</f>
        <v>2</v>
      </c>
      <c r="M13" s="71">
        <f>IF(J13="",0,ROUND(VLOOKUP($A13,'⚪设计'!$A$205:$B$224,2,FALSE)*$B13/SUM(IF($E13="",0,VLOOKUP($E13,'⚪设计'!$C$85:$E$113,3,FALSE))*$F13,IF($J13="",0,VLOOKUP($J13,'⚪设计'!$C$85:$E$113,3,FALSE))*$K13,IF($O13="",0,VLOOKUP($O13,'⚪设计'!$C$85:$E$113,3,FALSE))*$P13,IF($T13="",0,VLOOKUP($T13,'⚪设计'!$C$85:$E$113,3,FALSE))*$U13)*VLOOKUP(J13,'⚪设计'!$C$85:$E$113,3,FALSE),0))</f>
        <v>6683</v>
      </c>
      <c r="N13" s="71">
        <f>ROUND(战斗节奏!$B$3/SUM(IF(无限模式!$E13="",0,VLOOKUP(无限模式!$E13,'⚪设计'!$C$85:$I$113,4,FALSE)*无限模式!$F13),IF(无限模式!$J13="",0,VLOOKUP(无限模式!$J13,'⚪设计'!$C$85:$I$113,4,FALSE)*无限模式!$K13),IF(无限模式!$O13="",0,VLOOKUP(无限模式!$O13,'⚪设计'!$C$85:$I$113,4,FALSE)*无限模式!$P13),IF(无限模式!$T13="",0,VLOOKUP(无限模式!$T13,'⚪设计'!$C$85:$I$113,4,FALSE)*无限模式!$U13))*IF(J13="",0,VLOOKUP(J13,'⚪设计'!$C$85:$I$113,4,FALSE)),0)</f>
        <v>6</v>
      </c>
      <c r="O13" s="71" t="str">
        <f>IF(VLOOKUP(A13,'⚪设计'!$A$205:$G$224,6,FALSE)="","",VLOOKUP(VLOOKUP(A13,'⚪设计'!$A$205:$G$224,6,FALSE),'⚪设计'!$B$85:$D$113,2,FALSE))</f>
        <v/>
      </c>
      <c r="P13" s="71">
        <f t="shared" si="2"/>
        <v>0</v>
      </c>
      <c r="Q13" s="71" t="str">
        <f>IF(VLOOKUP($A13,'⚪设计'!$A$229:$K$249,7+3,FALSE)="","",VLOOKUP(A13,'⚪设计'!$A$229:$K$249,7+3,FALSE))</f>
        <v/>
      </c>
      <c r="R13" s="71">
        <f>IF(O13="",0,ROUND(VLOOKUP($A13,'⚪设计'!$A$205:$B$224,2,FALSE)*$B13/SUM(IF($E13="",0,VLOOKUP($E13,'⚪设计'!$C$85:$E$113,3,FALSE))*$F13,IF($J13="",0,VLOOKUP($J13,'⚪设计'!$C$85:$E$113,3,FALSE))*$K13,IF($O13="",0,VLOOKUP($O13,'⚪设计'!$C$85:$E$113,3,FALSE))*$P13,IF($T13="",0,VLOOKUP($T13,'⚪设计'!$C$85:$E$113,3,FALSE))*$U13)*VLOOKUP(O13,'⚪设计'!$C$85:$E$113,3,FALSE),0))</f>
        <v>0</v>
      </c>
      <c r="S13" s="71">
        <f>ROUND(战斗节奏!$B$3/SUM(IF(无限模式!$E13="",0,VLOOKUP(无限模式!$E13,'⚪设计'!$C$85:$I$113,4,FALSE)*无限模式!$F13),IF(无限模式!$J13="",0,VLOOKUP(无限模式!$J13,'⚪设计'!$C$85:$I$113,4,FALSE)*无限模式!$K13),IF(无限模式!$O13="",0,VLOOKUP(无限模式!$O13,'⚪设计'!$C$85:$I$113,4,FALSE)*无限模式!$P13),IF(无限模式!$T13="",0,VLOOKUP(无限模式!$T13,'⚪设计'!$C$85:$I$113,4,FALSE)*无限模式!$U13))*IF(O13="",0,VLOOKUP(O13,'⚪设计'!$C$85:$I$113,4,FALSE)),0)</f>
        <v>0</v>
      </c>
      <c r="T13" s="71" t="str">
        <f>IF(VLOOKUP(A13,'⚪设计'!$A$205:$G$224,7,FALSE)="","",VLOOKUP(VLOOKUP(A13,'⚪设计'!$A$205:$G$224,7,FALSE),'⚪设计'!$B$85:$D$113,2,FALSE))</f>
        <v/>
      </c>
      <c r="U13" s="71">
        <f t="shared" si="3"/>
        <v>0</v>
      </c>
      <c r="V13" s="71" t="str">
        <f>IF(VLOOKUP($A13,'⚪设计'!$A$229:$K$249,7+4,FALSE)="","",VLOOKUP(A13,'⚪设计'!$A$229:$K$249,7+4,FALSE))</f>
        <v/>
      </c>
      <c r="W13" s="71">
        <f>IF(T13="",0,ROUND(VLOOKUP($A13,'⚪设计'!$A$205:$B$224,2,FALSE)*$B13/SUM(IF($E13="",0,VLOOKUP($E13,'⚪设计'!$C$85:$E$113,3,FALSE))*$F13,IF($J13="",0,VLOOKUP($J13,'⚪设计'!$C$85:$E$113,3,FALSE))*$K13,IF($O13="",0,VLOOKUP($O13,'⚪设计'!$C$85:$E$113,3,FALSE))*$P13,IF($T13="",0,VLOOKUP($T13,'⚪设计'!$C$85:$E$113,3,FALSE))*$U13)*VLOOKUP(T13,'⚪设计'!$C$85:$E$113,3,FALSE),0))</f>
        <v>0</v>
      </c>
      <c r="X13" s="71">
        <f>ROUND(战斗节奏!$B$3/SUM(IF(无限模式!$E13="",0,VLOOKUP(无限模式!$E13,'⚪设计'!$C$85:$I$113,4,FALSE)*无限模式!$F13),IF(无限模式!$J13="",0,VLOOKUP(无限模式!$J13,'⚪设计'!$C$85:$I$113,4,FALSE)*无限模式!$K13),IF(无限模式!$O13="",0,VLOOKUP(无限模式!$O13,'⚪设计'!$C$85:$I$113,4,FALSE)*无限模式!$P13),IF(无限模式!$T13="",0,VLOOKUP(无限模式!$T13,'⚪设计'!$C$85:$I$113,4,FALSE)*无限模式!$U13))*IF(T13="",0,VLOOKUP(T13,'⚪设计'!$C$85:$I$113,4,FALSE)),0)</f>
        <v>0</v>
      </c>
    </row>
    <row r="14" spans="1:24" x14ac:dyDescent="0.2">
      <c r="A14" s="94">
        <v>12</v>
      </c>
      <c r="B14" s="71">
        <f>MAX(MIN(战斗节奏!$C$3-INT(A14/'⚪设计'!$C$55),MOD(A14,'⚪设计'!$C$55)),0)*'⚪设计'!$C$79*防御塔!$C$2+MIN(INT(A14/'⚪设计'!$C$55),战斗节奏!$C$3)*'⚪设计'!$C$80*防御塔!$C$2</f>
        <v>6480</v>
      </c>
      <c r="C14" s="173">
        <v>1.55</v>
      </c>
      <c r="D14" s="173">
        <v>21</v>
      </c>
      <c r="E14" s="71" t="str">
        <f>IF(VLOOKUP(A14,'⚪设计'!$A$205:$G$224,4,FALSE)="","",VLOOKUP(VLOOKUP(A14,'⚪设计'!$A$205:$G$224,4,FALSE),'⚪设计'!$B$85:$D$113,2,FALSE))</f>
        <v>ResUnit_MiFeng2</v>
      </c>
      <c r="F14" s="71">
        <f t="shared" si="0"/>
        <v>21</v>
      </c>
      <c r="G14" s="71">
        <f>IF(VLOOKUP($A14,'⚪设计'!$A$229:$K$249,7+1,FALSE)="","",VLOOKUP(A14,'⚪设计'!$A$229:$K$249,7+1,FALSE))</f>
        <v>1</v>
      </c>
      <c r="H14" s="71">
        <f>IF(E14="",0,ROUND(VLOOKUP($A14,'⚪设计'!$A$205:$B$224,2,FALSE)*$B14/SUM(IF($E14="",0,VLOOKUP($E14,'⚪设计'!$C$85:$E$113,3,FALSE))*$F14,IF($J14="",0,VLOOKUP($J14,'⚪设计'!$C$85:$E$113,3,FALSE))*$K14,IF($O14="",0,VLOOKUP($O14,'⚪设计'!$C$85:$E$113,3,FALSE))*$P14,IF($T14="",0,VLOOKUP($T14,'⚪设计'!$C$85:$E$113,3,FALSE))*$U14)*VLOOKUP(E14,'⚪设计'!$C$85:$E$113,3,FALSE),0))</f>
        <v>6291</v>
      </c>
      <c r="I14" s="71">
        <f>ROUND(战斗节奏!$B$3/SUM(IF(无限模式!$E14="",0,VLOOKUP(无限模式!$E14,'⚪设计'!$C$85:$I$113,4,FALSE)*无限模式!$F14),IF(无限模式!$J14="",0,VLOOKUP(无限模式!$J14,'⚪设计'!$C$85:$I$113,4,FALSE)*无限模式!$K14),IF(无限模式!$O14="",0,VLOOKUP(无限模式!$O14,'⚪设计'!$C$85:$I$113,4,FALSE)*无限模式!$P14),IF(无限模式!$T14="",0,VLOOKUP(无限模式!$T14,'⚪设计'!$C$85:$I$113,4,FALSE)*无限模式!$U14))*IF(E14="",0,VLOOKUP(E14,'⚪设计'!$C$85:$I$113,4,FALSE)),0)</f>
        <v>6</v>
      </c>
      <c r="J14" s="71" t="str">
        <f>IF(VLOOKUP(A14,'⚪设计'!$A$205:$G$224,5,FALSE)="","",VLOOKUP(VLOOKUP(A14,'⚪设计'!$A$205:$G$224,5,FALSE),'⚪设计'!$B$85:$D$113,2,FALSE))</f>
        <v>ResUnit_ZhongZi1</v>
      </c>
      <c r="K14" s="71">
        <f t="shared" si="1"/>
        <v>7</v>
      </c>
      <c r="L14" s="71">
        <f>IF(VLOOKUP($A14,'⚪设计'!$A$229:$K$249,7+2,FALSE)="","",VLOOKUP(A14,'⚪设计'!$A$229:$K$249,7+2,FALSE))</f>
        <v>3</v>
      </c>
      <c r="M14" s="71">
        <f>IF(J14="",0,ROUND(VLOOKUP($A14,'⚪设计'!$A$205:$B$224,2,FALSE)*$B14/SUM(IF($E14="",0,VLOOKUP($E14,'⚪设计'!$C$85:$E$113,3,FALSE))*$F14,IF($J14="",0,VLOOKUP($J14,'⚪设计'!$C$85:$E$113,3,FALSE))*$K14,IF($O14="",0,VLOOKUP($O14,'⚪设计'!$C$85:$E$113,3,FALSE))*$P14,IF($T14="",0,VLOOKUP($T14,'⚪设计'!$C$85:$E$113,3,FALSE))*$U14)*VLOOKUP(J14,'⚪设计'!$C$85:$E$113,3,FALSE),0))</f>
        <v>9437</v>
      </c>
      <c r="N14" s="71">
        <f>ROUND(战斗节奏!$B$3/SUM(IF(无限模式!$E14="",0,VLOOKUP(无限模式!$E14,'⚪设计'!$C$85:$I$113,4,FALSE)*无限模式!$F14),IF(无限模式!$J14="",0,VLOOKUP(无限模式!$J14,'⚪设计'!$C$85:$I$113,4,FALSE)*无限模式!$K14),IF(无限模式!$O14="",0,VLOOKUP(无限模式!$O14,'⚪设计'!$C$85:$I$113,4,FALSE)*无限模式!$P14),IF(无限模式!$T14="",0,VLOOKUP(无限模式!$T14,'⚪设计'!$C$85:$I$113,4,FALSE)*无限模式!$U14))*IF(J14="",0,VLOOKUP(J14,'⚪设计'!$C$85:$I$113,4,FALSE)),0)</f>
        <v>6</v>
      </c>
      <c r="O14" s="71" t="str">
        <f>IF(VLOOKUP(A14,'⚪设计'!$A$205:$G$224,6,FALSE)="","",VLOOKUP(VLOOKUP(A14,'⚪设计'!$A$205:$G$224,6,FALSE),'⚪设计'!$B$85:$D$113,2,FALSE))</f>
        <v>ResUnit_ZhongZi3</v>
      </c>
      <c r="P14" s="71">
        <f t="shared" si="2"/>
        <v>1</v>
      </c>
      <c r="Q14" s="71">
        <f>IF(VLOOKUP($A14,'⚪设计'!$A$229:$K$249,7+3,FALSE)="","",VLOOKUP(A14,'⚪设计'!$A$229:$K$249,7+3,FALSE))</f>
        <v>0</v>
      </c>
      <c r="R14" s="71">
        <f>IF(O14="",0,ROUND(VLOOKUP($A14,'⚪设计'!$A$205:$B$224,2,FALSE)*$B14/SUM(IF($E14="",0,VLOOKUP($E14,'⚪设计'!$C$85:$E$113,3,FALSE))*$F14,IF($J14="",0,VLOOKUP($J14,'⚪设计'!$C$85:$E$113,3,FALSE))*$K14,IF($O14="",0,VLOOKUP($O14,'⚪设计'!$C$85:$E$113,3,FALSE))*$P14,IF($T14="",0,VLOOKUP($T14,'⚪设计'!$C$85:$E$113,3,FALSE))*$U14)*VLOOKUP(O14,'⚪设计'!$C$85:$E$113,3,FALSE),0))</f>
        <v>125825</v>
      </c>
      <c r="S14" s="71">
        <f>ROUND(战斗节奏!$B$3/SUM(IF(无限模式!$E14="",0,VLOOKUP(无限模式!$E14,'⚪设计'!$C$85:$I$113,4,FALSE)*无限模式!$F14),IF(无限模式!$J14="",0,VLOOKUP(无限模式!$J14,'⚪设计'!$C$85:$I$113,4,FALSE)*无限模式!$K14),IF(无限模式!$O14="",0,VLOOKUP(无限模式!$O14,'⚪设计'!$C$85:$I$113,4,FALSE)*无限模式!$P14),IF(无限模式!$T14="",0,VLOOKUP(无限模式!$T14,'⚪设计'!$C$85:$I$113,4,FALSE)*无限模式!$U14))*IF(O14="",0,VLOOKUP(O14,'⚪设计'!$C$85:$I$113,4,FALSE)),0)</f>
        <v>125</v>
      </c>
      <c r="T14" s="71" t="str">
        <f>IF(VLOOKUP(A14,'⚪设计'!$A$205:$G$224,7,FALSE)="","",VLOOKUP(VLOOKUP(A14,'⚪设计'!$A$205:$G$224,7,FALSE),'⚪设计'!$B$85:$D$113,2,FALSE))</f>
        <v/>
      </c>
      <c r="U14" s="71">
        <f t="shared" si="3"/>
        <v>0</v>
      </c>
      <c r="V14" s="71" t="str">
        <f>IF(VLOOKUP($A14,'⚪设计'!$A$229:$K$249,7+4,FALSE)="","",VLOOKUP(A14,'⚪设计'!$A$229:$K$249,7+4,FALSE))</f>
        <v/>
      </c>
      <c r="W14" s="71">
        <f>IF(T14="",0,ROUND(VLOOKUP($A14,'⚪设计'!$A$205:$B$224,2,FALSE)*$B14/SUM(IF($E14="",0,VLOOKUP($E14,'⚪设计'!$C$85:$E$113,3,FALSE))*$F14,IF($J14="",0,VLOOKUP($J14,'⚪设计'!$C$85:$E$113,3,FALSE))*$K14,IF($O14="",0,VLOOKUP($O14,'⚪设计'!$C$85:$E$113,3,FALSE))*$P14,IF($T14="",0,VLOOKUP($T14,'⚪设计'!$C$85:$E$113,3,FALSE))*$U14)*VLOOKUP(T14,'⚪设计'!$C$85:$E$113,3,FALSE),0))</f>
        <v>0</v>
      </c>
      <c r="X14" s="71">
        <f>ROUND(战斗节奏!$B$3/SUM(IF(无限模式!$E14="",0,VLOOKUP(无限模式!$E14,'⚪设计'!$C$85:$I$113,4,FALSE)*无限模式!$F14),IF(无限模式!$J14="",0,VLOOKUP(无限模式!$J14,'⚪设计'!$C$85:$I$113,4,FALSE)*无限模式!$K14),IF(无限模式!$O14="",0,VLOOKUP(无限模式!$O14,'⚪设计'!$C$85:$I$113,4,FALSE)*无限模式!$P14),IF(无限模式!$T14="",0,VLOOKUP(无限模式!$T14,'⚪设计'!$C$85:$I$113,4,FALSE)*无限模式!$U14))*IF(T14="",0,VLOOKUP(T14,'⚪设计'!$C$85:$I$113,4,FALSE)),0)</f>
        <v>0</v>
      </c>
    </row>
    <row r="15" spans="1:24" x14ac:dyDescent="0.2">
      <c r="A15" s="94">
        <v>13</v>
      </c>
      <c r="B15" s="71">
        <f>MAX(MIN(战斗节奏!$C$3-INT(A15/'⚪设计'!$C$55),MOD(A15,'⚪设计'!$C$55)),0)*'⚪设计'!$C$79*防御塔!$C$2+MIN(INT(A15/'⚪设计'!$C$55),战斗节奏!$C$3)*'⚪设计'!$C$80*防御塔!$C$2</f>
        <v>7020</v>
      </c>
      <c r="C15" s="173">
        <v>1.6</v>
      </c>
      <c r="D15" s="173">
        <v>22</v>
      </c>
      <c r="E15" s="71" t="str">
        <f>IF(VLOOKUP(A15,'⚪设计'!$A$205:$G$224,4,FALSE)="","",VLOOKUP(VLOOKUP(A15,'⚪设计'!$A$205:$G$224,4,FALSE),'⚪设计'!$B$85:$D$113,2,FALSE))</f>
        <v>ResUnit_Gui1</v>
      </c>
      <c r="F15" s="71">
        <f t="shared" si="0"/>
        <v>15</v>
      </c>
      <c r="G15" s="71">
        <f>IF(VLOOKUP($A15,'⚪设计'!$A$229:$K$249,7+1,FALSE)="","",VLOOKUP(A15,'⚪设计'!$A$229:$K$249,7+1,FALSE))</f>
        <v>1.5</v>
      </c>
      <c r="H15" s="71">
        <f>IF(E15="",0,ROUND(VLOOKUP($A15,'⚪设计'!$A$205:$B$224,2,FALSE)*$B15/SUM(IF($E15="",0,VLOOKUP($E15,'⚪设计'!$C$85:$E$113,3,FALSE))*$F15,IF($J15="",0,VLOOKUP($J15,'⚪设计'!$C$85:$E$113,3,FALSE))*$K15,IF($O15="",0,VLOOKUP($O15,'⚪设计'!$C$85:$E$113,3,FALSE))*$P15,IF($T15="",0,VLOOKUP($T15,'⚪设计'!$C$85:$E$113,3,FALSE))*$U15)*VLOOKUP(E15,'⚪设计'!$C$85:$E$113,3,FALSE),0))</f>
        <v>32760</v>
      </c>
      <c r="I15" s="71">
        <f>ROUND(战斗节奏!$B$3/SUM(IF(无限模式!$E15="",0,VLOOKUP(无限模式!$E15,'⚪设计'!$C$85:$I$113,4,FALSE)*无限模式!$F15),IF(无限模式!$J15="",0,VLOOKUP(无限模式!$J15,'⚪设计'!$C$85:$I$113,4,FALSE)*无限模式!$K15),IF(无限模式!$O15="",0,VLOOKUP(无限模式!$O15,'⚪设计'!$C$85:$I$113,4,FALSE)*无限模式!$P15),IF(无限模式!$T15="",0,VLOOKUP(无限模式!$T15,'⚪设计'!$C$85:$I$113,4,FALSE)*无限模式!$U15))*IF(E15="",0,VLOOKUP(E15,'⚪设计'!$C$85:$I$113,4,FALSE)),0)</f>
        <v>20</v>
      </c>
      <c r="J15" s="71" t="str">
        <f>IF(VLOOKUP(A15,'⚪设计'!$A$205:$G$224,5,FALSE)="","",VLOOKUP(VLOOKUP(A15,'⚪设计'!$A$205:$G$224,5,FALSE),'⚪设计'!$B$85:$D$113,2,FALSE))</f>
        <v/>
      </c>
      <c r="K15" s="71">
        <f t="shared" si="1"/>
        <v>0</v>
      </c>
      <c r="L15" s="71" t="str">
        <f>IF(VLOOKUP($A15,'⚪设计'!$A$229:$K$249,7+2,FALSE)="","",VLOOKUP(A15,'⚪设计'!$A$229:$K$249,7+2,FALSE))</f>
        <v/>
      </c>
      <c r="M15" s="71">
        <f>IF(J15="",0,ROUND(VLOOKUP($A15,'⚪设计'!$A$205:$B$224,2,FALSE)*$B15/SUM(IF($E15="",0,VLOOKUP($E15,'⚪设计'!$C$85:$E$113,3,FALSE))*$F15,IF($J15="",0,VLOOKUP($J15,'⚪设计'!$C$85:$E$113,3,FALSE))*$K15,IF($O15="",0,VLOOKUP($O15,'⚪设计'!$C$85:$E$113,3,FALSE))*$P15,IF($T15="",0,VLOOKUP($T15,'⚪设计'!$C$85:$E$113,3,FALSE))*$U15)*VLOOKUP(J15,'⚪设计'!$C$85:$E$113,3,FALSE),0))</f>
        <v>0</v>
      </c>
      <c r="N15" s="71">
        <f>ROUND(战斗节奏!$B$3/SUM(IF(无限模式!$E15="",0,VLOOKUP(无限模式!$E15,'⚪设计'!$C$85:$I$113,4,FALSE)*无限模式!$F15),IF(无限模式!$J15="",0,VLOOKUP(无限模式!$J15,'⚪设计'!$C$85:$I$113,4,FALSE)*无限模式!$K15),IF(无限模式!$O15="",0,VLOOKUP(无限模式!$O15,'⚪设计'!$C$85:$I$113,4,FALSE)*无限模式!$P15),IF(无限模式!$T15="",0,VLOOKUP(无限模式!$T15,'⚪设计'!$C$85:$I$113,4,FALSE)*无限模式!$U15))*IF(J15="",0,VLOOKUP(J15,'⚪设计'!$C$85:$I$113,4,FALSE)),0)</f>
        <v>0</v>
      </c>
      <c r="O15" s="71" t="str">
        <f>IF(VLOOKUP(A15,'⚪设计'!$A$205:$G$224,6,FALSE)="","",VLOOKUP(VLOOKUP(A15,'⚪设计'!$A$205:$G$224,6,FALSE),'⚪设计'!$B$85:$D$113,2,FALSE))</f>
        <v/>
      </c>
      <c r="P15" s="71">
        <f t="shared" si="2"/>
        <v>0</v>
      </c>
      <c r="Q15" s="71" t="str">
        <f>IF(VLOOKUP($A15,'⚪设计'!$A$229:$K$249,7+3,FALSE)="","",VLOOKUP(A15,'⚪设计'!$A$229:$K$249,7+3,FALSE))</f>
        <v/>
      </c>
      <c r="R15" s="71">
        <f>IF(O15="",0,ROUND(VLOOKUP($A15,'⚪设计'!$A$205:$B$224,2,FALSE)*$B15/SUM(IF($E15="",0,VLOOKUP($E15,'⚪设计'!$C$85:$E$113,3,FALSE))*$F15,IF($J15="",0,VLOOKUP($J15,'⚪设计'!$C$85:$E$113,3,FALSE))*$K15,IF($O15="",0,VLOOKUP($O15,'⚪设计'!$C$85:$E$113,3,FALSE))*$P15,IF($T15="",0,VLOOKUP($T15,'⚪设计'!$C$85:$E$113,3,FALSE))*$U15)*VLOOKUP(O15,'⚪设计'!$C$85:$E$113,3,FALSE),0))</f>
        <v>0</v>
      </c>
      <c r="S15" s="71">
        <f>ROUND(战斗节奏!$B$3/SUM(IF(无限模式!$E15="",0,VLOOKUP(无限模式!$E15,'⚪设计'!$C$85:$I$113,4,FALSE)*无限模式!$F15),IF(无限模式!$J15="",0,VLOOKUP(无限模式!$J15,'⚪设计'!$C$85:$I$113,4,FALSE)*无限模式!$K15),IF(无限模式!$O15="",0,VLOOKUP(无限模式!$O15,'⚪设计'!$C$85:$I$113,4,FALSE)*无限模式!$P15),IF(无限模式!$T15="",0,VLOOKUP(无限模式!$T15,'⚪设计'!$C$85:$I$113,4,FALSE)*无限模式!$U15))*IF(O15="",0,VLOOKUP(O15,'⚪设计'!$C$85:$I$113,4,FALSE)),0)</f>
        <v>0</v>
      </c>
      <c r="T15" s="71" t="str">
        <f>IF(VLOOKUP(A15,'⚪设计'!$A$205:$G$224,7,FALSE)="","",VLOOKUP(VLOOKUP(A15,'⚪设计'!$A$205:$G$224,7,FALSE),'⚪设计'!$B$85:$D$113,2,FALSE))</f>
        <v/>
      </c>
      <c r="U15" s="71">
        <f t="shared" si="3"/>
        <v>0</v>
      </c>
      <c r="V15" s="71" t="str">
        <f>IF(VLOOKUP($A15,'⚪设计'!$A$229:$K$249,7+4,FALSE)="","",VLOOKUP(A15,'⚪设计'!$A$229:$K$249,7+4,FALSE))</f>
        <v/>
      </c>
      <c r="W15" s="71">
        <f>IF(T15="",0,ROUND(VLOOKUP($A15,'⚪设计'!$A$205:$B$224,2,FALSE)*$B15/SUM(IF($E15="",0,VLOOKUP($E15,'⚪设计'!$C$85:$E$113,3,FALSE))*$F15,IF($J15="",0,VLOOKUP($J15,'⚪设计'!$C$85:$E$113,3,FALSE))*$K15,IF($O15="",0,VLOOKUP($O15,'⚪设计'!$C$85:$E$113,3,FALSE))*$P15,IF($T15="",0,VLOOKUP($T15,'⚪设计'!$C$85:$E$113,3,FALSE))*$U15)*VLOOKUP(T15,'⚪设计'!$C$85:$E$113,3,FALSE),0))</f>
        <v>0</v>
      </c>
      <c r="X15" s="71">
        <f>ROUND(战斗节奏!$B$3/SUM(IF(无限模式!$E15="",0,VLOOKUP(无限模式!$E15,'⚪设计'!$C$85:$I$113,4,FALSE)*无限模式!$F15),IF(无限模式!$J15="",0,VLOOKUP(无限模式!$J15,'⚪设计'!$C$85:$I$113,4,FALSE)*无限模式!$K15),IF(无限模式!$O15="",0,VLOOKUP(无限模式!$O15,'⚪设计'!$C$85:$I$113,4,FALSE)*无限模式!$P15),IF(无限模式!$T15="",0,VLOOKUP(无限模式!$T15,'⚪设计'!$C$85:$I$113,4,FALSE)*无限模式!$U15))*IF(T15="",0,VLOOKUP(T15,'⚪设计'!$C$85:$I$113,4,FALSE)),0)</f>
        <v>0</v>
      </c>
    </row>
    <row r="16" spans="1:24" x14ac:dyDescent="0.2">
      <c r="A16" s="94">
        <v>14</v>
      </c>
      <c r="B16" s="71">
        <f>MAX(MIN(战斗节奏!$C$3-INT(A16/'⚪设计'!$C$55),MOD(A16,'⚪设计'!$C$55)),0)*'⚪设计'!$C$79*防御塔!$C$2+MIN(INT(A16/'⚪设计'!$C$55),战斗节奏!$C$3)*'⚪设计'!$C$80*防御塔!$C$2</f>
        <v>7560</v>
      </c>
      <c r="C16" s="173">
        <v>1.65</v>
      </c>
      <c r="D16" s="173">
        <v>23</v>
      </c>
      <c r="E16" s="71" t="str">
        <f>IF(VLOOKUP(A16,'⚪设计'!$A$205:$G$224,4,FALSE)="","",VLOOKUP(VLOOKUP(A16,'⚪设计'!$A$205:$G$224,4,FALSE),'⚪设计'!$B$85:$D$113,2,FALSE))</f>
        <v>ResUnit_Gui1</v>
      </c>
      <c r="F16" s="71">
        <f t="shared" si="0"/>
        <v>15</v>
      </c>
      <c r="G16" s="71">
        <f>IF(VLOOKUP($A16,'⚪设计'!$A$229:$K$249,7+1,FALSE)="","",VLOOKUP(A16,'⚪设计'!$A$229:$K$249,7+1,FALSE))</f>
        <v>1.5</v>
      </c>
      <c r="H16" s="71">
        <f>IF(E16="",0,ROUND(VLOOKUP($A16,'⚪设计'!$A$205:$B$224,2,FALSE)*$B16/SUM(IF($E16="",0,VLOOKUP($E16,'⚪设计'!$C$85:$E$113,3,FALSE))*$F16,IF($J16="",0,VLOOKUP($J16,'⚪设计'!$C$85:$E$113,3,FALSE))*$K16,IF($O16="",0,VLOOKUP($O16,'⚪设计'!$C$85:$E$113,3,FALSE))*$P16,IF($T16="",0,VLOOKUP($T16,'⚪设计'!$C$85:$E$113,3,FALSE))*$U16)*VLOOKUP(E16,'⚪设计'!$C$85:$E$113,3,FALSE),0))</f>
        <v>13440</v>
      </c>
      <c r="I16" s="71">
        <f>ROUND(战斗节奏!$B$3/SUM(IF(无限模式!$E16="",0,VLOOKUP(无限模式!$E16,'⚪设计'!$C$85:$I$113,4,FALSE)*无限模式!$F16),IF(无限模式!$J16="",0,VLOOKUP(无限模式!$J16,'⚪设计'!$C$85:$I$113,4,FALSE)*无限模式!$K16),IF(无限模式!$O16="",0,VLOOKUP(无限模式!$O16,'⚪设计'!$C$85:$I$113,4,FALSE)*无限模式!$P16),IF(无限模式!$T16="",0,VLOOKUP(无限模式!$T16,'⚪设计'!$C$85:$I$113,4,FALSE)*无限模式!$U16))*IF(E16="",0,VLOOKUP(E16,'⚪设计'!$C$85:$I$113,4,FALSE)),0)</f>
        <v>10</v>
      </c>
      <c r="J16" s="71" t="str">
        <f>IF(VLOOKUP(A16,'⚪设计'!$A$205:$G$224,5,FALSE)="","",VLOOKUP(VLOOKUP(A16,'⚪设计'!$A$205:$G$224,5,FALSE),'⚪设计'!$B$85:$D$113,2,FALSE))</f>
        <v>ResUnit_ZhiZhu2</v>
      </c>
      <c r="K16" s="71">
        <f t="shared" si="1"/>
        <v>15</v>
      </c>
      <c r="L16" s="71">
        <f>IF(VLOOKUP($A16,'⚪设计'!$A$229:$K$249,7+2,FALSE)="","",VLOOKUP(A16,'⚪设计'!$A$229:$K$249,7+2,FALSE))</f>
        <v>1.5</v>
      </c>
      <c r="M16" s="71">
        <f>IF(J16="",0,ROUND(VLOOKUP($A16,'⚪设计'!$A$205:$B$224,2,FALSE)*$B16/SUM(IF($E16="",0,VLOOKUP($E16,'⚪设计'!$C$85:$E$113,3,FALSE))*$F16,IF($J16="",0,VLOOKUP($J16,'⚪设计'!$C$85:$E$113,3,FALSE))*$K16,IF($O16="",0,VLOOKUP($O16,'⚪设计'!$C$85:$E$113,3,FALSE))*$P16,IF($T16="",0,VLOOKUP($T16,'⚪设计'!$C$85:$E$113,3,FALSE))*$U16)*VLOOKUP(J16,'⚪设计'!$C$85:$E$113,3,FALSE),0))</f>
        <v>26880</v>
      </c>
      <c r="N16" s="71">
        <f>ROUND(战斗节奏!$B$3/SUM(IF(无限模式!$E16="",0,VLOOKUP(无限模式!$E16,'⚪设计'!$C$85:$I$113,4,FALSE)*无限模式!$F16),IF(无限模式!$J16="",0,VLOOKUP(无限模式!$J16,'⚪设计'!$C$85:$I$113,4,FALSE)*无限模式!$K16),IF(无限模式!$O16="",0,VLOOKUP(无限模式!$O16,'⚪设计'!$C$85:$I$113,4,FALSE)*无限模式!$P16),IF(无限模式!$T16="",0,VLOOKUP(无限模式!$T16,'⚪设计'!$C$85:$I$113,4,FALSE)*无限模式!$U16))*IF(J16="",0,VLOOKUP(J16,'⚪设计'!$C$85:$I$113,4,FALSE)),0)</f>
        <v>10</v>
      </c>
      <c r="O16" s="71" t="str">
        <f>IF(VLOOKUP(A16,'⚪设计'!$A$205:$G$224,6,FALSE)="","",VLOOKUP(VLOOKUP(A16,'⚪设计'!$A$205:$G$224,6,FALSE),'⚪设计'!$B$85:$D$113,2,FALSE))</f>
        <v/>
      </c>
      <c r="P16" s="71">
        <f t="shared" si="2"/>
        <v>0</v>
      </c>
      <c r="Q16" s="71" t="str">
        <f>IF(VLOOKUP($A16,'⚪设计'!$A$229:$K$249,7+3,FALSE)="","",VLOOKUP(A16,'⚪设计'!$A$229:$K$249,7+3,FALSE))</f>
        <v/>
      </c>
      <c r="R16" s="71">
        <f>IF(O16="",0,ROUND(VLOOKUP($A16,'⚪设计'!$A$205:$B$224,2,FALSE)*$B16/SUM(IF($E16="",0,VLOOKUP($E16,'⚪设计'!$C$85:$E$113,3,FALSE))*$F16,IF($J16="",0,VLOOKUP($J16,'⚪设计'!$C$85:$E$113,3,FALSE))*$K16,IF($O16="",0,VLOOKUP($O16,'⚪设计'!$C$85:$E$113,3,FALSE))*$P16,IF($T16="",0,VLOOKUP($T16,'⚪设计'!$C$85:$E$113,3,FALSE))*$U16)*VLOOKUP(O16,'⚪设计'!$C$85:$E$113,3,FALSE),0))</f>
        <v>0</v>
      </c>
      <c r="S16" s="71">
        <f>ROUND(战斗节奏!$B$3/SUM(IF(无限模式!$E16="",0,VLOOKUP(无限模式!$E16,'⚪设计'!$C$85:$I$113,4,FALSE)*无限模式!$F16),IF(无限模式!$J16="",0,VLOOKUP(无限模式!$J16,'⚪设计'!$C$85:$I$113,4,FALSE)*无限模式!$K16),IF(无限模式!$O16="",0,VLOOKUP(无限模式!$O16,'⚪设计'!$C$85:$I$113,4,FALSE)*无限模式!$P16),IF(无限模式!$T16="",0,VLOOKUP(无限模式!$T16,'⚪设计'!$C$85:$I$113,4,FALSE)*无限模式!$U16))*IF(O16="",0,VLOOKUP(O16,'⚪设计'!$C$85:$I$113,4,FALSE)),0)</f>
        <v>0</v>
      </c>
      <c r="T16" s="71" t="str">
        <f>IF(VLOOKUP(A16,'⚪设计'!$A$205:$G$224,7,FALSE)="","",VLOOKUP(VLOOKUP(A16,'⚪设计'!$A$205:$G$224,7,FALSE),'⚪设计'!$B$85:$D$113,2,FALSE))</f>
        <v/>
      </c>
      <c r="U16" s="71">
        <f t="shared" si="3"/>
        <v>0</v>
      </c>
      <c r="V16" s="71" t="str">
        <f>IF(VLOOKUP($A16,'⚪设计'!$A$229:$K$249,7+4,FALSE)="","",VLOOKUP(A16,'⚪设计'!$A$229:$K$249,7+4,FALSE))</f>
        <v/>
      </c>
      <c r="W16" s="71">
        <f>IF(T16="",0,ROUND(VLOOKUP($A16,'⚪设计'!$A$205:$B$224,2,FALSE)*$B16/SUM(IF($E16="",0,VLOOKUP($E16,'⚪设计'!$C$85:$E$113,3,FALSE))*$F16,IF($J16="",0,VLOOKUP($J16,'⚪设计'!$C$85:$E$113,3,FALSE))*$K16,IF($O16="",0,VLOOKUP($O16,'⚪设计'!$C$85:$E$113,3,FALSE))*$P16,IF($T16="",0,VLOOKUP($T16,'⚪设计'!$C$85:$E$113,3,FALSE))*$U16)*VLOOKUP(T16,'⚪设计'!$C$85:$E$113,3,FALSE),0))</f>
        <v>0</v>
      </c>
      <c r="X16" s="71">
        <f>ROUND(战斗节奏!$B$3/SUM(IF(无限模式!$E16="",0,VLOOKUP(无限模式!$E16,'⚪设计'!$C$85:$I$113,4,FALSE)*无限模式!$F16),IF(无限模式!$J16="",0,VLOOKUP(无限模式!$J16,'⚪设计'!$C$85:$I$113,4,FALSE)*无限模式!$K16),IF(无限模式!$O16="",0,VLOOKUP(无限模式!$O16,'⚪设计'!$C$85:$I$113,4,FALSE)*无限模式!$P16),IF(无限模式!$T16="",0,VLOOKUP(无限模式!$T16,'⚪设计'!$C$85:$I$113,4,FALSE)*无限模式!$U16))*IF(T16="",0,VLOOKUP(T16,'⚪设计'!$C$85:$I$113,4,FALSE)),0)</f>
        <v>0</v>
      </c>
    </row>
    <row r="17" spans="1:24" x14ac:dyDescent="0.2">
      <c r="A17" s="94">
        <v>15</v>
      </c>
      <c r="B17" s="71">
        <f>MAX(MIN(战斗节奏!$C$3-INT(A17/'⚪设计'!$C$55),MOD(A17,'⚪设计'!$C$55)),0)*'⚪设计'!$C$79*防御塔!$C$2+MIN(INT(A17/'⚪设计'!$C$55),战斗节奏!$C$3)*'⚪设计'!$C$80*防御塔!$C$2</f>
        <v>8100</v>
      </c>
      <c r="C17" s="173">
        <v>1.7</v>
      </c>
      <c r="D17" s="173">
        <v>24</v>
      </c>
      <c r="E17" s="71" t="str">
        <f>IF(VLOOKUP(A17,'⚪设计'!$A$205:$G$224,4,FALSE)="","",VLOOKUP(VLOOKUP(A17,'⚪设计'!$A$205:$G$224,4,FALSE),'⚪设计'!$B$85:$D$113,2,FALSE))</f>
        <v>ResUnit_Gui1</v>
      </c>
      <c r="F17" s="71">
        <f t="shared" si="0"/>
        <v>48</v>
      </c>
      <c r="G17" s="71">
        <f>IF(VLOOKUP($A17,'⚪设计'!$A$229:$K$249,7+1,FALSE)="","",VLOOKUP(A17,'⚪设计'!$A$229:$K$249,7+1,FALSE))</f>
        <v>0.5</v>
      </c>
      <c r="H17" s="71">
        <f>IF(E17="",0,ROUND(VLOOKUP($A17,'⚪设计'!$A$205:$B$224,2,FALSE)*$B17/SUM(IF($E17="",0,VLOOKUP($E17,'⚪设计'!$C$85:$E$113,3,FALSE))*$F17,IF($J17="",0,VLOOKUP($J17,'⚪设计'!$C$85:$E$113,3,FALSE))*$K17,IF($O17="",0,VLOOKUP($O17,'⚪设计'!$C$85:$E$113,3,FALSE))*$P17,IF($T17="",0,VLOOKUP($T17,'⚪设计'!$C$85:$E$113,3,FALSE))*$U17)*VLOOKUP(E17,'⚪设计'!$C$85:$E$113,3,FALSE),0))</f>
        <v>6075</v>
      </c>
      <c r="I17" s="71">
        <f>ROUND(战斗节奏!$B$3/SUM(IF(无限模式!$E17="",0,VLOOKUP(无限模式!$E17,'⚪设计'!$C$85:$I$113,4,FALSE)*无限模式!$F17),IF(无限模式!$J17="",0,VLOOKUP(无限模式!$J17,'⚪设计'!$C$85:$I$113,4,FALSE)*无限模式!$K17),IF(无限模式!$O17="",0,VLOOKUP(无限模式!$O17,'⚪设计'!$C$85:$I$113,4,FALSE)*无限模式!$P17),IF(无限模式!$T17="",0,VLOOKUP(无限模式!$T17,'⚪设计'!$C$85:$I$113,4,FALSE)*无限模式!$U17))*IF(E17="",0,VLOOKUP(E17,'⚪设计'!$C$85:$I$113,4,FALSE)),0)</f>
        <v>4</v>
      </c>
      <c r="J17" s="71" t="str">
        <f>IF(VLOOKUP(A17,'⚪设计'!$A$205:$G$224,5,FALSE)="","",VLOOKUP(VLOOKUP(A17,'⚪设计'!$A$205:$G$224,5,FALSE),'⚪设计'!$B$85:$D$113,2,FALSE))</f>
        <v>ResUnit_ZhongZi2</v>
      </c>
      <c r="K17" s="71">
        <f t="shared" si="1"/>
        <v>12</v>
      </c>
      <c r="L17" s="71">
        <f>IF(VLOOKUP($A17,'⚪设计'!$A$229:$K$249,7+2,FALSE)="","",VLOOKUP(A17,'⚪设计'!$A$229:$K$249,7+2,FALSE))</f>
        <v>2</v>
      </c>
      <c r="M17" s="71">
        <f>IF(J17="",0,ROUND(VLOOKUP($A17,'⚪设计'!$A$205:$B$224,2,FALSE)*$B17/SUM(IF($E17="",0,VLOOKUP($E17,'⚪设计'!$C$85:$E$113,3,FALSE))*$F17,IF($J17="",0,VLOOKUP($J17,'⚪设计'!$C$85:$E$113,3,FALSE))*$K17,IF($O17="",0,VLOOKUP($O17,'⚪设计'!$C$85:$E$113,3,FALSE))*$P17,IF($T17="",0,VLOOKUP($T17,'⚪设计'!$C$85:$E$113,3,FALSE))*$U17)*VLOOKUP(J17,'⚪设计'!$C$85:$E$113,3,FALSE),0))</f>
        <v>36450</v>
      </c>
      <c r="N17" s="71">
        <f>ROUND(战斗节奏!$B$3/SUM(IF(无限模式!$E17="",0,VLOOKUP(无限模式!$E17,'⚪设计'!$C$85:$I$113,4,FALSE)*无限模式!$F17),IF(无限模式!$J17="",0,VLOOKUP(无限模式!$J17,'⚪设计'!$C$85:$I$113,4,FALSE)*无限模式!$K17),IF(无限模式!$O17="",0,VLOOKUP(无限模式!$O17,'⚪设计'!$C$85:$I$113,4,FALSE)*无限模式!$P17),IF(无限模式!$T17="",0,VLOOKUP(无限模式!$T17,'⚪设计'!$C$85:$I$113,4,FALSE)*无限模式!$U17))*IF(J17="",0,VLOOKUP(J17,'⚪设计'!$C$85:$I$113,4,FALSE)),0)</f>
        <v>8</v>
      </c>
      <c r="O17" s="71" t="str">
        <f>IF(VLOOKUP(A17,'⚪设计'!$A$205:$G$224,6,FALSE)="","",VLOOKUP(VLOOKUP(A17,'⚪设计'!$A$205:$G$224,6,FALSE),'⚪设计'!$B$85:$D$113,2,FALSE))</f>
        <v/>
      </c>
      <c r="P17" s="71">
        <f t="shared" si="2"/>
        <v>0</v>
      </c>
      <c r="Q17" s="71" t="str">
        <f>IF(VLOOKUP($A17,'⚪设计'!$A$229:$K$249,7+3,FALSE)="","",VLOOKUP(A17,'⚪设计'!$A$229:$K$249,7+3,FALSE))</f>
        <v/>
      </c>
      <c r="R17" s="71">
        <f>IF(O17="",0,ROUND(VLOOKUP($A17,'⚪设计'!$A$205:$B$224,2,FALSE)*$B17/SUM(IF($E17="",0,VLOOKUP($E17,'⚪设计'!$C$85:$E$113,3,FALSE))*$F17,IF($J17="",0,VLOOKUP($J17,'⚪设计'!$C$85:$E$113,3,FALSE))*$K17,IF($O17="",0,VLOOKUP($O17,'⚪设计'!$C$85:$E$113,3,FALSE))*$P17,IF($T17="",0,VLOOKUP($T17,'⚪设计'!$C$85:$E$113,3,FALSE))*$U17)*VLOOKUP(O17,'⚪设计'!$C$85:$E$113,3,FALSE),0))</f>
        <v>0</v>
      </c>
      <c r="S17" s="71">
        <f>ROUND(战斗节奏!$B$3/SUM(IF(无限模式!$E17="",0,VLOOKUP(无限模式!$E17,'⚪设计'!$C$85:$I$113,4,FALSE)*无限模式!$F17),IF(无限模式!$J17="",0,VLOOKUP(无限模式!$J17,'⚪设计'!$C$85:$I$113,4,FALSE)*无限模式!$K17),IF(无限模式!$O17="",0,VLOOKUP(无限模式!$O17,'⚪设计'!$C$85:$I$113,4,FALSE)*无限模式!$P17),IF(无限模式!$T17="",0,VLOOKUP(无限模式!$T17,'⚪设计'!$C$85:$I$113,4,FALSE)*无限模式!$U17))*IF(O17="",0,VLOOKUP(O17,'⚪设计'!$C$85:$I$113,4,FALSE)),0)</f>
        <v>0</v>
      </c>
      <c r="T17" s="71" t="str">
        <f>IF(VLOOKUP(A17,'⚪设计'!$A$205:$G$224,7,FALSE)="","",VLOOKUP(VLOOKUP(A17,'⚪设计'!$A$205:$G$224,7,FALSE),'⚪设计'!$B$85:$D$113,2,FALSE))</f>
        <v/>
      </c>
      <c r="U17" s="71">
        <f t="shared" si="3"/>
        <v>0</v>
      </c>
      <c r="V17" s="71" t="str">
        <f>IF(VLOOKUP($A17,'⚪设计'!$A$229:$K$249,7+4,FALSE)="","",VLOOKUP(A17,'⚪设计'!$A$229:$K$249,7+4,FALSE))</f>
        <v/>
      </c>
      <c r="W17" s="71">
        <f>IF(T17="",0,ROUND(VLOOKUP($A17,'⚪设计'!$A$205:$B$224,2,FALSE)*$B17/SUM(IF($E17="",0,VLOOKUP($E17,'⚪设计'!$C$85:$E$113,3,FALSE))*$F17,IF($J17="",0,VLOOKUP($J17,'⚪设计'!$C$85:$E$113,3,FALSE))*$K17,IF($O17="",0,VLOOKUP($O17,'⚪设计'!$C$85:$E$113,3,FALSE))*$P17,IF($T17="",0,VLOOKUP($T17,'⚪设计'!$C$85:$E$113,3,FALSE))*$U17)*VLOOKUP(T17,'⚪设计'!$C$85:$E$113,3,FALSE),0))</f>
        <v>0</v>
      </c>
      <c r="X17" s="71">
        <f>ROUND(战斗节奏!$B$3/SUM(IF(无限模式!$E17="",0,VLOOKUP(无限模式!$E17,'⚪设计'!$C$85:$I$113,4,FALSE)*无限模式!$F17),IF(无限模式!$J17="",0,VLOOKUP(无限模式!$J17,'⚪设计'!$C$85:$I$113,4,FALSE)*无限模式!$K17),IF(无限模式!$O17="",0,VLOOKUP(无限模式!$O17,'⚪设计'!$C$85:$I$113,4,FALSE)*无限模式!$P17),IF(无限模式!$T17="",0,VLOOKUP(无限模式!$T17,'⚪设计'!$C$85:$I$113,4,FALSE)*无限模式!$U17))*IF(T17="",0,VLOOKUP(T17,'⚪设计'!$C$85:$I$113,4,FALSE)),0)</f>
        <v>0</v>
      </c>
    </row>
    <row r="18" spans="1:24" x14ac:dyDescent="0.2">
      <c r="A18" s="94">
        <v>16</v>
      </c>
      <c r="B18" s="71">
        <f>MAX(MIN(战斗节奏!$C$3-INT(A18/'⚪设计'!$C$55),MOD(A18,'⚪设计'!$C$55)),0)*'⚪设计'!$C$79*防御塔!$C$2+MIN(INT(A18/'⚪设计'!$C$55),战斗节奏!$C$3)*'⚪设计'!$C$80*防御塔!$C$2</f>
        <v>8640</v>
      </c>
      <c r="C18" s="173">
        <v>1.75</v>
      </c>
      <c r="D18" s="173">
        <v>25</v>
      </c>
      <c r="E18" s="71" t="str">
        <f>IF(VLOOKUP(A18,'⚪设计'!$A$205:$G$224,4,FALSE)="","",VLOOKUP(VLOOKUP(A18,'⚪设计'!$A$205:$G$224,4,FALSE),'⚪设计'!$B$85:$D$113,2,FALSE))</f>
        <v>ResUnit_MiFeng2</v>
      </c>
      <c r="F18" s="71">
        <f t="shared" si="0"/>
        <v>25</v>
      </c>
      <c r="G18" s="71">
        <f>IF(VLOOKUP($A18,'⚪设计'!$A$229:$K$249,7+1,FALSE)="","",VLOOKUP(A18,'⚪设计'!$A$229:$K$249,7+1,FALSE))</f>
        <v>1</v>
      </c>
      <c r="H18" s="71">
        <f>IF(E18="",0,ROUND(VLOOKUP($A18,'⚪设计'!$A$205:$B$224,2,FALSE)*$B18/SUM(IF($E18="",0,VLOOKUP($E18,'⚪设计'!$C$85:$E$113,3,FALSE))*$F18,IF($J18="",0,VLOOKUP($J18,'⚪设计'!$C$85:$E$113,3,FALSE))*$K18,IF($O18="",0,VLOOKUP($O18,'⚪设计'!$C$85:$E$113,3,FALSE))*$P18,IF($T18="",0,VLOOKUP($T18,'⚪设计'!$C$85:$E$113,3,FALSE))*$U18)*VLOOKUP(E18,'⚪设计'!$C$85:$E$113,3,FALSE),0))</f>
        <v>24960</v>
      </c>
      <c r="I18" s="71">
        <f>ROUND(战斗节奏!$B$3/SUM(IF(无限模式!$E18="",0,VLOOKUP(无限模式!$E18,'⚪设计'!$C$85:$I$113,4,FALSE)*无限模式!$F18),IF(无限模式!$J18="",0,VLOOKUP(无限模式!$J18,'⚪设计'!$C$85:$I$113,4,FALSE)*无限模式!$K18),IF(无限模式!$O18="",0,VLOOKUP(无限模式!$O18,'⚪设计'!$C$85:$I$113,4,FALSE)*无限模式!$P18),IF(无限模式!$T18="",0,VLOOKUP(无限模式!$T18,'⚪设计'!$C$85:$I$113,4,FALSE)*无限模式!$U18))*IF(E18="",0,VLOOKUP(E18,'⚪设计'!$C$85:$I$113,4,FALSE)),0)</f>
        <v>9</v>
      </c>
      <c r="J18" s="71" t="str">
        <f>IF(VLOOKUP(A18,'⚪设计'!$A$205:$G$224,5,FALSE)="","",VLOOKUP(VLOOKUP(A18,'⚪设计'!$A$205:$G$224,5,FALSE),'⚪设计'!$B$85:$D$113,2,FALSE))</f>
        <v>ResUnit_Gui3</v>
      </c>
      <c r="K18" s="71">
        <f t="shared" si="1"/>
        <v>1</v>
      </c>
      <c r="L18" s="71">
        <f>IF(VLOOKUP($A18,'⚪设计'!$A$229:$K$249,7+2,FALSE)="","",VLOOKUP(A18,'⚪设计'!$A$229:$K$249,7+2,FALSE))</f>
        <v>0</v>
      </c>
      <c r="M18" s="71">
        <f>IF(J18="",0,ROUND(VLOOKUP($A18,'⚪设计'!$A$205:$B$224,2,FALSE)*$B18/SUM(IF($E18="",0,VLOOKUP($E18,'⚪设计'!$C$85:$E$113,3,FALSE))*$F18,IF($J18="",0,VLOOKUP($J18,'⚪设计'!$C$85:$E$113,3,FALSE))*$K18,IF($O18="",0,VLOOKUP($O18,'⚪设计'!$C$85:$E$113,3,FALSE))*$P18,IF($T18="",0,VLOOKUP($T18,'⚪设计'!$C$85:$E$113,3,FALSE))*$U18)*VLOOKUP(J18,'⚪设计'!$C$85:$E$113,3,FALSE),0))</f>
        <v>499200</v>
      </c>
      <c r="N18" s="71">
        <f>ROUND(战斗节奏!$B$3/SUM(IF(无限模式!$E18="",0,VLOOKUP(无限模式!$E18,'⚪设计'!$C$85:$I$113,4,FALSE)*无限模式!$F18),IF(无限模式!$J18="",0,VLOOKUP(无限模式!$J18,'⚪设计'!$C$85:$I$113,4,FALSE)*无限模式!$K18),IF(无限模式!$O18="",0,VLOOKUP(无限模式!$O18,'⚪设计'!$C$85:$I$113,4,FALSE)*无限模式!$P18),IF(无限模式!$T18="",0,VLOOKUP(无限模式!$T18,'⚪设计'!$C$85:$I$113,4,FALSE)*无限模式!$U18))*IF(J18="",0,VLOOKUP(J18,'⚪设计'!$C$85:$I$113,4,FALSE)),0)</f>
        <v>86</v>
      </c>
      <c r="O18" s="71" t="str">
        <f>IF(VLOOKUP(A18,'⚪设计'!$A$205:$G$224,6,FALSE)="","",VLOOKUP(VLOOKUP(A18,'⚪设计'!$A$205:$G$224,6,FALSE),'⚪设计'!$B$85:$D$113,2,FALSE))</f>
        <v/>
      </c>
      <c r="P18" s="71">
        <f t="shared" si="2"/>
        <v>0</v>
      </c>
      <c r="Q18" s="71" t="str">
        <f>IF(VLOOKUP($A18,'⚪设计'!$A$229:$K$249,7+3,FALSE)="","",VLOOKUP(A18,'⚪设计'!$A$229:$K$249,7+3,FALSE))</f>
        <v/>
      </c>
      <c r="R18" s="71">
        <f>IF(O18="",0,ROUND(VLOOKUP($A18,'⚪设计'!$A$205:$B$224,2,FALSE)*$B18/SUM(IF($E18="",0,VLOOKUP($E18,'⚪设计'!$C$85:$E$113,3,FALSE))*$F18,IF($J18="",0,VLOOKUP($J18,'⚪设计'!$C$85:$E$113,3,FALSE))*$K18,IF($O18="",0,VLOOKUP($O18,'⚪设计'!$C$85:$E$113,3,FALSE))*$P18,IF($T18="",0,VLOOKUP($T18,'⚪设计'!$C$85:$E$113,3,FALSE))*$U18)*VLOOKUP(O18,'⚪设计'!$C$85:$E$113,3,FALSE),0))</f>
        <v>0</v>
      </c>
      <c r="S18" s="71">
        <f>ROUND(战斗节奏!$B$3/SUM(IF(无限模式!$E18="",0,VLOOKUP(无限模式!$E18,'⚪设计'!$C$85:$I$113,4,FALSE)*无限模式!$F18),IF(无限模式!$J18="",0,VLOOKUP(无限模式!$J18,'⚪设计'!$C$85:$I$113,4,FALSE)*无限模式!$K18),IF(无限模式!$O18="",0,VLOOKUP(无限模式!$O18,'⚪设计'!$C$85:$I$113,4,FALSE)*无限模式!$P18),IF(无限模式!$T18="",0,VLOOKUP(无限模式!$T18,'⚪设计'!$C$85:$I$113,4,FALSE)*无限模式!$U18))*IF(O18="",0,VLOOKUP(O18,'⚪设计'!$C$85:$I$113,4,FALSE)),0)</f>
        <v>0</v>
      </c>
      <c r="T18" s="71" t="str">
        <f>IF(VLOOKUP(A18,'⚪设计'!$A$205:$G$224,7,FALSE)="","",VLOOKUP(VLOOKUP(A18,'⚪设计'!$A$205:$G$224,7,FALSE),'⚪设计'!$B$85:$D$113,2,FALSE))</f>
        <v/>
      </c>
      <c r="U18" s="71">
        <f t="shared" si="3"/>
        <v>0</v>
      </c>
      <c r="V18" s="71" t="str">
        <f>IF(VLOOKUP($A18,'⚪设计'!$A$229:$K$249,7+4,FALSE)="","",VLOOKUP(A18,'⚪设计'!$A$229:$K$249,7+4,FALSE))</f>
        <v/>
      </c>
      <c r="W18" s="71">
        <f>IF(T18="",0,ROUND(VLOOKUP($A18,'⚪设计'!$A$205:$B$224,2,FALSE)*$B18/SUM(IF($E18="",0,VLOOKUP($E18,'⚪设计'!$C$85:$E$113,3,FALSE))*$F18,IF($J18="",0,VLOOKUP($J18,'⚪设计'!$C$85:$E$113,3,FALSE))*$K18,IF($O18="",0,VLOOKUP($O18,'⚪设计'!$C$85:$E$113,3,FALSE))*$P18,IF($T18="",0,VLOOKUP($T18,'⚪设计'!$C$85:$E$113,3,FALSE))*$U18)*VLOOKUP(T18,'⚪设计'!$C$85:$E$113,3,FALSE),0))</f>
        <v>0</v>
      </c>
      <c r="X18" s="71">
        <f>ROUND(战斗节奏!$B$3/SUM(IF(无限模式!$E18="",0,VLOOKUP(无限模式!$E18,'⚪设计'!$C$85:$I$113,4,FALSE)*无限模式!$F18),IF(无限模式!$J18="",0,VLOOKUP(无限模式!$J18,'⚪设计'!$C$85:$I$113,4,FALSE)*无限模式!$K18),IF(无限模式!$O18="",0,VLOOKUP(无限模式!$O18,'⚪设计'!$C$85:$I$113,4,FALSE)*无限模式!$P18),IF(无限模式!$T18="",0,VLOOKUP(无限模式!$T18,'⚪设计'!$C$85:$I$113,4,FALSE)*无限模式!$U18))*IF(T18="",0,VLOOKUP(T18,'⚪设计'!$C$85:$I$113,4,FALSE)),0)</f>
        <v>0</v>
      </c>
    </row>
    <row r="19" spans="1:24" x14ac:dyDescent="0.2">
      <c r="A19" s="94">
        <v>17</v>
      </c>
      <c r="B19" s="71">
        <f>MAX(MIN(战斗节奏!$C$3-INT(A19/'⚪设计'!$C$55),MOD(A19,'⚪设计'!$C$55)),0)*'⚪设计'!$C$79*防御塔!$C$2+MIN(INT(A19/'⚪设计'!$C$55),战斗节奏!$C$3)*'⚪设计'!$C$80*防御塔!$C$2</f>
        <v>9180</v>
      </c>
      <c r="C19" s="173">
        <v>1.8</v>
      </c>
      <c r="D19" s="173">
        <v>26</v>
      </c>
      <c r="E19" s="71" t="str">
        <f>IF(VLOOKUP(A19,'⚪设计'!$A$205:$G$224,4,FALSE)="","",VLOOKUP(VLOOKUP(A19,'⚪设计'!$A$205:$G$224,4,FALSE),'⚪设计'!$B$85:$D$113,2,FALSE))</f>
        <v>ResUnit_Dan1</v>
      </c>
      <c r="F19" s="71">
        <f t="shared" si="0"/>
        <v>26</v>
      </c>
      <c r="G19" s="71">
        <f>IF(VLOOKUP($A19,'⚪设计'!$A$229:$K$249,7+1,FALSE)="","",VLOOKUP(A19,'⚪设计'!$A$229:$K$249,7+1,FALSE))</f>
        <v>1</v>
      </c>
      <c r="H19" s="71">
        <f>IF(E19="",0,ROUND(VLOOKUP($A19,'⚪设计'!$A$205:$B$224,2,FALSE)*$B19/SUM(IF($E19="",0,VLOOKUP($E19,'⚪设计'!$C$85:$E$113,3,FALSE))*$F19,IF($J19="",0,VLOOKUP($J19,'⚪设计'!$C$85:$E$113,3,FALSE))*$K19,IF($O19="",0,VLOOKUP($O19,'⚪设计'!$C$85:$E$113,3,FALSE))*$P19,IF($T19="",0,VLOOKUP($T19,'⚪设计'!$C$85:$E$113,3,FALSE))*$U19)*VLOOKUP(E19,'⚪设计'!$C$85:$E$113,3,FALSE),0))</f>
        <v>20864</v>
      </c>
      <c r="I19" s="71">
        <f>ROUND(战斗节奏!$B$3/SUM(IF(无限模式!$E19="",0,VLOOKUP(无限模式!$E19,'⚪设计'!$C$85:$I$113,4,FALSE)*无限模式!$F19),IF(无限模式!$J19="",0,VLOOKUP(无限模式!$J19,'⚪设计'!$C$85:$I$113,4,FALSE)*无限模式!$K19),IF(无限模式!$O19="",0,VLOOKUP(无限模式!$O19,'⚪设计'!$C$85:$I$113,4,FALSE)*无限模式!$P19),IF(无限模式!$T19="",0,VLOOKUP(无限模式!$T19,'⚪设计'!$C$85:$I$113,4,FALSE)*无限模式!$U19))*IF(E19="",0,VLOOKUP(E19,'⚪设计'!$C$85:$I$113,4,FALSE)),0)</f>
        <v>9</v>
      </c>
      <c r="J19" s="71" t="str">
        <f>IF(VLOOKUP(A19,'⚪设计'!$A$205:$G$224,5,FALSE)="","",VLOOKUP(VLOOKUP(A19,'⚪设计'!$A$205:$G$224,5,FALSE),'⚪设计'!$B$85:$D$113,2,FALSE))</f>
        <v>ResUnit_Dan2</v>
      </c>
      <c r="K19" s="71">
        <f t="shared" si="1"/>
        <v>9</v>
      </c>
      <c r="L19" s="71">
        <f>IF(VLOOKUP($A19,'⚪设计'!$A$229:$K$249,7+2,FALSE)="","",VLOOKUP(A19,'⚪设计'!$A$229:$K$249,7+2,FALSE))</f>
        <v>3</v>
      </c>
      <c r="M19" s="71">
        <f>IF(J19="",0,ROUND(VLOOKUP($A19,'⚪设计'!$A$205:$B$224,2,FALSE)*$B19/SUM(IF($E19="",0,VLOOKUP($E19,'⚪设计'!$C$85:$E$113,3,FALSE))*$F19,IF($J19="",0,VLOOKUP($J19,'⚪设计'!$C$85:$E$113,3,FALSE))*$K19,IF($O19="",0,VLOOKUP($O19,'⚪设计'!$C$85:$E$113,3,FALSE))*$P19,IF($T19="",0,VLOOKUP($T19,'⚪设计'!$C$85:$E$113,3,FALSE))*$U19)*VLOOKUP(J19,'⚪设计'!$C$85:$E$113,3,FALSE),0))</f>
        <v>41727</v>
      </c>
      <c r="N19" s="71">
        <f>ROUND(战斗节奏!$B$3/SUM(IF(无限模式!$E19="",0,VLOOKUP(无限模式!$E19,'⚪设计'!$C$85:$I$113,4,FALSE)*无限模式!$F19),IF(无限模式!$J19="",0,VLOOKUP(无限模式!$J19,'⚪设计'!$C$85:$I$113,4,FALSE)*无限模式!$K19),IF(无限模式!$O19="",0,VLOOKUP(无限模式!$O19,'⚪设计'!$C$85:$I$113,4,FALSE)*无限模式!$P19),IF(无限模式!$T19="",0,VLOOKUP(无限模式!$T19,'⚪设计'!$C$85:$I$113,4,FALSE)*无限模式!$U19))*IF(J19="",0,VLOOKUP(J19,'⚪设计'!$C$85:$I$113,4,FALSE)),0)</f>
        <v>9</v>
      </c>
      <c r="O19" s="71" t="str">
        <f>IF(VLOOKUP(A19,'⚪设计'!$A$205:$G$224,6,FALSE)="","",VLOOKUP(VLOOKUP(A19,'⚪设计'!$A$205:$G$224,6,FALSE),'⚪设计'!$B$85:$D$113,2,FALSE))</f>
        <v/>
      </c>
      <c r="P19" s="71">
        <f t="shared" si="2"/>
        <v>0</v>
      </c>
      <c r="Q19" s="71" t="str">
        <f>IF(VLOOKUP($A19,'⚪设计'!$A$229:$K$249,7+3,FALSE)="","",VLOOKUP(A19,'⚪设计'!$A$229:$K$249,7+3,FALSE))</f>
        <v/>
      </c>
      <c r="R19" s="71">
        <f>IF(O19="",0,ROUND(VLOOKUP($A19,'⚪设计'!$A$205:$B$224,2,FALSE)*$B19/SUM(IF($E19="",0,VLOOKUP($E19,'⚪设计'!$C$85:$E$113,3,FALSE))*$F19,IF($J19="",0,VLOOKUP($J19,'⚪设计'!$C$85:$E$113,3,FALSE))*$K19,IF($O19="",0,VLOOKUP($O19,'⚪设计'!$C$85:$E$113,3,FALSE))*$P19,IF($T19="",0,VLOOKUP($T19,'⚪设计'!$C$85:$E$113,3,FALSE))*$U19)*VLOOKUP(O19,'⚪设计'!$C$85:$E$113,3,FALSE),0))</f>
        <v>0</v>
      </c>
      <c r="S19" s="71">
        <f>ROUND(战斗节奏!$B$3/SUM(IF(无限模式!$E19="",0,VLOOKUP(无限模式!$E19,'⚪设计'!$C$85:$I$113,4,FALSE)*无限模式!$F19),IF(无限模式!$J19="",0,VLOOKUP(无限模式!$J19,'⚪设计'!$C$85:$I$113,4,FALSE)*无限模式!$K19),IF(无限模式!$O19="",0,VLOOKUP(无限模式!$O19,'⚪设计'!$C$85:$I$113,4,FALSE)*无限模式!$P19),IF(无限模式!$T19="",0,VLOOKUP(无限模式!$T19,'⚪设计'!$C$85:$I$113,4,FALSE)*无限模式!$U19))*IF(O19="",0,VLOOKUP(O19,'⚪设计'!$C$85:$I$113,4,FALSE)),0)</f>
        <v>0</v>
      </c>
      <c r="T19" s="71" t="str">
        <f>IF(VLOOKUP(A19,'⚪设计'!$A$205:$G$224,7,FALSE)="","",VLOOKUP(VLOOKUP(A19,'⚪设计'!$A$205:$G$224,7,FALSE),'⚪设计'!$B$85:$D$113,2,FALSE))</f>
        <v/>
      </c>
      <c r="U19" s="71">
        <f t="shared" si="3"/>
        <v>0</v>
      </c>
      <c r="V19" s="71" t="str">
        <f>IF(VLOOKUP($A19,'⚪设计'!$A$229:$K$249,7+4,FALSE)="","",VLOOKUP(A19,'⚪设计'!$A$229:$K$249,7+4,FALSE))</f>
        <v/>
      </c>
      <c r="W19" s="71">
        <f>IF(T19="",0,ROUND(VLOOKUP($A19,'⚪设计'!$A$205:$B$224,2,FALSE)*$B19/SUM(IF($E19="",0,VLOOKUP($E19,'⚪设计'!$C$85:$E$113,3,FALSE))*$F19,IF($J19="",0,VLOOKUP($J19,'⚪设计'!$C$85:$E$113,3,FALSE))*$K19,IF($O19="",0,VLOOKUP($O19,'⚪设计'!$C$85:$E$113,3,FALSE))*$P19,IF($T19="",0,VLOOKUP($T19,'⚪设计'!$C$85:$E$113,3,FALSE))*$U19)*VLOOKUP(T19,'⚪设计'!$C$85:$E$113,3,FALSE),0))</f>
        <v>0</v>
      </c>
      <c r="X19" s="71">
        <f>ROUND(战斗节奏!$B$3/SUM(IF(无限模式!$E19="",0,VLOOKUP(无限模式!$E19,'⚪设计'!$C$85:$I$113,4,FALSE)*无限模式!$F19),IF(无限模式!$J19="",0,VLOOKUP(无限模式!$J19,'⚪设计'!$C$85:$I$113,4,FALSE)*无限模式!$K19),IF(无限模式!$O19="",0,VLOOKUP(无限模式!$O19,'⚪设计'!$C$85:$I$113,4,FALSE)*无限模式!$P19),IF(无限模式!$T19="",0,VLOOKUP(无限模式!$T19,'⚪设计'!$C$85:$I$113,4,FALSE)*无限模式!$U19))*IF(T19="",0,VLOOKUP(T19,'⚪设计'!$C$85:$I$113,4,FALSE)),0)</f>
        <v>0</v>
      </c>
    </row>
    <row r="20" spans="1:24" x14ac:dyDescent="0.2">
      <c r="A20" s="94">
        <v>18</v>
      </c>
      <c r="B20" s="71">
        <f>MAX(MIN(战斗节奏!$C$3-INT(A20/'⚪设计'!$C$55),MOD(A20,'⚪设计'!$C$55)),0)*'⚪设计'!$C$79*防御塔!$C$2+MIN(INT(A20/'⚪设计'!$C$55),战斗节奏!$C$3)*'⚪设计'!$C$80*防御塔!$C$2</f>
        <v>9719.9999999999982</v>
      </c>
      <c r="C20" s="173">
        <v>1.85</v>
      </c>
      <c r="D20" s="173">
        <v>27</v>
      </c>
      <c r="E20" s="71" t="str">
        <f>IF(VLOOKUP(A20,'⚪设计'!$A$205:$G$224,4,FALSE)="","",VLOOKUP(VLOOKUP(A20,'⚪设计'!$A$205:$G$224,4,FALSE),'⚪设计'!$B$85:$D$113,2,FALSE))</f>
        <v>ResUnit_Dan2</v>
      </c>
      <c r="F20" s="71">
        <f t="shared" si="0"/>
        <v>18</v>
      </c>
      <c r="G20" s="71">
        <f>IF(VLOOKUP($A20,'⚪设计'!$A$229:$K$249,7+1,FALSE)="","",VLOOKUP(A20,'⚪设计'!$A$229:$K$249,7+1,FALSE))</f>
        <v>1.5</v>
      </c>
      <c r="H20" s="71">
        <f>IF(E20="",0,ROUND(VLOOKUP($A20,'⚪设计'!$A$205:$B$224,2,FALSE)*$B20/SUM(IF($E20="",0,VLOOKUP($E20,'⚪设计'!$C$85:$E$113,3,FALSE))*$F20,IF($J20="",0,VLOOKUP($J20,'⚪设计'!$C$85:$E$113,3,FALSE))*$K20,IF($O20="",0,VLOOKUP($O20,'⚪设计'!$C$85:$E$113,3,FALSE))*$P20,IF($T20="",0,VLOOKUP($T20,'⚪设计'!$C$85:$E$113,3,FALSE))*$U20)*VLOOKUP(E20,'⚪设计'!$C$85:$E$113,3,FALSE),0))</f>
        <v>29700</v>
      </c>
      <c r="I20" s="71">
        <f>ROUND(战斗节奏!$B$3/SUM(IF(无限模式!$E20="",0,VLOOKUP(无限模式!$E20,'⚪设计'!$C$85:$I$113,4,FALSE)*无限模式!$F20),IF(无限模式!$J20="",0,VLOOKUP(无限模式!$J20,'⚪设计'!$C$85:$I$113,4,FALSE)*无限模式!$K20),IF(无限模式!$O20="",0,VLOOKUP(无限模式!$O20,'⚪设计'!$C$85:$I$113,4,FALSE)*无限模式!$P20),IF(无限模式!$T20="",0,VLOOKUP(无限模式!$T20,'⚪设计'!$C$85:$I$113,4,FALSE)*无限模式!$U20))*IF(E20="",0,VLOOKUP(E20,'⚪设计'!$C$85:$I$113,4,FALSE)),0)</f>
        <v>8</v>
      </c>
      <c r="J20" s="71" t="str">
        <f>IF(VLOOKUP(A20,'⚪设计'!$A$205:$G$224,5,FALSE)="","",VLOOKUP(VLOOKUP(A20,'⚪设计'!$A$205:$G$224,5,FALSE),'⚪设计'!$B$85:$D$113,2,FALSE))</f>
        <v>ResUnit_ZhiZhu2</v>
      </c>
      <c r="K20" s="71">
        <f t="shared" si="1"/>
        <v>36</v>
      </c>
      <c r="L20" s="71">
        <f>IF(VLOOKUP($A20,'⚪设计'!$A$229:$K$249,7+2,FALSE)="","",VLOOKUP(A20,'⚪设计'!$A$229:$K$249,7+2,FALSE))</f>
        <v>0.75</v>
      </c>
      <c r="M20" s="71">
        <f>IF(J20="",0,ROUND(VLOOKUP($A20,'⚪设计'!$A$205:$B$224,2,FALSE)*$B20/SUM(IF($E20="",0,VLOOKUP($E20,'⚪设计'!$C$85:$E$113,3,FALSE))*$F20,IF($J20="",0,VLOOKUP($J20,'⚪设计'!$C$85:$E$113,3,FALSE))*$K20,IF($O20="",0,VLOOKUP($O20,'⚪设计'!$C$85:$E$113,3,FALSE))*$P20,IF($T20="",0,VLOOKUP($T20,'⚪设计'!$C$85:$E$113,3,FALSE))*$U20)*VLOOKUP(J20,'⚪设计'!$C$85:$E$113,3,FALSE),0))</f>
        <v>14850</v>
      </c>
      <c r="N20" s="71">
        <f>ROUND(战斗节奏!$B$3/SUM(IF(无限模式!$E20="",0,VLOOKUP(无限模式!$E20,'⚪设计'!$C$85:$I$113,4,FALSE)*无限模式!$F20),IF(无限模式!$J20="",0,VLOOKUP(无限模式!$J20,'⚪设计'!$C$85:$I$113,4,FALSE)*无限模式!$K20),IF(无限模式!$O20="",0,VLOOKUP(无限模式!$O20,'⚪设计'!$C$85:$I$113,4,FALSE)*无限模式!$P20),IF(无限模式!$T20="",0,VLOOKUP(无限模式!$T20,'⚪设计'!$C$85:$I$113,4,FALSE)*无限模式!$U20))*IF(J20="",0,VLOOKUP(J20,'⚪设计'!$C$85:$I$113,4,FALSE)),0)</f>
        <v>4</v>
      </c>
      <c r="O20" s="71" t="str">
        <f>IF(VLOOKUP(A20,'⚪设计'!$A$205:$G$224,6,FALSE)="","",VLOOKUP(VLOOKUP(A20,'⚪设计'!$A$205:$G$224,6,FALSE),'⚪设计'!$B$85:$D$113,2,FALSE))</f>
        <v/>
      </c>
      <c r="P20" s="71">
        <f t="shared" si="2"/>
        <v>0</v>
      </c>
      <c r="Q20" s="71" t="str">
        <f>IF(VLOOKUP($A20,'⚪设计'!$A$229:$K$249,7+3,FALSE)="","",VLOOKUP(A20,'⚪设计'!$A$229:$K$249,7+3,FALSE))</f>
        <v/>
      </c>
      <c r="R20" s="71">
        <f>IF(O20="",0,ROUND(VLOOKUP($A20,'⚪设计'!$A$205:$B$224,2,FALSE)*$B20/SUM(IF($E20="",0,VLOOKUP($E20,'⚪设计'!$C$85:$E$113,3,FALSE))*$F20,IF($J20="",0,VLOOKUP($J20,'⚪设计'!$C$85:$E$113,3,FALSE))*$K20,IF($O20="",0,VLOOKUP($O20,'⚪设计'!$C$85:$E$113,3,FALSE))*$P20,IF($T20="",0,VLOOKUP($T20,'⚪设计'!$C$85:$E$113,3,FALSE))*$U20)*VLOOKUP(O20,'⚪设计'!$C$85:$E$113,3,FALSE),0))</f>
        <v>0</v>
      </c>
      <c r="S20" s="71">
        <f>ROUND(战斗节奏!$B$3/SUM(IF(无限模式!$E20="",0,VLOOKUP(无限模式!$E20,'⚪设计'!$C$85:$I$113,4,FALSE)*无限模式!$F20),IF(无限模式!$J20="",0,VLOOKUP(无限模式!$J20,'⚪设计'!$C$85:$I$113,4,FALSE)*无限模式!$K20),IF(无限模式!$O20="",0,VLOOKUP(无限模式!$O20,'⚪设计'!$C$85:$I$113,4,FALSE)*无限模式!$P20),IF(无限模式!$T20="",0,VLOOKUP(无限模式!$T20,'⚪设计'!$C$85:$I$113,4,FALSE)*无限模式!$U20))*IF(O20="",0,VLOOKUP(O20,'⚪设计'!$C$85:$I$113,4,FALSE)),0)</f>
        <v>0</v>
      </c>
      <c r="T20" s="71" t="str">
        <f>IF(VLOOKUP(A20,'⚪设计'!$A$205:$G$224,7,FALSE)="","",VLOOKUP(VLOOKUP(A20,'⚪设计'!$A$205:$G$224,7,FALSE),'⚪设计'!$B$85:$D$113,2,FALSE))</f>
        <v/>
      </c>
      <c r="U20" s="71">
        <f t="shared" si="3"/>
        <v>0</v>
      </c>
      <c r="V20" s="71" t="str">
        <f>IF(VLOOKUP($A20,'⚪设计'!$A$229:$K$249,7+4,FALSE)="","",VLOOKUP(A20,'⚪设计'!$A$229:$K$249,7+4,FALSE))</f>
        <v/>
      </c>
      <c r="W20" s="71">
        <f>IF(T20="",0,ROUND(VLOOKUP($A20,'⚪设计'!$A$205:$B$224,2,FALSE)*$B20/SUM(IF($E20="",0,VLOOKUP($E20,'⚪设计'!$C$85:$E$113,3,FALSE))*$F20,IF($J20="",0,VLOOKUP($J20,'⚪设计'!$C$85:$E$113,3,FALSE))*$K20,IF($O20="",0,VLOOKUP($O20,'⚪设计'!$C$85:$E$113,3,FALSE))*$P20,IF($T20="",0,VLOOKUP($T20,'⚪设计'!$C$85:$E$113,3,FALSE))*$U20)*VLOOKUP(T20,'⚪设计'!$C$85:$E$113,3,FALSE),0))</f>
        <v>0</v>
      </c>
      <c r="X20" s="71">
        <f>ROUND(战斗节奏!$B$3/SUM(IF(无限模式!$E20="",0,VLOOKUP(无限模式!$E20,'⚪设计'!$C$85:$I$113,4,FALSE)*无限模式!$F20),IF(无限模式!$J20="",0,VLOOKUP(无限模式!$J20,'⚪设计'!$C$85:$I$113,4,FALSE)*无限模式!$K20),IF(无限模式!$O20="",0,VLOOKUP(无限模式!$O20,'⚪设计'!$C$85:$I$113,4,FALSE)*无限模式!$P20),IF(无限模式!$T20="",0,VLOOKUP(无限模式!$T20,'⚪设计'!$C$85:$I$113,4,FALSE)*无限模式!$U20))*IF(T20="",0,VLOOKUP(T20,'⚪设计'!$C$85:$I$113,4,FALSE)),0)</f>
        <v>0</v>
      </c>
    </row>
    <row r="21" spans="1:24" x14ac:dyDescent="0.2">
      <c r="A21" s="94">
        <v>19</v>
      </c>
      <c r="B21" s="71">
        <f>MAX(MIN(战斗节奏!$C$3-INT(A21/'⚪设计'!$C$55),MOD(A21,'⚪设计'!$C$55)),0)*'⚪设计'!$C$79*防御塔!$C$2+MIN(INT(A21/'⚪设计'!$C$55),战斗节奏!$C$3)*'⚪设计'!$C$80*防御塔!$C$2</f>
        <v>10259.999999999998</v>
      </c>
      <c r="C21" s="173">
        <v>1.9</v>
      </c>
      <c r="D21" s="173">
        <v>28</v>
      </c>
      <c r="E21" s="71" t="str">
        <f>IF(VLOOKUP(A21,'⚪设计'!$A$205:$G$224,4,FALSE)="","",VLOOKUP(VLOOKUP(A21,'⚪设计'!$A$205:$G$224,4,FALSE),'⚪设计'!$B$85:$D$113,2,FALSE))</f>
        <v>ResUnit_Dan2</v>
      </c>
      <c r="F21" s="71">
        <f t="shared" si="0"/>
        <v>19</v>
      </c>
      <c r="G21" s="71">
        <f>IF(VLOOKUP($A21,'⚪设计'!$A$229:$K$249,7+1,FALSE)="","",VLOOKUP(A21,'⚪设计'!$A$229:$K$249,7+1,FALSE))</f>
        <v>1.5</v>
      </c>
      <c r="H21" s="71">
        <f>IF(E21="",0,ROUND(VLOOKUP($A21,'⚪设计'!$A$205:$B$224,2,FALSE)*$B21/SUM(IF($E21="",0,VLOOKUP($E21,'⚪设计'!$C$85:$E$113,3,FALSE))*$F21,IF($J21="",0,VLOOKUP($J21,'⚪设计'!$C$85:$E$113,3,FALSE))*$K21,IF($O21="",0,VLOOKUP($O21,'⚪设计'!$C$85:$E$113,3,FALSE))*$P21,IF($T21="",0,VLOOKUP($T21,'⚪设计'!$C$85:$E$113,3,FALSE))*$U21)*VLOOKUP(E21,'⚪设计'!$C$85:$E$113,3,FALSE),0))</f>
        <v>22800</v>
      </c>
      <c r="I21" s="71">
        <f>ROUND(战斗节奏!$B$3/SUM(IF(无限模式!$E21="",0,VLOOKUP(无限模式!$E21,'⚪设计'!$C$85:$I$113,4,FALSE)*无限模式!$F21),IF(无限模式!$J21="",0,VLOOKUP(无限模式!$J21,'⚪设计'!$C$85:$I$113,4,FALSE)*无限模式!$K21),IF(无限模式!$O21="",0,VLOOKUP(无限模式!$O21,'⚪设计'!$C$85:$I$113,4,FALSE)*无限模式!$P21),IF(无限模式!$T21="",0,VLOOKUP(无限模式!$T21,'⚪设计'!$C$85:$I$113,4,FALSE)*无限模式!$U21))*IF(E21="",0,VLOOKUP(E21,'⚪设计'!$C$85:$I$113,4,FALSE)),0)</f>
        <v>6</v>
      </c>
      <c r="J21" s="71" t="str">
        <f>IF(VLOOKUP(A21,'⚪设计'!$A$205:$G$224,5,FALSE)="","",VLOOKUP(VLOOKUP(A21,'⚪设计'!$A$205:$G$224,5,FALSE),'⚪设计'!$B$85:$D$113,2,FALSE))</f>
        <v>ResUnit_ZhiZhu2</v>
      </c>
      <c r="K21" s="71">
        <f t="shared" si="1"/>
        <v>28</v>
      </c>
      <c r="L21" s="71">
        <f>IF(VLOOKUP($A21,'⚪设计'!$A$229:$K$249,7+2,FALSE)="","",VLOOKUP(A21,'⚪设计'!$A$229:$K$249,7+2,FALSE))</f>
        <v>1</v>
      </c>
      <c r="M21" s="71">
        <f>IF(J21="",0,ROUND(VLOOKUP($A21,'⚪设计'!$A$205:$B$224,2,FALSE)*$B21/SUM(IF($E21="",0,VLOOKUP($E21,'⚪设计'!$C$85:$E$113,3,FALSE))*$F21,IF($J21="",0,VLOOKUP($J21,'⚪设计'!$C$85:$E$113,3,FALSE))*$K21,IF($O21="",0,VLOOKUP($O21,'⚪设计'!$C$85:$E$113,3,FALSE))*$P21,IF($T21="",0,VLOOKUP($T21,'⚪设计'!$C$85:$E$113,3,FALSE))*$U21)*VLOOKUP(J21,'⚪设计'!$C$85:$E$113,3,FALSE),0))</f>
        <v>11400</v>
      </c>
      <c r="N21" s="71">
        <f>ROUND(战斗节奏!$B$3/SUM(IF(无限模式!$E21="",0,VLOOKUP(无限模式!$E21,'⚪设计'!$C$85:$I$113,4,FALSE)*无限模式!$F21),IF(无限模式!$J21="",0,VLOOKUP(无限模式!$J21,'⚪设计'!$C$85:$I$113,4,FALSE)*无限模式!$K21),IF(无限模式!$O21="",0,VLOOKUP(无限模式!$O21,'⚪设计'!$C$85:$I$113,4,FALSE)*无限模式!$P21),IF(无限模式!$T21="",0,VLOOKUP(无限模式!$T21,'⚪设计'!$C$85:$I$113,4,FALSE)*无限模式!$U21))*IF(J21="",0,VLOOKUP(J21,'⚪设计'!$C$85:$I$113,4,FALSE)),0)</f>
        <v>3</v>
      </c>
      <c r="O21" s="71" t="str">
        <f>IF(VLOOKUP(A21,'⚪设计'!$A$205:$G$224,6,FALSE)="","",VLOOKUP(VLOOKUP(A21,'⚪设计'!$A$205:$G$224,6,FALSE),'⚪设计'!$B$85:$D$113,2,FALSE))</f>
        <v>ResUnit_ZhongZi2</v>
      </c>
      <c r="P21" s="71">
        <f t="shared" si="2"/>
        <v>14</v>
      </c>
      <c r="Q21" s="71">
        <f>IF(VLOOKUP($A21,'⚪设计'!$A$229:$K$249,7+3,FALSE)="","",VLOOKUP(A21,'⚪设计'!$A$229:$K$249,7+3,FALSE))</f>
        <v>2</v>
      </c>
      <c r="R21" s="71">
        <f>IF(O21="",0,ROUND(VLOOKUP($A21,'⚪设计'!$A$205:$B$224,2,FALSE)*$B21/SUM(IF($E21="",0,VLOOKUP($E21,'⚪设计'!$C$85:$E$113,3,FALSE))*$F21,IF($J21="",0,VLOOKUP($J21,'⚪设计'!$C$85:$E$113,3,FALSE))*$K21,IF($O21="",0,VLOOKUP($O21,'⚪设计'!$C$85:$E$113,3,FALSE))*$P21,IF($T21="",0,VLOOKUP($T21,'⚪设计'!$C$85:$E$113,3,FALSE))*$U21)*VLOOKUP(O21,'⚪设计'!$C$85:$E$113,3,FALSE),0))</f>
        <v>34200</v>
      </c>
      <c r="S21" s="71">
        <f>ROUND(战斗节奏!$B$3/SUM(IF(无限模式!$E21="",0,VLOOKUP(无限模式!$E21,'⚪设计'!$C$85:$I$113,4,FALSE)*无限模式!$F21),IF(无限模式!$J21="",0,VLOOKUP(无限模式!$J21,'⚪设计'!$C$85:$I$113,4,FALSE)*无限模式!$K21),IF(无限模式!$O21="",0,VLOOKUP(无限模式!$O21,'⚪设计'!$C$85:$I$113,4,FALSE)*无限模式!$P21),IF(无限模式!$T21="",0,VLOOKUP(无限模式!$T21,'⚪设计'!$C$85:$I$113,4,FALSE)*无限模式!$U21))*IF(O21="",0,VLOOKUP(O21,'⚪设计'!$C$85:$I$113,4,FALSE)),0)</f>
        <v>6</v>
      </c>
      <c r="T21" s="71" t="str">
        <f>IF(VLOOKUP(A21,'⚪设计'!$A$205:$G$224,7,FALSE)="","",VLOOKUP(VLOOKUP(A21,'⚪设计'!$A$205:$G$224,7,FALSE),'⚪设计'!$B$85:$D$113,2,FALSE))</f>
        <v/>
      </c>
      <c r="U21" s="71">
        <f t="shared" si="3"/>
        <v>0</v>
      </c>
      <c r="V21" s="71" t="str">
        <f>IF(VLOOKUP($A21,'⚪设计'!$A$229:$K$249,7+4,FALSE)="","",VLOOKUP(A21,'⚪设计'!$A$229:$K$249,7+4,FALSE))</f>
        <v/>
      </c>
      <c r="W21" s="71">
        <f>IF(T21="",0,ROUND(VLOOKUP($A21,'⚪设计'!$A$205:$B$224,2,FALSE)*$B21/SUM(IF($E21="",0,VLOOKUP($E21,'⚪设计'!$C$85:$E$113,3,FALSE))*$F21,IF($J21="",0,VLOOKUP($J21,'⚪设计'!$C$85:$E$113,3,FALSE))*$K21,IF($O21="",0,VLOOKUP($O21,'⚪设计'!$C$85:$E$113,3,FALSE))*$P21,IF($T21="",0,VLOOKUP($T21,'⚪设计'!$C$85:$E$113,3,FALSE))*$U21)*VLOOKUP(T21,'⚪设计'!$C$85:$E$113,3,FALSE),0))</f>
        <v>0</v>
      </c>
      <c r="X21" s="71">
        <f>ROUND(战斗节奏!$B$3/SUM(IF(无限模式!$E21="",0,VLOOKUP(无限模式!$E21,'⚪设计'!$C$85:$I$113,4,FALSE)*无限模式!$F21),IF(无限模式!$J21="",0,VLOOKUP(无限模式!$J21,'⚪设计'!$C$85:$I$113,4,FALSE)*无限模式!$K21),IF(无限模式!$O21="",0,VLOOKUP(无限模式!$O21,'⚪设计'!$C$85:$I$113,4,FALSE)*无限模式!$P21),IF(无限模式!$T21="",0,VLOOKUP(无限模式!$T21,'⚪设计'!$C$85:$I$113,4,FALSE)*无限模式!$U21))*IF(T21="",0,VLOOKUP(T21,'⚪设计'!$C$85:$I$113,4,FALSE)),0)</f>
        <v>0</v>
      </c>
    </row>
    <row r="22" spans="1:24" x14ac:dyDescent="0.2">
      <c r="A22" s="94">
        <v>20</v>
      </c>
      <c r="B22" s="71">
        <f>MAX(MIN(战斗节奏!$C$3-INT(A22/'⚪设计'!$C$55),MOD(A22,'⚪设计'!$C$55)),0)*'⚪设计'!$C$79*防御塔!$C$2+MIN(INT(A22/'⚪设计'!$C$55),战斗节奏!$C$3)*'⚪设计'!$C$80*防御塔!$C$2</f>
        <v>10799.999999999998</v>
      </c>
      <c r="C22" s="173">
        <v>1.95</v>
      </c>
      <c r="D22" s="173">
        <v>29</v>
      </c>
      <c r="E22" s="71" t="str">
        <f>IF(VLOOKUP(A22,'⚪设计'!$A$205:$G$224,4,FALSE)="","",VLOOKUP(VLOOKUP(A22,'⚪设计'!$A$205:$G$224,4,FALSE),'⚪设计'!$B$85:$D$113,2,FALSE))</f>
        <v>ResUnit_Dan2</v>
      </c>
      <c r="F22" s="71">
        <f t="shared" si="0"/>
        <v>1</v>
      </c>
      <c r="G22" s="71">
        <f>IF(VLOOKUP($A22,'⚪设计'!$A$229:$K$249,7+1,FALSE)="","",VLOOKUP(A22,'⚪设计'!$A$229:$K$249,7+1,FALSE))</f>
        <v>0</v>
      </c>
      <c r="H22" s="71">
        <f>IF(E22="",0,ROUND(VLOOKUP($A22,'⚪设计'!$A$205:$B$224,2,FALSE)*$B22/SUM(IF($E22="",0,VLOOKUP($E22,'⚪设计'!$C$85:$E$113,3,FALSE))*$F22,IF($J22="",0,VLOOKUP($J22,'⚪设计'!$C$85:$E$113,3,FALSE))*$K22,IF($O22="",0,VLOOKUP($O22,'⚪设计'!$C$85:$E$113,3,FALSE))*$P22,IF($T22="",0,VLOOKUP($T22,'⚪设计'!$C$85:$E$113,3,FALSE))*$U22)*VLOOKUP(E22,'⚪设计'!$C$85:$E$113,3,FALSE),0))</f>
        <v>4881</v>
      </c>
      <c r="I22" s="71">
        <f>ROUND(战斗节奏!$B$3/SUM(IF(无限模式!$E22="",0,VLOOKUP(无限模式!$E22,'⚪设计'!$C$85:$I$113,4,FALSE)*无限模式!$F22),IF(无限模式!$J22="",0,VLOOKUP(无限模式!$J22,'⚪设计'!$C$85:$I$113,4,FALSE)*无限模式!$K22),IF(无限模式!$O22="",0,VLOOKUP(无限模式!$O22,'⚪设计'!$C$85:$I$113,4,FALSE)*无限模式!$P22),IF(无限模式!$T22="",0,VLOOKUP(无限模式!$T22,'⚪设计'!$C$85:$I$113,4,FALSE)*无限模式!$U22))*IF(E22="",0,VLOOKUP(E22,'⚪设计'!$C$85:$I$113,4,FALSE)),0)</f>
        <v>0</v>
      </c>
      <c r="J22" s="71" t="str">
        <f>IF(VLOOKUP(A22,'⚪设计'!$A$205:$G$224,5,FALSE)="","",VLOOKUP(VLOOKUP(A22,'⚪设计'!$A$205:$G$224,5,FALSE),'⚪设计'!$B$85:$D$113,2,FALSE))</f>
        <v>ResUnit_Gui2</v>
      </c>
      <c r="K22" s="71">
        <f t="shared" si="1"/>
        <v>39</v>
      </c>
      <c r="L22" s="71">
        <f>IF(VLOOKUP($A22,'⚪设计'!$A$229:$K$249,7+2,FALSE)="","",VLOOKUP(A22,'⚪设计'!$A$229:$K$249,7+2,FALSE))</f>
        <v>0.75</v>
      </c>
      <c r="M22" s="71">
        <f>IF(J22="",0,ROUND(VLOOKUP($A22,'⚪设计'!$A$205:$B$224,2,FALSE)*$B22/SUM(IF($E22="",0,VLOOKUP($E22,'⚪设计'!$C$85:$E$113,3,FALSE))*$F22,IF($J22="",0,VLOOKUP($J22,'⚪设计'!$C$85:$E$113,3,FALSE))*$K22,IF($O22="",0,VLOOKUP($O22,'⚪设计'!$C$85:$E$113,3,FALSE))*$P22,IF($T22="",0,VLOOKUP($T22,'⚪设计'!$C$85:$E$113,3,FALSE))*$U22)*VLOOKUP(J22,'⚪设计'!$C$85:$E$113,3,FALSE),0))</f>
        <v>2441</v>
      </c>
      <c r="N22" s="71">
        <f>ROUND(战斗节奏!$B$3/SUM(IF(无限模式!$E22="",0,VLOOKUP(无限模式!$E22,'⚪设计'!$C$85:$I$113,4,FALSE)*无限模式!$F22),IF(无限模式!$J22="",0,VLOOKUP(无限模式!$J22,'⚪设计'!$C$85:$I$113,4,FALSE)*无限模式!$K22),IF(无限模式!$O22="",0,VLOOKUP(无限模式!$O22,'⚪设计'!$C$85:$I$113,4,FALSE)*无限模式!$P22),IF(无限模式!$T22="",0,VLOOKUP(无限模式!$T22,'⚪设计'!$C$85:$I$113,4,FALSE)*无限模式!$U22))*IF(J22="",0,VLOOKUP(J22,'⚪设计'!$C$85:$I$113,4,FALSE)),0)</f>
        <v>0</v>
      </c>
      <c r="O22" s="71" t="str">
        <f>IF(VLOOKUP(A22,'⚪设计'!$A$205:$G$224,6,FALSE)="","",VLOOKUP(VLOOKUP(A22,'⚪设计'!$A$205:$G$224,6,FALSE),'⚪设计'!$B$85:$D$113,2,FALSE))</f>
        <v>ResUnit_ZhongZi2</v>
      </c>
      <c r="P22" s="71">
        <f t="shared" si="2"/>
        <v>29</v>
      </c>
      <c r="Q22" s="71">
        <f>IF(VLOOKUP($A22,'⚪设计'!$A$229:$K$249,7+3,FALSE)="","",VLOOKUP(A22,'⚪设计'!$A$229:$K$249,7+3,FALSE))</f>
        <v>1</v>
      </c>
      <c r="R22" s="71">
        <f>IF(O22="",0,ROUND(VLOOKUP($A22,'⚪设计'!$A$205:$B$224,2,FALSE)*$B22/SUM(IF($E22="",0,VLOOKUP($E22,'⚪设计'!$C$85:$E$113,3,FALSE))*$F22,IF($J22="",0,VLOOKUP($J22,'⚪设计'!$C$85:$E$113,3,FALSE))*$K22,IF($O22="",0,VLOOKUP($O22,'⚪设计'!$C$85:$E$113,3,FALSE))*$P22,IF($T22="",0,VLOOKUP($T22,'⚪设计'!$C$85:$E$113,3,FALSE))*$U22)*VLOOKUP(O22,'⚪设计'!$C$85:$E$113,3,FALSE),0))</f>
        <v>7322</v>
      </c>
      <c r="S22" s="71">
        <f>ROUND(战斗节奏!$B$3/SUM(IF(无限模式!$E22="",0,VLOOKUP(无限模式!$E22,'⚪设计'!$C$85:$I$113,4,FALSE)*无限模式!$F22),IF(无限模式!$J22="",0,VLOOKUP(无限模式!$J22,'⚪设计'!$C$85:$I$113,4,FALSE)*无限模式!$K22),IF(无限模式!$O22="",0,VLOOKUP(无限模式!$O22,'⚪设计'!$C$85:$I$113,4,FALSE)*无限模式!$P22),IF(无限模式!$T22="",0,VLOOKUP(无限模式!$T22,'⚪设计'!$C$85:$I$113,4,FALSE)*无限模式!$U22))*IF(O22="",0,VLOOKUP(O22,'⚪设计'!$C$85:$I$113,4,FALSE)),0)</f>
        <v>0</v>
      </c>
      <c r="T22" s="71" t="str">
        <f>IF(VLOOKUP(A22,'⚪设计'!$A$205:$G$224,7,FALSE)="","",VLOOKUP(VLOOKUP(A22,'⚪设计'!$A$205:$G$224,7,FALSE),'⚪设计'!$B$85:$D$113,2,FALSE))</f>
        <v>ResUnit_Dan3</v>
      </c>
      <c r="U22" s="71">
        <f t="shared" si="3"/>
        <v>29</v>
      </c>
      <c r="V22" s="71">
        <f>IF(VLOOKUP($A22,'⚪设计'!$A$229:$K$249,7+4,FALSE)="","",VLOOKUP(A22,'⚪设计'!$A$229:$K$249,7+4,FALSE))</f>
        <v>1</v>
      </c>
      <c r="W22" s="71">
        <f>IF(T22="",0,ROUND(VLOOKUP($A22,'⚪设计'!$A$205:$B$224,2,FALSE)*$B22/SUM(IF($E22="",0,VLOOKUP($E22,'⚪设计'!$C$85:$E$113,3,FALSE))*$F22,IF($J22="",0,VLOOKUP($J22,'⚪设计'!$C$85:$E$113,3,FALSE))*$K22,IF($O22="",0,VLOOKUP($O22,'⚪设计'!$C$85:$E$113,3,FALSE))*$P22,IF($T22="",0,VLOOKUP($T22,'⚪设计'!$C$85:$E$113,3,FALSE))*$U22)*VLOOKUP(T22,'⚪设计'!$C$85:$E$113,3,FALSE),0))</f>
        <v>48814</v>
      </c>
      <c r="X22" s="71">
        <f>ROUND(战斗节奏!$B$3/SUM(IF(无限模式!$E22="",0,VLOOKUP(无限模式!$E22,'⚪设计'!$C$85:$I$113,4,FALSE)*无限模式!$F22),IF(无限模式!$J22="",0,VLOOKUP(无限模式!$J22,'⚪设计'!$C$85:$I$113,4,FALSE)*无限模式!$K22),IF(无限模式!$O22="",0,VLOOKUP(无限模式!$O22,'⚪设计'!$C$85:$I$113,4,FALSE)*无限模式!$P22),IF(无限模式!$T22="",0,VLOOKUP(无限模式!$T22,'⚪设计'!$C$85:$I$113,4,FALSE)*无限模式!$U22))*IF(T22="",0,VLOOKUP(T22,'⚪设计'!$C$85:$I$113,4,FALSE)),0)</f>
        <v>10</v>
      </c>
    </row>
    <row r="25" spans="1:24" x14ac:dyDescent="0.2">
      <c r="A25" s="94" t="s">
        <v>1963</v>
      </c>
    </row>
    <row r="26" spans="1:24" x14ac:dyDescent="0.2">
      <c r="A26" s="195" t="s">
        <v>380</v>
      </c>
      <c r="B26" s="195" t="s">
        <v>428</v>
      </c>
      <c r="C26" s="197" t="s">
        <v>430</v>
      </c>
      <c r="D26" s="197" t="s">
        <v>396</v>
      </c>
      <c r="E26" s="195" t="s">
        <v>400</v>
      </c>
      <c r="F26" s="196"/>
      <c r="G26" s="196"/>
      <c r="H26" s="196"/>
      <c r="I26" s="196"/>
      <c r="J26" s="195" t="s">
        <v>401</v>
      </c>
      <c r="K26" s="196"/>
      <c r="L26" s="196"/>
      <c r="M26" s="196"/>
      <c r="N26" s="196"/>
      <c r="O26" s="195" t="s">
        <v>402</v>
      </c>
      <c r="P26" s="196"/>
      <c r="Q26" s="196"/>
      <c r="R26" s="196"/>
      <c r="S26" s="196"/>
      <c r="T26" s="195" t="s">
        <v>403</v>
      </c>
      <c r="U26" s="196"/>
      <c r="V26" s="196"/>
      <c r="W26" s="196"/>
      <c r="X26" s="197"/>
    </row>
    <row r="27" spans="1:24" x14ac:dyDescent="0.2">
      <c r="A27" s="198"/>
      <c r="B27" s="198"/>
      <c r="C27" s="199"/>
      <c r="D27" s="199"/>
      <c r="E27" s="93" t="s">
        <v>397</v>
      </c>
      <c r="F27" s="172" t="s">
        <v>283</v>
      </c>
      <c r="G27" s="172" t="s">
        <v>404</v>
      </c>
      <c r="H27" s="172" t="s">
        <v>398</v>
      </c>
      <c r="I27" s="172" t="s">
        <v>399</v>
      </c>
      <c r="J27" s="93" t="s">
        <v>397</v>
      </c>
      <c r="K27" s="172" t="s">
        <v>283</v>
      </c>
      <c r="L27" s="172" t="s">
        <v>404</v>
      </c>
      <c r="M27" s="172" t="s">
        <v>398</v>
      </c>
      <c r="N27" s="172" t="s">
        <v>399</v>
      </c>
      <c r="O27" s="93" t="s">
        <v>397</v>
      </c>
      <c r="P27" s="172" t="s">
        <v>283</v>
      </c>
      <c r="Q27" s="172" t="s">
        <v>404</v>
      </c>
      <c r="R27" s="172" t="s">
        <v>398</v>
      </c>
      <c r="S27" s="172" t="s">
        <v>399</v>
      </c>
      <c r="T27" s="93" t="s">
        <v>397</v>
      </c>
      <c r="U27" s="172" t="s">
        <v>283</v>
      </c>
      <c r="V27" s="172" t="s">
        <v>404</v>
      </c>
      <c r="W27" s="172" t="s">
        <v>398</v>
      </c>
      <c r="X27" s="171" t="s">
        <v>399</v>
      </c>
    </row>
    <row r="28" spans="1:24" x14ac:dyDescent="0.2">
      <c r="A28" s="94">
        <v>1</v>
      </c>
      <c r="B28" s="71">
        <f>MAX(MIN(战斗节奏!$C$3-INT(A28/'⚪设计'!$C$55),MOD(A28,'⚪设计'!$C$55)),0)*'⚪设计'!$C$79*防御塔!$C$2+MIN(INT(A28/'⚪设计'!$C$55),战斗节奏!$C$3)*'⚪设计'!$C$80*防御塔!$C$2</f>
        <v>540</v>
      </c>
      <c r="C28" s="173">
        <v>1</v>
      </c>
      <c r="D28" s="173">
        <v>10</v>
      </c>
      <c r="E28" s="71" t="str">
        <f>IF(VLOOKUP(A28,'⚪设计'!$A$229:$G$248,4,FALSE)="","",VLOOKUP(VLOOKUP(A28,'⚪设计'!$A$229:$G$248,4,FALSE),'⚪设计'!$B$85:$D$113,2,FALSE))</f>
        <v>ResUnit_Niao1</v>
      </c>
      <c r="F28" s="71">
        <f>IF(E28="",0,IF(G28=0,1,ROUND($D28/G28,0)))</f>
        <v>7</v>
      </c>
      <c r="G28" s="71">
        <f>IF(VLOOKUP($A28,'⚪设计'!$A$229:$K$249,7+1,FALSE)="","",VLOOKUP(A28,'⚪设计'!$A$229:$K$249,7+1,FALSE))</f>
        <v>1.5</v>
      </c>
      <c r="H28" s="71">
        <f>IF(E28="",0,ROUND(VLOOKUP($A28,'⚪设计'!$A$229:$G$248,2,FALSE)*$B28/SUM(IF($E28="",0,VLOOKUP($E28,'⚪设计'!$C$85:$E$113,3,FALSE))*$F28,IF($J28="",0,VLOOKUP($J28,'⚪设计'!$C$85:$E$113,3,FALSE))*$K28,IF($O28="",0,VLOOKUP($O28,'⚪设计'!$C$85:$E$113,3,FALSE))*$P28,IF($T28="",0,VLOOKUP($T28,'⚪设计'!$C$85:$E$113,3,FALSE))*$U28)*VLOOKUP(E28,'⚪设计'!$C$85:$E$113,3,FALSE),0))</f>
        <v>193</v>
      </c>
      <c r="I28" s="71">
        <f>ROUND(战斗节奏!$B$3/SUM(IF(无限模式!$E28="",0,VLOOKUP(无限模式!$E28,'⚪设计'!$C$85:$I$113,4,FALSE)*无限模式!$F28),IF(无限模式!$J28="",0,VLOOKUP(无限模式!$J28,'⚪设计'!$C$85:$I$113,4,FALSE)*无限模式!$K28),IF(无限模式!$O28="",0,VLOOKUP(无限模式!$O28,'⚪设计'!$C$85:$I$113,4,FALSE)*无限模式!$P28),IF(无限模式!$T28="",0,VLOOKUP(无限模式!$T28,'⚪设计'!$C$85:$I$113,4,FALSE)*无限模式!$U28))*IF(E28="",0,VLOOKUP(E28,'⚪设计'!$C$85:$I$113,4,FALSE)),0)</f>
        <v>43</v>
      </c>
      <c r="J28" s="71" t="str">
        <f>IF(VLOOKUP(A28,'⚪设计'!$A$229:$G$248,5,FALSE)="","",VLOOKUP(VLOOKUP(A28,'⚪设计'!$A$229:$G$248,5,FALSE),'⚪设计'!$B$85:$D$113,2,FALSE))</f>
        <v/>
      </c>
      <c r="K28" s="71">
        <f>IF(J28="",0,IF(L28=0,1,ROUND($D28/L28,0)))</f>
        <v>0</v>
      </c>
      <c r="L28" s="71" t="str">
        <f>IF(VLOOKUP($A28,'⚪设计'!$A$229:$K$249,7+2,FALSE)="","",VLOOKUP(A28,'⚪设计'!$A$229:$K$249,7+2,FALSE))</f>
        <v/>
      </c>
      <c r="M28" s="71">
        <f>IF(J28="",0,ROUND(VLOOKUP($A28,'⚪设计'!$A$229:$G$248,2,FALSE)*$B28/SUM(IF($E28="",0,VLOOKUP($E28,'⚪设计'!$C$85:$E$113,3,FALSE))*$F28,IF($J28="",0,VLOOKUP($J28,'⚪设计'!$C$85:$E$113,3,FALSE))*$K28,IF($O28="",0,VLOOKUP($O28,'⚪设计'!$C$85:$E$113,3,FALSE))*$P28,IF($T28="",0,VLOOKUP($T28,'⚪设计'!$C$85:$E$113,3,FALSE))*$U28)*VLOOKUP(J28,'⚪设计'!$C$85:$E$113,3,FALSE),0))</f>
        <v>0</v>
      </c>
      <c r="N28" s="71">
        <f>ROUND(战斗节奏!$B$3/SUM(IF(无限模式!$E28="",0,VLOOKUP(无限模式!$E28,'⚪设计'!$C$85:$I$113,4,FALSE)*无限模式!$F28),IF(无限模式!$J28="",0,VLOOKUP(无限模式!$J28,'⚪设计'!$C$85:$I$113,4,FALSE)*无限模式!$K28),IF(无限模式!$O28="",0,VLOOKUP(无限模式!$O28,'⚪设计'!$C$85:$I$113,4,FALSE)*无限模式!$P28),IF(无限模式!$T28="",0,VLOOKUP(无限模式!$T28,'⚪设计'!$C$85:$I$113,4,FALSE)*无限模式!$U28))*IF(J28="",0,VLOOKUP(J28,'⚪设计'!$C$85:$I$113,4,FALSE)),0)</f>
        <v>0</v>
      </c>
      <c r="O28" s="71" t="str">
        <f>IF(VLOOKUP(A28,'⚪设计'!$A$229:$G$248,6,FALSE)="","",VLOOKUP(VLOOKUP(A28,'⚪设计'!$A$229:$G$248,6,FALSE),'⚪设计'!$B$85:$D$113,2,FALSE))</f>
        <v/>
      </c>
      <c r="P28" s="71">
        <f>IF(O28="",0,IF(Q28=0,1,ROUND($D28/Q28,0)))</f>
        <v>0</v>
      </c>
      <c r="Q28" s="71" t="str">
        <f>IF(VLOOKUP($A28,'⚪设计'!$A$229:$K$249,7+3,FALSE)="","",VLOOKUP(A28,'⚪设计'!$A$229:$K$249,7+3,FALSE))</f>
        <v/>
      </c>
      <c r="R28" s="71">
        <f>IF(O28="",0,ROUND(VLOOKUP($A28,'⚪设计'!$A$229:$G$248,2,FALSE)*$B28/SUM(IF($E28="",0,VLOOKUP($E28,'⚪设计'!$C$85:$E$113,3,FALSE))*$F28,IF($J28="",0,VLOOKUP($J28,'⚪设计'!$C$85:$E$113,3,FALSE))*$K28,IF($O28="",0,VLOOKUP($O28,'⚪设计'!$C$85:$E$113,3,FALSE))*$P28,IF($T28="",0,VLOOKUP($T28,'⚪设计'!$C$85:$E$113,3,FALSE))*$U28)*VLOOKUP(O28,'⚪设计'!$C$85:$E$113,3,FALSE),0))</f>
        <v>0</v>
      </c>
      <c r="S28" s="71">
        <f>ROUND(战斗节奏!$B$3/SUM(IF(无限模式!$E28="",0,VLOOKUP(无限模式!$E28,'⚪设计'!$C$85:$I$113,4,FALSE)*无限模式!$F28),IF(无限模式!$J28="",0,VLOOKUP(无限模式!$J28,'⚪设计'!$C$85:$I$113,4,FALSE)*无限模式!$K28),IF(无限模式!$O28="",0,VLOOKUP(无限模式!$O28,'⚪设计'!$C$85:$I$113,4,FALSE)*无限模式!$P28),IF(无限模式!$T28="",0,VLOOKUP(无限模式!$T28,'⚪设计'!$C$85:$I$113,4,FALSE)*无限模式!$U28))*IF(O28="",0,VLOOKUP(O28,'⚪设计'!$C$85:$I$113,4,FALSE)),0)</f>
        <v>0</v>
      </c>
      <c r="T28" s="71" t="str">
        <f>IF(VLOOKUP(A28,'⚪设计'!$A$229:$G$248,7,FALSE)="","",VLOOKUP(VLOOKUP(A28,'⚪设计'!$A$229:$G$248,7,FALSE),'⚪设计'!$B$85:$D$113,2,FALSE))</f>
        <v/>
      </c>
      <c r="U28" s="71">
        <f>IF(T28="",0,IF(V28=0,1,ROUND($D28/V28,0)))</f>
        <v>0</v>
      </c>
      <c r="V28" s="71" t="str">
        <f>IF(VLOOKUP($A28,'⚪设计'!$A$229:$K$249,7+4,FALSE)="","",VLOOKUP(A28,'⚪设计'!$A$229:$K$249,7+4,FALSE))</f>
        <v/>
      </c>
      <c r="W28" s="71">
        <f>IF(T28="",0,ROUND(VLOOKUP($A28,'⚪设计'!$A$229:$G$248,2,FALSE)*$B28/SUM(IF($E28="",0,VLOOKUP($E28,'⚪设计'!$C$85:$E$113,3,FALSE))*$F28,IF($J28="",0,VLOOKUP($J28,'⚪设计'!$C$85:$E$113,3,FALSE))*$K28,IF($O28="",0,VLOOKUP($O28,'⚪设计'!$C$85:$E$113,3,FALSE))*$P28,IF($T28="",0,VLOOKUP($T28,'⚪设计'!$C$85:$E$113,3,FALSE))*$U28)*VLOOKUP(T28,'⚪设计'!$C$85:$E$113,3,FALSE),0))</f>
        <v>0</v>
      </c>
      <c r="X28" s="71">
        <f>ROUND(战斗节奏!$B$3/SUM(IF(无限模式!$E28="",0,VLOOKUP(无限模式!$E28,'⚪设计'!$C$85:$I$113,4,FALSE)*无限模式!$F28),IF(无限模式!$J28="",0,VLOOKUP(无限模式!$J28,'⚪设计'!$C$85:$I$113,4,FALSE)*无限模式!$K28),IF(无限模式!$O28="",0,VLOOKUP(无限模式!$O28,'⚪设计'!$C$85:$I$113,4,FALSE)*无限模式!$P28),IF(无限模式!$T28="",0,VLOOKUP(无限模式!$T28,'⚪设计'!$C$85:$I$113,4,FALSE)*无限模式!$U28))*IF(T28="",0,VLOOKUP(T28,'⚪设计'!$C$85:$I$113,4,FALSE)),0)</f>
        <v>0</v>
      </c>
    </row>
    <row r="29" spans="1:24" x14ac:dyDescent="0.2">
      <c r="A29" s="94">
        <v>2</v>
      </c>
      <c r="B29" s="71">
        <f>MAX(MIN(战斗节奏!$C$3-INT(A29/'⚪设计'!$C$55),MOD(A29,'⚪设计'!$C$55)),0)*'⚪设计'!$C$79*防御塔!$C$2+MIN(INT(A29/'⚪设计'!$C$55),战斗节奏!$C$3)*'⚪设计'!$C$80*防御塔!$C$2</f>
        <v>1080</v>
      </c>
      <c r="C29" s="173">
        <v>1.05</v>
      </c>
      <c r="D29" s="173">
        <v>11</v>
      </c>
      <c r="E29" s="71" t="str">
        <f>IF(VLOOKUP(A29,'⚪设计'!$A$229:$G$248,4,FALSE)="","",VLOOKUP(VLOOKUP(A29,'⚪设计'!$A$229:$G$248,4,FALSE),'⚪设计'!$B$85:$D$113,2,FALSE))</f>
        <v>ResUnit_MiFeng1</v>
      </c>
      <c r="F29" s="71">
        <f t="shared" ref="F29:F47" si="4">IF(E29="",0,IF(G29=0,1,ROUND($D29/G29,0)))</f>
        <v>15</v>
      </c>
      <c r="G29" s="71">
        <f>IF(VLOOKUP($A29,'⚪设计'!$A$229:$K$249,7+1,FALSE)="","",VLOOKUP(A29,'⚪设计'!$A$229:$K$249,7+1,FALSE))</f>
        <v>0.75</v>
      </c>
      <c r="H29" s="71">
        <f>IF(E29="",0,ROUND(VLOOKUP($A29,'⚪设计'!$A$229:$G$248,2,FALSE)*$B29/SUM(IF($E29="",0,VLOOKUP($E29,'⚪设计'!$C$85:$E$113,3,FALSE))*$F29,IF($J29="",0,VLOOKUP($J29,'⚪设计'!$C$85:$E$113,3,FALSE))*$K29,IF($O29="",0,VLOOKUP($O29,'⚪设计'!$C$85:$E$113,3,FALSE))*$P29,IF($T29="",0,VLOOKUP($T29,'⚪设计'!$C$85:$E$113,3,FALSE))*$U29)*VLOOKUP(E29,'⚪设计'!$C$85:$E$113,3,FALSE),0))</f>
        <v>163</v>
      </c>
      <c r="I29" s="71">
        <f>ROUND(战斗节奏!$B$3/SUM(IF(无限模式!$E29="",0,VLOOKUP(无限模式!$E29,'⚪设计'!$C$85:$I$113,4,FALSE)*无限模式!$F29),IF(无限模式!$J29="",0,VLOOKUP(无限模式!$J29,'⚪设计'!$C$85:$I$113,4,FALSE)*无限模式!$K29),IF(无限模式!$O29="",0,VLOOKUP(无限模式!$O29,'⚪设计'!$C$85:$I$113,4,FALSE)*无限模式!$P29),IF(无限模式!$T29="",0,VLOOKUP(无限模式!$T29,'⚪设计'!$C$85:$I$113,4,FALSE)*无限模式!$U29))*IF(E29="",0,VLOOKUP(E29,'⚪设计'!$C$85:$I$113,4,FALSE)),0)</f>
        <v>7</v>
      </c>
      <c r="J29" s="71" t="str">
        <f>IF(VLOOKUP(A29,'⚪设计'!$A$229:$G$248,5,FALSE)="","",VLOOKUP(VLOOKUP(A29,'⚪设计'!$A$229:$G$248,5,FALSE),'⚪设计'!$B$85:$D$113,2,FALSE))</f>
        <v>ResUnit_Niao1</v>
      </c>
      <c r="K29" s="71">
        <f t="shared" ref="K29:K47" si="5">IF(J29="",0,IF(L29=0,1,ROUND($D29/L29,0)))</f>
        <v>7</v>
      </c>
      <c r="L29" s="71">
        <f>IF(VLOOKUP($A29,'⚪设计'!$A$229:$K$249,7+2,FALSE)="","",VLOOKUP(A29,'⚪设计'!$A$229:$K$249,7+2,FALSE))</f>
        <v>1.5</v>
      </c>
      <c r="M29" s="71">
        <f>IF(J29="",0,ROUND(VLOOKUP($A29,'⚪设计'!$A$229:$G$248,2,FALSE)*$B29/SUM(IF($E29="",0,VLOOKUP($E29,'⚪设计'!$C$85:$E$113,3,FALSE))*$F29,IF($J29="",0,VLOOKUP($J29,'⚪设计'!$C$85:$E$113,3,FALSE))*$K29,IF($O29="",0,VLOOKUP($O29,'⚪设计'!$C$85:$E$113,3,FALSE))*$P29,IF($T29="",0,VLOOKUP($T29,'⚪设计'!$C$85:$E$113,3,FALSE))*$U29)*VLOOKUP(J29,'⚪设计'!$C$85:$E$113,3,FALSE),0))</f>
        <v>653</v>
      </c>
      <c r="N29" s="71">
        <f>ROUND(战斗节奏!$B$3/SUM(IF(无限模式!$E29="",0,VLOOKUP(无限模式!$E29,'⚪设计'!$C$85:$I$113,4,FALSE)*无限模式!$F29),IF(无限模式!$J29="",0,VLOOKUP(无限模式!$J29,'⚪设计'!$C$85:$I$113,4,FALSE)*无限模式!$K29),IF(无限模式!$O29="",0,VLOOKUP(无限模式!$O29,'⚪设计'!$C$85:$I$113,4,FALSE)*无限模式!$P29),IF(无限模式!$T29="",0,VLOOKUP(无限模式!$T29,'⚪设计'!$C$85:$I$113,4,FALSE)*无限模式!$U29))*IF(J29="",0,VLOOKUP(J29,'⚪设计'!$C$85:$I$113,4,FALSE)),0)</f>
        <v>28</v>
      </c>
      <c r="O29" s="71" t="str">
        <f>IF(VLOOKUP(A29,'⚪设计'!$A$229:$G$248,6,FALSE)="","",VLOOKUP(VLOOKUP(A29,'⚪设计'!$A$229:$G$248,6,FALSE),'⚪设计'!$B$85:$D$113,2,FALSE))</f>
        <v/>
      </c>
      <c r="P29" s="71">
        <f t="shared" ref="P29:P47" si="6">IF(O29="",0,IF(Q29=0,1,ROUND($D29/Q29,0)))</f>
        <v>0</v>
      </c>
      <c r="Q29" s="71" t="str">
        <f>IF(VLOOKUP($A29,'⚪设计'!$A$229:$K$249,7+3,FALSE)="","",VLOOKUP(A29,'⚪设计'!$A$229:$K$249,7+3,FALSE))</f>
        <v/>
      </c>
      <c r="R29" s="71">
        <f>IF(O29="",0,ROUND(VLOOKUP($A29,'⚪设计'!$A$229:$G$248,2,FALSE)*$B29/SUM(IF($E29="",0,VLOOKUP($E29,'⚪设计'!$C$85:$E$113,3,FALSE))*$F29,IF($J29="",0,VLOOKUP($J29,'⚪设计'!$C$85:$E$113,3,FALSE))*$K29,IF($O29="",0,VLOOKUP($O29,'⚪设计'!$C$85:$E$113,3,FALSE))*$P29,IF($T29="",0,VLOOKUP($T29,'⚪设计'!$C$85:$E$113,3,FALSE))*$U29)*VLOOKUP(O29,'⚪设计'!$C$85:$E$113,3,FALSE),0))</f>
        <v>0</v>
      </c>
      <c r="S29" s="71">
        <f>ROUND(战斗节奏!$B$3/SUM(IF(无限模式!$E29="",0,VLOOKUP(无限模式!$E29,'⚪设计'!$C$85:$I$113,4,FALSE)*无限模式!$F29),IF(无限模式!$J29="",0,VLOOKUP(无限模式!$J29,'⚪设计'!$C$85:$I$113,4,FALSE)*无限模式!$K29),IF(无限模式!$O29="",0,VLOOKUP(无限模式!$O29,'⚪设计'!$C$85:$I$113,4,FALSE)*无限模式!$P29),IF(无限模式!$T29="",0,VLOOKUP(无限模式!$T29,'⚪设计'!$C$85:$I$113,4,FALSE)*无限模式!$U29))*IF(O29="",0,VLOOKUP(O29,'⚪设计'!$C$85:$I$113,4,FALSE)),0)</f>
        <v>0</v>
      </c>
      <c r="T29" s="71" t="str">
        <f>IF(VLOOKUP(A29,'⚪设计'!$A$229:$G$248,7,FALSE)="","",VLOOKUP(VLOOKUP(A29,'⚪设计'!$A$229:$G$248,7,FALSE),'⚪设计'!$B$85:$D$113,2,FALSE))</f>
        <v/>
      </c>
      <c r="U29" s="71">
        <f t="shared" ref="U29:U47" si="7">IF(T29="",0,IF(V29=0,1,ROUND($D29/V29,0)))</f>
        <v>0</v>
      </c>
      <c r="V29" s="71" t="str">
        <f>IF(VLOOKUP($A29,'⚪设计'!$A$229:$K$249,7+4,FALSE)="","",VLOOKUP(A29,'⚪设计'!$A$229:$K$249,7+4,FALSE))</f>
        <v/>
      </c>
      <c r="W29" s="71">
        <f>IF(T29="",0,ROUND(VLOOKUP($A29,'⚪设计'!$A$229:$G$248,2,FALSE)*$B29/SUM(IF($E29="",0,VLOOKUP($E29,'⚪设计'!$C$85:$E$113,3,FALSE))*$F29,IF($J29="",0,VLOOKUP($J29,'⚪设计'!$C$85:$E$113,3,FALSE))*$K29,IF($O29="",0,VLOOKUP($O29,'⚪设计'!$C$85:$E$113,3,FALSE))*$P29,IF($T29="",0,VLOOKUP($T29,'⚪设计'!$C$85:$E$113,3,FALSE))*$U29)*VLOOKUP(T29,'⚪设计'!$C$85:$E$113,3,FALSE),0))</f>
        <v>0</v>
      </c>
      <c r="X29" s="71">
        <f>ROUND(战斗节奏!$B$3/SUM(IF(无限模式!$E29="",0,VLOOKUP(无限模式!$E29,'⚪设计'!$C$85:$I$113,4,FALSE)*无限模式!$F29),IF(无限模式!$J29="",0,VLOOKUP(无限模式!$J29,'⚪设计'!$C$85:$I$113,4,FALSE)*无限模式!$K29),IF(无限模式!$O29="",0,VLOOKUP(无限模式!$O29,'⚪设计'!$C$85:$I$113,4,FALSE)*无限模式!$P29),IF(无限模式!$T29="",0,VLOOKUP(无限模式!$T29,'⚪设计'!$C$85:$I$113,4,FALSE)*无限模式!$U29))*IF(T29="",0,VLOOKUP(T29,'⚪设计'!$C$85:$I$113,4,FALSE)),0)</f>
        <v>0</v>
      </c>
    </row>
    <row r="30" spans="1:24" x14ac:dyDescent="0.2">
      <c r="A30" s="94">
        <v>3</v>
      </c>
      <c r="B30" s="71">
        <f>MAX(MIN(战斗节奏!$C$3-INT(A30/'⚪设计'!$C$55),MOD(A30,'⚪设计'!$C$55)),0)*'⚪设计'!$C$79*防御塔!$C$2+MIN(INT(A30/'⚪设计'!$C$55),战斗节奏!$C$3)*'⚪设计'!$C$80*防御塔!$C$2</f>
        <v>1620</v>
      </c>
      <c r="C30" s="173">
        <v>1.1000000000000001</v>
      </c>
      <c r="D30" s="173">
        <v>12</v>
      </c>
      <c r="E30" s="71" t="str">
        <f>IF(VLOOKUP(A30,'⚪设计'!$A$229:$G$248,4,FALSE)="","",VLOOKUP(VLOOKUP(A30,'⚪设计'!$A$229:$G$248,4,FALSE),'⚪设计'!$B$85:$D$113,2,FALSE))</f>
        <v>ResUnit_Niao1</v>
      </c>
      <c r="F30" s="71">
        <f t="shared" si="4"/>
        <v>8</v>
      </c>
      <c r="G30" s="71">
        <f>IF(VLOOKUP($A30,'⚪设计'!$A$229:$K$249,7+1,FALSE)="","",VLOOKUP(A30,'⚪设计'!$A$229:$K$249,7+1,FALSE))</f>
        <v>1.5</v>
      </c>
      <c r="H30" s="71">
        <f>IF(E30="",0,ROUND(VLOOKUP($A30,'⚪设计'!$A$229:$G$248,2,FALSE)*$B30/SUM(IF($E30="",0,VLOOKUP($E30,'⚪设计'!$C$85:$E$113,3,FALSE))*$F30,IF($J30="",0,VLOOKUP($J30,'⚪设计'!$C$85:$E$113,3,FALSE))*$K30,IF($O30="",0,VLOOKUP($O30,'⚪设计'!$C$85:$E$113,3,FALSE))*$P30,IF($T30="",0,VLOOKUP($T30,'⚪设计'!$C$85:$E$113,3,FALSE))*$U30)*VLOOKUP(E30,'⚪设计'!$C$85:$E$113,3,FALSE),0))</f>
        <v>740</v>
      </c>
      <c r="I30" s="71">
        <f>ROUND(战斗节奏!$B$3/SUM(IF(无限模式!$E30="",0,VLOOKUP(无限模式!$E30,'⚪设计'!$C$85:$I$113,4,FALSE)*无限模式!$F30),IF(无限模式!$J30="",0,VLOOKUP(无限模式!$J30,'⚪设计'!$C$85:$I$113,4,FALSE)*无限模式!$K30),IF(无限模式!$O30="",0,VLOOKUP(无限模式!$O30,'⚪设计'!$C$85:$I$113,4,FALSE)*无限模式!$P30),IF(无限模式!$T30="",0,VLOOKUP(无限模式!$T30,'⚪设计'!$C$85:$I$113,4,FALSE)*无限模式!$U30))*IF(E30="",0,VLOOKUP(E30,'⚪设计'!$C$85:$I$113,4,FALSE)),0)</f>
        <v>13</v>
      </c>
      <c r="J30" s="71" t="str">
        <f>IF(VLOOKUP(A30,'⚪设计'!$A$229:$G$248,5,FALSE)="","",VLOOKUP(VLOOKUP(A30,'⚪设计'!$A$229:$G$248,5,FALSE),'⚪设计'!$B$85:$D$113,2,FALSE))</f>
        <v>ResUnit_BianFu1</v>
      </c>
      <c r="K30" s="71">
        <f t="shared" si="5"/>
        <v>60</v>
      </c>
      <c r="L30" s="71">
        <f>IF(VLOOKUP($A30,'⚪设计'!$A$229:$K$249,7+2,FALSE)="","",VLOOKUP(A30,'⚪设计'!$A$229:$K$249,7+2,FALSE))</f>
        <v>0.2</v>
      </c>
      <c r="M30" s="71">
        <f>IF(J30="",0,ROUND(VLOOKUP($A30,'⚪设计'!$A$229:$G$248,2,FALSE)*$B30/SUM(IF($E30="",0,VLOOKUP($E30,'⚪设计'!$C$85:$E$113,3,FALSE))*$F30,IF($J30="",0,VLOOKUP($J30,'⚪设计'!$C$85:$E$113,3,FALSE))*$K30,IF($O30="",0,VLOOKUP($O30,'⚪设计'!$C$85:$E$113,3,FALSE))*$P30,IF($T30="",0,VLOOKUP($T30,'⚪设计'!$C$85:$E$113,3,FALSE))*$U30)*VLOOKUP(J30,'⚪设计'!$C$85:$E$113,3,FALSE),0))</f>
        <v>185</v>
      </c>
      <c r="N30" s="71">
        <f>ROUND(战斗节奏!$B$3/SUM(IF(无限模式!$E30="",0,VLOOKUP(无限模式!$E30,'⚪设计'!$C$85:$I$113,4,FALSE)*无限模式!$F30),IF(无限模式!$J30="",0,VLOOKUP(无限模式!$J30,'⚪设计'!$C$85:$I$113,4,FALSE)*无限模式!$K30),IF(无限模式!$O30="",0,VLOOKUP(无限模式!$O30,'⚪设计'!$C$85:$I$113,4,FALSE)*无限模式!$P30),IF(无限模式!$T30="",0,VLOOKUP(无限模式!$T30,'⚪设计'!$C$85:$I$113,4,FALSE)*无限模式!$U30))*IF(J30="",0,VLOOKUP(J30,'⚪设计'!$C$85:$I$113,4,FALSE)),0)</f>
        <v>3</v>
      </c>
      <c r="O30" s="71" t="str">
        <f>IF(VLOOKUP(A30,'⚪设计'!$A$229:$G$248,6,FALSE)="","",VLOOKUP(VLOOKUP(A30,'⚪设计'!$A$229:$G$248,6,FALSE),'⚪设计'!$B$85:$D$113,2,FALSE))</f>
        <v/>
      </c>
      <c r="P30" s="71">
        <f t="shared" si="6"/>
        <v>0</v>
      </c>
      <c r="Q30" s="71" t="str">
        <f>IF(VLOOKUP($A30,'⚪设计'!$A$229:$K$249,7+3,FALSE)="","",VLOOKUP(A30,'⚪设计'!$A$229:$K$249,7+3,FALSE))</f>
        <v/>
      </c>
      <c r="R30" s="71">
        <f>IF(O30="",0,ROUND(VLOOKUP($A30,'⚪设计'!$A$229:$G$248,2,FALSE)*$B30/SUM(IF($E30="",0,VLOOKUP($E30,'⚪设计'!$C$85:$E$113,3,FALSE))*$F30,IF($J30="",0,VLOOKUP($J30,'⚪设计'!$C$85:$E$113,3,FALSE))*$K30,IF($O30="",0,VLOOKUP($O30,'⚪设计'!$C$85:$E$113,3,FALSE))*$P30,IF($T30="",0,VLOOKUP($T30,'⚪设计'!$C$85:$E$113,3,FALSE))*$U30)*VLOOKUP(O30,'⚪设计'!$C$85:$E$113,3,FALSE),0))</f>
        <v>0</v>
      </c>
      <c r="S30" s="71">
        <f>ROUND(战斗节奏!$B$3/SUM(IF(无限模式!$E30="",0,VLOOKUP(无限模式!$E30,'⚪设计'!$C$85:$I$113,4,FALSE)*无限模式!$F30),IF(无限模式!$J30="",0,VLOOKUP(无限模式!$J30,'⚪设计'!$C$85:$I$113,4,FALSE)*无限模式!$K30),IF(无限模式!$O30="",0,VLOOKUP(无限模式!$O30,'⚪设计'!$C$85:$I$113,4,FALSE)*无限模式!$P30),IF(无限模式!$T30="",0,VLOOKUP(无限模式!$T30,'⚪设计'!$C$85:$I$113,4,FALSE)*无限模式!$U30))*IF(O30="",0,VLOOKUP(O30,'⚪设计'!$C$85:$I$113,4,FALSE)),0)</f>
        <v>0</v>
      </c>
      <c r="T30" s="71" t="str">
        <f>IF(VLOOKUP(A30,'⚪设计'!$A$229:$G$248,7,FALSE)="","",VLOOKUP(VLOOKUP(A30,'⚪设计'!$A$229:$G$248,7,FALSE),'⚪设计'!$B$85:$D$113,2,FALSE))</f>
        <v/>
      </c>
      <c r="U30" s="71">
        <f t="shared" si="7"/>
        <v>0</v>
      </c>
      <c r="V30" s="71" t="str">
        <f>IF(VLOOKUP($A30,'⚪设计'!$A$229:$K$249,7+4,FALSE)="","",VLOOKUP(A30,'⚪设计'!$A$229:$K$249,7+4,FALSE))</f>
        <v/>
      </c>
      <c r="W30" s="71">
        <f>IF(T30="",0,ROUND(VLOOKUP($A30,'⚪设计'!$A$229:$G$248,2,FALSE)*$B30/SUM(IF($E30="",0,VLOOKUP($E30,'⚪设计'!$C$85:$E$113,3,FALSE))*$F30,IF($J30="",0,VLOOKUP($J30,'⚪设计'!$C$85:$E$113,3,FALSE))*$K30,IF($O30="",0,VLOOKUP($O30,'⚪设计'!$C$85:$E$113,3,FALSE))*$P30,IF($T30="",0,VLOOKUP($T30,'⚪设计'!$C$85:$E$113,3,FALSE))*$U30)*VLOOKUP(T30,'⚪设计'!$C$85:$E$113,3,FALSE),0))</f>
        <v>0</v>
      </c>
      <c r="X30" s="71">
        <f>ROUND(战斗节奏!$B$3/SUM(IF(无限模式!$E30="",0,VLOOKUP(无限模式!$E30,'⚪设计'!$C$85:$I$113,4,FALSE)*无限模式!$F30),IF(无限模式!$J30="",0,VLOOKUP(无限模式!$J30,'⚪设计'!$C$85:$I$113,4,FALSE)*无限模式!$K30),IF(无限模式!$O30="",0,VLOOKUP(无限模式!$O30,'⚪设计'!$C$85:$I$113,4,FALSE)*无限模式!$P30),IF(无限模式!$T30="",0,VLOOKUP(无限模式!$T30,'⚪设计'!$C$85:$I$113,4,FALSE)*无限模式!$U30))*IF(T30="",0,VLOOKUP(T30,'⚪设计'!$C$85:$I$113,4,FALSE)),0)</f>
        <v>0</v>
      </c>
    </row>
    <row r="31" spans="1:24" x14ac:dyDescent="0.2">
      <c r="A31" s="94">
        <v>4</v>
      </c>
      <c r="B31" s="71">
        <f>MAX(MIN(战斗节奏!$C$3-INT(A31/'⚪设计'!$C$55),MOD(A31,'⚪设计'!$C$55)),0)*'⚪设计'!$C$79*防御塔!$C$2+MIN(INT(A31/'⚪设计'!$C$55),战斗节奏!$C$3)*'⚪设计'!$C$80*防御塔!$C$2</f>
        <v>2160</v>
      </c>
      <c r="C31" s="173">
        <v>1.1499999999999999</v>
      </c>
      <c r="D31" s="173">
        <v>13</v>
      </c>
      <c r="E31" s="71" t="str">
        <f>IF(VLOOKUP(A31,'⚪设计'!$A$229:$G$248,4,FALSE)="","",VLOOKUP(VLOOKUP(A31,'⚪设计'!$A$229:$G$248,4,FALSE),'⚪设计'!$B$85:$D$113,2,FALSE))</f>
        <v>ResUnit_MiFeng3</v>
      </c>
      <c r="F31" s="71">
        <f t="shared" si="4"/>
        <v>1</v>
      </c>
      <c r="G31" s="71">
        <f>IF(VLOOKUP($A31,'⚪设计'!$A$229:$K$249,7+1,FALSE)="","",VLOOKUP(A31,'⚪设计'!$A$229:$K$249,7+1,FALSE))</f>
        <v>0</v>
      </c>
      <c r="H31" s="71">
        <f>IF(E31="",0,ROUND(VLOOKUP($A31,'⚪设计'!$A$229:$G$248,2,FALSE)*$B31/SUM(IF($E31="",0,VLOOKUP($E31,'⚪设计'!$C$85:$E$113,3,FALSE))*$F31,IF($J31="",0,VLOOKUP($J31,'⚪设计'!$C$85:$E$113,3,FALSE))*$K31,IF($O31="",0,VLOOKUP($O31,'⚪设计'!$C$85:$E$113,3,FALSE))*$P31,IF($T31="",0,VLOOKUP($T31,'⚪设计'!$C$85:$E$113,3,FALSE))*$U31)*VLOOKUP(E31,'⚪设计'!$C$85:$E$113,3,FALSE),0))</f>
        <v>33382</v>
      </c>
      <c r="I31" s="71">
        <f>ROUND(战斗节奏!$B$3/SUM(IF(无限模式!$E31="",0,VLOOKUP(无限模式!$E31,'⚪设计'!$C$85:$I$113,4,FALSE)*无限模式!$F31),IF(无限模式!$J31="",0,VLOOKUP(无限模式!$J31,'⚪设计'!$C$85:$I$113,4,FALSE)*无限模式!$K31),IF(无限模式!$O31="",0,VLOOKUP(无限模式!$O31,'⚪设计'!$C$85:$I$113,4,FALSE)*无限模式!$P31),IF(无限模式!$T31="",0,VLOOKUP(无限模式!$T31,'⚪设计'!$C$85:$I$113,4,FALSE)*无限模式!$U31))*IF(E31="",0,VLOOKUP(E31,'⚪设计'!$C$85:$I$113,4,FALSE)),0)</f>
        <v>182</v>
      </c>
      <c r="J31" s="71" t="str">
        <f>IF(VLOOKUP(A31,'⚪设计'!$A$229:$G$248,5,FALSE)="","",VLOOKUP(VLOOKUP(A31,'⚪设计'!$A$229:$G$248,5,FALSE),'⚪设计'!$B$85:$D$113,2,FALSE))</f>
        <v>ResUnit_Niao1</v>
      </c>
      <c r="K31" s="71">
        <f t="shared" si="5"/>
        <v>13</v>
      </c>
      <c r="L31" s="71">
        <f>IF(VLOOKUP($A31,'⚪设计'!$A$229:$K$249,7+2,FALSE)="","",VLOOKUP(A31,'⚪设计'!$A$229:$K$249,7+2,FALSE))</f>
        <v>1</v>
      </c>
      <c r="M31" s="71">
        <f>IF(J31="",0,ROUND(VLOOKUP($A31,'⚪设计'!$A$229:$G$248,2,FALSE)*$B31/SUM(IF($E31="",0,VLOOKUP($E31,'⚪设计'!$C$85:$E$113,3,FALSE))*$F31,IF($J31="",0,VLOOKUP($J31,'⚪设计'!$C$85:$E$113,3,FALSE))*$K31,IF($O31="",0,VLOOKUP($O31,'⚪设计'!$C$85:$E$113,3,FALSE))*$P31,IF($T31="",0,VLOOKUP($T31,'⚪设计'!$C$85:$E$113,3,FALSE))*$U31)*VLOOKUP(J31,'⚪设计'!$C$85:$E$113,3,FALSE),0))</f>
        <v>1669</v>
      </c>
      <c r="N31" s="71">
        <f>ROUND(战斗节奏!$B$3/SUM(IF(无限模式!$E31="",0,VLOOKUP(无限模式!$E31,'⚪设计'!$C$85:$I$113,4,FALSE)*无限模式!$F31),IF(无限模式!$J31="",0,VLOOKUP(无限模式!$J31,'⚪设计'!$C$85:$I$113,4,FALSE)*无限模式!$K31),IF(无限模式!$O31="",0,VLOOKUP(无限模式!$O31,'⚪设计'!$C$85:$I$113,4,FALSE)*无限模式!$P31),IF(无限模式!$T31="",0,VLOOKUP(无限模式!$T31,'⚪设计'!$C$85:$I$113,4,FALSE)*无限模式!$U31))*IF(J31="",0,VLOOKUP(J31,'⚪设计'!$C$85:$I$113,4,FALSE)),0)</f>
        <v>9</v>
      </c>
      <c r="O31" s="71" t="str">
        <f>IF(VLOOKUP(A31,'⚪设计'!$A$229:$G$248,6,FALSE)="","",VLOOKUP(VLOOKUP(A31,'⚪设计'!$A$229:$G$248,6,FALSE),'⚪设计'!$B$85:$D$113,2,FALSE))</f>
        <v/>
      </c>
      <c r="P31" s="71">
        <f t="shared" si="6"/>
        <v>0</v>
      </c>
      <c r="Q31" s="71" t="str">
        <f>IF(VLOOKUP($A31,'⚪设计'!$A$229:$K$249,7+3,FALSE)="","",VLOOKUP(A31,'⚪设计'!$A$229:$K$249,7+3,FALSE))</f>
        <v/>
      </c>
      <c r="R31" s="71">
        <f>IF(O31="",0,ROUND(VLOOKUP($A31,'⚪设计'!$A$229:$G$248,2,FALSE)*$B31/SUM(IF($E31="",0,VLOOKUP($E31,'⚪设计'!$C$85:$E$113,3,FALSE))*$F31,IF($J31="",0,VLOOKUP($J31,'⚪设计'!$C$85:$E$113,3,FALSE))*$K31,IF($O31="",0,VLOOKUP($O31,'⚪设计'!$C$85:$E$113,3,FALSE))*$P31,IF($T31="",0,VLOOKUP($T31,'⚪设计'!$C$85:$E$113,3,FALSE))*$U31)*VLOOKUP(O31,'⚪设计'!$C$85:$E$113,3,FALSE),0))</f>
        <v>0</v>
      </c>
      <c r="S31" s="71">
        <f>ROUND(战斗节奏!$B$3/SUM(IF(无限模式!$E31="",0,VLOOKUP(无限模式!$E31,'⚪设计'!$C$85:$I$113,4,FALSE)*无限模式!$F31),IF(无限模式!$J31="",0,VLOOKUP(无限模式!$J31,'⚪设计'!$C$85:$I$113,4,FALSE)*无限模式!$K31),IF(无限模式!$O31="",0,VLOOKUP(无限模式!$O31,'⚪设计'!$C$85:$I$113,4,FALSE)*无限模式!$P31),IF(无限模式!$T31="",0,VLOOKUP(无限模式!$T31,'⚪设计'!$C$85:$I$113,4,FALSE)*无限模式!$U31))*IF(O31="",0,VLOOKUP(O31,'⚪设计'!$C$85:$I$113,4,FALSE)),0)</f>
        <v>0</v>
      </c>
      <c r="T31" s="71" t="str">
        <f>IF(VLOOKUP(A31,'⚪设计'!$A$229:$G$248,7,FALSE)="","",VLOOKUP(VLOOKUP(A31,'⚪设计'!$A$229:$G$248,7,FALSE),'⚪设计'!$B$85:$D$113,2,FALSE))</f>
        <v/>
      </c>
      <c r="U31" s="71">
        <f t="shared" si="7"/>
        <v>0</v>
      </c>
      <c r="V31" s="71" t="str">
        <f>IF(VLOOKUP($A31,'⚪设计'!$A$229:$K$249,7+4,FALSE)="","",VLOOKUP(A31,'⚪设计'!$A$229:$K$249,7+4,FALSE))</f>
        <v/>
      </c>
      <c r="W31" s="71">
        <f>IF(T31="",0,ROUND(VLOOKUP($A31,'⚪设计'!$A$229:$G$248,2,FALSE)*$B31/SUM(IF($E31="",0,VLOOKUP($E31,'⚪设计'!$C$85:$E$113,3,FALSE))*$F31,IF($J31="",0,VLOOKUP($J31,'⚪设计'!$C$85:$E$113,3,FALSE))*$K31,IF($O31="",0,VLOOKUP($O31,'⚪设计'!$C$85:$E$113,3,FALSE))*$P31,IF($T31="",0,VLOOKUP($T31,'⚪设计'!$C$85:$E$113,3,FALSE))*$U31)*VLOOKUP(T31,'⚪设计'!$C$85:$E$113,3,FALSE),0))</f>
        <v>0</v>
      </c>
      <c r="X31" s="71">
        <f>ROUND(战斗节奏!$B$3/SUM(IF(无限模式!$E31="",0,VLOOKUP(无限模式!$E31,'⚪设计'!$C$85:$I$113,4,FALSE)*无限模式!$F31),IF(无限模式!$J31="",0,VLOOKUP(无限模式!$J31,'⚪设计'!$C$85:$I$113,4,FALSE)*无限模式!$K31),IF(无限模式!$O31="",0,VLOOKUP(无限模式!$O31,'⚪设计'!$C$85:$I$113,4,FALSE)*无限模式!$P31),IF(无限模式!$T31="",0,VLOOKUP(无限模式!$T31,'⚪设计'!$C$85:$I$113,4,FALSE)*无限模式!$U31))*IF(T31="",0,VLOOKUP(T31,'⚪设计'!$C$85:$I$113,4,FALSE)),0)</f>
        <v>0</v>
      </c>
    </row>
    <row r="32" spans="1:24" x14ac:dyDescent="0.2">
      <c r="A32" s="94">
        <v>5</v>
      </c>
      <c r="B32" s="71">
        <f>MAX(MIN(战斗节奏!$C$3-INT(A32/'⚪设计'!$C$55),MOD(A32,'⚪设计'!$C$55)),0)*'⚪设计'!$C$79*防御塔!$C$2+MIN(INT(A32/'⚪设计'!$C$55),战斗节奏!$C$3)*'⚪设计'!$C$80*防御塔!$C$2</f>
        <v>2700</v>
      </c>
      <c r="C32" s="173">
        <v>1.2</v>
      </c>
      <c r="D32" s="173">
        <v>14</v>
      </c>
      <c r="E32" s="71" t="str">
        <f>IF(VLOOKUP(A32,'⚪设计'!$A$229:$G$248,4,FALSE)="","",VLOOKUP(VLOOKUP(A32,'⚪设计'!$A$229:$G$248,4,FALSE),'⚪设计'!$B$85:$D$113,2,FALSE))</f>
        <v>ResUnit_Niao1</v>
      </c>
      <c r="F32" s="71">
        <f t="shared" si="4"/>
        <v>14</v>
      </c>
      <c r="G32" s="71">
        <f>IF(VLOOKUP($A32,'⚪设计'!$A$229:$K$249,7+1,FALSE)="","",VLOOKUP(A32,'⚪设计'!$A$229:$K$249,7+1,FALSE))</f>
        <v>1</v>
      </c>
      <c r="H32" s="71">
        <f>IF(E32="",0,ROUND(VLOOKUP($A32,'⚪设计'!$A$229:$G$248,2,FALSE)*$B32/SUM(IF($E32="",0,VLOOKUP($E32,'⚪设计'!$C$85:$E$113,3,FALSE))*$F32,IF($J32="",0,VLOOKUP($J32,'⚪设计'!$C$85:$E$113,3,FALSE))*$K32,IF($O32="",0,VLOOKUP($O32,'⚪设计'!$C$85:$E$113,3,FALSE))*$P32,IF($T32="",0,VLOOKUP($T32,'⚪设计'!$C$85:$E$113,3,FALSE))*$U32)*VLOOKUP(E32,'⚪设计'!$C$85:$E$113,3,FALSE),0))</f>
        <v>1929</v>
      </c>
      <c r="I32" s="71">
        <f>ROUND(战斗节奏!$B$3/SUM(IF(无限模式!$E32="",0,VLOOKUP(无限模式!$E32,'⚪设计'!$C$85:$I$113,4,FALSE)*无限模式!$F32),IF(无限模式!$J32="",0,VLOOKUP(无限模式!$J32,'⚪设计'!$C$85:$I$113,4,FALSE)*无限模式!$K32),IF(无限模式!$O32="",0,VLOOKUP(无限模式!$O32,'⚪设计'!$C$85:$I$113,4,FALSE)*无限模式!$P32),IF(无限模式!$T32="",0,VLOOKUP(无限模式!$T32,'⚪设计'!$C$85:$I$113,4,FALSE)*无限模式!$U32))*IF(E32="",0,VLOOKUP(E32,'⚪设计'!$C$85:$I$113,4,FALSE)),0)</f>
        <v>14</v>
      </c>
      <c r="J32" s="71" t="str">
        <f>IF(VLOOKUP(A32,'⚪设计'!$A$229:$G$248,5,FALSE)="","",VLOOKUP(VLOOKUP(A32,'⚪设计'!$A$229:$G$248,5,FALSE),'⚪设计'!$B$85:$D$113,2,FALSE))</f>
        <v>ResUnit_ZhiZhu1</v>
      </c>
      <c r="K32" s="71">
        <f t="shared" si="5"/>
        <v>14</v>
      </c>
      <c r="L32" s="71">
        <f>IF(VLOOKUP($A32,'⚪设计'!$A$229:$K$249,7+2,FALSE)="","",VLOOKUP(A32,'⚪设计'!$A$229:$K$249,7+2,FALSE))</f>
        <v>1</v>
      </c>
      <c r="M32" s="71">
        <f>IF(J32="",0,ROUND(VLOOKUP($A32,'⚪设计'!$A$229:$G$248,2,FALSE)*$B32/SUM(IF($E32="",0,VLOOKUP($E32,'⚪设计'!$C$85:$E$113,3,FALSE))*$F32,IF($J32="",0,VLOOKUP($J32,'⚪设计'!$C$85:$E$113,3,FALSE))*$K32,IF($O32="",0,VLOOKUP($O32,'⚪设计'!$C$85:$E$113,3,FALSE))*$P32,IF($T32="",0,VLOOKUP($T32,'⚪设计'!$C$85:$E$113,3,FALSE))*$U32)*VLOOKUP(J32,'⚪设计'!$C$85:$E$113,3,FALSE),0))</f>
        <v>964</v>
      </c>
      <c r="N32" s="71">
        <f>ROUND(战斗节奏!$B$3/SUM(IF(无限模式!$E32="",0,VLOOKUP(无限模式!$E32,'⚪设计'!$C$85:$I$113,4,FALSE)*无限模式!$F32),IF(无限模式!$J32="",0,VLOOKUP(无限模式!$J32,'⚪设计'!$C$85:$I$113,4,FALSE)*无限模式!$K32),IF(无限模式!$O32="",0,VLOOKUP(无限模式!$O32,'⚪设计'!$C$85:$I$113,4,FALSE)*无限模式!$P32),IF(无限模式!$T32="",0,VLOOKUP(无限模式!$T32,'⚪设计'!$C$85:$I$113,4,FALSE)*无限模式!$U32))*IF(J32="",0,VLOOKUP(J32,'⚪设计'!$C$85:$I$113,4,FALSE)),0)</f>
        <v>7</v>
      </c>
      <c r="O32" s="71" t="str">
        <f>IF(VLOOKUP(A32,'⚪设计'!$A$229:$G$248,6,FALSE)="","",VLOOKUP(VLOOKUP(A32,'⚪设计'!$A$229:$G$248,6,FALSE),'⚪设计'!$B$85:$D$113,2,FALSE))</f>
        <v/>
      </c>
      <c r="P32" s="71">
        <f t="shared" si="6"/>
        <v>0</v>
      </c>
      <c r="Q32" s="71" t="str">
        <f>IF(VLOOKUP($A32,'⚪设计'!$A$229:$K$249,7+3,FALSE)="","",VLOOKUP(A32,'⚪设计'!$A$229:$K$249,7+3,FALSE))</f>
        <v/>
      </c>
      <c r="R32" s="71">
        <f>IF(O32="",0,ROUND(VLOOKUP($A32,'⚪设计'!$A$229:$G$248,2,FALSE)*$B32/SUM(IF($E32="",0,VLOOKUP($E32,'⚪设计'!$C$85:$E$113,3,FALSE))*$F32,IF($J32="",0,VLOOKUP($J32,'⚪设计'!$C$85:$E$113,3,FALSE))*$K32,IF($O32="",0,VLOOKUP($O32,'⚪设计'!$C$85:$E$113,3,FALSE))*$P32,IF($T32="",0,VLOOKUP($T32,'⚪设计'!$C$85:$E$113,3,FALSE))*$U32)*VLOOKUP(O32,'⚪设计'!$C$85:$E$113,3,FALSE),0))</f>
        <v>0</v>
      </c>
      <c r="S32" s="71">
        <f>ROUND(战斗节奏!$B$3/SUM(IF(无限模式!$E32="",0,VLOOKUP(无限模式!$E32,'⚪设计'!$C$85:$I$113,4,FALSE)*无限模式!$F32),IF(无限模式!$J32="",0,VLOOKUP(无限模式!$J32,'⚪设计'!$C$85:$I$113,4,FALSE)*无限模式!$K32),IF(无限模式!$O32="",0,VLOOKUP(无限模式!$O32,'⚪设计'!$C$85:$I$113,4,FALSE)*无限模式!$P32),IF(无限模式!$T32="",0,VLOOKUP(无限模式!$T32,'⚪设计'!$C$85:$I$113,4,FALSE)*无限模式!$U32))*IF(O32="",0,VLOOKUP(O32,'⚪设计'!$C$85:$I$113,4,FALSE)),0)</f>
        <v>0</v>
      </c>
      <c r="T32" s="71" t="str">
        <f>IF(VLOOKUP(A32,'⚪设计'!$A$229:$G$248,7,FALSE)="","",VLOOKUP(VLOOKUP(A32,'⚪设计'!$A$229:$G$248,7,FALSE),'⚪设计'!$B$85:$D$113,2,FALSE))</f>
        <v/>
      </c>
      <c r="U32" s="71">
        <f t="shared" si="7"/>
        <v>0</v>
      </c>
      <c r="V32" s="71" t="str">
        <f>IF(VLOOKUP($A32,'⚪设计'!$A$229:$K$249,7+4,FALSE)="","",VLOOKUP(A32,'⚪设计'!$A$229:$K$249,7+4,FALSE))</f>
        <v/>
      </c>
      <c r="W32" s="71">
        <f>IF(T32="",0,ROUND(VLOOKUP($A32,'⚪设计'!$A$229:$G$248,2,FALSE)*$B32/SUM(IF($E32="",0,VLOOKUP($E32,'⚪设计'!$C$85:$E$113,3,FALSE))*$F32,IF($J32="",0,VLOOKUP($J32,'⚪设计'!$C$85:$E$113,3,FALSE))*$K32,IF($O32="",0,VLOOKUP($O32,'⚪设计'!$C$85:$E$113,3,FALSE))*$P32,IF($T32="",0,VLOOKUP($T32,'⚪设计'!$C$85:$E$113,3,FALSE))*$U32)*VLOOKUP(T32,'⚪设计'!$C$85:$E$113,3,FALSE),0))</f>
        <v>0</v>
      </c>
      <c r="X32" s="71">
        <f>ROUND(战斗节奏!$B$3/SUM(IF(无限模式!$E32="",0,VLOOKUP(无限模式!$E32,'⚪设计'!$C$85:$I$113,4,FALSE)*无限模式!$F32),IF(无限模式!$J32="",0,VLOOKUP(无限模式!$J32,'⚪设计'!$C$85:$I$113,4,FALSE)*无限模式!$K32),IF(无限模式!$O32="",0,VLOOKUP(无限模式!$O32,'⚪设计'!$C$85:$I$113,4,FALSE)*无限模式!$P32),IF(无限模式!$T32="",0,VLOOKUP(无限模式!$T32,'⚪设计'!$C$85:$I$113,4,FALSE)*无限模式!$U32))*IF(T32="",0,VLOOKUP(T32,'⚪设计'!$C$85:$I$113,4,FALSE)),0)</f>
        <v>0</v>
      </c>
    </row>
    <row r="33" spans="1:24" x14ac:dyDescent="0.2">
      <c r="A33" s="94">
        <v>6</v>
      </c>
      <c r="B33" s="71">
        <f>MAX(MIN(战斗节奏!$C$3-INT(A33/'⚪设计'!$C$55),MOD(A33,'⚪设计'!$C$55)),0)*'⚪设计'!$C$79*防御塔!$C$2+MIN(INT(A33/'⚪设计'!$C$55),战斗节奏!$C$3)*'⚪设计'!$C$80*防御塔!$C$2</f>
        <v>3240</v>
      </c>
      <c r="C33" s="173">
        <v>1.25</v>
      </c>
      <c r="D33" s="173">
        <v>15</v>
      </c>
      <c r="E33" s="71" t="str">
        <f>IF(VLOOKUP(A33,'⚪设计'!$A$229:$G$248,4,FALSE)="","",VLOOKUP(VLOOKUP(A33,'⚪设计'!$A$229:$G$248,4,FALSE),'⚪设计'!$B$85:$D$113,2,FALSE))</f>
        <v>ResUnit_MiFeng2</v>
      </c>
      <c r="F33" s="71">
        <f t="shared" si="4"/>
        <v>20</v>
      </c>
      <c r="G33" s="71">
        <f>IF(VLOOKUP($A33,'⚪设计'!$A$229:$K$249,7+1,FALSE)="","",VLOOKUP(A33,'⚪设计'!$A$229:$K$249,7+1,FALSE))</f>
        <v>0.75</v>
      </c>
      <c r="H33" s="71">
        <f>IF(E33="",0,ROUND(VLOOKUP($A33,'⚪设计'!$A$229:$G$248,2,FALSE)*$B33/SUM(IF($E33="",0,VLOOKUP($E33,'⚪设计'!$C$85:$E$113,3,FALSE))*$F33,IF($J33="",0,VLOOKUP($J33,'⚪设计'!$C$85:$E$113,3,FALSE))*$K33,IF($O33="",0,VLOOKUP($O33,'⚪设计'!$C$85:$E$113,3,FALSE))*$P33,IF($T33="",0,VLOOKUP($T33,'⚪设计'!$C$85:$E$113,3,FALSE))*$U33)*VLOOKUP(E33,'⚪设计'!$C$85:$E$113,3,FALSE),0))</f>
        <v>2314</v>
      </c>
      <c r="I33" s="71">
        <f>ROUND(战斗节奏!$B$3/SUM(IF(无限模式!$E33="",0,VLOOKUP(无限模式!$E33,'⚪设计'!$C$85:$I$113,4,FALSE)*无限模式!$F33),IF(无限模式!$J33="",0,VLOOKUP(无限模式!$J33,'⚪设计'!$C$85:$I$113,4,FALSE)*无限模式!$K33),IF(无限模式!$O33="",0,VLOOKUP(无限模式!$O33,'⚪设计'!$C$85:$I$113,4,FALSE)*无限模式!$P33),IF(无限模式!$T33="",0,VLOOKUP(无限模式!$T33,'⚪设计'!$C$85:$I$113,4,FALSE)*无限模式!$U33))*IF(E33="",0,VLOOKUP(E33,'⚪设计'!$C$85:$I$113,4,FALSE)),0)</f>
        <v>9</v>
      </c>
      <c r="J33" s="71" t="str">
        <f>IF(VLOOKUP(A33,'⚪设计'!$A$229:$G$248,5,FALSE)="","",VLOOKUP(VLOOKUP(A33,'⚪设计'!$A$229:$G$248,5,FALSE),'⚪设计'!$B$85:$D$113,2,FALSE))</f>
        <v>ResUnit_Niao1</v>
      </c>
      <c r="K33" s="71">
        <f t="shared" si="5"/>
        <v>15</v>
      </c>
      <c r="L33" s="71">
        <f>IF(VLOOKUP($A33,'⚪设计'!$A$229:$K$249,7+2,FALSE)="","",VLOOKUP(A33,'⚪设计'!$A$229:$K$249,7+2,FALSE))</f>
        <v>1</v>
      </c>
      <c r="M33" s="71">
        <f>IF(J33="",0,ROUND(VLOOKUP($A33,'⚪设计'!$A$229:$G$248,2,FALSE)*$B33/SUM(IF($E33="",0,VLOOKUP($E33,'⚪设计'!$C$85:$E$113,3,FALSE))*$F33,IF($J33="",0,VLOOKUP($J33,'⚪设计'!$C$85:$E$113,3,FALSE))*$K33,IF($O33="",0,VLOOKUP($O33,'⚪设计'!$C$85:$E$113,3,FALSE))*$P33,IF($T33="",0,VLOOKUP($T33,'⚪设计'!$C$85:$E$113,3,FALSE))*$U33)*VLOOKUP(J33,'⚪设计'!$C$85:$E$113,3,FALSE),0))</f>
        <v>2314</v>
      </c>
      <c r="N33" s="71">
        <f>ROUND(战斗节奏!$B$3/SUM(IF(无限模式!$E33="",0,VLOOKUP(无限模式!$E33,'⚪设计'!$C$85:$I$113,4,FALSE)*无限模式!$F33),IF(无限模式!$J33="",0,VLOOKUP(无限模式!$J33,'⚪设计'!$C$85:$I$113,4,FALSE)*无限模式!$K33),IF(无限模式!$O33="",0,VLOOKUP(无限模式!$O33,'⚪设计'!$C$85:$I$113,4,FALSE)*无限模式!$P33),IF(无限模式!$T33="",0,VLOOKUP(无限模式!$T33,'⚪设计'!$C$85:$I$113,4,FALSE)*无限模式!$U33))*IF(J33="",0,VLOOKUP(J33,'⚪设计'!$C$85:$I$113,4,FALSE)),0)</f>
        <v>9</v>
      </c>
      <c r="O33" s="71" t="str">
        <f>IF(VLOOKUP(A33,'⚪设计'!$A$229:$G$248,6,FALSE)="","",VLOOKUP(VLOOKUP(A33,'⚪设计'!$A$229:$G$248,6,FALSE),'⚪设计'!$B$85:$D$113,2,FALSE))</f>
        <v/>
      </c>
      <c r="P33" s="71">
        <f t="shared" si="6"/>
        <v>0</v>
      </c>
      <c r="Q33" s="71" t="str">
        <f>IF(VLOOKUP($A33,'⚪设计'!$A$229:$K$249,7+3,FALSE)="","",VLOOKUP(A33,'⚪设计'!$A$229:$K$249,7+3,FALSE))</f>
        <v/>
      </c>
      <c r="R33" s="71">
        <f>IF(O33="",0,ROUND(VLOOKUP($A33,'⚪设计'!$A$229:$G$248,2,FALSE)*$B33/SUM(IF($E33="",0,VLOOKUP($E33,'⚪设计'!$C$85:$E$113,3,FALSE))*$F33,IF($J33="",0,VLOOKUP($J33,'⚪设计'!$C$85:$E$113,3,FALSE))*$K33,IF($O33="",0,VLOOKUP($O33,'⚪设计'!$C$85:$E$113,3,FALSE))*$P33,IF($T33="",0,VLOOKUP($T33,'⚪设计'!$C$85:$E$113,3,FALSE))*$U33)*VLOOKUP(O33,'⚪设计'!$C$85:$E$113,3,FALSE),0))</f>
        <v>0</v>
      </c>
      <c r="S33" s="71">
        <f>ROUND(战斗节奏!$B$3/SUM(IF(无限模式!$E33="",0,VLOOKUP(无限模式!$E33,'⚪设计'!$C$85:$I$113,4,FALSE)*无限模式!$F33),IF(无限模式!$J33="",0,VLOOKUP(无限模式!$J33,'⚪设计'!$C$85:$I$113,4,FALSE)*无限模式!$K33),IF(无限模式!$O33="",0,VLOOKUP(无限模式!$O33,'⚪设计'!$C$85:$I$113,4,FALSE)*无限模式!$P33),IF(无限模式!$T33="",0,VLOOKUP(无限模式!$T33,'⚪设计'!$C$85:$I$113,4,FALSE)*无限模式!$U33))*IF(O33="",0,VLOOKUP(O33,'⚪设计'!$C$85:$I$113,4,FALSE)),0)</f>
        <v>0</v>
      </c>
      <c r="T33" s="71" t="str">
        <f>IF(VLOOKUP(A33,'⚪设计'!$A$229:$G$248,7,FALSE)="","",VLOOKUP(VLOOKUP(A33,'⚪设计'!$A$229:$G$248,7,FALSE),'⚪设计'!$B$85:$D$113,2,FALSE))</f>
        <v/>
      </c>
      <c r="U33" s="71">
        <f t="shared" si="7"/>
        <v>0</v>
      </c>
      <c r="V33" s="71" t="str">
        <f>IF(VLOOKUP($A33,'⚪设计'!$A$229:$K$249,7+4,FALSE)="","",VLOOKUP(A33,'⚪设计'!$A$229:$K$249,7+4,FALSE))</f>
        <v/>
      </c>
      <c r="W33" s="71">
        <f>IF(T33="",0,ROUND(VLOOKUP($A33,'⚪设计'!$A$229:$G$248,2,FALSE)*$B33/SUM(IF($E33="",0,VLOOKUP($E33,'⚪设计'!$C$85:$E$113,3,FALSE))*$F33,IF($J33="",0,VLOOKUP($J33,'⚪设计'!$C$85:$E$113,3,FALSE))*$K33,IF($O33="",0,VLOOKUP($O33,'⚪设计'!$C$85:$E$113,3,FALSE))*$P33,IF($T33="",0,VLOOKUP($T33,'⚪设计'!$C$85:$E$113,3,FALSE))*$U33)*VLOOKUP(T33,'⚪设计'!$C$85:$E$113,3,FALSE),0))</f>
        <v>0</v>
      </c>
      <c r="X33" s="71">
        <f>ROUND(战斗节奏!$B$3/SUM(IF(无限模式!$E33="",0,VLOOKUP(无限模式!$E33,'⚪设计'!$C$85:$I$113,4,FALSE)*无限模式!$F33),IF(无限模式!$J33="",0,VLOOKUP(无限模式!$J33,'⚪设计'!$C$85:$I$113,4,FALSE)*无限模式!$K33),IF(无限模式!$O33="",0,VLOOKUP(无限模式!$O33,'⚪设计'!$C$85:$I$113,4,FALSE)*无限模式!$P33),IF(无限模式!$T33="",0,VLOOKUP(无限模式!$T33,'⚪设计'!$C$85:$I$113,4,FALSE)*无限模式!$U33))*IF(T33="",0,VLOOKUP(T33,'⚪设计'!$C$85:$I$113,4,FALSE)),0)</f>
        <v>0</v>
      </c>
    </row>
    <row r="34" spans="1:24" x14ac:dyDescent="0.2">
      <c r="A34" s="94">
        <v>7</v>
      </c>
      <c r="B34" s="71">
        <f>MAX(MIN(战斗节奏!$C$3-INT(A34/'⚪设计'!$C$55),MOD(A34,'⚪设计'!$C$55)),0)*'⚪设计'!$C$79*防御塔!$C$2+MIN(INT(A34/'⚪设计'!$C$55),战斗节奏!$C$3)*'⚪设计'!$C$80*防御塔!$C$2</f>
        <v>3780</v>
      </c>
      <c r="C34" s="173">
        <v>1.3</v>
      </c>
      <c r="D34" s="173">
        <v>16</v>
      </c>
      <c r="E34" s="71" t="str">
        <f>IF(VLOOKUP(A34,'⚪设计'!$A$229:$G$248,4,FALSE)="","",VLOOKUP(VLOOKUP(A34,'⚪设计'!$A$229:$G$248,4,FALSE),'⚪设计'!$B$85:$D$113,2,FALSE))</f>
        <v>ResUnit_Niao1</v>
      </c>
      <c r="F34" s="71">
        <f t="shared" si="4"/>
        <v>16</v>
      </c>
      <c r="G34" s="71">
        <f>IF(VLOOKUP($A34,'⚪设计'!$A$229:$K$249,7+1,FALSE)="","",VLOOKUP(A34,'⚪设计'!$A$229:$K$249,7+1,FALSE))</f>
        <v>1</v>
      </c>
      <c r="H34" s="71">
        <f>IF(E34="",0,ROUND(VLOOKUP($A34,'⚪设计'!$A$229:$G$248,2,FALSE)*$B34/SUM(IF($E34="",0,VLOOKUP($E34,'⚪设计'!$C$85:$E$113,3,FALSE))*$F34,IF($J34="",0,VLOOKUP($J34,'⚪设计'!$C$85:$E$113,3,FALSE))*$K34,IF($O34="",0,VLOOKUP($O34,'⚪设计'!$C$85:$E$113,3,FALSE))*$P34,IF($T34="",0,VLOOKUP($T34,'⚪设计'!$C$85:$E$113,3,FALSE))*$U34)*VLOOKUP(E34,'⚪设计'!$C$85:$E$113,3,FALSE),0))</f>
        <v>3544</v>
      </c>
      <c r="I34" s="71">
        <f>ROUND(战斗节奏!$B$3/SUM(IF(无限模式!$E34="",0,VLOOKUP(无限模式!$E34,'⚪设计'!$C$85:$I$113,4,FALSE)*无限模式!$F34),IF(无限模式!$J34="",0,VLOOKUP(无限模式!$J34,'⚪设计'!$C$85:$I$113,4,FALSE)*无限模式!$K34),IF(无限模式!$O34="",0,VLOOKUP(无限模式!$O34,'⚪设计'!$C$85:$I$113,4,FALSE)*无限模式!$P34),IF(无限模式!$T34="",0,VLOOKUP(无限模式!$T34,'⚪设计'!$C$85:$I$113,4,FALSE)*无限模式!$U34))*IF(E34="",0,VLOOKUP(E34,'⚪设计'!$C$85:$I$113,4,FALSE)),0)</f>
        <v>9</v>
      </c>
      <c r="J34" s="71" t="str">
        <f>IF(VLOOKUP(A34,'⚪设计'!$A$229:$G$248,5,FALSE)="","",VLOOKUP(VLOOKUP(A34,'⚪设计'!$A$229:$G$248,5,FALSE),'⚪设计'!$B$85:$D$113,2,FALSE))</f>
        <v>ResUnit_ZhiZhu1</v>
      </c>
      <c r="K34" s="71">
        <f t="shared" si="5"/>
        <v>32</v>
      </c>
      <c r="L34" s="71">
        <f>IF(VLOOKUP($A34,'⚪设计'!$A$229:$K$249,7+2,FALSE)="","",VLOOKUP(A34,'⚪设计'!$A$229:$K$249,7+2,FALSE))</f>
        <v>0.5</v>
      </c>
      <c r="M34" s="71">
        <f>IF(J34="",0,ROUND(VLOOKUP($A34,'⚪设计'!$A$229:$G$248,2,FALSE)*$B34/SUM(IF($E34="",0,VLOOKUP($E34,'⚪设计'!$C$85:$E$113,3,FALSE))*$F34,IF($J34="",0,VLOOKUP($J34,'⚪设计'!$C$85:$E$113,3,FALSE))*$K34,IF($O34="",0,VLOOKUP($O34,'⚪设计'!$C$85:$E$113,3,FALSE))*$P34,IF($T34="",0,VLOOKUP($T34,'⚪设计'!$C$85:$E$113,3,FALSE))*$U34)*VLOOKUP(J34,'⚪设计'!$C$85:$E$113,3,FALSE),0))</f>
        <v>1772</v>
      </c>
      <c r="N34" s="71">
        <f>ROUND(战斗节奏!$B$3/SUM(IF(无限模式!$E34="",0,VLOOKUP(无限模式!$E34,'⚪设计'!$C$85:$I$113,4,FALSE)*无限模式!$F34),IF(无限模式!$J34="",0,VLOOKUP(无限模式!$J34,'⚪设计'!$C$85:$I$113,4,FALSE)*无限模式!$K34),IF(无限模式!$O34="",0,VLOOKUP(无限模式!$O34,'⚪设计'!$C$85:$I$113,4,FALSE)*无限模式!$P34),IF(无限模式!$T34="",0,VLOOKUP(无限模式!$T34,'⚪设计'!$C$85:$I$113,4,FALSE)*无限模式!$U34))*IF(J34="",0,VLOOKUP(J34,'⚪设计'!$C$85:$I$113,4,FALSE)),0)</f>
        <v>5</v>
      </c>
      <c r="O34" s="71" t="str">
        <f>IF(VLOOKUP(A34,'⚪设计'!$A$229:$G$248,6,FALSE)="","",VLOOKUP(VLOOKUP(A34,'⚪设计'!$A$229:$G$248,6,FALSE),'⚪设计'!$B$85:$D$113,2,FALSE))</f>
        <v/>
      </c>
      <c r="P34" s="71">
        <f t="shared" si="6"/>
        <v>0</v>
      </c>
      <c r="Q34" s="71" t="str">
        <f>IF(VLOOKUP($A34,'⚪设计'!$A$229:$K$249,7+3,FALSE)="","",VLOOKUP(A34,'⚪设计'!$A$229:$K$249,7+3,FALSE))</f>
        <v/>
      </c>
      <c r="R34" s="71">
        <f>IF(O34="",0,ROUND(VLOOKUP($A34,'⚪设计'!$A$229:$G$248,2,FALSE)*$B34/SUM(IF($E34="",0,VLOOKUP($E34,'⚪设计'!$C$85:$E$113,3,FALSE))*$F34,IF($J34="",0,VLOOKUP($J34,'⚪设计'!$C$85:$E$113,3,FALSE))*$K34,IF($O34="",0,VLOOKUP($O34,'⚪设计'!$C$85:$E$113,3,FALSE))*$P34,IF($T34="",0,VLOOKUP($T34,'⚪设计'!$C$85:$E$113,3,FALSE))*$U34)*VLOOKUP(O34,'⚪设计'!$C$85:$E$113,3,FALSE),0))</f>
        <v>0</v>
      </c>
      <c r="S34" s="71">
        <f>ROUND(战斗节奏!$B$3/SUM(IF(无限模式!$E34="",0,VLOOKUP(无限模式!$E34,'⚪设计'!$C$85:$I$113,4,FALSE)*无限模式!$F34),IF(无限模式!$J34="",0,VLOOKUP(无限模式!$J34,'⚪设计'!$C$85:$I$113,4,FALSE)*无限模式!$K34),IF(无限模式!$O34="",0,VLOOKUP(无限模式!$O34,'⚪设计'!$C$85:$I$113,4,FALSE)*无限模式!$P34),IF(无限模式!$T34="",0,VLOOKUP(无限模式!$T34,'⚪设计'!$C$85:$I$113,4,FALSE)*无限模式!$U34))*IF(O34="",0,VLOOKUP(O34,'⚪设计'!$C$85:$I$113,4,FALSE)),0)</f>
        <v>0</v>
      </c>
      <c r="T34" s="71" t="str">
        <f>IF(VLOOKUP(A34,'⚪设计'!$A$229:$G$248,7,FALSE)="","",VLOOKUP(VLOOKUP(A34,'⚪设计'!$A$229:$G$248,7,FALSE),'⚪设计'!$B$85:$D$113,2,FALSE))</f>
        <v/>
      </c>
      <c r="U34" s="71">
        <f t="shared" si="7"/>
        <v>0</v>
      </c>
      <c r="V34" s="71" t="str">
        <f>IF(VLOOKUP($A34,'⚪设计'!$A$229:$K$249,7+4,FALSE)="","",VLOOKUP(A34,'⚪设计'!$A$229:$K$249,7+4,FALSE))</f>
        <v/>
      </c>
      <c r="W34" s="71">
        <f>IF(T34="",0,ROUND(VLOOKUP($A34,'⚪设计'!$A$229:$G$248,2,FALSE)*$B34/SUM(IF($E34="",0,VLOOKUP($E34,'⚪设计'!$C$85:$E$113,3,FALSE))*$F34,IF($J34="",0,VLOOKUP($J34,'⚪设计'!$C$85:$E$113,3,FALSE))*$K34,IF($O34="",0,VLOOKUP($O34,'⚪设计'!$C$85:$E$113,3,FALSE))*$P34,IF($T34="",0,VLOOKUP($T34,'⚪设计'!$C$85:$E$113,3,FALSE))*$U34)*VLOOKUP(T34,'⚪设计'!$C$85:$E$113,3,FALSE),0))</f>
        <v>0</v>
      </c>
      <c r="X34" s="71">
        <f>ROUND(战斗节奏!$B$3/SUM(IF(无限模式!$E34="",0,VLOOKUP(无限模式!$E34,'⚪设计'!$C$85:$I$113,4,FALSE)*无限模式!$F34),IF(无限模式!$J34="",0,VLOOKUP(无限模式!$J34,'⚪设计'!$C$85:$I$113,4,FALSE)*无限模式!$K34),IF(无限模式!$O34="",0,VLOOKUP(无限模式!$O34,'⚪设计'!$C$85:$I$113,4,FALSE)*无限模式!$P34),IF(无限模式!$T34="",0,VLOOKUP(无限模式!$T34,'⚪设计'!$C$85:$I$113,4,FALSE)*无限模式!$U34))*IF(T34="",0,VLOOKUP(T34,'⚪设计'!$C$85:$I$113,4,FALSE)),0)</f>
        <v>0</v>
      </c>
    </row>
    <row r="35" spans="1:24" x14ac:dyDescent="0.2">
      <c r="A35" s="94">
        <v>8</v>
      </c>
      <c r="B35" s="71">
        <f>MAX(MIN(战斗节奏!$C$3-INT(A35/'⚪设计'!$C$55),MOD(A35,'⚪设计'!$C$55)),0)*'⚪设计'!$C$79*防御塔!$C$2+MIN(INT(A35/'⚪设计'!$C$55),战斗节奏!$C$3)*'⚪设计'!$C$80*防御塔!$C$2</f>
        <v>4320</v>
      </c>
      <c r="C35" s="173">
        <v>1.35</v>
      </c>
      <c r="D35" s="173">
        <v>17</v>
      </c>
      <c r="E35" s="71" t="str">
        <f>IF(VLOOKUP(A35,'⚪设计'!$A$229:$G$248,4,FALSE)="","",VLOOKUP(VLOOKUP(A35,'⚪设计'!$A$229:$G$248,4,FALSE),'⚪设计'!$B$85:$D$113,2,FALSE))</f>
        <v>ResUnit_Niao1</v>
      </c>
      <c r="F35" s="71">
        <f t="shared" si="4"/>
        <v>17</v>
      </c>
      <c r="G35" s="71">
        <f>IF(VLOOKUP($A35,'⚪设计'!$A$229:$K$249,7+1,FALSE)="","",VLOOKUP(A35,'⚪设计'!$A$229:$K$249,7+1,FALSE))</f>
        <v>1</v>
      </c>
      <c r="H35" s="71">
        <f>IF(E35="",0,ROUND(VLOOKUP($A35,'⚪设计'!$A$229:$G$248,2,FALSE)*$B35/SUM(IF($E35="",0,VLOOKUP($E35,'⚪设计'!$C$85:$E$113,3,FALSE))*$F35,IF($J35="",0,VLOOKUP($J35,'⚪设计'!$C$85:$E$113,3,FALSE))*$K35,IF($O35="",0,VLOOKUP($O35,'⚪设计'!$C$85:$E$113,3,FALSE))*$P35,IF($T35="",0,VLOOKUP($T35,'⚪设计'!$C$85:$E$113,3,FALSE))*$U35)*VLOOKUP(E35,'⚪设计'!$C$85:$E$113,3,FALSE),0))</f>
        <v>6400</v>
      </c>
      <c r="I35" s="71">
        <f>ROUND(战斗节奏!$B$3/SUM(IF(无限模式!$E35="",0,VLOOKUP(无限模式!$E35,'⚪设计'!$C$85:$I$113,4,FALSE)*无限模式!$F35),IF(无限模式!$J35="",0,VLOOKUP(无限模式!$J35,'⚪设计'!$C$85:$I$113,4,FALSE)*无限模式!$K35),IF(无限模式!$O35="",0,VLOOKUP(无限模式!$O35,'⚪设计'!$C$85:$I$113,4,FALSE)*无限模式!$P35),IF(无限模式!$T35="",0,VLOOKUP(无限模式!$T35,'⚪设计'!$C$85:$I$113,4,FALSE)*无限模式!$U35))*IF(E35="",0,VLOOKUP(E35,'⚪设计'!$C$85:$I$113,4,FALSE)),0)</f>
        <v>11</v>
      </c>
      <c r="J35" s="71" t="str">
        <f>IF(VLOOKUP(A35,'⚪设计'!$A$229:$G$248,5,FALSE)="","",VLOOKUP(VLOOKUP(A35,'⚪设计'!$A$229:$G$248,5,FALSE),'⚪设计'!$B$85:$D$113,2,FALSE))</f>
        <v>ResUnit_ZhiZhu3</v>
      </c>
      <c r="K35" s="71">
        <f t="shared" si="5"/>
        <v>1</v>
      </c>
      <c r="L35" s="71">
        <f>IF(VLOOKUP($A35,'⚪设计'!$A$229:$K$249,7+2,FALSE)="","",VLOOKUP(A35,'⚪设计'!$A$229:$K$249,7+2,FALSE))</f>
        <v>0</v>
      </c>
      <c r="M35" s="71">
        <f>IF(J35="",0,ROUND(VLOOKUP($A35,'⚪设计'!$A$229:$G$248,2,FALSE)*$B35/SUM(IF($E35="",0,VLOOKUP($E35,'⚪设计'!$C$85:$E$113,3,FALSE))*$F35,IF($J35="",0,VLOOKUP($J35,'⚪设计'!$C$85:$E$113,3,FALSE))*$K35,IF($O35="",0,VLOOKUP($O35,'⚪设计'!$C$85:$E$113,3,FALSE))*$P35,IF($T35="",0,VLOOKUP($T35,'⚪设计'!$C$85:$E$113,3,FALSE))*$U35)*VLOOKUP(J35,'⚪设计'!$C$85:$E$113,3,FALSE),0))</f>
        <v>64000</v>
      </c>
      <c r="N35" s="71">
        <f>ROUND(战斗节奏!$B$3/SUM(IF(无限模式!$E35="",0,VLOOKUP(无限模式!$E35,'⚪设计'!$C$85:$I$113,4,FALSE)*无限模式!$F35),IF(无限模式!$J35="",0,VLOOKUP(无限模式!$J35,'⚪设计'!$C$85:$I$113,4,FALSE)*无限模式!$K35),IF(无限模式!$O35="",0,VLOOKUP(无限模式!$O35,'⚪设计'!$C$85:$I$113,4,FALSE)*无限模式!$P35),IF(无限模式!$T35="",0,VLOOKUP(无限模式!$T35,'⚪设计'!$C$85:$I$113,4,FALSE)*无限模式!$U35))*IF(J35="",0,VLOOKUP(J35,'⚪设计'!$C$85:$I$113,4,FALSE)),0)</f>
        <v>111</v>
      </c>
      <c r="O35" s="71" t="str">
        <f>IF(VLOOKUP(A35,'⚪设计'!$A$229:$G$248,6,FALSE)="","",VLOOKUP(VLOOKUP(A35,'⚪设计'!$A$229:$G$248,6,FALSE),'⚪设计'!$B$85:$D$113,2,FALSE))</f>
        <v/>
      </c>
      <c r="P35" s="71">
        <f t="shared" si="6"/>
        <v>0</v>
      </c>
      <c r="Q35" s="71" t="str">
        <f>IF(VLOOKUP($A35,'⚪设计'!$A$229:$K$249,7+3,FALSE)="","",VLOOKUP(A35,'⚪设计'!$A$229:$K$249,7+3,FALSE))</f>
        <v/>
      </c>
      <c r="R35" s="71">
        <f>IF(O35="",0,ROUND(VLOOKUP($A35,'⚪设计'!$A$229:$G$248,2,FALSE)*$B35/SUM(IF($E35="",0,VLOOKUP($E35,'⚪设计'!$C$85:$E$113,3,FALSE))*$F35,IF($J35="",0,VLOOKUP($J35,'⚪设计'!$C$85:$E$113,3,FALSE))*$K35,IF($O35="",0,VLOOKUP($O35,'⚪设计'!$C$85:$E$113,3,FALSE))*$P35,IF($T35="",0,VLOOKUP($T35,'⚪设计'!$C$85:$E$113,3,FALSE))*$U35)*VLOOKUP(O35,'⚪设计'!$C$85:$E$113,3,FALSE),0))</f>
        <v>0</v>
      </c>
      <c r="S35" s="71">
        <f>ROUND(战斗节奏!$B$3/SUM(IF(无限模式!$E35="",0,VLOOKUP(无限模式!$E35,'⚪设计'!$C$85:$I$113,4,FALSE)*无限模式!$F35),IF(无限模式!$J35="",0,VLOOKUP(无限模式!$J35,'⚪设计'!$C$85:$I$113,4,FALSE)*无限模式!$K35),IF(无限模式!$O35="",0,VLOOKUP(无限模式!$O35,'⚪设计'!$C$85:$I$113,4,FALSE)*无限模式!$P35),IF(无限模式!$T35="",0,VLOOKUP(无限模式!$T35,'⚪设计'!$C$85:$I$113,4,FALSE)*无限模式!$U35))*IF(O35="",0,VLOOKUP(O35,'⚪设计'!$C$85:$I$113,4,FALSE)),0)</f>
        <v>0</v>
      </c>
      <c r="T35" s="71" t="str">
        <f>IF(VLOOKUP(A35,'⚪设计'!$A$229:$G$248,7,FALSE)="","",VLOOKUP(VLOOKUP(A35,'⚪设计'!$A$229:$G$248,7,FALSE),'⚪设计'!$B$85:$D$113,2,FALSE))</f>
        <v/>
      </c>
      <c r="U35" s="71">
        <f t="shared" si="7"/>
        <v>0</v>
      </c>
      <c r="V35" s="71" t="str">
        <f>IF(VLOOKUP($A35,'⚪设计'!$A$229:$K$249,7+4,FALSE)="","",VLOOKUP(A35,'⚪设计'!$A$229:$K$249,7+4,FALSE))</f>
        <v/>
      </c>
      <c r="W35" s="71">
        <f>IF(T35="",0,ROUND(VLOOKUP($A35,'⚪设计'!$A$229:$G$248,2,FALSE)*$B35/SUM(IF($E35="",0,VLOOKUP($E35,'⚪设计'!$C$85:$E$113,3,FALSE))*$F35,IF($J35="",0,VLOOKUP($J35,'⚪设计'!$C$85:$E$113,3,FALSE))*$K35,IF($O35="",0,VLOOKUP($O35,'⚪设计'!$C$85:$E$113,3,FALSE))*$P35,IF($T35="",0,VLOOKUP($T35,'⚪设计'!$C$85:$E$113,3,FALSE))*$U35)*VLOOKUP(T35,'⚪设计'!$C$85:$E$113,3,FALSE),0))</f>
        <v>0</v>
      </c>
      <c r="X35" s="71">
        <f>ROUND(战斗节奏!$B$3/SUM(IF(无限模式!$E35="",0,VLOOKUP(无限模式!$E35,'⚪设计'!$C$85:$I$113,4,FALSE)*无限模式!$F35),IF(无限模式!$J35="",0,VLOOKUP(无限模式!$J35,'⚪设计'!$C$85:$I$113,4,FALSE)*无限模式!$K35),IF(无限模式!$O35="",0,VLOOKUP(无限模式!$O35,'⚪设计'!$C$85:$I$113,4,FALSE)*无限模式!$P35),IF(无限模式!$T35="",0,VLOOKUP(无限模式!$T35,'⚪设计'!$C$85:$I$113,4,FALSE)*无限模式!$U35))*IF(T35="",0,VLOOKUP(T35,'⚪设计'!$C$85:$I$113,4,FALSE)),0)</f>
        <v>0</v>
      </c>
    </row>
    <row r="36" spans="1:24" x14ac:dyDescent="0.2">
      <c r="A36" s="94">
        <v>9</v>
      </c>
      <c r="B36" s="71">
        <f>MAX(MIN(战斗节奏!$C$3-INT(A36/'⚪设计'!$C$55),MOD(A36,'⚪设计'!$C$55)),0)*'⚪设计'!$C$79*防御塔!$C$2+MIN(INT(A36/'⚪设计'!$C$55),战斗节奏!$C$3)*'⚪设计'!$C$80*防御塔!$C$2</f>
        <v>4859.9999999999991</v>
      </c>
      <c r="C36" s="173">
        <v>1.4</v>
      </c>
      <c r="D36" s="173">
        <v>18</v>
      </c>
      <c r="E36" s="71" t="str">
        <f>IF(VLOOKUP(A36,'⚪设计'!$A$229:$G$248,4,FALSE)="","",VLOOKUP(VLOOKUP(A36,'⚪设计'!$A$229:$G$248,4,FALSE),'⚪设计'!$B$85:$D$113,2,FALSE))</f>
        <v>ResUnit_Niao2</v>
      </c>
      <c r="F36" s="71">
        <f t="shared" si="4"/>
        <v>12</v>
      </c>
      <c r="G36" s="71">
        <f>IF(VLOOKUP($A36,'⚪设计'!$A$229:$K$249,7+1,FALSE)="","",VLOOKUP(A36,'⚪设计'!$A$229:$K$249,7+1,FALSE))</f>
        <v>1.5</v>
      </c>
      <c r="H36" s="71">
        <f>IF(E36="",0,ROUND(VLOOKUP($A36,'⚪设计'!$A$229:$G$248,2,FALSE)*$B36/SUM(IF($E36="",0,VLOOKUP($E36,'⚪设计'!$C$85:$E$113,3,FALSE))*$F36,IF($J36="",0,VLOOKUP($J36,'⚪设计'!$C$85:$E$113,3,FALSE))*$K36,IF($O36="",0,VLOOKUP($O36,'⚪设计'!$C$85:$E$113,3,FALSE))*$P36,IF($T36="",0,VLOOKUP($T36,'⚪设计'!$C$85:$E$113,3,FALSE))*$U36)*VLOOKUP(E36,'⚪设计'!$C$85:$E$113,3,FALSE),0))</f>
        <v>5891</v>
      </c>
      <c r="I36" s="71">
        <f>ROUND(战斗节奏!$B$3/SUM(IF(无限模式!$E36="",0,VLOOKUP(无限模式!$E36,'⚪设计'!$C$85:$I$113,4,FALSE)*无限模式!$F36),IF(无限模式!$J36="",0,VLOOKUP(无限模式!$J36,'⚪设计'!$C$85:$I$113,4,FALSE)*无限模式!$K36),IF(无限模式!$O36="",0,VLOOKUP(无限模式!$O36,'⚪设计'!$C$85:$I$113,4,FALSE)*无限模式!$P36),IF(无限模式!$T36="",0,VLOOKUP(无限模式!$T36,'⚪设计'!$C$85:$I$113,4,FALSE)*无限模式!$U36))*IF(E36="",0,VLOOKUP(E36,'⚪设计'!$C$85:$I$113,4,FALSE)),0)</f>
        <v>17</v>
      </c>
      <c r="J36" s="71" t="str">
        <f>IF(VLOOKUP(A36,'⚪设计'!$A$229:$G$248,5,FALSE)="","",VLOOKUP(VLOOKUP(A36,'⚪设计'!$A$229:$G$248,5,FALSE),'⚪设计'!$B$85:$D$113,2,FALSE))</f>
        <v>ResUnit_ZhongZi1</v>
      </c>
      <c r="K36" s="71">
        <f t="shared" si="5"/>
        <v>6</v>
      </c>
      <c r="L36" s="71">
        <f>IF(VLOOKUP($A36,'⚪设计'!$A$229:$K$249,7+2,FALSE)="","",VLOOKUP(A36,'⚪设计'!$A$229:$K$249,7+2,FALSE))</f>
        <v>3</v>
      </c>
      <c r="M36" s="71">
        <f>IF(J36="",0,ROUND(VLOOKUP($A36,'⚪设计'!$A$229:$G$248,2,FALSE)*$B36/SUM(IF($E36="",0,VLOOKUP($E36,'⚪设计'!$C$85:$E$113,3,FALSE))*$F36,IF($J36="",0,VLOOKUP($J36,'⚪设计'!$C$85:$E$113,3,FALSE))*$K36,IF($O36="",0,VLOOKUP($O36,'⚪设计'!$C$85:$E$113,3,FALSE))*$P36,IF($T36="",0,VLOOKUP($T36,'⚪设计'!$C$85:$E$113,3,FALSE))*$U36)*VLOOKUP(J36,'⚪设计'!$C$85:$E$113,3,FALSE),0))</f>
        <v>4418</v>
      </c>
      <c r="N36" s="71">
        <f>ROUND(战斗节奏!$B$3/SUM(IF(无限模式!$E36="",0,VLOOKUP(无限模式!$E36,'⚪设计'!$C$85:$I$113,4,FALSE)*无限模式!$F36),IF(无限模式!$J36="",0,VLOOKUP(无限模式!$J36,'⚪设计'!$C$85:$I$113,4,FALSE)*无限模式!$K36),IF(无限模式!$O36="",0,VLOOKUP(无限模式!$O36,'⚪设计'!$C$85:$I$113,4,FALSE)*无限模式!$P36),IF(无限模式!$T36="",0,VLOOKUP(无限模式!$T36,'⚪设计'!$C$85:$I$113,4,FALSE)*无限模式!$U36))*IF(J36="",0,VLOOKUP(J36,'⚪设计'!$C$85:$I$113,4,FALSE)),0)</f>
        <v>17</v>
      </c>
      <c r="O36" s="71" t="str">
        <f>IF(VLOOKUP(A36,'⚪设计'!$A$229:$G$248,6,FALSE)="","",VLOOKUP(VLOOKUP(A36,'⚪设计'!$A$229:$G$248,6,FALSE),'⚪设计'!$B$85:$D$113,2,FALSE))</f>
        <v/>
      </c>
      <c r="P36" s="71">
        <f t="shared" si="6"/>
        <v>0</v>
      </c>
      <c r="Q36" s="71" t="str">
        <f>IF(VLOOKUP($A36,'⚪设计'!$A$229:$K$249,7+3,FALSE)="","",VLOOKUP(A36,'⚪设计'!$A$229:$K$249,7+3,FALSE))</f>
        <v/>
      </c>
      <c r="R36" s="71">
        <f>IF(O36="",0,ROUND(VLOOKUP($A36,'⚪设计'!$A$229:$G$248,2,FALSE)*$B36/SUM(IF($E36="",0,VLOOKUP($E36,'⚪设计'!$C$85:$E$113,3,FALSE))*$F36,IF($J36="",0,VLOOKUP($J36,'⚪设计'!$C$85:$E$113,3,FALSE))*$K36,IF($O36="",0,VLOOKUP($O36,'⚪设计'!$C$85:$E$113,3,FALSE))*$P36,IF($T36="",0,VLOOKUP($T36,'⚪设计'!$C$85:$E$113,3,FALSE))*$U36)*VLOOKUP(O36,'⚪设计'!$C$85:$E$113,3,FALSE),0))</f>
        <v>0</v>
      </c>
      <c r="S36" s="71">
        <f>ROUND(战斗节奏!$B$3/SUM(IF(无限模式!$E36="",0,VLOOKUP(无限模式!$E36,'⚪设计'!$C$85:$I$113,4,FALSE)*无限模式!$F36),IF(无限模式!$J36="",0,VLOOKUP(无限模式!$J36,'⚪设计'!$C$85:$I$113,4,FALSE)*无限模式!$K36),IF(无限模式!$O36="",0,VLOOKUP(无限模式!$O36,'⚪设计'!$C$85:$I$113,4,FALSE)*无限模式!$P36),IF(无限模式!$T36="",0,VLOOKUP(无限模式!$T36,'⚪设计'!$C$85:$I$113,4,FALSE)*无限模式!$U36))*IF(O36="",0,VLOOKUP(O36,'⚪设计'!$C$85:$I$113,4,FALSE)),0)</f>
        <v>0</v>
      </c>
      <c r="T36" s="71" t="str">
        <f>IF(VLOOKUP(A36,'⚪设计'!$A$229:$G$248,7,FALSE)="","",VLOOKUP(VLOOKUP(A36,'⚪设计'!$A$229:$G$248,7,FALSE),'⚪设计'!$B$85:$D$113,2,FALSE))</f>
        <v/>
      </c>
      <c r="U36" s="71">
        <f t="shared" si="7"/>
        <v>0</v>
      </c>
      <c r="V36" s="71" t="str">
        <f>IF(VLOOKUP($A36,'⚪设计'!$A$229:$K$249,7+4,FALSE)="","",VLOOKUP(A36,'⚪设计'!$A$229:$K$249,7+4,FALSE))</f>
        <v/>
      </c>
      <c r="W36" s="71">
        <f>IF(T36="",0,ROUND(VLOOKUP($A36,'⚪设计'!$A$229:$G$248,2,FALSE)*$B36/SUM(IF($E36="",0,VLOOKUP($E36,'⚪设计'!$C$85:$E$113,3,FALSE))*$F36,IF($J36="",0,VLOOKUP($J36,'⚪设计'!$C$85:$E$113,3,FALSE))*$K36,IF($O36="",0,VLOOKUP($O36,'⚪设计'!$C$85:$E$113,3,FALSE))*$P36,IF($T36="",0,VLOOKUP($T36,'⚪设计'!$C$85:$E$113,3,FALSE))*$U36)*VLOOKUP(T36,'⚪设计'!$C$85:$E$113,3,FALSE),0))</f>
        <v>0</v>
      </c>
      <c r="X36" s="71">
        <f>ROUND(战斗节奏!$B$3/SUM(IF(无限模式!$E36="",0,VLOOKUP(无限模式!$E36,'⚪设计'!$C$85:$I$113,4,FALSE)*无限模式!$F36),IF(无限模式!$J36="",0,VLOOKUP(无限模式!$J36,'⚪设计'!$C$85:$I$113,4,FALSE)*无限模式!$K36),IF(无限模式!$O36="",0,VLOOKUP(无限模式!$O36,'⚪设计'!$C$85:$I$113,4,FALSE)*无限模式!$P36),IF(无限模式!$T36="",0,VLOOKUP(无限模式!$T36,'⚪设计'!$C$85:$I$113,4,FALSE)*无限模式!$U36))*IF(T36="",0,VLOOKUP(T36,'⚪设计'!$C$85:$I$113,4,FALSE)),0)</f>
        <v>0</v>
      </c>
    </row>
    <row r="37" spans="1:24" x14ac:dyDescent="0.2">
      <c r="A37" s="94">
        <v>10</v>
      </c>
      <c r="B37" s="71">
        <f>MAX(MIN(战斗节奏!$C$3-INT(A37/'⚪设计'!$C$55),MOD(A37,'⚪设计'!$C$55)),0)*'⚪设计'!$C$79*防御塔!$C$2+MIN(INT(A37/'⚪设计'!$C$55),战斗节奏!$C$3)*'⚪设计'!$C$80*防御塔!$C$2</f>
        <v>5399.9999999999991</v>
      </c>
      <c r="C37" s="173">
        <v>1.45</v>
      </c>
      <c r="D37" s="173">
        <v>19</v>
      </c>
      <c r="E37" s="71" t="str">
        <f>IF(VLOOKUP(A37,'⚪设计'!$A$229:$G$248,4,FALSE)="","",VLOOKUP(VLOOKUP(A37,'⚪设计'!$A$229:$G$248,4,FALSE),'⚪设计'!$B$85:$D$113,2,FALSE))</f>
        <v>ResUnit_Niao2</v>
      </c>
      <c r="F37" s="71">
        <f t="shared" si="4"/>
        <v>19</v>
      </c>
      <c r="G37" s="71">
        <f>IF(VLOOKUP($A37,'⚪设计'!$A$229:$K$249,7+1,FALSE)="","",VLOOKUP(A37,'⚪设计'!$A$229:$K$249,7+1,FALSE))</f>
        <v>1</v>
      </c>
      <c r="H37" s="71">
        <f>IF(E37="",0,ROUND(VLOOKUP($A37,'⚪设计'!$A$229:$G$248,2,FALSE)*$B37/SUM(IF($E37="",0,VLOOKUP($E37,'⚪设计'!$C$85:$E$113,3,FALSE))*$F37,IF($J37="",0,VLOOKUP($J37,'⚪设计'!$C$85:$E$113,3,FALSE))*$K37,IF($O37="",0,VLOOKUP($O37,'⚪设计'!$C$85:$E$113,3,FALSE))*$P37,IF($T37="",0,VLOOKUP($T37,'⚪设计'!$C$85:$E$113,3,FALSE))*$U37)*VLOOKUP(E37,'⚪设计'!$C$85:$E$113,3,FALSE),0))</f>
        <v>8617</v>
      </c>
      <c r="I37" s="71">
        <f>ROUND(战斗节奏!$B$3/SUM(IF(无限模式!$E37="",0,VLOOKUP(无限模式!$E37,'⚪设计'!$C$85:$I$113,4,FALSE)*无限模式!$F37),IF(无限模式!$J37="",0,VLOOKUP(无限模式!$J37,'⚪设计'!$C$85:$I$113,4,FALSE)*无限模式!$K37),IF(无限模式!$O37="",0,VLOOKUP(无限模式!$O37,'⚪设计'!$C$85:$I$113,4,FALSE)*无限模式!$P37),IF(无限模式!$T37="",0,VLOOKUP(无限模式!$T37,'⚪设计'!$C$85:$I$113,4,FALSE)*无限模式!$U37))*IF(E37="",0,VLOOKUP(E37,'⚪设计'!$C$85:$I$113,4,FALSE)),0)</f>
        <v>12</v>
      </c>
      <c r="J37" s="71" t="str">
        <f>IF(VLOOKUP(A37,'⚪设计'!$A$229:$G$248,5,FALSE)="","",VLOOKUP(VLOOKUP(A37,'⚪设计'!$A$229:$G$248,5,FALSE),'⚪设计'!$B$85:$D$113,2,FALSE))</f>
        <v>ResUnit_ZhongZi1</v>
      </c>
      <c r="K37" s="71">
        <f t="shared" si="5"/>
        <v>6</v>
      </c>
      <c r="L37" s="71">
        <f>IF(VLOOKUP($A37,'⚪设计'!$A$229:$K$249,7+2,FALSE)="","",VLOOKUP(A37,'⚪设计'!$A$229:$K$249,7+2,FALSE))</f>
        <v>3</v>
      </c>
      <c r="M37" s="71">
        <f>IF(J37="",0,ROUND(VLOOKUP($A37,'⚪设计'!$A$229:$G$248,2,FALSE)*$B37/SUM(IF($E37="",0,VLOOKUP($E37,'⚪设计'!$C$85:$E$113,3,FALSE))*$F37,IF($J37="",0,VLOOKUP($J37,'⚪设计'!$C$85:$E$113,3,FALSE))*$K37,IF($O37="",0,VLOOKUP($O37,'⚪设计'!$C$85:$E$113,3,FALSE))*$P37,IF($T37="",0,VLOOKUP($T37,'⚪设计'!$C$85:$E$113,3,FALSE))*$U37)*VLOOKUP(J37,'⚪设计'!$C$85:$E$113,3,FALSE),0))</f>
        <v>6463</v>
      </c>
      <c r="N37" s="71">
        <f>ROUND(战斗节奏!$B$3/SUM(IF(无限模式!$E37="",0,VLOOKUP(无限模式!$E37,'⚪设计'!$C$85:$I$113,4,FALSE)*无限模式!$F37),IF(无限模式!$J37="",0,VLOOKUP(无限模式!$J37,'⚪设计'!$C$85:$I$113,4,FALSE)*无限模式!$K37),IF(无限模式!$O37="",0,VLOOKUP(无限模式!$O37,'⚪设计'!$C$85:$I$113,4,FALSE)*无限模式!$P37),IF(无限模式!$T37="",0,VLOOKUP(无限模式!$T37,'⚪设计'!$C$85:$I$113,4,FALSE)*无限模式!$U37))*IF(J37="",0,VLOOKUP(J37,'⚪设计'!$C$85:$I$113,4,FALSE)),0)</f>
        <v>12</v>
      </c>
      <c r="O37" s="71" t="str">
        <f>IF(VLOOKUP(A37,'⚪设计'!$A$229:$G$248,6,FALSE)="","",VLOOKUP(VLOOKUP(A37,'⚪设计'!$A$229:$G$248,6,FALSE),'⚪设计'!$B$85:$D$113,2,FALSE))</f>
        <v/>
      </c>
      <c r="P37" s="71">
        <f t="shared" si="6"/>
        <v>0</v>
      </c>
      <c r="Q37" s="71" t="str">
        <f>IF(VLOOKUP($A37,'⚪设计'!$A$229:$K$249,7+3,FALSE)="","",VLOOKUP(A37,'⚪设计'!$A$229:$K$249,7+3,FALSE))</f>
        <v/>
      </c>
      <c r="R37" s="71">
        <f>IF(O37="",0,ROUND(VLOOKUP($A37,'⚪设计'!$A$229:$G$248,2,FALSE)*$B37/SUM(IF($E37="",0,VLOOKUP($E37,'⚪设计'!$C$85:$E$113,3,FALSE))*$F37,IF($J37="",0,VLOOKUP($J37,'⚪设计'!$C$85:$E$113,3,FALSE))*$K37,IF($O37="",0,VLOOKUP($O37,'⚪设计'!$C$85:$E$113,3,FALSE))*$P37,IF($T37="",0,VLOOKUP($T37,'⚪设计'!$C$85:$E$113,3,FALSE))*$U37)*VLOOKUP(O37,'⚪设计'!$C$85:$E$113,3,FALSE),0))</f>
        <v>0</v>
      </c>
      <c r="S37" s="71">
        <f>ROUND(战斗节奏!$B$3/SUM(IF(无限模式!$E37="",0,VLOOKUP(无限模式!$E37,'⚪设计'!$C$85:$I$113,4,FALSE)*无限模式!$F37),IF(无限模式!$J37="",0,VLOOKUP(无限模式!$J37,'⚪设计'!$C$85:$I$113,4,FALSE)*无限模式!$K37),IF(无限模式!$O37="",0,VLOOKUP(无限模式!$O37,'⚪设计'!$C$85:$I$113,4,FALSE)*无限模式!$P37),IF(无限模式!$T37="",0,VLOOKUP(无限模式!$T37,'⚪设计'!$C$85:$I$113,4,FALSE)*无限模式!$U37))*IF(O37="",0,VLOOKUP(O37,'⚪设计'!$C$85:$I$113,4,FALSE)),0)</f>
        <v>0</v>
      </c>
      <c r="T37" s="71" t="str">
        <f>IF(VLOOKUP(A37,'⚪设计'!$A$229:$G$248,7,FALSE)="","",VLOOKUP(VLOOKUP(A37,'⚪设计'!$A$229:$G$248,7,FALSE),'⚪设计'!$B$85:$D$113,2,FALSE))</f>
        <v/>
      </c>
      <c r="U37" s="71">
        <f t="shared" si="7"/>
        <v>0</v>
      </c>
      <c r="V37" s="71" t="str">
        <f>IF(VLOOKUP($A37,'⚪设计'!$A$229:$K$249,7+4,FALSE)="","",VLOOKUP(A37,'⚪设计'!$A$229:$K$249,7+4,FALSE))</f>
        <v/>
      </c>
      <c r="W37" s="71">
        <f>IF(T37="",0,ROUND(VLOOKUP($A37,'⚪设计'!$A$229:$G$248,2,FALSE)*$B37/SUM(IF($E37="",0,VLOOKUP($E37,'⚪设计'!$C$85:$E$113,3,FALSE))*$F37,IF($J37="",0,VLOOKUP($J37,'⚪设计'!$C$85:$E$113,3,FALSE))*$K37,IF($O37="",0,VLOOKUP($O37,'⚪设计'!$C$85:$E$113,3,FALSE))*$P37,IF($T37="",0,VLOOKUP($T37,'⚪设计'!$C$85:$E$113,3,FALSE))*$U37)*VLOOKUP(T37,'⚪设计'!$C$85:$E$113,3,FALSE),0))</f>
        <v>0</v>
      </c>
      <c r="X37" s="71">
        <f>ROUND(战斗节奏!$B$3/SUM(IF(无限模式!$E37="",0,VLOOKUP(无限模式!$E37,'⚪设计'!$C$85:$I$113,4,FALSE)*无限模式!$F37),IF(无限模式!$J37="",0,VLOOKUP(无限模式!$J37,'⚪设计'!$C$85:$I$113,4,FALSE)*无限模式!$K37),IF(无限模式!$O37="",0,VLOOKUP(无限模式!$O37,'⚪设计'!$C$85:$I$113,4,FALSE)*无限模式!$P37),IF(无限模式!$T37="",0,VLOOKUP(无限模式!$T37,'⚪设计'!$C$85:$I$113,4,FALSE)*无限模式!$U37))*IF(T37="",0,VLOOKUP(T37,'⚪设计'!$C$85:$I$113,4,FALSE)),0)</f>
        <v>0</v>
      </c>
    </row>
    <row r="38" spans="1:24" x14ac:dyDescent="0.2">
      <c r="A38" s="94">
        <v>11</v>
      </c>
      <c r="B38" s="71">
        <f>MAX(MIN(战斗节奏!$C$3-INT(A38/'⚪设计'!$C$55),MOD(A38,'⚪设计'!$C$55)),0)*'⚪设计'!$C$79*防御塔!$C$2+MIN(INT(A38/'⚪设计'!$C$55),战斗节奏!$C$3)*'⚪设计'!$C$80*防御塔!$C$2</f>
        <v>5939.9999999999991</v>
      </c>
      <c r="C38" s="173">
        <v>1.5</v>
      </c>
      <c r="D38" s="173">
        <v>20</v>
      </c>
      <c r="E38" s="71" t="str">
        <f>IF(VLOOKUP(A38,'⚪设计'!$A$229:$G$248,4,FALSE)="","",VLOOKUP(VLOOKUP(A38,'⚪设计'!$A$229:$G$248,4,FALSE),'⚪设计'!$B$85:$D$113,2,FALSE))</f>
        <v>ResUnit_Niao2</v>
      </c>
      <c r="F38" s="71">
        <f t="shared" si="4"/>
        <v>20</v>
      </c>
      <c r="G38" s="71">
        <f>IF(VLOOKUP($A38,'⚪设计'!$A$229:$K$249,7+1,FALSE)="","",VLOOKUP(A38,'⚪设计'!$A$229:$K$249,7+1,FALSE))</f>
        <v>1</v>
      </c>
      <c r="H38" s="71">
        <f>IF(E38="",0,ROUND(VLOOKUP($A38,'⚪设计'!$A$229:$G$248,2,FALSE)*$B38/SUM(IF($E38="",0,VLOOKUP($E38,'⚪设计'!$C$85:$E$113,3,FALSE))*$F38,IF($J38="",0,VLOOKUP($J38,'⚪设计'!$C$85:$E$113,3,FALSE))*$K38,IF($O38="",0,VLOOKUP($O38,'⚪设计'!$C$85:$E$113,3,FALSE))*$P38,IF($T38="",0,VLOOKUP($T38,'⚪设计'!$C$85:$E$113,3,FALSE))*$U38)*VLOOKUP(E38,'⚪设计'!$C$85:$E$113,3,FALSE),0))</f>
        <v>11880</v>
      </c>
      <c r="I38" s="71">
        <f>ROUND(战斗节奏!$B$3/SUM(IF(无限模式!$E38="",0,VLOOKUP(无限模式!$E38,'⚪设计'!$C$85:$I$113,4,FALSE)*无限模式!$F38),IF(无限模式!$J38="",0,VLOOKUP(无限模式!$J38,'⚪设计'!$C$85:$I$113,4,FALSE)*无限模式!$K38),IF(无限模式!$O38="",0,VLOOKUP(无限模式!$O38,'⚪设计'!$C$85:$I$113,4,FALSE)*无限模式!$P38),IF(无限模式!$T38="",0,VLOOKUP(无限模式!$T38,'⚪设计'!$C$85:$I$113,4,FALSE)*无限模式!$U38))*IF(E38="",0,VLOOKUP(E38,'⚪设计'!$C$85:$I$113,4,FALSE)),0)</f>
        <v>12</v>
      </c>
      <c r="J38" s="71" t="str">
        <f>IF(VLOOKUP(A38,'⚪设计'!$A$229:$G$248,5,FALSE)="","",VLOOKUP(VLOOKUP(A38,'⚪设计'!$A$229:$G$248,5,FALSE),'⚪设计'!$B$85:$D$113,2,FALSE))</f>
        <v>ResUnit_ZhiZhu2</v>
      </c>
      <c r="K38" s="71">
        <f t="shared" si="5"/>
        <v>10</v>
      </c>
      <c r="L38" s="71">
        <f>IF(VLOOKUP($A38,'⚪设计'!$A$229:$K$249,7+2,FALSE)="","",VLOOKUP(A38,'⚪设计'!$A$229:$K$249,7+2,FALSE))</f>
        <v>2</v>
      </c>
      <c r="M38" s="71">
        <f>IF(J38="",0,ROUND(VLOOKUP($A38,'⚪设计'!$A$229:$G$248,2,FALSE)*$B38/SUM(IF($E38="",0,VLOOKUP($E38,'⚪设计'!$C$85:$E$113,3,FALSE))*$F38,IF($J38="",0,VLOOKUP($J38,'⚪设计'!$C$85:$E$113,3,FALSE))*$K38,IF($O38="",0,VLOOKUP($O38,'⚪设计'!$C$85:$E$113,3,FALSE))*$P38,IF($T38="",0,VLOOKUP($T38,'⚪设计'!$C$85:$E$113,3,FALSE))*$U38)*VLOOKUP(J38,'⚪设计'!$C$85:$E$113,3,FALSE),0))</f>
        <v>5940</v>
      </c>
      <c r="N38" s="71">
        <f>ROUND(战斗节奏!$B$3/SUM(IF(无限模式!$E38="",0,VLOOKUP(无限模式!$E38,'⚪设计'!$C$85:$I$113,4,FALSE)*无限模式!$F38),IF(无限模式!$J38="",0,VLOOKUP(无限模式!$J38,'⚪设计'!$C$85:$I$113,4,FALSE)*无限模式!$K38),IF(无限模式!$O38="",0,VLOOKUP(无限模式!$O38,'⚪设计'!$C$85:$I$113,4,FALSE)*无限模式!$P38),IF(无限模式!$T38="",0,VLOOKUP(无限模式!$T38,'⚪设计'!$C$85:$I$113,4,FALSE)*无限模式!$U38))*IF(J38="",0,VLOOKUP(J38,'⚪设计'!$C$85:$I$113,4,FALSE)),0)</f>
        <v>6</v>
      </c>
      <c r="O38" s="71" t="str">
        <f>IF(VLOOKUP(A38,'⚪设计'!$A$229:$G$248,6,FALSE)="","",VLOOKUP(VLOOKUP(A38,'⚪设计'!$A$229:$G$248,6,FALSE),'⚪设计'!$B$85:$D$113,2,FALSE))</f>
        <v/>
      </c>
      <c r="P38" s="71">
        <f t="shared" si="6"/>
        <v>0</v>
      </c>
      <c r="Q38" s="71" t="str">
        <f>IF(VLOOKUP($A38,'⚪设计'!$A$229:$K$249,7+3,FALSE)="","",VLOOKUP(A38,'⚪设计'!$A$229:$K$249,7+3,FALSE))</f>
        <v/>
      </c>
      <c r="R38" s="71">
        <f>IF(O38="",0,ROUND(VLOOKUP($A38,'⚪设计'!$A$229:$G$248,2,FALSE)*$B38/SUM(IF($E38="",0,VLOOKUP($E38,'⚪设计'!$C$85:$E$113,3,FALSE))*$F38,IF($J38="",0,VLOOKUP($J38,'⚪设计'!$C$85:$E$113,3,FALSE))*$K38,IF($O38="",0,VLOOKUP($O38,'⚪设计'!$C$85:$E$113,3,FALSE))*$P38,IF($T38="",0,VLOOKUP($T38,'⚪设计'!$C$85:$E$113,3,FALSE))*$U38)*VLOOKUP(O38,'⚪设计'!$C$85:$E$113,3,FALSE),0))</f>
        <v>0</v>
      </c>
      <c r="S38" s="71">
        <f>ROUND(战斗节奏!$B$3/SUM(IF(无限模式!$E38="",0,VLOOKUP(无限模式!$E38,'⚪设计'!$C$85:$I$113,4,FALSE)*无限模式!$F38),IF(无限模式!$J38="",0,VLOOKUP(无限模式!$J38,'⚪设计'!$C$85:$I$113,4,FALSE)*无限模式!$K38),IF(无限模式!$O38="",0,VLOOKUP(无限模式!$O38,'⚪设计'!$C$85:$I$113,4,FALSE)*无限模式!$P38),IF(无限模式!$T38="",0,VLOOKUP(无限模式!$T38,'⚪设计'!$C$85:$I$113,4,FALSE)*无限模式!$U38))*IF(O38="",0,VLOOKUP(O38,'⚪设计'!$C$85:$I$113,4,FALSE)),0)</f>
        <v>0</v>
      </c>
      <c r="T38" s="71" t="str">
        <f>IF(VLOOKUP(A38,'⚪设计'!$A$229:$G$248,7,FALSE)="","",VLOOKUP(VLOOKUP(A38,'⚪设计'!$A$229:$G$248,7,FALSE),'⚪设计'!$B$85:$D$113,2,FALSE))</f>
        <v/>
      </c>
      <c r="U38" s="71">
        <f t="shared" si="7"/>
        <v>0</v>
      </c>
      <c r="V38" s="71" t="str">
        <f>IF(VLOOKUP($A38,'⚪设计'!$A$229:$K$249,7+4,FALSE)="","",VLOOKUP(A38,'⚪设计'!$A$229:$K$249,7+4,FALSE))</f>
        <v/>
      </c>
      <c r="W38" s="71">
        <f>IF(T38="",0,ROUND(VLOOKUP($A38,'⚪设计'!$A$229:$G$248,2,FALSE)*$B38/SUM(IF($E38="",0,VLOOKUP($E38,'⚪设计'!$C$85:$E$113,3,FALSE))*$F38,IF($J38="",0,VLOOKUP($J38,'⚪设计'!$C$85:$E$113,3,FALSE))*$K38,IF($O38="",0,VLOOKUP($O38,'⚪设计'!$C$85:$E$113,3,FALSE))*$P38,IF($T38="",0,VLOOKUP($T38,'⚪设计'!$C$85:$E$113,3,FALSE))*$U38)*VLOOKUP(T38,'⚪设计'!$C$85:$E$113,3,FALSE),0))</f>
        <v>0</v>
      </c>
      <c r="X38" s="71">
        <f>ROUND(战斗节奏!$B$3/SUM(IF(无限模式!$E38="",0,VLOOKUP(无限模式!$E38,'⚪设计'!$C$85:$I$113,4,FALSE)*无限模式!$F38),IF(无限模式!$J38="",0,VLOOKUP(无限模式!$J38,'⚪设计'!$C$85:$I$113,4,FALSE)*无限模式!$K38),IF(无限模式!$O38="",0,VLOOKUP(无限模式!$O38,'⚪设计'!$C$85:$I$113,4,FALSE)*无限模式!$P38),IF(无限模式!$T38="",0,VLOOKUP(无限模式!$T38,'⚪设计'!$C$85:$I$113,4,FALSE)*无限模式!$U38))*IF(T38="",0,VLOOKUP(T38,'⚪设计'!$C$85:$I$113,4,FALSE)),0)</f>
        <v>0</v>
      </c>
    </row>
    <row r="39" spans="1:24" x14ac:dyDescent="0.2">
      <c r="A39" s="94">
        <v>12</v>
      </c>
      <c r="B39" s="71">
        <f>MAX(MIN(战斗节奏!$C$3-INT(A39/'⚪设计'!$C$55),MOD(A39,'⚪设计'!$C$55)),0)*'⚪设计'!$C$79*防御塔!$C$2+MIN(INT(A39/'⚪设计'!$C$55),战斗节奏!$C$3)*'⚪设计'!$C$80*防御塔!$C$2</f>
        <v>6480</v>
      </c>
      <c r="C39" s="173">
        <v>1.55</v>
      </c>
      <c r="D39" s="173">
        <v>21</v>
      </c>
      <c r="E39" s="71" t="str">
        <f>IF(VLOOKUP(A39,'⚪设计'!$A$229:$G$248,4,FALSE)="","",VLOOKUP(VLOOKUP(A39,'⚪设计'!$A$229:$G$248,4,FALSE),'⚪设计'!$B$85:$D$113,2,FALSE))</f>
        <v>ResUnit_Niao2</v>
      </c>
      <c r="F39" s="71">
        <f t="shared" si="4"/>
        <v>21</v>
      </c>
      <c r="G39" s="71">
        <f>IF(VLOOKUP($A39,'⚪设计'!$A$229:$K$249,7+1,FALSE)="","",VLOOKUP(A39,'⚪设计'!$A$229:$K$249,7+1,FALSE))</f>
        <v>1</v>
      </c>
      <c r="H39" s="71">
        <f>IF(E39="",0,ROUND(VLOOKUP($A39,'⚪设计'!$A$229:$G$248,2,FALSE)*$B39/SUM(IF($E39="",0,VLOOKUP($E39,'⚪设计'!$C$85:$E$113,3,FALSE))*$F39,IF($J39="",0,VLOOKUP($J39,'⚪设计'!$C$85:$E$113,3,FALSE))*$K39,IF($O39="",0,VLOOKUP($O39,'⚪设计'!$C$85:$E$113,3,FALSE))*$P39,IF($T39="",0,VLOOKUP($T39,'⚪设计'!$C$85:$E$113,3,FALSE))*$U39)*VLOOKUP(E39,'⚪设计'!$C$85:$E$113,3,FALSE),0))</f>
        <v>13407</v>
      </c>
      <c r="I39" s="71">
        <f>ROUND(战斗节奏!$B$3/SUM(IF(无限模式!$E39="",0,VLOOKUP(无限模式!$E39,'⚪设计'!$C$85:$I$113,4,FALSE)*无限模式!$F39),IF(无限模式!$J39="",0,VLOOKUP(无限模式!$J39,'⚪设计'!$C$85:$I$113,4,FALSE)*无限模式!$K39),IF(无限模式!$O39="",0,VLOOKUP(无限模式!$O39,'⚪设计'!$C$85:$I$113,4,FALSE)*无限模式!$P39),IF(无限模式!$T39="",0,VLOOKUP(无限模式!$T39,'⚪设计'!$C$85:$I$113,4,FALSE)*无限模式!$U39))*IF(E39="",0,VLOOKUP(E39,'⚪设计'!$C$85:$I$113,4,FALSE)),0)</f>
        <v>6</v>
      </c>
      <c r="J39" s="71" t="str">
        <f>IF(VLOOKUP(A39,'⚪设计'!$A$229:$G$248,5,FALSE)="","",VLOOKUP(VLOOKUP(A39,'⚪设计'!$A$229:$G$248,5,FALSE),'⚪设计'!$B$85:$D$113,2,FALSE))</f>
        <v>ResUnit_ZhongZi1</v>
      </c>
      <c r="K39" s="71">
        <f t="shared" si="5"/>
        <v>7</v>
      </c>
      <c r="L39" s="71">
        <f>IF(VLOOKUP($A39,'⚪设计'!$A$229:$K$249,7+2,FALSE)="","",VLOOKUP(A39,'⚪设计'!$A$229:$K$249,7+2,FALSE))</f>
        <v>3</v>
      </c>
      <c r="M39" s="71">
        <f>IF(J39="",0,ROUND(VLOOKUP($A39,'⚪设计'!$A$229:$G$248,2,FALSE)*$B39/SUM(IF($E39="",0,VLOOKUP($E39,'⚪设计'!$C$85:$E$113,3,FALSE))*$F39,IF($J39="",0,VLOOKUP($J39,'⚪设计'!$C$85:$E$113,3,FALSE))*$K39,IF($O39="",0,VLOOKUP($O39,'⚪设计'!$C$85:$E$113,3,FALSE))*$P39,IF($T39="",0,VLOOKUP($T39,'⚪设计'!$C$85:$E$113,3,FALSE))*$U39)*VLOOKUP(J39,'⚪设计'!$C$85:$E$113,3,FALSE),0))</f>
        <v>10055</v>
      </c>
      <c r="N39" s="71">
        <f>ROUND(战斗节奏!$B$3/SUM(IF(无限模式!$E39="",0,VLOOKUP(无限模式!$E39,'⚪设计'!$C$85:$I$113,4,FALSE)*无限模式!$F39),IF(无限模式!$J39="",0,VLOOKUP(无限模式!$J39,'⚪设计'!$C$85:$I$113,4,FALSE)*无限模式!$K39),IF(无限模式!$O39="",0,VLOOKUP(无限模式!$O39,'⚪设计'!$C$85:$I$113,4,FALSE)*无限模式!$P39),IF(无限模式!$T39="",0,VLOOKUP(无限模式!$T39,'⚪设计'!$C$85:$I$113,4,FALSE)*无限模式!$U39))*IF(J39="",0,VLOOKUP(J39,'⚪设计'!$C$85:$I$113,4,FALSE)),0)</f>
        <v>6</v>
      </c>
      <c r="O39" s="71" t="str">
        <f>IF(VLOOKUP(A39,'⚪设计'!$A$229:$G$248,6,FALSE)="","",VLOOKUP(VLOOKUP(A39,'⚪设计'!$A$229:$G$248,6,FALSE),'⚪设计'!$B$85:$D$113,2,FALSE))</f>
        <v>ResUnit_ZhongZi3</v>
      </c>
      <c r="P39" s="71">
        <f t="shared" si="6"/>
        <v>1</v>
      </c>
      <c r="Q39" s="71">
        <f>IF(VLOOKUP($A39,'⚪设计'!$A$229:$K$249,7+3,FALSE)="","",VLOOKUP(A39,'⚪设计'!$A$229:$K$249,7+3,FALSE))</f>
        <v>0</v>
      </c>
      <c r="R39" s="71">
        <f>IF(O39="",0,ROUND(VLOOKUP($A39,'⚪设计'!$A$229:$G$248,2,FALSE)*$B39/SUM(IF($E39="",0,VLOOKUP($E39,'⚪设计'!$C$85:$E$113,3,FALSE))*$F39,IF($J39="",0,VLOOKUP($J39,'⚪设计'!$C$85:$E$113,3,FALSE))*$K39,IF($O39="",0,VLOOKUP($O39,'⚪设计'!$C$85:$E$113,3,FALSE))*$P39,IF($T39="",0,VLOOKUP($T39,'⚪设计'!$C$85:$E$113,3,FALSE))*$U39)*VLOOKUP(O39,'⚪设计'!$C$85:$E$113,3,FALSE),0))</f>
        <v>134069</v>
      </c>
      <c r="S39" s="71">
        <f>ROUND(战斗节奏!$B$3/SUM(IF(无限模式!$E39="",0,VLOOKUP(无限模式!$E39,'⚪设计'!$C$85:$I$113,4,FALSE)*无限模式!$F39),IF(无限模式!$J39="",0,VLOOKUP(无限模式!$J39,'⚪设计'!$C$85:$I$113,4,FALSE)*无限模式!$K39),IF(无限模式!$O39="",0,VLOOKUP(无限模式!$O39,'⚪设计'!$C$85:$I$113,4,FALSE)*无限模式!$P39),IF(无限模式!$T39="",0,VLOOKUP(无限模式!$T39,'⚪设计'!$C$85:$I$113,4,FALSE)*无限模式!$U39))*IF(O39="",0,VLOOKUP(O39,'⚪设计'!$C$85:$I$113,4,FALSE)),0)</f>
        <v>125</v>
      </c>
      <c r="T39" s="71" t="str">
        <f>IF(VLOOKUP(A39,'⚪设计'!$A$229:$G$248,7,FALSE)="","",VLOOKUP(VLOOKUP(A39,'⚪设计'!$A$229:$G$248,7,FALSE),'⚪设计'!$B$85:$D$113,2,FALSE))</f>
        <v/>
      </c>
      <c r="U39" s="71">
        <f t="shared" si="7"/>
        <v>0</v>
      </c>
      <c r="V39" s="71" t="str">
        <f>IF(VLOOKUP($A39,'⚪设计'!$A$229:$K$249,7+4,FALSE)="","",VLOOKUP(A39,'⚪设计'!$A$229:$K$249,7+4,FALSE))</f>
        <v/>
      </c>
      <c r="W39" s="71">
        <f>IF(T39="",0,ROUND(VLOOKUP($A39,'⚪设计'!$A$229:$G$248,2,FALSE)*$B39/SUM(IF($E39="",0,VLOOKUP($E39,'⚪设计'!$C$85:$E$113,3,FALSE))*$F39,IF($J39="",0,VLOOKUP($J39,'⚪设计'!$C$85:$E$113,3,FALSE))*$K39,IF($O39="",0,VLOOKUP($O39,'⚪设计'!$C$85:$E$113,3,FALSE))*$P39,IF($T39="",0,VLOOKUP($T39,'⚪设计'!$C$85:$E$113,3,FALSE))*$U39)*VLOOKUP(T39,'⚪设计'!$C$85:$E$113,3,FALSE),0))</f>
        <v>0</v>
      </c>
      <c r="X39" s="71">
        <f>ROUND(战斗节奏!$B$3/SUM(IF(无限模式!$E39="",0,VLOOKUP(无限模式!$E39,'⚪设计'!$C$85:$I$113,4,FALSE)*无限模式!$F39),IF(无限模式!$J39="",0,VLOOKUP(无限模式!$J39,'⚪设计'!$C$85:$I$113,4,FALSE)*无限模式!$K39),IF(无限模式!$O39="",0,VLOOKUP(无限模式!$O39,'⚪设计'!$C$85:$I$113,4,FALSE)*无限模式!$P39),IF(无限模式!$T39="",0,VLOOKUP(无限模式!$T39,'⚪设计'!$C$85:$I$113,4,FALSE)*无限模式!$U39))*IF(T39="",0,VLOOKUP(T39,'⚪设计'!$C$85:$I$113,4,FALSE)),0)</f>
        <v>0</v>
      </c>
    </row>
    <row r="40" spans="1:24" x14ac:dyDescent="0.2">
      <c r="A40" s="94">
        <v>13</v>
      </c>
      <c r="B40" s="71">
        <f>MAX(MIN(战斗节奏!$C$3-INT(A40/'⚪设计'!$C$55),MOD(A40,'⚪设计'!$C$55)),0)*'⚪设计'!$C$79*防御塔!$C$2+MIN(INT(A40/'⚪设计'!$C$55),战斗节奏!$C$3)*'⚪设计'!$C$80*防御塔!$C$2</f>
        <v>7020</v>
      </c>
      <c r="C40" s="173">
        <v>1.6</v>
      </c>
      <c r="D40" s="173">
        <v>22</v>
      </c>
      <c r="E40" s="71" t="str">
        <f>IF(VLOOKUP(A40,'⚪设计'!$A$229:$G$248,4,FALSE)="","",VLOOKUP(VLOOKUP(A40,'⚪设计'!$A$229:$G$248,4,FALSE),'⚪设计'!$B$85:$D$113,2,FALSE))</f>
        <v>ResUnit_Gui1</v>
      </c>
      <c r="F40" s="71">
        <f t="shared" si="4"/>
        <v>15</v>
      </c>
      <c r="G40" s="71">
        <f>IF(VLOOKUP($A40,'⚪设计'!$A$229:$K$249,7+1,FALSE)="","",VLOOKUP(A40,'⚪设计'!$A$229:$K$249,7+1,FALSE))</f>
        <v>1.5</v>
      </c>
      <c r="H40" s="71">
        <f>IF(E40="",0,ROUND(VLOOKUP($A40,'⚪设计'!$A$229:$G$248,2,FALSE)*$B40/SUM(IF($E40="",0,VLOOKUP($E40,'⚪设计'!$C$85:$E$113,3,FALSE))*$F40,IF($J40="",0,VLOOKUP($J40,'⚪设计'!$C$85:$E$113,3,FALSE))*$K40,IF($O40="",0,VLOOKUP($O40,'⚪设计'!$C$85:$E$113,3,FALSE))*$P40,IF($T40="",0,VLOOKUP($T40,'⚪设计'!$C$85:$E$113,3,FALSE))*$U40)*VLOOKUP(E40,'⚪设计'!$C$85:$E$113,3,FALSE),0))</f>
        <v>11700</v>
      </c>
      <c r="I40" s="71">
        <f>ROUND(战斗节奏!$B$3/SUM(IF(无限模式!$E40="",0,VLOOKUP(无限模式!$E40,'⚪设计'!$C$85:$I$113,4,FALSE)*无限模式!$F40),IF(无限模式!$J40="",0,VLOOKUP(无限模式!$J40,'⚪设计'!$C$85:$I$113,4,FALSE)*无限模式!$K40),IF(无限模式!$O40="",0,VLOOKUP(无限模式!$O40,'⚪设计'!$C$85:$I$113,4,FALSE)*无限模式!$P40),IF(无限模式!$T40="",0,VLOOKUP(无限模式!$T40,'⚪设计'!$C$85:$I$113,4,FALSE)*无限模式!$U40))*IF(E40="",0,VLOOKUP(E40,'⚪设计'!$C$85:$I$113,4,FALSE)),0)</f>
        <v>20</v>
      </c>
      <c r="J40" s="71" t="str">
        <f>IF(VLOOKUP(A40,'⚪设计'!$A$229:$G$248,5,FALSE)="","",VLOOKUP(VLOOKUP(A40,'⚪设计'!$A$229:$G$248,5,FALSE),'⚪设计'!$B$85:$D$113,2,FALSE))</f>
        <v/>
      </c>
      <c r="K40" s="71">
        <f t="shared" si="5"/>
        <v>0</v>
      </c>
      <c r="L40" s="71" t="str">
        <f>IF(VLOOKUP($A40,'⚪设计'!$A$229:$K$249,7+2,FALSE)="","",VLOOKUP(A40,'⚪设计'!$A$229:$K$249,7+2,FALSE))</f>
        <v/>
      </c>
      <c r="M40" s="71">
        <f>IF(J40="",0,ROUND(VLOOKUP($A40,'⚪设计'!$A$229:$G$248,2,FALSE)*$B40/SUM(IF($E40="",0,VLOOKUP($E40,'⚪设计'!$C$85:$E$113,3,FALSE))*$F40,IF($J40="",0,VLOOKUP($J40,'⚪设计'!$C$85:$E$113,3,FALSE))*$K40,IF($O40="",0,VLOOKUP($O40,'⚪设计'!$C$85:$E$113,3,FALSE))*$P40,IF($T40="",0,VLOOKUP($T40,'⚪设计'!$C$85:$E$113,3,FALSE))*$U40)*VLOOKUP(J40,'⚪设计'!$C$85:$E$113,3,FALSE),0))</f>
        <v>0</v>
      </c>
      <c r="N40" s="71">
        <f>ROUND(战斗节奏!$B$3/SUM(IF(无限模式!$E40="",0,VLOOKUP(无限模式!$E40,'⚪设计'!$C$85:$I$113,4,FALSE)*无限模式!$F40),IF(无限模式!$J40="",0,VLOOKUP(无限模式!$J40,'⚪设计'!$C$85:$I$113,4,FALSE)*无限模式!$K40),IF(无限模式!$O40="",0,VLOOKUP(无限模式!$O40,'⚪设计'!$C$85:$I$113,4,FALSE)*无限模式!$P40),IF(无限模式!$T40="",0,VLOOKUP(无限模式!$T40,'⚪设计'!$C$85:$I$113,4,FALSE)*无限模式!$U40))*IF(J40="",0,VLOOKUP(J40,'⚪设计'!$C$85:$I$113,4,FALSE)),0)</f>
        <v>0</v>
      </c>
      <c r="O40" s="71" t="str">
        <f>IF(VLOOKUP(A40,'⚪设计'!$A$229:$G$248,6,FALSE)="","",VLOOKUP(VLOOKUP(A40,'⚪设计'!$A$229:$G$248,6,FALSE),'⚪设计'!$B$85:$D$113,2,FALSE))</f>
        <v/>
      </c>
      <c r="P40" s="71">
        <f t="shared" si="6"/>
        <v>0</v>
      </c>
      <c r="Q40" s="71" t="str">
        <f>IF(VLOOKUP($A40,'⚪设计'!$A$229:$K$249,7+3,FALSE)="","",VLOOKUP(A40,'⚪设计'!$A$229:$K$249,7+3,FALSE))</f>
        <v/>
      </c>
      <c r="R40" s="71">
        <f>IF(O40="",0,ROUND(VLOOKUP($A40,'⚪设计'!$A$229:$G$248,2,FALSE)*$B40/SUM(IF($E40="",0,VLOOKUP($E40,'⚪设计'!$C$85:$E$113,3,FALSE))*$F40,IF($J40="",0,VLOOKUP($J40,'⚪设计'!$C$85:$E$113,3,FALSE))*$K40,IF($O40="",0,VLOOKUP($O40,'⚪设计'!$C$85:$E$113,3,FALSE))*$P40,IF($T40="",0,VLOOKUP($T40,'⚪设计'!$C$85:$E$113,3,FALSE))*$U40)*VLOOKUP(O40,'⚪设计'!$C$85:$E$113,3,FALSE),0))</f>
        <v>0</v>
      </c>
      <c r="S40" s="71">
        <f>ROUND(战斗节奏!$B$3/SUM(IF(无限模式!$E40="",0,VLOOKUP(无限模式!$E40,'⚪设计'!$C$85:$I$113,4,FALSE)*无限模式!$F40),IF(无限模式!$J40="",0,VLOOKUP(无限模式!$J40,'⚪设计'!$C$85:$I$113,4,FALSE)*无限模式!$K40),IF(无限模式!$O40="",0,VLOOKUP(无限模式!$O40,'⚪设计'!$C$85:$I$113,4,FALSE)*无限模式!$P40),IF(无限模式!$T40="",0,VLOOKUP(无限模式!$T40,'⚪设计'!$C$85:$I$113,4,FALSE)*无限模式!$U40))*IF(O40="",0,VLOOKUP(O40,'⚪设计'!$C$85:$I$113,4,FALSE)),0)</f>
        <v>0</v>
      </c>
      <c r="T40" s="71" t="str">
        <f>IF(VLOOKUP(A40,'⚪设计'!$A$229:$G$248,7,FALSE)="","",VLOOKUP(VLOOKUP(A40,'⚪设计'!$A$229:$G$248,7,FALSE),'⚪设计'!$B$85:$D$113,2,FALSE))</f>
        <v/>
      </c>
      <c r="U40" s="71">
        <f t="shared" si="7"/>
        <v>0</v>
      </c>
      <c r="V40" s="71" t="str">
        <f>IF(VLOOKUP($A40,'⚪设计'!$A$229:$K$249,7+4,FALSE)="","",VLOOKUP(A40,'⚪设计'!$A$229:$K$249,7+4,FALSE))</f>
        <v/>
      </c>
      <c r="W40" s="71">
        <f>IF(T40="",0,ROUND(VLOOKUP($A40,'⚪设计'!$A$229:$G$248,2,FALSE)*$B40/SUM(IF($E40="",0,VLOOKUP($E40,'⚪设计'!$C$85:$E$113,3,FALSE))*$F40,IF($J40="",0,VLOOKUP($J40,'⚪设计'!$C$85:$E$113,3,FALSE))*$K40,IF($O40="",0,VLOOKUP($O40,'⚪设计'!$C$85:$E$113,3,FALSE))*$P40,IF($T40="",0,VLOOKUP($T40,'⚪设计'!$C$85:$E$113,3,FALSE))*$U40)*VLOOKUP(T40,'⚪设计'!$C$85:$E$113,3,FALSE),0))</f>
        <v>0</v>
      </c>
      <c r="X40" s="71">
        <f>ROUND(战斗节奏!$B$3/SUM(IF(无限模式!$E40="",0,VLOOKUP(无限模式!$E40,'⚪设计'!$C$85:$I$113,4,FALSE)*无限模式!$F40),IF(无限模式!$J40="",0,VLOOKUP(无限模式!$J40,'⚪设计'!$C$85:$I$113,4,FALSE)*无限模式!$K40),IF(无限模式!$O40="",0,VLOOKUP(无限模式!$O40,'⚪设计'!$C$85:$I$113,4,FALSE)*无限模式!$P40),IF(无限模式!$T40="",0,VLOOKUP(无限模式!$T40,'⚪设计'!$C$85:$I$113,4,FALSE)*无限模式!$U40))*IF(T40="",0,VLOOKUP(T40,'⚪设计'!$C$85:$I$113,4,FALSE)),0)</f>
        <v>0</v>
      </c>
    </row>
    <row r="41" spans="1:24" x14ac:dyDescent="0.2">
      <c r="A41" s="94">
        <v>14</v>
      </c>
      <c r="B41" s="71">
        <f>MAX(MIN(战斗节奏!$C$3-INT(A41/'⚪设计'!$C$55),MOD(A41,'⚪设计'!$C$55)),0)*'⚪设计'!$C$79*防御塔!$C$2+MIN(INT(A41/'⚪设计'!$C$55),战斗节奏!$C$3)*'⚪设计'!$C$80*防御塔!$C$2</f>
        <v>7560</v>
      </c>
      <c r="C41" s="173">
        <v>1.65</v>
      </c>
      <c r="D41" s="173">
        <v>23</v>
      </c>
      <c r="E41" s="71" t="str">
        <f>IF(VLOOKUP(A41,'⚪设计'!$A$229:$G$248,4,FALSE)="","",VLOOKUP(VLOOKUP(A41,'⚪设计'!$A$229:$G$248,4,FALSE),'⚪设计'!$B$85:$D$113,2,FALSE))</f>
        <v>ResUnit_Gui1</v>
      </c>
      <c r="F41" s="71">
        <f t="shared" si="4"/>
        <v>15</v>
      </c>
      <c r="G41" s="71">
        <f>IF(VLOOKUP($A41,'⚪设计'!$A$229:$K$249,7+1,FALSE)="","",VLOOKUP(A41,'⚪设计'!$A$229:$K$249,7+1,FALSE))</f>
        <v>1.5</v>
      </c>
      <c r="H41" s="71">
        <f>IF(E41="",0,ROUND(VLOOKUP($A41,'⚪设计'!$A$229:$G$248,2,FALSE)*$B41/SUM(IF($E41="",0,VLOOKUP($E41,'⚪设计'!$C$85:$E$113,3,FALSE))*$F41,IF($J41="",0,VLOOKUP($J41,'⚪设计'!$C$85:$E$113,3,FALSE))*$K41,IF($O41="",0,VLOOKUP($O41,'⚪设计'!$C$85:$E$113,3,FALSE))*$P41,IF($T41="",0,VLOOKUP($T41,'⚪设计'!$C$85:$E$113,3,FALSE))*$U41)*VLOOKUP(E41,'⚪设计'!$C$85:$E$113,3,FALSE),0))</f>
        <v>6048</v>
      </c>
      <c r="I41" s="71">
        <f>ROUND(战斗节奏!$B$3/SUM(IF(无限模式!$E41="",0,VLOOKUP(无限模式!$E41,'⚪设计'!$C$85:$I$113,4,FALSE)*无限模式!$F41),IF(无限模式!$J41="",0,VLOOKUP(无限模式!$J41,'⚪设计'!$C$85:$I$113,4,FALSE)*无限模式!$K41),IF(无限模式!$O41="",0,VLOOKUP(无限模式!$O41,'⚪设计'!$C$85:$I$113,4,FALSE)*无限模式!$P41),IF(无限模式!$T41="",0,VLOOKUP(无限模式!$T41,'⚪设计'!$C$85:$I$113,4,FALSE)*无限模式!$U41))*IF(E41="",0,VLOOKUP(E41,'⚪设计'!$C$85:$I$113,4,FALSE)),0)</f>
        <v>7</v>
      </c>
      <c r="J41" s="71" t="str">
        <f>IF(VLOOKUP(A41,'⚪设计'!$A$229:$G$248,5,FALSE)="","",VLOOKUP(VLOOKUP(A41,'⚪设计'!$A$229:$G$248,5,FALSE),'⚪设计'!$B$85:$D$113,2,FALSE))</f>
        <v>ResUnit_Niao2</v>
      </c>
      <c r="K41" s="71">
        <f t="shared" si="5"/>
        <v>15</v>
      </c>
      <c r="L41" s="71">
        <f>IF(VLOOKUP($A41,'⚪设计'!$A$229:$K$249,7+2,FALSE)="","",VLOOKUP(A41,'⚪设计'!$A$229:$K$249,7+2,FALSE))</f>
        <v>1.5</v>
      </c>
      <c r="M41" s="71">
        <f>IF(J41="",0,ROUND(VLOOKUP($A41,'⚪设计'!$A$229:$G$248,2,FALSE)*$B41/SUM(IF($E41="",0,VLOOKUP($E41,'⚪设计'!$C$85:$E$113,3,FALSE))*$F41,IF($J41="",0,VLOOKUP($J41,'⚪设计'!$C$85:$E$113,3,FALSE))*$K41,IF($O41="",0,VLOOKUP($O41,'⚪设计'!$C$85:$E$113,3,FALSE))*$P41,IF($T41="",0,VLOOKUP($T41,'⚪设计'!$C$85:$E$113,3,FALSE))*$U41)*VLOOKUP(J41,'⚪设计'!$C$85:$E$113,3,FALSE),0))</f>
        <v>24192</v>
      </c>
      <c r="N41" s="71">
        <f>ROUND(战斗节奏!$B$3/SUM(IF(无限模式!$E41="",0,VLOOKUP(无限模式!$E41,'⚪设计'!$C$85:$I$113,4,FALSE)*无限模式!$F41),IF(无限模式!$J41="",0,VLOOKUP(无限模式!$J41,'⚪设计'!$C$85:$I$113,4,FALSE)*无限模式!$K41),IF(无限模式!$O41="",0,VLOOKUP(无限模式!$O41,'⚪设计'!$C$85:$I$113,4,FALSE)*无限模式!$P41),IF(无限模式!$T41="",0,VLOOKUP(无限模式!$T41,'⚪设计'!$C$85:$I$113,4,FALSE)*无限模式!$U41))*IF(J41="",0,VLOOKUP(J41,'⚪设计'!$C$85:$I$113,4,FALSE)),0)</f>
        <v>13</v>
      </c>
      <c r="O41" s="71" t="str">
        <f>IF(VLOOKUP(A41,'⚪设计'!$A$229:$G$248,6,FALSE)="","",VLOOKUP(VLOOKUP(A41,'⚪设计'!$A$229:$G$248,6,FALSE),'⚪设计'!$B$85:$D$113,2,FALSE))</f>
        <v/>
      </c>
      <c r="P41" s="71">
        <f t="shared" si="6"/>
        <v>0</v>
      </c>
      <c r="Q41" s="71" t="str">
        <f>IF(VLOOKUP($A41,'⚪设计'!$A$229:$K$249,7+3,FALSE)="","",VLOOKUP(A41,'⚪设计'!$A$229:$K$249,7+3,FALSE))</f>
        <v/>
      </c>
      <c r="R41" s="71">
        <f>IF(O41="",0,ROUND(VLOOKUP($A41,'⚪设计'!$A$229:$G$248,2,FALSE)*$B41/SUM(IF($E41="",0,VLOOKUP($E41,'⚪设计'!$C$85:$E$113,3,FALSE))*$F41,IF($J41="",0,VLOOKUP($J41,'⚪设计'!$C$85:$E$113,3,FALSE))*$K41,IF($O41="",0,VLOOKUP($O41,'⚪设计'!$C$85:$E$113,3,FALSE))*$P41,IF($T41="",0,VLOOKUP($T41,'⚪设计'!$C$85:$E$113,3,FALSE))*$U41)*VLOOKUP(O41,'⚪设计'!$C$85:$E$113,3,FALSE),0))</f>
        <v>0</v>
      </c>
      <c r="S41" s="71">
        <f>ROUND(战斗节奏!$B$3/SUM(IF(无限模式!$E41="",0,VLOOKUP(无限模式!$E41,'⚪设计'!$C$85:$I$113,4,FALSE)*无限模式!$F41),IF(无限模式!$J41="",0,VLOOKUP(无限模式!$J41,'⚪设计'!$C$85:$I$113,4,FALSE)*无限模式!$K41),IF(无限模式!$O41="",0,VLOOKUP(无限模式!$O41,'⚪设计'!$C$85:$I$113,4,FALSE)*无限模式!$P41),IF(无限模式!$T41="",0,VLOOKUP(无限模式!$T41,'⚪设计'!$C$85:$I$113,4,FALSE)*无限模式!$U41))*IF(O41="",0,VLOOKUP(O41,'⚪设计'!$C$85:$I$113,4,FALSE)),0)</f>
        <v>0</v>
      </c>
      <c r="T41" s="71" t="str">
        <f>IF(VLOOKUP(A41,'⚪设计'!$A$229:$G$248,7,FALSE)="","",VLOOKUP(VLOOKUP(A41,'⚪设计'!$A$229:$G$248,7,FALSE),'⚪设计'!$B$85:$D$113,2,FALSE))</f>
        <v/>
      </c>
      <c r="U41" s="71">
        <f t="shared" si="7"/>
        <v>0</v>
      </c>
      <c r="V41" s="71" t="str">
        <f>IF(VLOOKUP($A41,'⚪设计'!$A$229:$K$249,7+4,FALSE)="","",VLOOKUP(A41,'⚪设计'!$A$229:$K$249,7+4,FALSE))</f>
        <v/>
      </c>
      <c r="W41" s="71">
        <f>IF(T41="",0,ROUND(VLOOKUP($A41,'⚪设计'!$A$229:$G$248,2,FALSE)*$B41/SUM(IF($E41="",0,VLOOKUP($E41,'⚪设计'!$C$85:$E$113,3,FALSE))*$F41,IF($J41="",0,VLOOKUP($J41,'⚪设计'!$C$85:$E$113,3,FALSE))*$K41,IF($O41="",0,VLOOKUP($O41,'⚪设计'!$C$85:$E$113,3,FALSE))*$P41,IF($T41="",0,VLOOKUP($T41,'⚪设计'!$C$85:$E$113,3,FALSE))*$U41)*VLOOKUP(T41,'⚪设计'!$C$85:$E$113,3,FALSE),0))</f>
        <v>0</v>
      </c>
      <c r="X41" s="71">
        <f>ROUND(战斗节奏!$B$3/SUM(IF(无限模式!$E41="",0,VLOOKUP(无限模式!$E41,'⚪设计'!$C$85:$I$113,4,FALSE)*无限模式!$F41),IF(无限模式!$J41="",0,VLOOKUP(无限模式!$J41,'⚪设计'!$C$85:$I$113,4,FALSE)*无限模式!$K41),IF(无限模式!$O41="",0,VLOOKUP(无限模式!$O41,'⚪设计'!$C$85:$I$113,4,FALSE)*无限模式!$P41),IF(无限模式!$T41="",0,VLOOKUP(无限模式!$T41,'⚪设计'!$C$85:$I$113,4,FALSE)*无限模式!$U41))*IF(T41="",0,VLOOKUP(T41,'⚪设计'!$C$85:$I$113,4,FALSE)),0)</f>
        <v>0</v>
      </c>
    </row>
    <row r="42" spans="1:24" x14ac:dyDescent="0.2">
      <c r="A42" s="94">
        <v>15</v>
      </c>
      <c r="B42" s="71">
        <f>MAX(MIN(战斗节奏!$C$3-INT(A42/'⚪设计'!$C$55),MOD(A42,'⚪设计'!$C$55)),0)*'⚪设计'!$C$79*防御塔!$C$2+MIN(INT(A42/'⚪设计'!$C$55),战斗节奏!$C$3)*'⚪设计'!$C$80*防御塔!$C$2</f>
        <v>8100</v>
      </c>
      <c r="C42" s="173">
        <v>1.7</v>
      </c>
      <c r="D42" s="173">
        <v>24</v>
      </c>
      <c r="E42" s="71" t="str">
        <f>IF(VLOOKUP(A42,'⚪设计'!$A$229:$G$248,4,FALSE)="","",VLOOKUP(VLOOKUP(A42,'⚪设计'!$A$229:$G$248,4,FALSE),'⚪设计'!$B$85:$D$113,2,FALSE))</f>
        <v>ResUnit_Gui1</v>
      </c>
      <c r="F42" s="71">
        <f t="shared" si="4"/>
        <v>48</v>
      </c>
      <c r="G42" s="71">
        <f>IF(VLOOKUP($A42,'⚪设计'!$A$229:$K$249,7+1,FALSE)="","",VLOOKUP(A42,'⚪设计'!$A$229:$K$249,7+1,FALSE))</f>
        <v>0.5</v>
      </c>
      <c r="H42" s="71">
        <f>IF(E42="",0,ROUND(VLOOKUP($A42,'⚪设计'!$A$229:$G$248,2,FALSE)*$B42/SUM(IF($E42="",0,VLOOKUP($E42,'⚪设计'!$C$85:$E$113,3,FALSE))*$F42,IF($J42="",0,VLOOKUP($J42,'⚪设计'!$C$85:$E$113,3,FALSE))*$K42,IF($O42="",0,VLOOKUP($O42,'⚪设计'!$C$85:$E$113,3,FALSE))*$P42,IF($T42="",0,VLOOKUP($T42,'⚪设计'!$C$85:$E$113,3,FALSE))*$U42)*VLOOKUP(E42,'⚪设计'!$C$85:$E$113,3,FALSE),0))</f>
        <v>6075</v>
      </c>
      <c r="I42" s="71">
        <f>ROUND(战斗节奏!$B$3/SUM(IF(无限模式!$E42="",0,VLOOKUP(无限模式!$E42,'⚪设计'!$C$85:$I$113,4,FALSE)*无限模式!$F42),IF(无限模式!$J42="",0,VLOOKUP(无限模式!$J42,'⚪设计'!$C$85:$I$113,4,FALSE)*无限模式!$K42),IF(无限模式!$O42="",0,VLOOKUP(无限模式!$O42,'⚪设计'!$C$85:$I$113,4,FALSE)*无限模式!$P42),IF(无限模式!$T42="",0,VLOOKUP(无限模式!$T42,'⚪设计'!$C$85:$I$113,4,FALSE)*无限模式!$U42))*IF(E42="",0,VLOOKUP(E42,'⚪设计'!$C$85:$I$113,4,FALSE)),0)</f>
        <v>4</v>
      </c>
      <c r="J42" s="71" t="str">
        <f>IF(VLOOKUP(A42,'⚪设计'!$A$229:$G$248,5,FALSE)="","",VLOOKUP(VLOOKUP(A42,'⚪设计'!$A$229:$G$248,5,FALSE),'⚪设计'!$B$85:$D$113,2,FALSE))</f>
        <v>ResUnit_ZhongZi2</v>
      </c>
      <c r="K42" s="71">
        <f t="shared" si="5"/>
        <v>12</v>
      </c>
      <c r="L42" s="71">
        <f>IF(VLOOKUP($A42,'⚪设计'!$A$229:$K$249,7+2,FALSE)="","",VLOOKUP(A42,'⚪设计'!$A$229:$K$249,7+2,FALSE))</f>
        <v>2</v>
      </c>
      <c r="M42" s="71">
        <f>IF(J42="",0,ROUND(VLOOKUP($A42,'⚪设计'!$A$229:$G$248,2,FALSE)*$B42/SUM(IF($E42="",0,VLOOKUP($E42,'⚪设计'!$C$85:$E$113,3,FALSE))*$F42,IF($J42="",0,VLOOKUP($J42,'⚪设计'!$C$85:$E$113,3,FALSE))*$K42,IF($O42="",0,VLOOKUP($O42,'⚪设计'!$C$85:$E$113,3,FALSE))*$P42,IF($T42="",0,VLOOKUP($T42,'⚪设计'!$C$85:$E$113,3,FALSE))*$U42)*VLOOKUP(J42,'⚪设计'!$C$85:$E$113,3,FALSE),0))</f>
        <v>36450</v>
      </c>
      <c r="N42" s="71">
        <f>ROUND(战斗节奏!$B$3/SUM(IF(无限模式!$E42="",0,VLOOKUP(无限模式!$E42,'⚪设计'!$C$85:$I$113,4,FALSE)*无限模式!$F42),IF(无限模式!$J42="",0,VLOOKUP(无限模式!$J42,'⚪设计'!$C$85:$I$113,4,FALSE)*无限模式!$K42),IF(无限模式!$O42="",0,VLOOKUP(无限模式!$O42,'⚪设计'!$C$85:$I$113,4,FALSE)*无限模式!$P42),IF(无限模式!$T42="",0,VLOOKUP(无限模式!$T42,'⚪设计'!$C$85:$I$113,4,FALSE)*无限模式!$U42))*IF(J42="",0,VLOOKUP(J42,'⚪设计'!$C$85:$I$113,4,FALSE)),0)</f>
        <v>8</v>
      </c>
      <c r="O42" s="71" t="str">
        <f>IF(VLOOKUP(A42,'⚪设计'!$A$229:$G$248,6,FALSE)="","",VLOOKUP(VLOOKUP(A42,'⚪设计'!$A$229:$G$248,6,FALSE),'⚪设计'!$B$85:$D$113,2,FALSE))</f>
        <v/>
      </c>
      <c r="P42" s="71">
        <f t="shared" si="6"/>
        <v>0</v>
      </c>
      <c r="Q42" s="71" t="str">
        <f>IF(VLOOKUP($A42,'⚪设计'!$A$229:$K$249,7+3,FALSE)="","",VLOOKUP(A42,'⚪设计'!$A$229:$K$249,7+3,FALSE))</f>
        <v/>
      </c>
      <c r="R42" s="71">
        <f>IF(O42="",0,ROUND(VLOOKUP($A42,'⚪设计'!$A$229:$G$248,2,FALSE)*$B42/SUM(IF($E42="",0,VLOOKUP($E42,'⚪设计'!$C$85:$E$113,3,FALSE))*$F42,IF($J42="",0,VLOOKUP($J42,'⚪设计'!$C$85:$E$113,3,FALSE))*$K42,IF($O42="",0,VLOOKUP($O42,'⚪设计'!$C$85:$E$113,3,FALSE))*$P42,IF($T42="",0,VLOOKUP($T42,'⚪设计'!$C$85:$E$113,3,FALSE))*$U42)*VLOOKUP(O42,'⚪设计'!$C$85:$E$113,3,FALSE),0))</f>
        <v>0</v>
      </c>
      <c r="S42" s="71">
        <f>ROUND(战斗节奏!$B$3/SUM(IF(无限模式!$E42="",0,VLOOKUP(无限模式!$E42,'⚪设计'!$C$85:$I$113,4,FALSE)*无限模式!$F42),IF(无限模式!$J42="",0,VLOOKUP(无限模式!$J42,'⚪设计'!$C$85:$I$113,4,FALSE)*无限模式!$K42),IF(无限模式!$O42="",0,VLOOKUP(无限模式!$O42,'⚪设计'!$C$85:$I$113,4,FALSE)*无限模式!$P42),IF(无限模式!$T42="",0,VLOOKUP(无限模式!$T42,'⚪设计'!$C$85:$I$113,4,FALSE)*无限模式!$U42))*IF(O42="",0,VLOOKUP(O42,'⚪设计'!$C$85:$I$113,4,FALSE)),0)</f>
        <v>0</v>
      </c>
      <c r="T42" s="71" t="str">
        <f>IF(VLOOKUP(A42,'⚪设计'!$A$229:$G$248,7,FALSE)="","",VLOOKUP(VLOOKUP(A42,'⚪设计'!$A$229:$G$248,7,FALSE),'⚪设计'!$B$85:$D$113,2,FALSE))</f>
        <v/>
      </c>
      <c r="U42" s="71">
        <f t="shared" si="7"/>
        <v>0</v>
      </c>
      <c r="V42" s="71" t="str">
        <f>IF(VLOOKUP($A42,'⚪设计'!$A$229:$K$249,7+4,FALSE)="","",VLOOKUP(A42,'⚪设计'!$A$229:$K$249,7+4,FALSE))</f>
        <v/>
      </c>
      <c r="W42" s="71">
        <f>IF(T42="",0,ROUND(VLOOKUP($A42,'⚪设计'!$A$229:$G$248,2,FALSE)*$B42/SUM(IF($E42="",0,VLOOKUP($E42,'⚪设计'!$C$85:$E$113,3,FALSE))*$F42,IF($J42="",0,VLOOKUP($J42,'⚪设计'!$C$85:$E$113,3,FALSE))*$K42,IF($O42="",0,VLOOKUP($O42,'⚪设计'!$C$85:$E$113,3,FALSE))*$P42,IF($T42="",0,VLOOKUP($T42,'⚪设计'!$C$85:$E$113,3,FALSE))*$U42)*VLOOKUP(T42,'⚪设计'!$C$85:$E$113,3,FALSE),0))</f>
        <v>0</v>
      </c>
      <c r="X42" s="71">
        <f>ROUND(战斗节奏!$B$3/SUM(IF(无限模式!$E42="",0,VLOOKUP(无限模式!$E42,'⚪设计'!$C$85:$I$113,4,FALSE)*无限模式!$F42),IF(无限模式!$J42="",0,VLOOKUP(无限模式!$J42,'⚪设计'!$C$85:$I$113,4,FALSE)*无限模式!$K42),IF(无限模式!$O42="",0,VLOOKUP(无限模式!$O42,'⚪设计'!$C$85:$I$113,4,FALSE)*无限模式!$P42),IF(无限模式!$T42="",0,VLOOKUP(无限模式!$T42,'⚪设计'!$C$85:$I$113,4,FALSE)*无限模式!$U42))*IF(T42="",0,VLOOKUP(T42,'⚪设计'!$C$85:$I$113,4,FALSE)),0)</f>
        <v>0</v>
      </c>
    </row>
    <row r="43" spans="1:24" x14ac:dyDescent="0.2">
      <c r="A43" s="94">
        <v>16</v>
      </c>
      <c r="B43" s="71">
        <f>MAX(MIN(战斗节奏!$C$3-INT(A43/'⚪设计'!$C$55),MOD(A43,'⚪设计'!$C$55)),0)*'⚪设计'!$C$79*防御塔!$C$2+MIN(INT(A43/'⚪设计'!$C$55),战斗节奏!$C$3)*'⚪设计'!$C$80*防御塔!$C$2</f>
        <v>8640</v>
      </c>
      <c r="C43" s="173">
        <v>1.75</v>
      </c>
      <c r="D43" s="173">
        <v>25</v>
      </c>
      <c r="E43" s="71" t="str">
        <f>IF(VLOOKUP(A43,'⚪设计'!$A$229:$G$248,4,FALSE)="","",VLOOKUP(VLOOKUP(A43,'⚪设计'!$A$229:$G$248,4,FALSE),'⚪设计'!$B$85:$D$113,2,FALSE))</f>
        <v>ResUnit_Niao2</v>
      </c>
      <c r="F43" s="71">
        <f t="shared" si="4"/>
        <v>25</v>
      </c>
      <c r="G43" s="71">
        <f>IF(VLOOKUP($A43,'⚪设计'!$A$229:$K$249,7+1,FALSE)="","",VLOOKUP(A43,'⚪设计'!$A$229:$K$249,7+1,FALSE))</f>
        <v>1</v>
      </c>
      <c r="H43" s="71">
        <f>IF(E43="",0,ROUND(VLOOKUP($A43,'⚪设计'!$A$229:$G$248,2,FALSE)*$B43/SUM(IF($E43="",0,VLOOKUP($E43,'⚪设计'!$C$85:$E$113,3,FALSE))*$F43,IF($J43="",0,VLOOKUP($J43,'⚪设计'!$C$85:$E$113,3,FALSE))*$K43,IF($O43="",0,VLOOKUP($O43,'⚪设计'!$C$85:$E$113,3,FALSE))*$P43,IF($T43="",0,VLOOKUP($T43,'⚪设计'!$C$85:$E$113,3,FALSE))*$U43)*VLOOKUP(E43,'⚪设计'!$C$85:$E$113,3,FALSE),0))</f>
        <v>29623</v>
      </c>
      <c r="I43" s="71">
        <f>ROUND(战斗节奏!$B$3/SUM(IF(无限模式!$E43="",0,VLOOKUP(无限模式!$E43,'⚪设计'!$C$85:$I$113,4,FALSE)*无限模式!$F43),IF(无限模式!$J43="",0,VLOOKUP(无限模式!$J43,'⚪设计'!$C$85:$I$113,4,FALSE)*无限模式!$K43),IF(无限模式!$O43="",0,VLOOKUP(无限模式!$O43,'⚪设计'!$C$85:$I$113,4,FALSE)*无限模式!$P43),IF(无限模式!$T43="",0,VLOOKUP(无限模式!$T43,'⚪设计'!$C$85:$I$113,4,FALSE)*无限模式!$U43))*IF(E43="",0,VLOOKUP(E43,'⚪设计'!$C$85:$I$113,4,FALSE)),0)</f>
        <v>9</v>
      </c>
      <c r="J43" s="71" t="str">
        <f>IF(VLOOKUP(A43,'⚪设计'!$A$229:$G$248,5,FALSE)="","",VLOOKUP(VLOOKUP(A43,'⚪设计'!$A$229:$G$248,5,FALSE),'⚪设计'!$B$85:$D$113,2,FALSE))</f>
        <v>ResUnit_Gui3</v>
      </c>
      <c r="K43" s="71">
        <f t="shared" si="5"/>
        <v>1</v>
      </c>
      <c r="L43" s="71">
        <f>IF(VLOOKUP($A43,'⚪设计'!$A$229:$K$249,7+2,FALSE)="","",VLOOKUP(A43,'⚪设计'!$A$229:$K$249,7+2,FALSE))</f>
        <v>0</v>
      </c>
      <c r="M43" s="71">
        <f>IF(J43="",0,ROUND(VLOOKUP($A43,'⚪设计'!$A$229:$G$248,2,FALSE)*$B43/SUM(IF($E43="",0,VLOOKUP($E43,'⚪设计'!$C$85:$E$113,3,FALSE))*$F43,IF($J43="",0,VLOOKUP($J43,'⚪设计'!$C$85:$E$113,3,FALSE))*$K43,IF($O43="",0,VLOOKUP($O43,'⚪设计'!$C$85:$E$113,3,FALSE))*$P43,IF($T43="",0,VLOOKUP($T43,'⚪设计'!$C$85:$E$113,3,FALSE))*$U43)*VLOOKUP(J43,'⚪设计'!$C$85:$E$113,3,FALSE),0))</f>
        <v>296229</v>
      </c>
      <c r="N43" s="71">
        <f>ROUND(战斗节奏!$B$3/SUM(IF(无限模式!$E43="",0,VLOOKUP(无限模式!$E43,'⚪设计'!$C$85:$I$113,4,FALSE)*无限模式!$F43),IF(无限模式!$J43="",0,VLOOKUP(无限模式!$J43,'⚪设计'!$C$85:$I$113,4,FALSE)*无限模式!$K43),IF(无限模式!$O43="",0,VLOOKUP(无限模式!$O43,'⚪设计'!$C$85:$I$113,4,FALSE)*无限模式!$P43),IF(无限模式!$T43="",0,VLOOKUP(无限模式!$T43,'⚪设计'!$C$85:$I$113,4,FALSE)*无限模式!$U43))*IF(J43="",0,VLOOKUP(J43,'⚪设计'!$C$85:$I$113,4,FALSE)),0)</f>
        <v>86</v>
      </c>
      <c r="O43" s="71" t="str">
        <f>IF(VLOOKUP(A43,'⚪设计'!$A$229:$G$248,6,FALSE)="","",VLOOKUP(VLOOKUP(A43,'⚪设计'!$A$229:$G$248,6,FALSE),'⚪设计'!$B$85:$D$113,2,FALSE))</f>
        <v/>
      </c>
      <c r="P43" s="71">
        <f t="shared" si="6"/>
        <v>0</v>
      </c>
      <c r="Q43" s="71" t="str">
        <f>IF(VLOOKUP($A43,'⚪设计'!$A$229:$K$249,7+3,FALSE)="","",VLOOKUP(A43,'⚪设计'!$A$229:$K$249,7+3,FALSE))</f>
        <v/>
      </c>
      <c r="R43" s="71">
        <f>IF(O43="",0,ROUND(VLOOKUP($A43,'⚪设计'!$A$229:$G$248,2,FALSE)*$B43/SUM(IF($E43="",0,VLOOKUP($E43,'⚪设计'!$C$85:$E$113,3,FALSE))*$F43,IF($J43="",0,VLOOKUP($J43,'⚪设计'!$C$85:$E$113,3,FALSE))*$K43,IF($O43="",0,VLOOKUP($O43,'⚪设计'!$C$85:$E$113,3,FALSE))*$P43,IF($T43="",0,VLOOKUP($T43,'⚪设计'!$C$85:$E$113,3,FALSE))*$U43)*VLOOKUP(O43,'⚪设计'!$C$85:$E$113,3,FALSE),0))</f>
        <v>0</v>
      </c>
      <c r="S43" s="71">
        <f>ROUND(战斗节奏!$B$3/SUM(IF(无限模式!$E43="",0,VLOOKUP(无限模式!$E43,'⚪设计'!$C$85:$I$113,4,FALSE)*无限模式!$F43),IF(无限模式!$J43="",0,VLOOKUP(无限模式!$J43,'⚪设计'!$C$85:$I$113,4,FALSE)*无限模式!$K43),IF(无限模式!$O43="",0,VLOOKUP(无限模式!$O43,'⚪设计'!$C$85:$I$113,4,FALSE)*无限模式!$P43),IF(无限模式!$T43="",0,VLOOKUP(无限模式!$T43,'⚪设计'!$C$85:$I$113,4,FALSE)*无限模式!$U43))*IF(O43="",0,VLOOKUP(O43,'⚪设计'!$C$85:$I$113,4,FALSE)),0)</f>
        <v>0</v>
      </c>
      <c r="T43" s="71" t="str">
        <f>IF(VLOOKUP(A43,'⚪设计'!$A$229:$G$248,7,FALSE)="","",VLOOKUP(VLOOKUP(A43,'⚪设计'!$A$229:$G$248,7,FALSE),'⚪设计'!$B$85:$D$113,2,FALSE))</f>
        <v/>
      </c>
      <c r="U43" s="71">
        <f t="shared" si="7"/>
        <v>0</v>
      </c>
      <c r="V43" s="71" t="str">
        <f>IF(VLOOKUP($A43,'⚪设计'!$A$229:$K$249,7+4,FALSE)="","",VLOOKUP(A43,'⚪设计'!$A$229:$K$249,7+4,FALSE))</f>
        <v/>
      </c>
      <c r="W43" s="71">
        <f>IF(T43="",0,ROUND(VLOOKUP($A43,'⚪设计'!$A$229:$G$248,2,FALSE)*$B43/SUM(IF($E43="",0,VLOOKUP($E43,'⚪设计'!$C$85:$E$113,3,FALSE))*$F43,IF($J43="",0,VLOOKUP($J43,'⚪设计'!$C$85:$E$113,3,FALSE))*$K43,IF($O43="",0,VLOOKUP($O43,'⚪设计'!$C$85:$E$113,3,FALSE))*$P43,IF($T43="",0,VLOOKUP($T43,'⚪设计'!$C$85:$E$113,3,FALSE))*$U43)*VLOOKUP(T43,'⚪设计'!$C$85:$E$113,3,FALSE),0))</f>
        <v>0</v>
      </c>
      <c r="X43" s="71">
        <f>ROUND(战斗节奏!$B$3/SUM(IF(无限模式!$E43="",0,VLOOKUP(无限模式!$E43,'⚪设计'!$C$85:$I$113,4,FALSE)*无限模式!$F43),IF(无限模式!$J43="",0,VLOOKUP(无限模式!$J43,'⚪设计'!$C$85:$I$113,4,FALSE)*无限模式!$K43),IF(无限模式!$O43="",0,VLOOKUP(无限模式!$O43,'⚪设计'!$C$85:$I$113,4,FALSE)*无限模式!$P43),IF(无限模式!$T43="",0,VLOOKUP(无限模式!$T43,'⚪设计'!$C$85:$I$113,4,FALSE)*无限模式!$U43))*IF(T43="",0,VLOOKUP(T43,'⚪设计'!$C$85:$I$113,4,FALSE)),0)</f>
        <v>0</v>
      </c>
    </row>
    <row r="44" spans="1:24" x14ac:dyDescent="0.2">
      <c r="A44" s="94">
        <v>17</v>
      </c>
      <c r="B44" s="71">
        <f>MAX(MIN(战斗节奏!$C$3-INT(A44/'⚪设计'!$C$55),MOD(A44,'⚪设计'!$C$55)),0)*'⚪设计'!$C$79*防御塔!$C$2+MIN(INT(A44/'⚪设计'!$C$55),战斗节奏!$C$3)*'⚪设计'!$C$80*防御塔!$C$2</f>
        <v>9180</v>
      </c>
      <c r="C44" s="173">
        <v>1.8</v>
      </c>
      <c r="D44" s="173">
        <v>26</v>
      </c>
      <c r="E44" s="71" t="str">
        <f>IF(VLOOKUP(A44,'⚪设计'!$A$229:$G$248,4,FALSE)="","",VLOOKUP(VLOOKUP(A44,'⚪设计'!$A$229:$G$248,4,FALSE),'⚪设计'!$B$85:$D$113,2,FALSE))</f>
        <v>ResUnit_Niao3</v>
      </c>
      <c r="F44" s="71">
        <f t="shared" si="4"/>
        <v>26</v>
      </c>
      <c r="G44" s="71">
        <f>IF(VLOOKUP($A44,'⚪设计'!$A$229:$K$249,7+1,FALSE)="","",VLOOKUP(A44,'⚪设计'!$A$229:$K$249,7+1,FALSE))</f>
        <v>1</v>
      </c>
      <c r="H44" s="71">
        <f>IF(E44="",0,ROUND(VLOOKUP($A44,'⚪设计'!$A$229:$G$248,2,FALSE)*$B44/SUM(IF($E44="",0,VLOOKUP($E44,'⚪设计'!$C$85:$E$113,3,FALSE))*$F44,IF($J44="",0,VLOOKUP($J44,'⚪设计'!$C$85:$E$113,3,FALSE))*$K44,IF($O44="",0,VLOOKUP($O44,'⚪设计'!$C$85:$E$113,3,FALSE))*$P44,IF($T44="",0,VLOOKUP($T44,'⚪设计'!$C$85:$E$113,3,FALSE))*$U44)*VLOOKUP(E44,'⚪设计'!$C$85:$E$113,3,FALSE),0))</f>
        <v>30098</v>
      </c>
      <c r="I44" s="71">
        <f>ROUND(战斗节奏!$B$3/SUM(IF(无限模式!$E44="",0,VLOOKUP(无限模式!$E44,'⚪设计'!$C$85:$I$113,4,FALSE)*无限模式!$F44),IF(无限模式!$J44="",0,VLOOKUP(无限模式!$J44,'⚪设计'!$C$85:$I$113,4,FALSE)*无限模式!$K44),IF(无限模式!$O44="",0,VLOOKUP(无限模式!$O44,'⚪设计'!$C$85:$I$113,4,FALSE)*无限模式!$P44),IF(无限模式!$T44="",0,VLOOKUP(无限模式!$T44,'⚪设计'!$C$85:$I$113,4,FALSE)*无限模式!$U44))*IF(E44="",0,VLOOKUP(E44,'⚪设计'!$C$85:$I$113,4,FALSE)),0)</f>
        <v>9</v>
      </c>
      <c r="J44" s="71" t="str">
        <f>IF(VLOOKUP(A44,'⚪设计'!$A$229:$G$248,5,FALSE)="","",VLOOKUP(VLOOKUP(A44,'⚪设计'!$A$229:$G$248,5,FALSE),'⚪设计'!$B$85:$D$113,2,FALSE))</f>
        <v>ResUnit_Dan2</v>
      </c>
      <c r="K44" s="71">
        <f t="shared" si="5"/>
        <v>9</v>
      </c>
      <c r="L44" s="71">
        <f>IF(VLOOKUP($A44,'⚪设计'!$A$229:$K$249,7+2,FALSE)="","",VLOOKUP(A44,'⚪设计'!$A$229:$K$249,7+2,FALSE))</f>
        <v>3</v>
      </c>
      <c r="M44" s="71">
        <f>IF(J44="",0,ROUND(VLOOKUP($A44,'⚪设计'!$A$229:$G$248,2,FALSE)*$B44/SUM(IF($E44="",0,VLOOKUP($E44,'⚪设计'!$C$85:$E$113,3,FALSE))*$F44,IF($J44="",0,VLOOKUP($J44,'⚪设计'!$C$85:$E$113,3,FALSE))*$K44,IF($O44="",0,VLOOKUP($O44,'⚪设计'!$C$85:$E$113,3,FALSE))*$P44,IF($T44="",0,VLOOKUP($T44,'⚪设计'!$C$85:$E$113,3,FALSE))*$U44)*VLOOKUP(J44,'⚪设计'!$C$85:$E$113,3,FALSE),0))</f>
        <v>15049</v>
      </c>
      <c r="N44" s="71">
        <f>ROUND(战斗节奏!$B$3/SUM(IF(无限模式!$E44="",0,VLOOKUP(无限模式!$E44,'⚪设计'!$C$85:$I$113,4,FALSE)*无限模式!$F44),IF(无限模式!$J44="",0,VLOOKUP(无限模式!$J44,'⚪设计'!$C$85:$I$113,4,FALSE)*无限模式!$K44),IF(无限模式!$O44="",0,VLOOKUP(无限模式!$O44,'⚪设计'!$C$85:$I$113,4,FALSE)*无限模式!$P44),IF(无限模式!$T44="",0,VLOOKUP(无限模式!$T44,'⚪设计'!$C$85:$I$113,4,FALSE)*无限模式!$U44))*IF(J44="",0,VLOOKUP(J44,'⚪设计'!$C$85:$I$113,4,FALSE)),0)</f>
        <v>9</v>
      </c>
      <c r="O44" s="71" t="str">
        <f>IF(VLOOKUP(A44,'⚪设计'!$A$229:$G$248,6,FALSE)="","",VLOOKUP(VLOOKUP(A44,'⚪设计'!$A$229:$G$248,6,FALSE),'⚪设计'!$B$85:$D$113,2,FALSE))</f>
        <v/>
      </c>
      <c r="P44" s="71">
        <f t="shared" si="6"/>
        <v>0</v>
      </c>
      <c r="Q44" s="71" t="str">
        <f>IF(VLOOKUP($A44,'⚪设计'!$A$229:$K$249,7+3,FALSE)="","",VLOOKUP(A44,'⚪设计'!$A$229:$K$249,7+3,FALSE))</f>
        <v/>
      </c>
      <c r="R44" s="71">
        <f>IF(O44="",0,ROUND(VLOOKUP($A44,'⚪设计'!$A$229:$G$248,2,FALSE)*$B44/SUM(IF($E44="",0,VLOOKUP($E44,'⚪设计'!$C$85:$E$113,3,FALSE))*$F44,IF($J44="",0,VLOOKUP($J44,'⚪设计'!$C$85:$E$113,3,FALSE))*$K44,IF($O44="",0,VLOOKUP($O44,'⚪设计'!$C$85:$E$113,3,FALSE))*$P44,IF($T44="",0,VLOOKUP($T44,'⚪设计'!$C$85:$E$113,3,FALSE))*$U44)*VLOOKUP(O44,'⚪设计'!$C$85:$E$113,3,FALSE),0))</f>
        <v>0</v>
      </c>
      <c r="S44" s="71">
        <f>ROUND(战斗节奏!$B$3/SUM(IF(无限模式!$E44="",0,VLOOKUP(无限模式!$E44,'⚪设计'!$C$85:$I$113,4,FALSE)*无限模式!$F44),IF(无限模式!$J44="",0,VLOOKUP(无限模式!$J44,'⚪设计'!$C$85:$I$113,4,FALSE)*无限模式!$K44),IF(无限模式!$O44="",0,VLOOKUP(无限模式!$O44,'⚪设计'!$C$85:$I$113,4,FALSE)*无限模式!$P44),IF(无限模式!$T44="",0,VLOOKUP(无限模式!$T44,'⚪设计'!$C$85:$I$113,4,FALSE)*无限模式!$U44))*IF(O44="",0,VLOOKUP(O44,'⚪设计'!$C$85:$I$113,4,FALSE)),0)</f>
        <v>0</v>
      </c>
      <c r="T44" s="71" t="str">
        <f>IF(VLOOKUP(A44,'⚪设计'!$A$229:$G$248,7,FALSE)="","",VLOOKUP(VLOOKUP(A44,'⚪设计'!$A$229:$G$248,7,FALSE),'⚪设计'!$B$85:$D$113,2,FALSE))</f>
        <v/>
      </c>
      <c r="U44" s="71">
        <f t="shared" si="7"/>
        <v>0</v>
      </c>
      <c r="V44" s="71" t="str">
        <f>IF(VLOOKUP($A44,'⚪设计'!$A$229:$K$249,7+4,FALSE)="","",VLOOKUP(A44,'⚪设计'!$A$229:$K$249,7+4,FALSE))</f>
        <v/>
      </c>
      <c r="W44" s="71">
        <f>IF(T44="",0,ROUND(VLOOKUP($A44,'⚪设计'!$A$229:$G$248,2,FALSE)*$B44/SUM(IF($E44="",0,VLOOKUP($E44,'⚪设计'!$C$85:$E$113,3,FALSE))*$F44,IF($J44="",0,VLOOKUP($J44,'⚪设计'!$C$85:$E$113,3,FALSE))*$K44,IF($O44="",0,VLOOKUP($O44,'⚪设计'!$C$85:$E$113,3,FALSE))*$P44,IF($T44="",0,VLOOKUP($T44,'⚪设计'!$C$85:$E$113,3,FALSE))*$U44)*VLOOKUP(T44,'⚪设计'!$C$85:$E$113,3,FALSE),0))</f>
        <v>0</v>
      </c>
      <c r="X44" s="71">
        <f>ROUND(战斗节奏!$B$3/SUM(IF(无限模式!$E44="",0,VLOOKUP(无限模式!$E44,'⚪设计'!$C$85:$I$113,4,FALSE)*无限模式!$F44),IF(无限模式!$J44="",0,VLOOKUP(无限模式!$J44,'⚪设计'!$C$85:$I$113,4,FALSE)*无限模式!$K44),IF(无限模式!$O44="",0,VLOOKUP(无限模式!$O44,'⚪设计'!$C$85:$I$113,4,FALSE)*无限模式!$P44),IF(无限模式!$T44="",0,VLOOKUP(无限模式!$T44,'⚪设计'!$C$85:$I$113,4,FALSE)*无限模式!$U44))*IF(T44="",0,VLOOKUP(T44,'⚪设计'!$C$85:$I$113,4,FALSE)),0)</f>
        <v>0</v>
      </c>
    </row>
    <row r="45" spans="1:24" x14ac:dyDescent="0.2">
      <c r="A45" s="94">
        <v>18</v>
      </c>
      <c r="B45" s="71">
        <f>MAX(MIN(战斗节奏!$C$3-INT(A45/'⚪设计'!$C$55),MOD(A45,'⚪设计'!$C$55)),0)*'⚪设计'!$C$79*防御塔!$C$2+MIN(INT(A45/'⚪设计'!$C$55),战斗节奏!$C$3)*'⚪设计'!$C$80*防御塔!$C$2</f>
        <v>9719.9999999999982</v>
      </c>
      <c r="C45" s="173">
        <v>1.85</v>
      </c>
      <c r="D45" s="173">
        <v>27</v>
      </c>
      <c r="E45" s="71" t="str">
        <f>IF(VLOOKUP(A45,'⚪设计'!$A$229:$G$248,4,FALSE)="","",VLOOKUP(VLOOKUP(A45,'⚪设计'!$A$229:$G$248,4,FALSE),'⚪设计'!$B$85:$D$113,2,FALSE))</f>
        <v>ResUnit_Dan2</v>
      </c>
      <c r="F45" s="71">
        <f t="shared" si="4"/>
        <v>18</v>
      </c>
      <c r="G45" s="71">
        <f>IF(VLOOKUP($A45,'⚪设计'!$A$229:$K$249,7+1,FALSE)="","",VLOOKUP(A45,'⚪设计'!$A$229:$K$249,7+1,FALSE))</f>
        <v>1.5</v>
      </c>
      <c r="H45" s="71">
        <f>IF(E45="",0,ROUND(VLOOKUP($A45,'⚪设计'!$A$229:$G$248,2,FALSE)*$B45/SUM(IF($E45="",0,VLOOKUP($E45,'⚪设计'!$C$85:$E$113,3,FALSE))*$F45,IF($J45="",0,VLOOKUP($J45,'⚪设计'!$C$85:$E$113,3,FALSE))*$K45,IF($O45="",0,VLOOKUP($O45,'⚪设计'!$C$85:$E$113,3,FALSE))*$P45,IF($T45="",0,VLOOKUP($T45,'⚪设计'!$C$85:$E$113,3,FALSE))*$U45)*VLOOKUP(E45,'⚪设计'!$C$85:$E$113,3,FALSE),0))</f>
        <v>29700</v>
      </c>
      <c r="I45" s="71">
        <f>ROUND(战斗节奏!$B$3/SUM(IF(无限模式!$E45="",0,VLOOKUP(无限模式!$E45,'⚪设计'!$C$85:$I$113,4,FALSE)*无限模式!$F45),IF(无限模式!$J45="",0,VLOOKUP(无限模式!$J45,'⚪设计'!$C$85:$I$113,4,FALSE)*无限模式!$K45),IF(无限模式!$O45="",0,VLOOKUP(无限模式!$O45,'⚪设计'!$C$85:$I$113,4,FALSE)*无限模式!$P45),IF(无限模式!$T45="",0,VLOOKUP(无限模式!$T45,'⚪设计'!$C$85:$I$113,4,FALSE)*无限模式!$U45))*IF(E45="",0,VLOOKUP(E45,'⚪设计'!$C$85:$I$113,4,FALSE)),0)</f>
        <v>8</v>
      </c>
      <c r="J45" s="71" t="str">
        <f>IF(VLOOKUP(A45,'⚪设计'!$A$229:$G$248,5,FALSE)="","",VLOOKUP(VLOOKUP(A45,'⚪设计'!$A$229:$G$248,5,FALSE),'⚪设计'!$B$85:$D$113,2,FALSE))</f>
        <v>ResUnit_ZhiZhu2</v>
      </c>
      <c r="K45" s="71">
        <f t="shared" si="5"/>
        <v>36</v>
      </c>
      <c r="L45" s="71">
        <f>IF(VLOOKUP($A45,'⚪设计'!$A$229:$K$249,7+2,FALSE)="","",VLOOKUP(A45,'⚪设计'!$A$229:$K$249,7+2,FALSE))</f>
        <v>0.75</v>
      </c>
      <c r="M45" s="71">
        <f>IF(J45="",0,ROUND(VLOOKUP($A45,'⚪设计'!$A$229:$G$248,2,FALSE)*$B45/SUM(IF($E45="",0,VLOOKUP($E45,'⚪设计'!$C$85:$E$113,3,FALSE))*$F45,IF($J45="",0,VLOOKUP($J45,'⚪设计'!$C$85:$E$113,3,FALSE))*$K45,IF($O45="",0,VLOOKUP($O45,'⚪设计'!$C$85:$E$113,3,FALSE))*$P45,IF($T45="",0,VLOOKUP($T45,'⚪设计'!$C$85:$E$113,3,FALSE))*$U45)*VLOOKUP(J45,'⚪设计'!$C$85:$E$113,3,FALSE),0))</f>
        <v>14850</v>
      </c>
      <c r="N45" s="71">
        <f>ROUND(战斗节奏!$B$3/SUM(IF(无限模式!$E45="",0,VLOOKUP(无限模式!$E45,'⚪设计'!$C$85:$I$113,4,FALSE)*无限模式!$F45),IF(无限模式!$J45="",0,VLOOKUP(无限模式!$J45,'⚪设计'!$C$85:$I$113,4,FALSE)*无限模式!$K45),IF(无限模式!$O45="",0,VLOOKUP(无限模式!$O45,'⚪设计'!$C$85:$I$113,4,FALSE)*无限模式!$P45),IF(无限模式!$T45="",0,VLOOKUP(无限模式!$T45,'⚪设计'!$C$85:$I$113,4,FALSE)*无限模式!$U45))*IF(J45="",0,VLOOKUP(J45,'⚪设计'!$C$85:$I$113,4,FALSE)),0)</f>
        <v>4</v>
      </c>
      <c r="O45" s="71" t="str">
        <f>IF(VLOOKUP(A45,'⚪设计'!$A$229:$G$248,6,FALSE)="","",VLOOKUP(VLOOKUP(A45,'⚪设计'!$A$229:$G$248,6,FALSE),'⚪设计'!$B$85:$D$113,2,FALSE))</f>
        <v/>
      </c>
      <c r="P45" s="71">
        <f t="shared" si="6"/>
        <v>0</v>
      </c>
      <c r="Q45" s="71" t="str">
        <f>IF(VLOOKUP($A45,'⚪设计'!$A$229:$K$249,7+3,FALSE)="","",VLOOKUP(A45,'⚪设计'!$A$229:$K$249,7+3,FALSE))</f>
        <v/>
      </c>
      <c r="R45" s="71">
        <f>IF(O45="",0,ROUND(VLOOKUP($A45,'⚪设计'!$A$229:$G$248,2,FALSE)*$B45/SUM(IF($E45="",0,VLOOKUP($E45,'⚪设计'!$C$85:$E$113,3,FALSE))*$F45,IF($J45="",0,VLOOKUP($J45,'⚪设计'!$C$85:$E$113,3,FALSE))*$K45,IF($O45="",0,VLOOKUP($O45,'⚪设计'!$C$85:$E$113,3,FALSE))*$P45,IF($T45="",0,VLOOKUP($T45,'⚪设计'!$C$85:$E$113,3,FALSE))*$U45)*VLOOKUP(O45,'⚪设计'!$C$85:$E$113,3,FALSE),0))</f>
        <v>0</v>
      </c>
      <c r="S45" s="71">
        <f>ROUND(战斗节奏!$B$3/SUM(IF(无限模式!$E45="",0,VLOOKUP(无限模式!$E45,'⚪设计'!$C$85:$I$113,4,FALSE)*无限模式!$F45),IF(无限模式!$J45="",0,VLOOKUP(无限模式!$J45,'⚪设计'!$C$85:$I$113,4,FALSE)*无限模式!$K45),IF(无限模式!$O45="",0,VLOOKUP(无限模式!$O45,'⚪设计'!$C$85:$I$113,4,FALSE)*无限模式!$P45),IF(无限模式!$T45="",0,VLOOKUP(无限模式!$T45,'⚪设计'!$C$85:$I$113,4,FALSE)*无限模式!$U45))*IF(O45="",0,VLOOKUP(O45,'⚪设计'!$C$85:$I$113,4,FALSE)),0)</f>
        <v>0</v>
      </c>
      <c r="T45" s="71" t="str">
        <f>IF(VLOOKUP(A45,'⚪设计'!$A$229:$G$248,7,FALSE)="","",VLOOKUP(VLOOKUP(A45,'⚪设计'!$A$229:$G$248,7,FALSE),'⚪设计'!$B$85:$D$113,2,FALSE))</f>
        <v/>
      </c>
      <c r="U45" s="71">
        <f t="shared" si="7"/>
        <v>0</v>
      </c>
      <c r="V45" s="71" t="str">
        <f>IF(VLOOKUP($A45,'⚪设计'!$A$229:$K$249,7+4,FALSE)="","",VLOOKUP(A45,'⚪设计'!$A$229:$K$249,7+4,FALSE))</f>
        <v/>
      </c>
      <c r="W45" s="71">
        <f>IF(T45="",0,ROUND(VLOOKUP($A45,'⚪设计'!$A$229:$G$248,2,FALSE)*$B45/SUM(IF($E45="",0,VLOOKUP($E45,'⚪设计'!$C$85:$E$113,3,FALSE))*$F45,IF($J45="",0,VLOOKUP($J45,'⚪设计'!$C$85:$E$113,3,FALSE))*$K45,IF($O45="",0,VLOOKUP($O45,'⚪设计'!$C$85:$E$113,3,FALSE))*$P45,IF($T45="",0,VLOOKUP($T45,'⚪设计'!$C$85:$E$113,3,FALSE))*$U45)*VLOOKUP(T45,'⚪设计'!$C$85:$E$113,3,FALSE),0))</f>
        <v>0</v>
      </c>
      <c r="X45" s="71">
        <f>ROUND(战斗节奏!$B$3/SUM(IF(无限模式!$E45="",0,VLOOKUP(无限模式!$E45,'⚪设计'!$C$85:$I$113,4,FALSE)*无限模式!$F45),IF(无限模式!$J45="",0,VLOOKUP(无限模式!$J45,'⚪设计'!$C$85:$I$113,4,FALSE)*无限模式!$K45),IF(无限模式!$O45="",0,VLOOKUP(无限模式!$O45,'⚪设计'!$C$85:$I$113,4,FALSE)*无限模式!$P45),IF(无限模式!$T45="",0,VLOOKUP(无限模式!$T45,'⚪设计'!$C$85:$I$113,4,FALSE)*无限模式!$U45))*IF(T45="",0,VLOOKUP(T45,'⚪设计'!$C$85:$I$113,4,FALSE)),0)</f>
        <v>0</v>
      </c>
    </row>
    <row r="46" spans="1:24" x14ac:dyDescent="0.2">
      <c r="A46" s="94">
        <v>19</v>
      </c>
      <c r="B46" s="71">
        <f>MAX(MIN(战斗节奏!$C$3-INT(A46/'⚪设计'!$C$55),MOD(A46,'⚪设计'!$C$55)),0)*'⚪设计'!$C$79*防御塔!$C$2+MIN(INT(A46/'⚪设计'!$C$55),战斗节奏!$C$3)*'⚪设计'!$C$80*防御塔!$C$2</f>
        <v>10259.999999999998</v>
      </c>
      <c r="C46" s="173">
        <v>1.9</v>
      </c>
      <c r="D46" s="173">
        <v>28</v>
      </c>
      <c r="E46" s="71" t="str">
        <f>IF(VLOOKUP(A46,'⚪设计'!$A$229:$G$248,4,FALSE)="","",VLOOKUP(VLOOKUP(A46,'⚪设计'!$A$229:$G$248,4,FALSE),'⚪设计'!$B$85:$D$113,2,FALSE))</f>
        <v>ResUnit_Dan2</v>
      </c>
      <c r="F46" s="71">
        <f t="shared" si="4"/>
        <v>19</v>
      </c>
      <c r="G46" s="71">
        <f>IF(VLOOKUP($A46,'⚪设计'!$A$229:$K$249,7+1,FALSE)="","",VLOOKUP(A46,'⚪设计'!$A$229:$K$249,7+1,FALSE))</f>
        <v>1.5</v>
      </c>
      <c r="H46" s="71">
        <f>IF(E46="",0,ROUND(VLOOKUP($A46,'⚪设计'!$A$229:$G$248,2,FALSE)*$B46/SUM(IF($E46="",0,VLOOKUP($E46,'⚪设计'!$C$85:$E$113,3,FALSE))*$F46,IF($J46="",0,VLOOKUP($J46,'⚪设计'!$C$85:$E$113,3,FALSE))*$K46,IF($O46="",0,VLOOKUP($O46,'⚪设计'!$C$85:$E$113,3,FALSE))*$P46,IF($T46="",0,VLOOKUP($T46,'⚪设计'!$C$85:$E$113,3,FALSE))*$U46)*VLOOKUP(E46,'⚪设计'!$C$85:$E$113,3,FALSE),0))</f>
        <v>19238</v>
      </c>
      <c r="I46" s="71">
        <f>ROUND(战斗节奏!$B$3/SUM(IF(无限模式!$E46="",0,VLOOKUP(无限模式!$E46,'⚪设计'!$C$85:$I$113,4,FALSE)*无限模式!$F46),IF(无限模式!$J46="",0,VLOOKUP(无限模式!$J46,'⚪设计'!$C$85:$I$113,4,FALSE)*无限模式!$K46),IF(无限模式!$O46="",0,VLOOKUP(无限模式!$O46,'⚪设计'!$C$85:$I$113,4,FALSE)*无限模式!$P46),IF(无限模式!$T46="",0,VLOOKUP(无限模式!$T46,'⚪设计'!$C$85:$I$113,4,FALSE)*无限模式!$U46))*IF(E46="",0,VLOOKUP(E46,'⚪设计'!$C$85:$I$113,4,FALSE)),0)</f>
        <v>5</v>
      </c>
      <c r="J46" s="71" t="str">
        <f>IF(VLOOKUP(A46,'⚪设计'!$A$229:$G$248,5,FALSE)="","",VLOOKUP(VLOOKUP(A46,'⚪设计'!$A$229:$G$248,5,FALSE),'⚪设计'!$B$85:$D$113,2,FALSE))</f>
        <v>ResUnit_Niao3</v>
      </c>
      <c r="K46" s="71">
        <f t="shared" si="5"/>
        <v>28</v>
      </c>
      <c r="L46" s="71">
        <f>IF(VLOOKUP($A46,'⚪设计'!$A$229:$K$249,7+2,FALSE)="","",VLOOKUP(A46,'⚪设计'!$A$229:$K$249,7+2,FALSE))</f>
        <v>1</v>
      </c>
      <c r="M46" s="71">
        <f>IF(J46="",0,ROUND(VLOOKUP($A46,'⚪设计'!$A$229:$G$248,2,FALSE)*$B46/SUM(IF($E46="",0,VLOOKUP($E46,'⚪设计'!$C$85:$E$113,3,FALSE))*$F46,IF($J46="",0,VLOOKUP($J46,'⚪设计'!$C$85:$E$113,3,FALSE))*$K46,IF($O46="",0,VLOOKUP($O46,'⚪设计'!$C$85:$E$113,3,FALSE))*$P46,IF($T46="",0,VLOOKUP($T46,'⚪设计'!$C$85:$E$113,3,FALSE))*$U46)*VLOOKUP(J46,'⚪设计'!$C$85:$E$113,3,FALSE),0))</f>
        <v>38475</v>
      </c>
      <c r="N46" s="71">
        <f>ROUND(战斗节奏!$B$3/SUM(IF(无限模式!$E46="",0,VLOOKUP(无限模式!$E46,'⚪设计'!$C$85:$I$113,4,FALSE)*无限模式!$F46),IF(无限模式!$J46="",0,VLOOKUP(无限模式!$J46,'⚪设计'!$C$85:$I$113,4,FALSE)*无限模式!$K46),IF(无限模式!$O46="",0,VLOOKUP(无限模式!$O46,'⚪设计'!$C$85:$I$113,4,FALSE)*无限模式!$P46),IF(无限模式!$T46="",0,VLOOKUP(无限模式!$T46,'⚪设计'!$C$85:$I$113,4,FALSE)*无限模式!$U46))*IF(J46="",0,VLOOKUP(J46,'⚪设计'!$C$85:$I$113,4,FALSE)),0)</f>
        <v>5</v>
      </c>
      <c r="O46" s="71" t="str">
        <f>IF(VLOOKUP(A46,'⚪设计'!$A$229:$G$248,6,FALSE)="","",VLOOKUP(VLOOKUP(A46,'⚪设计'!$A$229:$G$248,6,FALSE),'⚪设计'!$B$85:$D$113,2,FALSE))</f>
        <v>ResUnit_ZhongZi2</v>
      </c>
      <c r="P46" s="71">
        <f t="shared" si="6"/>
        <v>14</v>
      </c>
      <c r="Q46" s="71">
        <f>IF(VLOOKUP($A46,'⚪设计'!$A$229:$K$249,7+3,FALSE)="","",VLOOKUP(A46,'⚪设计'!$A$229:$K$249,7+3,FALSE))</f>
        <v>2</v>
      </c>
      <c r="R46" s="71">
        <f>IF(O46="",0,ROUND(VLOOKUP($A46,'⚪设计'!$A$229:$G$248,2,FALSE)*$B46/SUM(IF($E46="",0,VLOOKUP($E46,'⚪设计'!$C$85:$E$113,3,FALSE))*$F46,IF($J46="",0,VLOOKUP($J46,'⚪设计'!$C$85:$E$113,3,FALSE))*$K46,IF($O46="",0,VLOOKUP($O46,'⚪设计'!$C$85:$E$113,3,FALSE))*$P46,IF($T46="",0,VLOOKUP($T46,'⚪设计'!$C$85:$E$113,3,FALSE))*$U46)*VLOOKUP(O46,'⚪设计'!$C$85:$E$113,3,FALSE),0))</f>
        <v>28856</v>
      </c>
      <c r="S46" s="71">
        <f>ROUND(战斗节奏!$B$3/SUM(IF(无限模式!$E46="",0,VLOOKUP(无限模式!$E46,'⚪设计'!$C$85:$I$113,4,FALSE)*无限模式!$F46),IF(无限模式!$J46="",0,VLOOKUP(无限模式!$J46,'⚪设计'!$C$85:$I$113,4,FALSE)*无限模式!$K46),IF(无限模式!$O46="",0,VLOOKUP(无限模式!$O46,'⚪设计'!$C$85:$I$113,4,FALSE)*无限模式!$P46),IF(无限模式!$T46="",0,VLOOKUP(无限模式!$T46,'⚪设计'!$C$85:$I$113,4,FALSE)*无限模式!$U46))*IF(O46="",0,VLOOKUP(O46,'⚪设计'!$C$85:$I$113,4,FALSE)),0)</f>
        <v>5</v>
      </c>
      <c r="T46" s="71" t="str">
        <f>IF(VLOOKUP(A46,'⚪设计'!$A$229:$G$248,7,FALSE)="","",VLOOKUP(VLOOKUP(A46,'⚪设计'!$A$229:$G$248,7,FALSE),'⚪设计'!$B$85:$D$113,2,FALSE))</f>
        <v/>
      </c>
      <c r="U46" s="71">
        <f t="shared" si="7"/>
        <v>0</v>
      </c>
      <c r="V46" s="71" t="str">
        <f>IF(VLOOKUP($A46,'⚪设计'!$A$229:$K$249,7+4,FALSE)="","",VLOOKUP(A46,'⚪设计'!$A$229:$K$249,7+4,FALSE))</f>
        <v/>
      </c>
      <c r="W46" s="71">
        <f>IF(T46="",0,ROUND(VLOOKUP($A46,'⚪设计'!$A$229:$G$248,2,FALSE)*$B46/SUM(IF($E46="",0,VLOOKUP($E46,'⚪设计'!$C$85:$E$113,3,FALSE))*$F46,IF($J46="",0,VLOOKUP($J46,'⚪设计'!$C$85:$E$113,3,FALSE))*$K46,IF($O46="",0,VLOOKUP($O46,'⚪设计'!$C$85:$E$113,3,FALSE))*$P46,IF($T46="",0,VLOOKUP($T46,'⚪设计'!$C$85:$E$113,3,FALSE))*$U46)*VLOOKUP(T46,'⚪设计'!$C$85:$E$113,3,FALSE),0))</f>
        <v>0</v>
      </c>
      <c r="X46" s="71">
        <f>ROUND(战斗节奏!$B$3/SUM(IF(无限模式!$E46="",0,VLOOKUP(无限模式!$E46,'⚪设计'!$C$85:$I$113,4,FALSE)*无限模式!$F46),IF(无限模式!$J46="",0,VLOOKUP(无限模式!$J46,'⚪设计'!$C$85:$I$113,4,FALSE)*无限模式!$K46),IF(无限模式!$O46="",0,VLOOKUP(无限模式!$O46,'⚪设计'!$C$85:$I$113,4,FALSE)*无限模式!$P46),IF(无限模式!$T46="",0,VLOOKUP(无限模式!$T46,'⚪设计'!$C$85:$I$113,4,FALSE)*无限模式!$U46))*IF(T46="",0,VLOOKUP(T46,'⚪设计'!$C$85:$I$113,4,FALSE)),0)</f>
        <v>0</v>
      </c>
    </row>
    <row r="47" spans="1:24" x14ac:dyDescent="0.2">
      <c r="A47" s="94">
        <v>20</v>
      </c>
      <c r="B47" s="71">
        <f>MAX(MIN(战斗节奏!$C$3-INT(A47/'⚪设计'!$C$55),MOD(A47,'⚪设计'!$C$55)),0)*'⚪设计'!$C$79*防御塔!$C$2+MIN(INT(A47/'⚪设计'!$C$55),战斗节奏!$C$3)*'⚪设计'!$C$80*防御塔!$C$2</f>
        <v>10799.999999999998</v>
      </c>
      <c r="C47" s="173">
        <v>1.95</v>
      </c>
      <c r="D47" s="173">
        <v>29</v>
      </c>
      <c r="E47" s="71" t="str">
        <f>IF(VLOOKUP(A47,'⚪设计'!$A$229:$G$248,4,FALSE)="","",VLOOKUP(VLOOKUP(A47,'⚪设计'!$A$229:$G$248,4,FALSE),'⚪设计'!$B$85:$D$113,2,FALSE))</f>
        <v>ResUnit_Dan3</v>
      </c>
      <c r="F47" s="71">
        <f t="shared" si="4"/>
        <v>1</v>
      </c>
      <c r="G47" s="71">
        <f>IF(VLOOKUP($A47,'⚪设计'!$A$229:$K$249,7+1,FALSE)="","",VLOOKUP(A47,'⚪设计'!$A$229:$K$249,7+1,FALSE))</f>
        <v>0</v>
      </c>
      <c r="H47" s="71">
        <f>IF(E47="",0,ROUND(VLOOKUP($A47,'⚪设计'!$A$229:$G$248,2,FALSE)*$B47/SUM(IF($E47="",0,VLOOKUP($E47,'⚪设计'!$C$85:$E$113,3,FALSE))*$F47,IF($J47="",0,VLOOKUP($J47,'⚪设计'!$C$85:$E$113,3,FALSE))*$K47,IF($O47="",0,VLOOKUP($O47,'⚪设计'!$C$85:$E$113,3,FALSE))*$P47,IF($T47="",0,VLOOKUP($T47,'⚪设计'!$C$85:$E$113,3,FALSE))*$U47)*VLOOKUP(E47,'⚪设计'!$C$85:$E$113,3,FALSE),0))</f>
        <v>247328</v>
      </c>
      <c r="I47" s="71">
        <f>ROUND(战斗节奏!$B$3/SUM(IF(无限模式!$E47="",0,VLOOKUP(无限模式!$E47,'⚪设计'!$C$85:$I$113,4,FALSE)*无限模式!$F47),IF(无限模式!$J47="",0,VLOOKUP(无限模式!$J47,'⚪设计'!$C$85:$I$113,4,FALSE)*无限模式!$K47),IF(无限模式!$O47="",0,VLOOKUP(无限模式!$O47,'⚪设计'!$C$85:$I$113,4,FALSE)*无限模式!$P47),IF(无限模式!$T47="",0,VLOOKUP(无限模式!$T47,'⚪设计'!$C$85:$I$113,4,FALSE)*无限模式!$U47))*IF(E47="",0,VLOOKUP(E47,'⚪设计'!$C$85:$I$113,4,FALSE)),0)</f>
        <v>62</v>
      </c>
      <c r="J47" s="71" t="str">
        <f>IF(VLOOKUP(A47,'⚪设计'!$A$229:$G$248,5,FALSE)="","",VLOOKUP(VLOOKUP(A47,'⚪设计'!$A$229:$G$248,5,FALSE),'⚪设计'!$B$85:$D$113,2,FALSE))</f>
        <v>ResUnit_Gui2</v>
      </c>
      <c r="K47" s="71">
        <f t="shared" si="5"/>
        <v>39</v>
      </c>
      <c r="L47" s="71">
        <f>IF(VLOOKUP($A47,'⚪设计'!$A$229:$K$249,7+2,FALSE)="","",VLOOKUP(A47,'⚪设计'!$A$229:$K$249,7+2,FALSE))</f>
        <v>0.75</v>
      </c>
      <c r="M47" s="71">
        <f>IF(J47="",0,ROUND(VLOOKUP($A47,'⚪设计'!$A$229:$G$248,2,FALSE)*$B47/SUM(IF($E47="",0,VLOOKUP($E47,'⚪设计'!$C$85:$E$113,3,FALSE))*$F47,IF($J47="",0,VLOOKUP($J47,'⚪设计'!$C$85:$E$113,3,FALSE))*$K47,IF($O47="",0,VLOOKUP($O47,'⚪设计'!$C$85:$E$113,3,FALSE))*$P47,IF($T47="",0,VLOOKUP($T47,'⚪设计'!$C$85:$E$113,3,FALSE))*$U47)*VLOOKUP(J47,'⚪设计'!$C$85:$E$113,3,FALSE),0))</f>
        <v>12366</v>
      </c>
      <c r="N47" s="71">
        <f>ROUND(战斗节奏!$B$3/SUM(IF(无限模式!$E47="",0,VLOOKUP(无限模式!$E47,'⚪设计'!$C$85:$I$113,4,FALSE)*无限模式!$F47),IF(无限模式!$J47="",0,VLOOKUP(无限模式!$J47,'⚪设计'!$C$85:$I$113,4,FALSE)*无限模式!$K47),IF(无限模式!$O47="",0,VLOOKUP(无限模式!$O47,'⚪设计'!$C$85:$I$113,4,FALSE)*无限模式!$P47),IF(无限模式!$T47="",0,VLOOKUP(无限模式!$T47,'⚪设计'!$C$85:$I$113,4,FALSE)*无限模式!$U47))*IF(J47="",0,VLOOKUP(J47,'⚪设计'!$C$85:$I$113,4,FALSE)),0)</f>
        <v>2</v>
      </c>
      <c r="O47" s="71" t="str">
        <f>IF(VLOOKUP(A47,'⚪设计'!$A$229:$G$248,6,FALSE)="","",VLOOKUP(VLOOKUP(A47,'⚪设计'!$A$229:$G$248,6,FALSE),'⚪设计'!$B$85:$D$113,2,FALSE))</f>
        <v>ResUnit_ZhongZi2</v>
      </c>
      <c r="P47" s="71">
        <f t="shared" si="6"/>
        <v>29</v>
      </c>
      <c r="Q47" s="71">
        <f>IF(VLOOKUP($A47,'⚪设计'!$A$229:$K$249,7+3,FALSE)="","",VLOOKUP(A47,'⚪设计'!$A$229:$K$249,7+3,FALSE))</f>
        <v>1</v>
      </c>
      <c r="R47" s="71">
        <f>IF(O47="",0,ROUND(VLOOKUP($A47,'⚪设计'!$A$229:$G$248,2,FALSE)*$B47/SUM(IF($E47="",0,VLOOKUP($E47,'⚪设计'!$C$85:$E$113,3,FALSE))*$F47,IF($J47="",0,VLOOKUP($J47,'⚪设计'!$C$85:$E$113,3,FALSE))*$K47,IF($O47="",0,VLOOKUP($O47,'⚪设计'!$C$85:$E$113,3,FALSE))*$P47,IF($T47="",0,VLOOKUP($T47,'⚪设计'!$C$85:$E$113,3,FALSE))*$U47)*VLOOKUP(O47,'⚪设计'!$C$85:$E$113,3,FALSE),0))</f>
        <v>37099</v>
      </c>
      <c r="S47" s="71">
        <f>ROUND(战斗节奏!$B$3/SUM(IF(无限模式!$E47="",0,VLOOKUP(无限模式!$E47,'⚪设计'!$C$85:$I$113,4,FALSE)*无限模式!$F47),IF(无限模式!$J47="",0,VLOOKUP(无限模式!$J47,'⚪设计'!$C$85:$I$113,4,FALSE)*无限模式!$K47),IF(无限模式!$O47="",0,VLOOKUP(无限模式!$O47,'⚪设计'!$C$85:$I$113,4,FALSE)*无限模式!$P47),IF(无限模式!$T47="",0,VLOOKUP(无限模式!$T47,'⚪设计'!$C$85:$I$113,4,FALSE)*无限模式!$U47))*IF(O47="",0,VLOOKUP(O47,'⚪设计'!$C$85:$I$113,4,FALSE)),0)</f>
        <v>3</v>
      </c>
      <c r="T47" s="71" t="str">
        <f>IF(VLOOKUP(A47,'⚪设计'!$A$229:$G$248,7,FALSE)="","",VLOOKUP(VLOOKUP(A47,'⚪设计'!$A$229:$G$248,7,FALSE),'⚪设计'!$B$85:$D$113,2,FALSE))</f>
        <v>ResUnit_Niao3</v>
      </c>
      <c r="U47" s="71">
        <f t="shared" si="7"/>
        <v>29</v>
      </c>
      <c r="V47" s="71">
        <f>IF(VLOOKUP($A47,'⚪设计'!$A$229:$K$249,7+4,FALSE)="","",VLOOKUP(A47,'⚪设计'!$A$229:$K$249,7+4,FALSE))</f>
        <v>1</v>
      </c>
      <c r="W47" s="71">
        <f>IF(T47="",0,ROUND(VLOOKUP($A47,'⚪设计'!$A$229:$G$248,2,FALSE)*$B47/SUM(IF($E47="",0,VLOOKUP($E47,'⚪设计'!$C$85:$E$113,3,FALSE))*$F47,IF($J47="",0,VLOOKUP($J47,'⚪设计'!$C$85:$E$113,3,FALSE))*$K47,IF($O47="",0,VLOOKUP($O47,'⚪设计'!$C$85:$E$113,3,FALSE))*$P47,IF($T47="",0,VLOOKUP($T47,'⚪设计'!$C$85:$E$113,3,FALSE))*$U47)*VLOOKUP(T47,'⚪设计'!$C$85:$E$113,3,FALSE),0))</f>
        <v>49466</v>
      </c>
      <c r="X47" s="71">
        <f>ROUND(战斗节奏!$B$3/SUM(IF(无限模式!$E47="",0,VLOOKUP(无限模式!$E47,'⚪设计'!$C$85:$I$113,4,FALSE)*无限模式!$F47),IF(无限模式!$J47="",0,VLOOKUP(无限模式!$J47,'⚪设计'!$C$85:$I$113,4,FALSE)*无限模式!$K47),IF(无限模式!$O47="",0,VLOOKUP(无限模式!$O47,'⚪设计'!$C$85:$I$113,4,FALSE)*无限模式!$P47),IF(无限模式!$T47="",0,VLOOKUP(无限模式!$T47,'⚪设计'!$C$85:$I$113,4,FALSE)*无限模式!$U47))*IF(T47="",0,VLOOKUP(T47,'⚪设计'!$C$85:$I$113,4,FALSE)),0)</f>
        <v>3</v>
      </c>
    </row>
    <row r="49" spans="1:25" x14ac:dyDescent="0.2">
      <c r="A49" s="94" t="s">
        <v>1974</v>
      </c>
    </row>
    <row r="50" spans="1:25" x14ac:dyDescent="0.2">
      <c r="A50" s="195" t="s">
        <v>380</v>
      </c>
      <c r="B50" s="195" t="s">
        <v>428</v>
      </c>
      <c r="C50" s="197" t="s">
        <v>430</v>
      </c>
      <c r="D50" s="197" t="s">
        <v>396</v>
      </c>
      <c r="E50" s="195" t="s">
        <v>400</v>
      </c>
      <c r="F50" s="196"/>
      <c r="G50" s="196"/>
      <c r="H50" s="196"/>
      <c r="I50" s="196"/>
      <c r="J50" s="195" t="s">
        <v>401</v>
      </c>
      <c r="K50" s="196"/>
      <c r="L50" s="196"/>
      <c r="M50" s="196"/>
      <c r="N50" s="196"/>
      <c r="O50" s="195" t="s">
        <v>402</v>
      </c>
      <c r="P50" s="196"/>
      <c r="Q50" s="196"/>
      <c r="R50" s="196"/>
      <c r="S50" s="196"/>
      <c r="T50" s="195" t="s">
        <v>403</v>
      </c>
      <c r="U50" s="196"/>
      <c r="V50" s="196"/>
      <c r="W50" s="196"/>
      <c r="X50" s="197"/>
      <c r="Y50" s="84" t="s">
        <v>3662</v>
      </c>
    </row>
    <row r="51" spans="1:25" x14ac:dyDescent="0.2">
      <c r="A51" s="198"/>
      <c r="B51" s="198"/>
      <c r="C51" s="199"/>
      <c r="D51" s="199"/>
      <c r="E51" s="93" t="s">
        <v>397</v>
      </c>
      <c r="F51" s="172" t="s">
        <v>283</v>
      </c>
      <c r="G51" s="172" t="s">
        <v>404</v>
      </c>
      <c r="H51" s="172" t="s">
        <v>398</v>
      </c>
      <c r="I51" s="172" t="s">
        <v>399</v>
      </c>
      <c r="J51" s="93" t="s">
        <v>397</v>
      </c>
      <c r="K51" s="172" t="s">
        <v>283</v>
      </c>
      <c r="L51" s="172" t="s">
        <v>404</v>
      </c>
      <c r="M51" s="172" t="s">
        <v>398</v>
      </c>
      <c r="N51" s="172" t="s">
        <v>399</v>
      </c>
      <c r="O51" s="93" t="s">
        <v>397</v>
      </c>
      <c r="P51" s="172" t="s">
        <v>283</v>
      </c>
      <c r="Q51" s="172" t="s">
        <v>404</v>
      </c>
      <c r="R51" s="172" t="s">
        <v>398</v>
      </c>
      <c r="S51" s="172" t="s">
        <v>399</v>
      </c>
      <c r="T51" s="93" t="s">
        <v>397</v>
      </c>
      <c r="U51" s="172" t="s">
        <v>283</v>
      </c>
      <c r="V51" s="172" t="s">
        <v>404</v>
      </c>
      <c r="W51" s="172" t="s">
        <v>398</v>
      </c>
      <c r="X51" s="171" t="s">
        <v>399</v>
      </c>
    </row>
    <row r="52" spans="1:25" x14ac:dyDescent="0.2">
      <c r="A52" s="94">
        <v>1</v>
      </c>
      <c r="B52" s="71">
        <f>MAX(MIN(战斗节奏!$C$3-INT(A52/'⚪设计'!$C$55),MOD(A52,'⚪设计'!$C$55)),0)*'⚪设计'!$C$79*防御塔!$C$2+MIN(INT(A52/'⚪设计'!$C$55),战斗节奏!$C$3)*'⚪设计'!$C$80*防御塔!$C$2</f>
        <v>540</v>
      </c>
      <c r="C52" s="173">
        <v>1</v>
      </c>
      <c r="D52" s="173">
        <v>10</v>
      </c>
      <c r="E52" s="71" t="str">
        <f>IF(VLOOKUP(A52,'⚪设计'!$A$253:$G$272,4,FALSE)="","",VLOOKUP(VLOOKUP(A52,'⚪设计'!$A$253:$G$272,4,FALSE),'⚪设计'!$B$85:$D$113,2,FALSE))</f>
        <v>ResUnit_Rou1</v>
      </c>
      <c r="F52" s="71">
        <f>IF(E52="",0,IF(G52=0,1,ROUND($D52/G52,0)))</f>
        <v>3</v>
      </c>
      <c r="G52" s="71">
        <f>IF(VLOOKUP($A52,'⚪设计'!$A$253:$K$272,7+1,FALSE)="","",VLOOKUP(A52,'⚪设计'!$A$253:$K$272,7+1,FALSE))</f>
        <v>3</v>
      </c>
      <c r="H52" s="71">
        <f>IF(E52="",0,ROUND(VLOOKUP($A52,'⚪设计'!$A$253:$G$272,2,FALSE)*$B52/SUM(IF($E52="",0,VLOOKUP($E52,'⚪设计'!$C$85:$E$113,3,FALSE))*$F52,IF($J52="",0,VLOOKUP($J52,'⚪设计'!$C$85:$E$113,3,FALSE))*$K52,IF($O52="",0,VLOOKUP($O52,'⚪设计'!$C$85:$E$113,3,FALSE))*$P52,IF($T52="",0,VLOOKUP($T52,'⚪设计'!$C$85:$E$113,3,FALSE))*$U52)*VLOOKUP(E52,'⚪设计'!$C$85:$E$113,3,FALSE),0))</f>
        <v>675</v>
      </c>
      <c r="I52" s="71">
        <f>ROUND(战斗节奏!$B$3/SUM(IF(无限模式!$E52="",0,VLOOKUP(无限模式!$E52,'⚪设计'!$C$85:$I$113,4,FALSE)*无限模式!$F52),IF(无限模式!$J52="",0,VLOOKUP(无限模式!$J52,'⚪设计'!$C$85:$I$113,4,FALSE)*无限模式!$K52),IF(无限模式!$O52="",0,VLOOKUP(无限模式!$O52,'⚪设计'!$C$85:$I$113,4,FALSE)*无限模式!$P52),IF(无限模式!$T52="",0,VLOOKUP(无限模式!$T52,'⚪设计'!$C$85:$I$113,4,FALSE)*无限模式!$U52))*IF(E52="",0,VLOOKUP(E52,'⚪设计'!$C$85:$I$113,4,FALSE)),0)</f>
        <v>100</v>
      </c>
      <c r="J52" s="71" t="str">
        <f>IF(VLOOKUP(A52,'⚪设计'!$A$253:$G$272,5,FALSE)="","",VLOOKUP(VLOOKUP(A52,'⚪设计'!$A$253:$G$272,5,FALSE),'⚪设计'!$B$85:$D$113,2,FALSE))</f>
        <v/>
      </c>
      <c r="K52" s="71">
        <f>IF(J52="",0,IF(L52=0,1,ROUND($D52/L52,0)))</f>
        <v>0</v>
      </c>
      <c r="L52" s="71" t="str">
        <f>IF(VLOOKUP($A52,'⚪设计'!$A$253:$K$272,7+2,FALSE)="","",VLOOKUP(A52,'⚪设计'!$A$253:$K$272,7+2,FALSE))</f>
        <v/>
      </c>
      <c r="M52" s="71">
        <f>IF(J52="",0,ROUND(VLOOKUP($A52,'⚪设计'!$A$253:$G$272,2,FALSE)*$B52/SUM(IF($E52="",0,VLOOKUP($E52,'⚪设计'!$C$85:$E$113,3,FALSE))*$F52,IF($J52="",0,VLOOKUP($J52,'⚪设计'!$C$85:$E$113,3,FALSE))*$K52,IF($O52="",0,VLOOKUP($O52,'⚪设计'!$C$85:$E$113,3,FALSE))*$P52,IF($T52="",0,VLOOKUP($T52,'⚪设计'!$C$85:$E$113,3,FALSE))*$U52)*VLOOKUP(J52,'⚪设计'!$C$85:$E$113,3,FALSE),0))</f>
        <v>0</v>
      </c>
      <c r="N52" s="71">
        <f>ROUND(战斗节奏!$B$3/SUM(IF(无限模式!$E52="",0,VLOOKUP(无限模式!$E52,'⚪设计'!$C$85:$I$113,4,FALSE)*无限模式!$F52),IF(无限模式!$J52="",0,VLOOKUP(无限模式!$J52,'⚪设计'!$C$85:$I$113,4,FALSE)*无限模式!$K52),IF(无限模式!$O52="",0,VLOOKUP(无限模式!$O52,'⚪设计'!$C$85:$I$113,4,FALSE)*无限模式!$P52),IF(无限模式!$T52="",0,VLOOKUP(无限模式!$T52,'⚪设计'!$C$85:$I$113,4,FALSE)*无限模式!$U52))*IF(J52="",0,VLOOKUP(J52,'⚪设计'!$C$85:$I$113,4,FALSE)),0)</f>
        <v>0</v>
      </c>
      <c r="O52" s="71" t="str">
        <f>IF(VLOOKUP(A52,'⚪设计'!$A$253:$G$272,6,FALSE)="","",VLOOKUP(VLOOKUP(A52,'⚪设计'!$A$253:$G$272,6,FALSE),'⚪设计'!$B$85:$D$113,2,FALSE))</f>
        <v/>
      </c>
      <c r="P52" s="71">
        <f>IF(O52="",0,IF(Q52=0,1,ROUND($D52/Q52,0)))</f>
        <v>0</v>
      </c>
      <c r="Q52" s="71" t="str">
        <f>IF(VLOOKUP($A52,'⚪设计'!$A$253:$K$272,7+3,FALSE)="","",VLOOKUP(A52,'⚪设计'!$A$253:$K$272,7+3,FALSE))</f>
        <v/>
      </c>
      <c r="R52" s="71">
        <f>IF(O52="",0,ROUND(VLOOKUP($A52,'⚪设计'!$A$253:$G$272,2,FALSE)*$B52/SUM(IF($E52="",0,VLOOKUP($E52,'⚪设计'!$C$85:$E$113,3,FALSE))*$F52,IF($J52="",0,VLOOKUP($J52,'⚪设计'!$C$85:$E$113,3,FALSE))*$K52,IF($O52="",0,VLOOKUP($O52,'⚪设计'!$C$85:$E$113,3,FALSE))*$P52,IF($T52="",0,VLOOKUP($T52,'⚪设计'!$C$85:$E$113,3,FALSE))*$U52)*VLOOKUP(O52,'⚪设计'!$C$85:$E$113,3,FALSE),0))</f>
        <v>0</v>
      </c>
      <c r="S52" s="71">
        <f>ROUND(战斗节奏!$B$3/SUM(IF(无限模式!$E52="",0,VLOOKUP(无限模式!$E52,'⚪设计'!$C$85:$I$113,4,FALSE)*无限模式!$F52),IF(无限模式!$J52="",0,VLOOKUP(无限模式!$J52,'⚪设计'!$C$85:$I$113,4,FALSE)*无限模式!$K52),IF(无限模式!$O52="",0,VLOOKUP(无限模式!$O52,'⚪设计'!$C$85:$I$113,4,FALSE)*无限模式!$P52),IF(无限模式!$T52="",0,VLOOKUP(无限模式!$T52,'⚪设计'!$C$85:$I$113,4,FALSE)*无限模式!$U52))*IF(O52="",0,VLOOKUP(O52,'⚪设计'!$C$85:$I$113,4,FALSE)),0)</f>
        <v>0</v>
      </c>
      <c r="T52" s="71" t="str">
        <f>IF(VLOOKUP(A52,'⚪设计'!$A$253:$G$272,7,FALSE)="","",VLOOKUP(VLOOKUP(A52,'⚪设计'!$A$253:$G$272,7,FALSE),'⚪设计'!$B$85:$D$113,2,FALSE))</f>
        <v/>
      </c>
      <c r="U52" s="71">
        <f>IF(T52="",0,IF(V52=0,1,ROUND($D52/V52,0)))</f>
        <v>0</v>
      </c>
      <c r="V52" s="71" t="str">
        <f>IF(VLOOKUP($A52,'⚪设计'!$A$253:$K$272,7+4,FALSE)="","",VLOOKUP(A52,'⚪设计'!$A$253:$K$272,7+4,FALSE))</f>
        <v/>
      </c>
      <c r="W52" s="71">
        <f>IF(T52="",0,ROUND(VLOOKUP($A52,'⚪设计'!$A$253:$G$272,2,FALSE)*$B52/SUM(IF($E52="",0,VLOOKUP($E52,'⚪设计'!$C$85:$E$113,3,FALSE))*$F52,IF($J52="",0,VLOOKUP($J52,'⚪设计'!$C$85:$E$113,3,FALSE))*$K52,IF($O52="",0,VLOOKUP($O52,'⚪设计'!$C$85:$E$113,3,FALSE))*$P52,IF($T52="",0,VLOOKUP($T52,'⚪设计'!$C$85:$E$113,3,FALSE))*$U52)*VLOOKUP(T52,'⚪设计'!$C$85:$E$113,3,FALSE),0))</f>
        <v>0</v>
      </c>
      <c r="X52" s="71">
        <f>ROUND(战斗节奏!$B$3/SUM(IF(无限模式!$E52="",0,VLOOKUP(无限模式!$E52,'⚪设计'!$C$85:$I$113,4,FALSE)*无限模式!$F52),IF(无限模式!$J52="",0,VLOOKUP(无限模式!$J52,'⚪设计'!$C$85:$I$113,4,FALSE)*无限模式!$K52),IF(无限模式!$O52="",0,VLOOKUP(无限模式!$O52,'⚪设计'!$C$85:$I$113,4,FALSE)*无限模式!$P52),IF(无限模式!$T52="",0,VLOOKUP(无限模式!$T52,'⚪设计'!$C$85:$I$113,4,FALSE)*无限模式!$U52))*IF(T52="",0,VLOOKUP(T52,'⚪设计'!$C$85:$I$113,4,FALSE)),0)</f>
        <v>0</v>
      </c>
      <c r="Y52" s="94">
        <v>3.75</v>
      </c>
    </row>
    <row r="53" spans="1:25" x14ac:dyDescent="0.2">
      <c r="A53" s="94">
        <v>2</v>
      </c>
      <c r="B53" s="71">
        <f>MAX(MIN(战斗节奏!$C$3-INT(A53/'⚪设计'!$C$55),MOD(A53,'⚪设计'!$C$55)),0)*'⚪设计'!$C$79*防御塔!$C$2+MIN(INT(A53/'⚪设计'!$C$55),战斗节奏!$C$3)*'⚪设计'!$C$80*防御塔!$C$2</f>
        <v>1080</v>
      </c>
      <c r="C53" s="173">
        <v>1.05</v>
      </c>
      <c r="D53" s="173">
        <v>11</v>
      </c>
      <c r="E53" s="71" t="str">
        <f>IF(VLOOKUP(A53,'⚪设计'!$A$253:$G$272,4,FALSE)="","",VLOOKUP(VLOOKUP(A53,'⚪设计'!$A$253:$G$272,4,FALSE),'⚪设计'!$B$85:$D$113,2,FALSE))</f>
        <v>ResUnit_MiFeng1</v>
      </c>
      <c r="F53" s="71">
        <f t="shared" ref="F53:F71" si="8">IF(E53="",0,IF(G53=0,1,ROUND($D53/G53,0)))</f>
        <v>15</v>
      </c>
      <c r="G53" s="71">
        <f>IF(VLOOKUP($A53,'⚪设计'!$A$253:$K$272,7+1,FALSE)="","",VLOOKUP(A53,'⚪设计'!$A$253:$K$272,7+1,FALSE))</f>
        <v>0.75</v>
      </c>
      <c r="H53" s="71">
        <f>IF(E53="",0,ROUND(VLOOKUP($A53,'⚪设计'!$A$253:$G$272,2,FALSE)*$B53/SUM(IF($E53="",0,VLOOKUP($E53,'⚪设计'!$C$85:$E$113,3,FALSE))*$F53,IF($J53="",0,VLOOKUP($J53,'⚪设计'!$C$85:$E$113,3,FALSE))*$K53,IF($O53="",0,VLOOKUP($O53,'⚪设计'!$C$85:$E$113,3,FALSE))*$P53,IF($T53="",0,VLOOKUP($T53,'⚪设计'!$C$85:$E$113,3,FALSE))*$U53)*VLOOKUP(E53,'⚪设计'!$C$85:$E$113,3,FALSE),0))</f>
        <v>67</v>
      </c>
      <c r="I53" s="71">
        <f>ROUND(战斗节奏!$B$3/SUM(IF(无限模式!$E53="",0,VLOOKUP(无限模式!$E53,'⚪设计'!$C$85:$I$113,4,FALSE)*无限模式!$F53),IF(无限模式!$J53="",0,VLOOKUP(无限模式!$J53,'⚪设计'!$C$85:$I$113,4,FALSE)*无限模式!$K53),IF(无限模式!$O53="",0,VLOOKUP(无限模式!$O53,'⚪设计'!$C$85:$I$113,4,FALSE)*无限模式!$P53),IF(无限模式!$T53="",0,VLOOKUP(无限模式!$T53,'⚪设计'!$C$85:$I$113,4,FALSE)*无限模式!$U53))*IF(E53="",0,VLOOKUP(E53,'⚪设计'!$C$85:$I$113,4,FALSE)),0)</f>
        <v>3</v>
      </c>
      <c r="J53" s="71" t="str">
        <f>IF(VLOOKUP(A53,'⚪设计'!$A$253:$G$272,5,FALSE)="","",VLOOKUP(VLOOKUP(A53,'⚪设计'!$A$253:$G$272,5,FALSE),'⚪设计'!$B$85:$D$113,2,FALSE))</f>
        <v>ResUnit_Rou1</v>
      </c>
      <c r="K53" s="71">
        <f t="shared" ref="K53:K71" si="9">IF(J53="",0,IF(L53=0,1,ROUND($D53/L53,0)))</f>
        <v>2</v>
      </c>
      <c r="L53" s="71">
        <f>IF(VLOOKUP($A53,'⚪设计'!$A$253:$K$272,7+2,FALSE)="","",VLOOKUP(A53,'⚪设计'!$A$253:$K$272,7+2,FALSE))</f>
        <v>6</v>
      </c>
      <c r="M53" s="71">
        <f>IF(J53="",0,ROUND(VLOOKUP($A53,'⚪设计'!$A$253:$G$272,2,FALSE)*$B53/SUM(IF($E53="",0,VLOOKUP($E53,'⚪设计'!$C$85:$E$113,3,FALSE))*$F53,IF($J53="",0,VLOOKUP($J53,'⚪设计'!$C$85:$E$113,3,FALSE))*$K53,IF($O53="",0,VLOOKUP($O53,'⚪设计'!$C$85:$E$113,3,FALSE))*$P53,IF($T53="",0,VLOOKUP($T53,'⚪设计'!$C$85:$E$113,3,FALSE))*$U53)*VLOOKUP(J53,'⚪设计'!$C$85:$E$113,3,FALSE),0))</f>
        <v>2133</v>
      </c>
      <c r="N53" s="71">
        <f>ROUND(战斗节奏!$B$3/SUM(IF(无限模式!$E53="",0,VLOOKUP(无限模式!$E53,'⚪设计'!$C$85:$I$113,4,FALSE)*无限模式!$F53),IF(无限模式!$J53="",0,VLOOKUP(无限模式!$J53,'⚪设计'!$C$85:$I$113,4,FALSE)*无限模式!$K53),IF(无限模式!$O53="",0,VLOOKUP(无限模式!$O53,'⚪设计'!$C$85:$I$113,4,FALSE)*无限模式!$P53),IF(无限模式!$T53="",0,VLOOKUP(无限模式!$T53,'⚪设计'!$C$85:$I$113,4,FALSE)*无限模式!$U53))*IF(J53="",0,VLOOKUP(J53,'⚪设计'!$C$85:$I$113,4,FALSE)),0)</f>
        <v>126</v>
      </c>
      <c r="O53" s="71" t="str">
        <f>IF(VLOOKUP(A53,'⚪设计'!$A$253:$G$272,6,FALSE)="","",VLOOKUP(VLOOKUP(A53,'⚪设计'!$A$253:$G$272,6,FALSE),'⚪设计'!$B$85:$D$113,2,FALSE))</f>
        <v/>
      </c>
      <c r="P53" s="71">
        <f t="shared" ref="P53:P71" si="10">IF(O53="",0,IF(Q53=0,1,ROUND($D53/Q53,0)))</f>
        <v>0</v>
      </c>
      <c r="Q53" s="71" t="str">
        <f>IF(VLOOKUP($A53,'⚪设计'!$A$253:$K$272,7+3,FALSE)="","",VLOOKUP(A53,'⚪设计'!$A$253:$K$272,7+3,FALSE))</f>
        <v/>
      </c>
      <c r="R53" s="71">
        <f>IF(O53="",0,ROUND(VLOOKUP($A53,'⚪设计'!$A$253:$G$272,2,FALSE)*$B53/SUM(IF($E53="",0,VLOOKUP($E53,'⚪设计'!$C$85:$E$113,3,FALSE))*$F53,IF($J53="",0,VLOOKUP($J53,'⚪设计'!$C$85:$E$113,3,FALSE))*$K53,IF($O53="",0,VLOOKUP($O53,'⚪设计'!$C$85:$E$113,3,FALSE))*$P53,IF($T53="",0,VLOOKUP($T53,'⚪设计'!$C$85:$E$113,3,FALSE))*$U53)*VLOOKUP(O53,'⚪设计'!$C$85:$E$113,3,FALSE),0))</f>
        <v>0</v>
      </c>
      <c r="S53" s="71">
        <f>ROUND(战斗节奏!$B$3/SUM(IF(无限模式!$E53="",0,VLOOKUP(无限模式!$E53,'⚪设计'!$C$85:$I$113,4,FALSE)*无限模式!$F53),IF(无限模式!$J53="",0,VLOOKUP(无限模式!$J53,'⚪设计'!$C$85:$I$113,4,FALSE)*无限模式!$K53),IF(无限模式!$O53="",0,VLOOKUP(无限模式!$O53,'⚪设计'!$C$85:$I$113,4,FALSE)*无限模式!$P53),IF(无限模式!$T53="",0,VLOOKUP(无限模式!$T53,'⚪设计'!$C$85:$I$113,4,FALSE)*无限模式!$U53))*IF(O53="",0,VLOOKUP(O53,'⚪设计'!$C$85:$I$113,4,FALSE)),0)</f>
        <v>0</v>
      </c>
      <c r="T53" s="71" t="str">
        <f>IF(VLOOKUP(A53,'⚪设计'!$A$253:$G$272,7,FALSE)="","",VLOOKUP(VLOOKUP(A53,'⚪设计'!$A$253:$G$272,7,FALSE),'⚪设计'!$B$85:$D$113,2,FALSE))</f>
        <v/>
      </c>
      <c r="U53" s="71">
        <f t="shared" ref="U53:U71" si="11">IF(T53="",0,IF(V53=0,1,ROUND($D53/V53,0)))</f>
        <v>0</v>
      </c>
      <c r="V53" s="71" t="str">
        <f>IF(VLOOKUP($A53,'⚪设计'!$A$253:$K$272,7+4,FALSE)="","",VLOOKUP(A53,'⚪设计'!$A$253:$K$272,7+4,FALSE))</f>
        <v/>
      </c>
      <c r="W53" s="71">
        <f>IF(T53="",0,ROUND(VLOOKUP($A53,'⚪设计'!$A$253:$G$272,2,FALSE)*$B53/SUM(IF($E53="",0,VLOOKUP($E53,'⚪设计'!$C$85:$E$113,3,FALSE))*$F53,IF($J53="",0,VLOOKUP($J53,'⚪设计'!$C$85:$E$113,3,FALSE))*$K53,IF($O53="",0,VLOOKUP($O53,'⚪设计'!$C$85:$E$113,3,FALSE))*$P53,IF($T53="",0,VLOOKUP($T53,'⚪设计'!$C$85:$E$113,3,FALSE))*$U53)*VLOOKUP(T53,'⚪设计'!$C$85:$E$113,3,FALSE),0))</f>
        <v>0</v>
      </c>
      <c r="X53" s="71">
        <f>ROUND(战斗节奏!$B$3/SUM(IF(无限模式!$E53="",0,VLOOKUP(无限模式!$E53,'⚪设计'!$C$85:$I$113,4,FALSE)*无限模式!$F53),IF(无限模式!$J53="",0,VLOOKUP(无限模式!$J53,'⚪设计'!$C$85:$I$113,4,FALSE)*无限模式!$K53),IF(无限模式!$O53="",0,VLOOKUP(无限模式!$O53,'⚪设计'!$C$85:$I$113,4,FALSE)*无限模式!$P53),IF(无限模式!$T53="",0,VLOOKUP(无限模式!$T53,'⚪设计'!$C$85:$I$113,4,FALSE)*无限模式!$U53))*IF(T53="",0,VLOOKUP(T53,'⚪设计'!$C$85:$I$113,4,FALSE)),0)</f>
        <v>0</v>
      </c>
      <c r="Y53" s="94">
        <v>4.875</v>
      </c>
    </row>
    <row r="54" spans="1:25" x14ac:dyDescent="0.2">
      <c r="A54" s="94">
        <v>3</v>
      </c>
      <c r="B54" s="71">
        <f>MAX(MIN(战斗节奏!$C$3-INT(A54/'⚪设计'!$C$55),MOD(A54,'⚪设计'!$C$55)),0)*'⚪设计'!$C$79*防御塔!$C$2+MIN(INT(A54/'⚪设计'!$C$55),战斗节奏!$C$3)*'⚪设计'!$C$80*防御塔!$C$2</f>
        <v>1620</v>
      </c>
      <c r="C54" s="173">
        <v>1.1000000000000001</v>
      </c>
      <c r="D54" s="173">
        <v>12</v>
      </c>
      <c r="E54" s="71" t="str">
        <f>IF(VLOOKUP(A54,'⚪设计'!$A$253:$G$272,4,FALSE)="","",VLOOKUP(VLOOKUP(A54,'⚪设计'!$A$253:$G$272,4,FALSE),'⚪设计'!$B$85:$D$113,2,FALSE))</f>
        <v>ResUnit_Rou1</v>
      </c>
      <c r="F54" s="71">
        <f t="shared" si="8"/>
        <v>2</v>
      </c>
      <c r="G54" s="71">
        <f>IF(VLOOKUP($A54,'⚪设计'!$A$253:$K$272,7+1,FALSE)="","",VLOOKUP(A54,'⚪设计'!$A$253:$K$272,7+1,FALSE))</f>
        <v>6</v>
      </c>
      <c r="H54" s="71">
        <f>IF(E54="",0,ROUND(VLOOKUP($A54,'⚪设计'!$A$253:$G$272,2,FALSE)*$B54/SUM(IF($E54="",0,VLOOKUP($E54,'⚪设计'!$C$85:$E$113,3,FALSE))*$F54,IF($J54="",0,VLOOKUP($J54,'⚪设计'!$C$85:$E$113,3,FALSE))*$K54,IF($O54="",0,VLOOKUP($O54,'⚪设计'!$C$85:$E$113,3,FALSE))*$P54,IF($T54="",0,VLOOKUP($T54,'⚪设计'!$C$85:$E$113,3,FALSE))*$U54)*VLOOKUP(E54,'⚪设计'!$C$85:$E$113,3,FALSE),0))</f>
        <v>3292</v>
      </c>
      <c r="I54" s="71">
        <f>ROUND(战斗节奏!$B$3/SUM(IF(无限模式!$E54="",0,VLOOKUP(无限模式!$E54,'⚪设计'!$C$85:$I$113,4,FALSE)*无限模式!$F54),IF(无限模式!$J54="",0,VLOOKUP(无限模式!$J54,'⚪设计'!$C$85:$I$113,4,FALSE)*无限模式!$K54),IF(无限模式!$O54="",0,VLOOKUP(无限模式!$O54,'⚪设计'!$C$85:$I$113,4,FALSE)*无限模式!$P54),IF(无限模式!$T54="",0,VLOOKUP(无限模式!$T54,'⚪设计'!$C$85:$I$113,4,FALSE)*无限模式!$U54))*IF(E54="",0,VLOOKUP(E54,'⚪设计'!$C$85:$I$113,4,FALSE)),0)</f>
        <v>86</v>
      </c>
      <c r="J54" s="71" t="str">
        <f>IF(VLOOKUP(A54,'⚪设计'!$A$253:$G$272,5,FALSE)="","",VLOOKUP(VLOOKUP(A54,'⚪设计'!$A$253:$G$272,5,FALSE),'⚪设计'!$B$85:$D$113,2,FALSE))</f>
        <v>ResUnit_BianFu1</v>
      </c>
      <c r="K54" s="71">
        <f t="shared" si="9"/>
        <v>60</v>
      </c>
      <c r="L54" s="71">
        <f>IF(VLOOKUP($A54,'⚪设计'!$A$253:$K$272,7+2,FALSE)="","",VLOOKUP(A54,'⚪设计'!$A$253:$K$272,7+2,FALSE))</f>
        <v>0.2</v>
      </c>
      <c r="M54" s="71">
        <f>IF(J54="",0,ROUND(VLOOKUP($A54,'⚪设计'!$A$253:$G$272,2,FALSE)*$B54/SUM(IF($E54="",0,VLOOKUP($E54,'⚪设计'!$C$85:$E$113,3,FALSE))*$F54,IF($J54="",0,VLOOKUP($J54,'⚪设计'!$C$85:$E$113,3,FALSE))*$K54,IF($O54="",0,VLOOKUP($O54,'⚪设计'!$C$85:$E$113,3,FALSE))*$P54,IF($T54="",0,VLOOKUP($T54,'⚪设计'!$C$85:$E$113,3,FALSE))*$U54)*VLOOKUP(J54,'⚪设计'!$C$85:$E$113,3,FALSE),0))</f>
        <v>103</v>
      </c>
      <c r="N54" s="71">
        <f>ROUND(战斗节奏!$B$3/SUM(IF(无限模式!$E54="",0,VLOOKUP(无限模式!$E54,'⚪设计'!$C$85:$I$113,4,FALSE)*无限模式!$F54),IF(无限模式!$J54="",0,VLOOKUP(无限模式!$J54,'⚪设计'!$C$85:$I$113,4,FALSE)*无限模式!$K54),IF(无限模式!$O54="",0,VLOOKUP(无限模式!$O54,'⚪设计'!$C$85:$I$113,4,FALSE)*无限模式!$P54),IF(无限模式!$T54="",0,VLOOKUP(无限模式!$T54,'⚪设计'!$C$85:$I$113,4,FALSE)*无限模式!$U54))*IF(J54="",0,VLOOKUP(J54,'⚪设计'!$C$85:$I$113,4,FALSE)),0)</f>
        <v>2</v>
      </c>
      <c r="O54" s="71" t="str">
        <f>IF(VLOOKUP(A54,'⚪设计'!$A$253:$G$272,6,FALSE)="","",VLOOKUP(VLOOKUP(A54,'⚪设计'!$A$253:$G$272,6,FALSE),'⚪设计'!$B$85:$D$113,2,FALSE))</f>
        <v/>
      </c>
      <c r="P54" s="71">
        <f t="shared" si="10"/>
        <v>0</v>
      </c>
      <c r="Q54" s="71" t="str">
        <f>IF(VLOOKUP($A54,'⚪设计'!$A$253:$K$272,7+3,FALSE)="","",VLOOKUP(A54,'⚪设计'!$A$253:$K$272,7+3,FALSE))</f>
        <v/>
      </c>
      <c r="R54" s="71">
        <f>IF(O54="",0,ROUND(VLOOKUP($A54,'⚪设计'!$A$253:$G$272,2,FALSE)*$B54/SUM(IF($E54="",0,VLOOKUP($E54,'⚪设计'!$C$85:$E$113,3,FALSE))*$F54,IF($J54="",0,VLOOKUP($J54,'⚪设计'!$C$85:$E$113,3,FALSE))*$K54,IF($O54="",0,VLOOKUP($O54,'⚪设计'!$C$85:$E$113,3,FALSE))*$P54,IF($T54="",0,VLOOKUP($T54,'⚪设计'!$C$85:$E$113,3,FALSE))*$U54)*VLOOKUP(O54,'⚪设计'!$C$85:$E$113,3,FALSE),0))</f>
        <v>0</v>
      </c>
      <c r="S54" s="71">
        <f>ROUND(战斗节奏!$B$3/SUM(IF(无限模式!$E54="",0,VLOOKUP(无限模式!$E54,'⚪设计'!$C$85:$I$113,4,FALSE)*无限模式!$F54),IF(无限模式!$J54="",0,VLOOKUP(无限模式!$J54,'⚪设计'!$C$85:$I$113,4,FALSE)*无限模式!$K54),IF(无限模式!$O54="",0,VLOOKUP(无限模式!$O54,'⚪设计'!$C$85:$I$113,4,FALSE)*无限模式!$P54),IF(无限模式!$T54="",0,VLOOKUP(无限模式!$T54,'⚪设计'!$C$85:$I$113,4,FALSE)*无限模式!$U54))*IF(O54="",0,VLOOKUP(O54,'⚪设计'!$C$85:$I$113,4,FALSE)),0)</f>
        <v>0</v>
      </c>
      <c r="T54" s="71" t="str">
        <f>IF(VLOOKUP(A54,'⚪设计'!$A$253:$G$272,7,FALSE)="","",VLOOKUP(VLOOKUP(A54,'⚪设计'!$A$253:$G$272,7,FALSE),'⚪设计'!$B$85:$D$113,2,FALSE))</f>
        <v/>
      </c>
      <c r="U54" s="71">
        <f t="shared" si="11"/>
        <v>0</v>
      </c>
      <c r="V54" s="71" t="str">
        <f>IF(VLOOKUP($A54,'⚪设计'!$A$253:$K$272,7+4,FALSE)="","",VLOOKUP(A54,'⚪设计'!$A$253:$K$272,7+4,FALSE))</f>
        <v/>
      </c>
      <c r="W54" s="71">
        <f>IF(T54="",0,ROUND(VLOOKUP($A54,'⚪设计'!$A$253:$G$272,2,FALSE)*$B54/SUM(IF($E54="",0,VLOOKUP($E54,'⚪设计'!$C$85:$E$113,3,FALSE))*$F54,IF($J54="",0,VLOOKUP($J54,'⚪设计'!$C$85:$E$113,3,FALSE))*$K54,IF($O54="",0,VLOOKUP($O54,'⚪设计'!$C$85:$E$113,3,FALSE))*$P54,IF($T54="",0,VLOOKUP($T54,'⚪设计'!$C$85:$E$113,3,FALSE))*$U54)*VLOOKUP(T54,'⚪设计'!$C$85:$E$113,3,FALSE),0))</f>
        <v>0</v>
      </c>
      <c r="X54" s="71">
        <f>ROUND(战斗节奏!$B$3/SUM(IF(无限模式!$E54="",0,VLOOKUP(无限模式!$E54,'⚪设计'!$C$85:$I$113,4,FALSE)*无限模式!$F54),IF(无限模式!$J54="",0,VLOOKUP(无限模式!$J54,'⚪设计'!$C$85:$I$113,4,FALSE)*无限模式!$K54),IF(无限模式!$O54="",0,VLOOKUP(无限模式!$O54,'⚪设计'!$C$85:$I$113,4,FALSE)*无限模式!$P54),IF(无限模式!$T54="",0,VLOOKUP(无限模式!$T54,'⚪设计'!$C$85:$I$113,4,FALSE)*无限模式!$U54))*IF(T54="",0,VLOOKUP(T54,'⚪设计'!$C$85:$I$113,4,FALSE)),0)</f>
        <v>0</v>
      </c>
      <c r="Y54" s="94">
        <v>7.875</v>
      </c>
    </row>
    <row r="55" spans="1:25" x14ac:dyDescent="0.2">
      <c r="A55" s="94">
        <v>4</v>
      </c>
      <c r="B55" s="71">
        <f>MAX(MIN(战斗节奏!$C$3-INT(A55/'⚪设计'!$C$55),MOD(A55,'⚪设计'!$C$55)),0)*'⚪设计'!$C$79*防御塔!$C$2+MIN(INT(A55/'⚪设计'!$C$55),战斗节奏!$C$3)*'⚪设计'!$C$80*防御塔!$C$2</f>
        <v>2160</v>
      </c>
      <c r="C55" s="173">
        <v>1.1499999999999999</v>
      </c>
      <c r="D55" s="173">
        <v>13</v>
      </c>
      <c r="E55" s="71" t="str">
        <f>IF(VLOOKUP(A55,'⚪设计'!$A$253:$G$272,4,FALSE)="","",VLOOKUP(VLOOKUP(A55,'⚪设计'!$A$253:$G$272,4,FALSE),'⚪设计'!$B$85:$D$113,2,FALSE))</f>
        <v>ResUnit_MiFeng3</v>
      </c>
      <c r="F55" s="71">
        <f t="shared" si="8"/>
        <v>1</v>
      </c>
      <c r="G55" s="71">
        <f>IF(VLOOKUP($A55,'⚪设计'!$A$253:$K$272,7+1,FALSE)="","",VLOOKUP(A55,'⚪设计'!$A$253:$K$272,7+1,FALSE))</f>
        <v>0</v>
      </c>
      <c r="H55" s="71">
        <f>IF(E55="",0,ROUND(VLOOKUP($A55,'⚪设计'!$A$253:$G$272,2,FALSE)*$B55/SUM(IF($E55="",0,VLOOKUP($E55,'⚪设计'!$C$85:$E$113,3,FALSE))*$F55,IF($J55="",0,VLOOKUP($J55,'⚪设计'!$C$85:$E$113,3,FALSE))*$K55,IF($O55="",0,VLOOKUP($O55,'⚪设计'!$C$85:$E$113,3,FALSE))*$P55,IF($T55="",0,VLOOKUP($T55,'⚪设计'!$C$85:$E$113,3,FALSE))*$U55)*VLOOKUP(E55,'⚪设计'!$C$85:$E$113,3,FALSE),0))</f>
        <v>13500</v>
      </c>
      <c r="I55" s="71">
        <f>ROUND(战斗节奏!$B$3/SUM(IF(无限模式!$E55="",0,VLOOKUP(无限模式!$E55,'⚪设计'!$C$85:$I$113,4,FALSE)*无限模式!$F55),IF(无限模式!$J55="",0,VLOOKUP(无限模式!$J55,'⚪设计'!$C$85:$I$113,4,FALSE)*无限模式!$K55),IF(无限模式!$O55="",0,VLOOKUP(无限模式!$O55,'⚪设计'!$C$85:$I$113,4,FALSE)*无限模式!$P55),IF(无限模式!$T55="",0,VLOOKUP(无限模式!$T55,'⚪设计'!$C$85:$I$113,4,FALSE)*无限模式!$U55))*IF(E55="",0,VLOOKUP(E55,'⚪设计'!$C$85:$I$113,4,FALSE)),0)</f>
        <v>150</v>
      </c>
      <c r="J55" s="71" t="str">
        <f>IF(VLOOKUP(A55,'⚪设计'!$A$253:$G$272,5,FALSE)="","",VLOOKUP(VLOOKUP(A55,'⚪设计'!$A$253:$G$272,5,FALSE),'⚪设计'!$B$85:$D$113,2,FALSE))</f>
        <v>ResUnit_Rou1</v>
      </c>
      <c r="K55" s="71">
        <f t="shared" si="9"/>
        <v>2</v>
      </c>
      <c r="L55" s="71">
        <f>IF(VLOOKUP($A55,'⚪设计'!$A$253:$K$272,7+2,FALSE)="","",VLOOKUP(A55,'⚪设计'!$A$253:$K$272,7+2,FALSE))</f>
        <v>6</v>
      </c>
      <c r="M55" s="71">
        <f>IF(J55="",0,ROUND(VLOOKUP($A55,'⚪设计'!$A$253:$G$272,2,FALSE)*$B55/SUM(IF($E55="",0,VLOOKUP($E55,'⚪设计'!$C$85:$E$113,3,FALSE))*$F55,IF($J55="",0,VLOOKUP($J55,'⚪设计'!$C$85:$E$113,3,FALSE))*$K55,IF($O55="",0,VLOOKUP($O55,'⚪设计'!$C$85:$E$113,3,FALSE))*$P55,IF($T55="",0,VLOOKUP($T55,'⚪设计'!$C$85:$E$113,3,FALSE))*$U55)*VLOOKUP(J55,'⚪设计'!$C$85:$E$113,3,FALSE),0))</f>
        <v>5400</v>
      </c>
      <c r="N55" s="71">
        <f>ROUND(战斗节奏!$B$3/SUM(IF(无限模式!$E55="",0,VLOOKUP(无限模式!$E55,'⚪设计'!$C$85:$I$113,4,FALSE)*无限模式!$F55),IF(无限模式!$J55="",0,VLOOKUP(无限模式!$J55,'⚪设计'!$C$85:$I$113,4,FALSE)*无限模式!$K55),IF(无限模式!$O55="",0,VLOOKUP(无限模式!$O55,'⚪设计'!$C$85:$I$113,4,FALSE)*无限模式!$P55),IF(无限模式!$T55="",0,VLOOKUP(无限模式!$T55,'⚪设计'!$C$85:$I$113,4,FALSE)*无限模式!$U55))*IF(J55="",0,VLOOKUP(J55,'⚪设计'!$C$85:$I$113,4,FALSE)),0)</f>
        <v>75</v>
      </c>
      <c r="O55" s="71" t="str">
        <f>IF(VLOOKUP(A55,'⚪设计'!$A$253:$G$272,6,FALSE)="","",VLOOKUP(VLOOKUP(A55,'⚪设计'!$A$253:$G$272,6,FALSE),'⚪设计'!$B$85:$D$113,2,FALSE))</f>
        <v/>
      </c>
      <c r="P55" s="71">
        <f t="shared" si="10"/>
        <v>0</v>
      </c>
      <c r="Q55" s="71" t="str">
        <f>IF(VLOOKUP($A55,'⚪设计'!$A$253:$K$272,7+3,FALSE)="","",VLOOKUP(A55,'⚪设计'!$A$253:$K$272,7+3,FALSE))</f>
        <v/>
      </c>
      <c r="R55" s="71">
        <f>IF(O55="",0,ROUND(VLOOKUP($A55,'⚪设计'!$A$253:$G$272,2,FALSE)*$B55/SUM(IF($E55="",0,VLOOKUP($E55,'⚪设计'!$C$85:$E$113,3,FALSE))*$F55,IF($J55="",0,VLOOKUP($J55,'⚪设计'!$C$85:$E$113,3,FALSE))*$K55,IF($O55="",0,VLOOKUP($O55,'⚪设计'!$C$85:$E$113,3,FALSE))*$P55,IF($T55="",0,VLOOKUP($T55,'⚪设计'!$C$85:$E$113,3,FALSE))*$U55)*VLOOKUP(O55,'⚪设计'!$C$85:$E$113,3,FALSE),0))</f>
        <v>0</v>
      </c>
      <c r="S55" s="71">
        <f>ROUND(战斗节奏!$B$3/SUM(IF(无限模式!$E55="",0,VLOOKUP(无限模式!$E55,'⚪设计'!$C$85:$I$113,4,FALSE)*无限模式!$F55),IF(无限模式!$J55="",0,VLOOKUP(无限模式!$J55,'⚪设计'!$C$85:$I$113,4,FALSE)*无限模式!$K55),IF(无限模式!$O55="",0,VLOOKUP(无限模式!$O55,'⚪设计'!$C$85:$I$113,4,FALSE)*无限模式!$P55),IF(无限模式!$T55="",0,VLOOKUP(无限模式!$T55,'⚪设计'!$C$85:$I$113,4,FALSE)*无限模式!$U55))*IF(O55="",0,VLOOKUP(O55,'⚪设计'!$C$85:$I$113,4,FALSE)),0)</f>
        <v>0</v>
      </c>
      <c r="T55" s="71" t="str">
        <f>IF(VLOOKUP(A55,'⚪设计'!$A$253:$G$272,7,FALSE)="","",VLOOKUP(VLOOKUP(A55,'⚪设计'!$A$253:$G$272,7,FALSE),'⚪设计'!$B$85:$D$113,2,FALSE))</f>
        <v/>
      </c>
      <c r="U55" s="71">
        <f t="shared" si="11"/>
        <v>0</v>
      </c>
      <c r="V55" s="71" t="str">
        <f>IF(VLOOKUP($A55,'⚪设计'!$A$253:$K$272,7+4,FALSE)="","",VLOOKUP(A55,'⚪设计'!$A$253:$K$272,7+4,FALSE))</f>
        <v/>
      </c>
      <c r="W55" s="71">
        <f>IF(T55="",0,ROUND(VLOOKUP($A55,'⚪设计'!$A$253:$G$272,2,FALSE)*$B55/SUM(IF($E55="",0,VLOOKUP($E55,'⚪设计'!$C$85:$E$113,3,FALSE))*$F55,IF($J55="",0,VLOOKUP($J55,'⚪设计'!$C$85:$E$113,3,FALSE))*$K55,IF($O55="",0,VLOOKUP($O55,'⚪设计'!$C$85:$E$113,3,FALSE))*$P55,IF($T55="",0,VLOOKUP($T55,'⚪设计'!$C$85:$E$113,3,FALSE))*$U55)*VLOOKUP(T55,'⚪设计'!$C$85:$E$113,3,FALSE),0))</f>
        <v>0</v>
      </c>
      <c r="X55" s="71">
        <f>ROUND(战斗节奏!$B$3/SUM(IF(无限模式!$E55="",0,VLOOKUP(无限模式!$E55,'⚪设计'!$C$85:$I$113,4,FALSE)*无限模式!$F55),IF(无限模式!$J55="",0,VLOOKUP(无限模式!$J55,'⚪设计'!$C$85:$I$113,4,FALSE)*无限模式!$K55),IF(无限模式!$O55="",0,VLOOKUP(无限模式!$O55,'⚪设计'!$C$85:$I$113,4,FALSE)*无限模式!$P55),IF(无限模式!$T55="",0,VLOOKUP(无限模式!$T55,'⚪设计'!$C$85:$I$113,4,FALSE)*无限模式!$U55))*IF(T55="",0,VLOOKUP(T55,'⚪设计'!$C$85:$I$113,4,FALSE)),0)</f>
        <v>0</v>
      </c>
      <c r="Y55" s="94">
        <v>11.25</v>
      </c>
    </row>
    <row r="56" spans="1:25" x14ac:dyDescent="0.2">
      <c r="A56" s="94">
        <v>5</v>
      </c>
      <c r="B56" s="71">
        <f>MAX(MIN(战斗节奏!$C$3-INT(A56/'⚪设计'!$C$55),MOD(A56,'⚪设计'!$C$55)),0)*'⚪设计'!$C$79*防御塔!$C$2+MIN(INT(A56/'⚪设计'!$C$55),战斗节奏!$C$3)*'⚪设计'!$C$80*防御塔!$C$2</f>
        <v>2700</v>
      </c>
      <c r="C56" s="173">
        <v>1.2</v>
      </c>
      <c r="D56" s="173">
        <v>14</v>
      </c>
      <c r="E56" s="71" t="str">
        <f>IF(VLOOKUP(A56,'⚪设计'!$A$253:$G$272,4,FALSE)="","",VLOOKUP(VLOOKUP(A56,'⚪设计'!$A$253:$G$272,4,FALSE),'⚪设计'!$B$85:$D$113,2,FALSE))</f>
        <v>ResUnit_Rou1</v>
      </c>
      <c r="F56" s="71">
        <f t="shared" si="8"/>
        <v>4</v>
      </c>
      <c r="G56" s="71">
        <f>IF(VLOOKUP($A56,'⚪设计'!$A$253:$K$272,7+1,FALSE)="","",VLOOKUP(A56,'⚪设计'!$A$253:$K$272,7+1,FALSE))</f>
        <v>4</v>
      </c>
      <c r="H56" s="71">
        <f>IF(E56="",0,ROUND(VLOOKUP($A56,'⚪设计'!$A$253:$G$272,2,FALSE)*$B56/SUM(IF($E56="",0,VLOOKUP($E56,'⚪设计'!$C$85:$E$113,3,FALSE))*$F56,IF($J56="",0,VLOOKUP($J56,'⚪设计'!$C$85:$E$113,3,FALSE))*$K56,IF($O56="",0,VLOOKUP($O56,'⚪设计'!$C$85:$E$113,3,FALSE))*$P56,IF($T56="",0,VLOOKUP($T56,'⚪设计'!$C$85:$E$113,3,FALSE))*$U56)*VLOOKUP(E56,'⚪设计'!$C$85:$E$113,3,FALSE),0))</f>
        <v>6231</v>
      </c>
      <c r="I56" s="71">
        <f>ROUND(战斗节奏!$B$3/SUM(IF(无限模式!$E56="",0,VLOOKUP(无限模式!$E56,'⚪设计'!$C$85:$I$113,4,FALSE)*无限模式!$F56),IF(无限模式!$J56="",0,VLOOKUP(无限模式!$J56,'⚪设计'!$C$85:$I$113,4,FALSE)*无限模式!$K56),IF(无限模式!$O56="",0,VLOOKUP(无限模式!$O56,'⚪设计'!$C$85:$I$113,4,FALSE)*无限模式!$P56),IF(无限模式!$T56="",0,VLOOKUP(无限模式!$T56,'⚪设计'!$C$85:$I$113,4,FALSE)*无限模式!$U56))*IF(E56="",0,VLOOKUP(E56,'⚪设计'!$C$85:$I$113,4,FALSE)),0)</f>
        <v>64</v>
      </c>
      <c r="J56" s="71" t="str">
        <f>IF(VLOOKUP(A56,'⚪设计'!$A$253:$G$272,5,FALSE)="","",VLOOKUP(VLOOKUP(A56,'⚪设计'!$A$253:$G$272,5,FALSE),'⚪设计'!$B$85:$D$113,2,FALSE))</f>
        <v>ResUnit_ZhiZhu1</v>
      </c>
      <c r="K56" s="71">
        <f t="shared" si="9"/>
        <v>14</v>
      </c>
      <c r="L56" s="71">
        <f>IF(VLOOKUP($A56,'⚪设计'!$A$253:$K$272,7+2,FALSE)="","",VLOOKUP(A56,'⚪设计'!$A$253:$K$272,7+2,FALSE))</f>
        <v>1</v>
      </c>
      <c r="M56" s="71">
        <f>IF(J56="",0,ROUND(VLOOKUP($A56,'⚪设计'!$A$253:$G$272,2,FALSE)*$B56/SUM(IF($E56="",0,VLOOKUP($E56,'⚪设计'!$C$85:$E$113,3,FALSE))*$F56,IF($J56="",0,VLOOKUP($J56,'⚪设计'!$C$85:$E$113,3,FALSE))*$K56,IF($O56="",0,VLOOKUP($O56,'⚪设计'!$C$85:$E$113,3,FALSE))*$P56,IF($T56="",0,VLOOKUP($T56,'⚪设计'!$C$85:$E$113,3,FALSE))*$U56)*VLOOKUP(J56,'⚪设计'!$C$85:$E$113,3,FALSE),0))</f>
        <v>389</v>
      </c>
      <c r="N56" s="71">
        <f>ROUND(战斗节奏!$B$3/SUM(IF(无限模式!$E56="",0,VLOOKUP(无限模式!$E56,'⚪设计'!$C$85:$I$113,4,FALSE)*无限模式!$F56),IF(无限模式!$J56="",0,VLOOKUP(无限模式!$J56,'⚪设计'!$C$85:$I$113,4,FALSE)*无限模式!$K56),IF(无限模式!$O56="",0,VLOOKUP(无限模式!$O56,'⚪设计'!$C$85:$I$113,4,FALSE)*无限模式!$P56),IF(无限模式!$T56="",0,VLOOKUP(无限模式!$T56,'⚪设计'!$C$85:$I$113,4,FALSE)*无限模式!$U56))*IF(J56="",0,VLOOKUP(J56,'⚪设计'!$C$85:$I$113,4,FALSE)),0)</f>
        <v>3</v>
      </c>
      <c r="O56" s="71" t="str">
        <f>IF(VLOOKUP(A56,'⚪设计'!$A$253:$G$272,6,FALSE)="","",VLOOKUP(VLOOKUP(A56,'⚪设计'!$A$253:$G$272,6,FALSE),'⚪设计'!$B$85:$D$113,2,FALSE))</f>
        <v/>
      </c>
      <c r="P56" s="71">
        <f t="shared" si="10"/>
        <v>0</v>
      </c>
      <c r="Q56" s="71" t="str">
        <f>IF(VLOOKUP($A56,'⚪设计'!$A$253:$K$272,7+3,FALSE)="","",VLOOKUP(A56,'⚪设计'!$A$253:$K$272,7+3,FALSE))</f>
        <v/>
      </c>
      <c r="R56" s="71">
        <f>IF(O56="",0,ROUND(VLOOKUP($A56,'⚪设计'!$A$253:$G$272,2,FALSE)*$B56/SUM(IF($E56="",0,VLOOKUP($E56,'⚪设计'!$C$85:$E$113,3,FALSE))*$F56,IF($J56="",0,VLOOKUP($J56,'⚪设计'!$C$85:$E$113,3,FALSE))*$K56,IF($O56="",0,VLOOKUP($O56,'⚪设计'!$C$85:$E$113,3,FALSE))*$P56,IF($T56="",0,VLOOKUP($T56,'⚪设计'!$C$85:$E$113,3,FALSE))*$U56)*VLOOKUP(O56,'⚪设计'!$C$85:$E$113,3,FALSE),0))</f>
        <v>0</v>
      </c>
      <c r="S56" s="71">
        <f>ROUND(战斗节奏!$B$3/SUM(IF(无限模式!$E56="",0,VLOOKUP(无限模式!$E56,'⚪设计'!$C$85:$I$113,4,FALSE)*无限模式!$F56),IF(无限模式!$J56="",0,VLOOKUP(无限模式!$J56,'⚪设计'!$C$85:$I$113,4,FALSE)*无限模式!$K56),IF(无限模式!$O56="",0,VLOOKUP(无限模式!$O56,'⚪设计'!$C$85:$I$113,4,FALSE)*无限模式!$P56),IF(无限模式!$T56="",0,VLOOKUP(无限模式!$T56,'⚪设计'!$C$85:$I$113,4,FALSE)*无限模式!$U56))*IF(O56="",0,VLOOKUP(O56,'⚪设计'!$C$85:$I$113,4,FALSE)),0)</f>
        <v>0</v>
      </c>
      <c r="T56" s="71" t="str">
        <f>IF(VLOOKUP(A56,'⚪设计'!$A$253:$G$272,7,FALSE)="","",VLOOKUP(VLOOKUP(A56,'⚪设计'!$A$253:$G$272,7,FALSE),'⚪设计'!$B$85:$D$113,2,FALSE))</f>
        <v/>
      </c>
      <c r="U56" s="71">
        <f t="shared" si="11"/>
        <v>0</v>
      </c>
      <c r="V56" s="71" t="str">
        <f>IF(VLOOKUP($A56,'⚪设计'!$A$253:$K$272,7+4,FALSE)="","",VLOOKUP(A56,'⚪设计'!$A$253:$K$272,7+4,FALSE))</f>
        <v/>
      </c>
      <c r="W56" s="71">
        <f>IF(T56="",0,ROUND(VLOOKUP($A56,'⚪设计'!$A$253:$G$272,2,FALSE)*$B56/SUM(IF($E56="",0,VLOOKUP($E56,'⚪设计'!$C$85:$E$113,3,FALSE))*$F56,IF($J56="",0,VLOOKUP($J56,'⚪设计'!$C$85:$E$113,3,FALSE))*$K56,IF($O56="",0,VLOOKUP($O56,'⚪设计'!$C$85:$E$113,3,FALSE))*$P56,IF($T56="",0,VLOOKUP($T56,'⚪设计'!$C$85:$E$113,3,FALSE))*$U56)*VLOOKUP(T56,'⚪设计'!$C$85:$E$113,3,FALSE),0))</f>
        <v>0</v>
      </c>
      <c r="X56" s="71">
        <f>ROUND(战斗节奏!$B$3/SUM(IF(无限模式!$E56="",0,VLOOKUP(无限模式!$E56,'⚪设计'!$C$85:$I$113,4,FALSE)*无限模式!$F56),IF(无限模式!$J56="",0,VLOOKUP(无限模式!$J56,'⚪设计'!$C$85:$I$113,4,FALSE)*无限模式!$K56),IF(无限模式!$O56="",0,VLOOKUP(无限模式!$O56,'⚪设计'!$C$85:$I$113,4,FALSE)*无限模式!$P56),IF(无限模式!$T56="",0,VLOOKUP(无限模式!$T56,'⚪设计'!$C$85:$I$113,4,FALSE)*无限模式!$U56))*IF(T56="",0,VLOOKUP(T56,'⚪设计'!$C$85:$I$113,4,FALSE)),0)</f>
        <v>0</v>
      </c>
      <c r="Y56" s="94">
        <v>11.25</v>
      </c>
    </row>
    <row r="57" spans="1:25" x14ac:dyDescent="0.2">
      <c r="A57" s="94">
        <v>6</v>
      </c>
      <c r="B57" s="71">
        <f>MAX(MIN(战斗节奏!$C$3-INT(A57/'⚪设计'!$C$55),MOD(A57,'⚪设计'!$C$55)),0)*'⚪设计'!$C$79*防御塔!$C$2+MIN(INT(A57/'⚪设计'!$C$55),战斗节奏!$C$3)*'⚪设计'!$C$80*防御塔!$C$2</f>
        <v>3240</v>
      </c>
      <c r="C57" s="173">
        <v>1.25</v>
      </c>
      <c r="D57" s="173">
        <v>15</v>
      </c>
      <c r="E57" s="71" t="str">
        <f>IF(VLOOKUP(A57,'⚪设计'!$A$253:$G$272,4,FALSE)="","",VLOOKUP(VLOOKUP(A57,'⚪设计'!$A$253:$G$272,4,FALSE),'⚪设计'!$B$85:$D$113,2,FALSE))</f>
        <v>ResUnit_MiFeng2</v>
      </c>
      <c r="F57" s="71">
        <f t="shared" si="8"/>
        <v>20</v>
      </c>
      <c r="G57" s="71">
        <f>IF(VLOOKUP($A57,'⚪设计'!$A$253:$K$272,7+1,FALSE)="","",VLOOKUP(A57,'⚪设计'!$A$253:$K$272,7+1,FALSE))</f>
        <v>0.75</v>
      </c>
      <c r="H57" s="71">
        <f>IF(E57="",0,ROUND(VLOOKUP($A57,'⚪设计'!$A$253:$G$272,2,FALSE)*$B57/SUM(IF($E57="",0,VLOOKUP($E57,'⚪设计'!$C$85:$E$113,3,FALSE))*$F57,IF($J57="",0,VLOOKUP($J57,'⚪设计'!$C$85:$E$113,3,FALSE))*$K57,IF($O57="",0,VLOOKUP($O57,'⚪设计'!$C$85:$E$113,3,FALSE))*$P57,IF($T57="",0,VLOOKUP($T57,'⚪设计'!$C$85:$E$113,3,FALSE))*$U57)*VLOOKUP(E57,'⚪设计'!$C$85:$E$113,3,FALSE),0))</f>
        <v>1168</v>
      </c>
      <c r="I57" s="71">
        <f>ROUND(战斗节奏!$B$3/SUM(IF(无限模式!$E57="",0,VLOOKUP(无限模式!$E57,'⚪设计'!$C$85:$I$113,4,FALSE)*无限模式!$F57),IF(无限模式!$J57="",0,VLOOKUP(无限模式!$J57,'⚪设计'!$C$85:$I$113,4,FALSE)*无限模式!$K57),IF(无限模式!$O57="",0,VLOOKUP(无限模式!$O57,'⚪设计'!$C$85:$I$113,4,FALSE)*无限模式!$P57),IF(无限模式!$T57="",0,VLOOKUP(无限模式!$T57,'⚪设计'!$C$85:$I$113,4,FALSE)*无限模式!$U57))*IF(E57="",0,VLOOKUP(E57,'⚪设计'!$C$85:$I$113,4,FALSE)),0)</f>
        <v>5</v>
      </c>
      <c r="J57" s="71" t="str">
        <f>IF(VLOOKUP(A57,'⚪设计'!$A$253:$G$272,5,FALSE)="","",VLOOKUP(VLOOKUP(A57,'⚪设计'!$A$253:$G$272,5,FALSE),'⚪设计'!$B$85:$D$113,2,FALSE))</f>
        <v>ResUnit_Rou1</v>
      </c>
      <c r="K57" s="71">
        <f t="shared" si="9"/>
        <v>4</v>
      </c>
      <c r="L57" s="71">
        <f>IF(VLOOKUP($A57,'⚪设计'!$A$253:$K$272,7+2,FALSE)="","",VLOOKUP(A57,'⚪设计'!$A$253:$K$272,7+2,FALSE))</f>
        <v>4</v>
      </c>
      <c r="M57" s="71">
        <f>IF(J57="",0,ROUND(VLOOKUP($A57,'⚪设计'!$A$253:$G$272,2,FALSE)*$B57/SUM(IF($E57="",0,VLOOKUP($E57,'⚪设计'!$C$85:$E$113,3,FALSE))*$F57,IF($J57="",0,VLOOKUP($J57,'⚪设计'!$C$85:$E$113,3,FALSE))*$K57,IF($O57="",0,VLOOKUP($O57,'⚪设计'!$C$85:$E$113,3,FALSE))*$P57,IF($T57="",0,VLOOKUP($T57,'⚪设计'!$C$85:$E$113,3,FALSE))*$U57)*VLOOKUP(J57,'⚪设计'!$C$85:$E$113,3,FALSE),0))</f>
        <v>9346</v>
      </c>
      <c r="N57" s="71">
        <f>ROUND(战斗节奏!$B$3/SUM(IF(无限模式!$E57="",0,VLOOKUP(无限模式!$E57,'⚪设计'!$C$85:$I$113,4,FALSE)*无限模式!$F57),IF(无限模式!$J57="",0,VLOOKUP(无限模式!$J57,'⚪设计'!$C$85:$I$113,4,FALSE)*无限模式!$K57),IF(无限模式!$O57="",0,VLOOKUP(无限模式!$O57,'⚪设计'!$C$85:$I$113,4,FALSE)*无限模式!$P57),IF(无限模式!$T57="",0,VLOOKUP(无限模式!$T57,'⚪设计'!$C$85:$I$113,4,FALSE)*无限模式!$U57))*IF(J57="",0,VLOOKUP(J57,'⚪设计'!$C$85:$I$113,4,FALSE)),0)</f>
        <v>50</v>
      </c>
      <c r="O57" s="71" t="str">
        <f>IF(VLOOKUP(A57,'⚪设计'!$A$253:$G$272,6,FALSE)="","",VLOOKUP(VLOOKUP(A57,'⚪设计'!$A$253:$G$272,6,FALSE),'⚪设计'!$B$85:$D$113,2,FALSE))</f>
        <v/>
      </c>
      <c r="P57" s="71">
        <f t="shared" si="10"/>
        <v>0</v>
      </c>
      <c r="Q57" s="71" t="str">
        <f>IF(VLOOKUP($A57,'⚪设计'!$A$253:$K$272,7+3,FALSE)="","",VLOOKUP(A57,'⚪设计'!$A$253:$K$272,7+3,FALSE))</f>
        <v/>
      </c>
      <c r="R57" s="71">
        <f>IF(O57="",0,ROUND(VLOOKUP($A57,'⚪设计'!$A$253:$G$272,2,FALSE)*$B57/SUM(IF($E57="",0,VLOOKUP($E57,'⚪设计'!$C$85:$E$113,3,FALSE))*$F57,IF($J57="",0,VLOOKUP($J57,'⚪设计'!$C$85:$E$113,3,FALSE))*$K57,IF($O57="",0,VLOOKUP($O57,'⚪设计'!$C$85:$E$113,3,FALSE))*$P57,IF($T57="",0,VLOOKUP($T57,'⚪设计'!$C$85:$E$113,3,FALSE))*$U57)*VLOOKUP(O57,'⚪设计'!$C$85:$E$113,3,FALSE),0))</f>
        <v>0</v>
      </c>
      <c r="S57" s="71">
        <f>ROUND(战斗节奏!$B$3/SUM(IF(无限模式!$E57="",0,VLOOKUP(无限模式!$E57,'⚪设计'!$C$85:$I$113,4,FALSE)*无限模式!$F57),IF(无限模式!$J57="",0,VLOOKUP(无限模式!$J57,'⚪设计'!$C$85:$I$113,4,FALSE)*无限模式!$K57),IF(无限模式!$O57="",0,VLOOKUP(无限模式!$O57,'⚪设计'!$C$85:$I$113,4,FALSE)*无限模式!$P57),IF(无限模式!$T57="",0,VLOOKUP(无限模式!$T57,'⚪设计'!$C$85:$I$113,4,FALSE)*无限模式!$U57))*IF(O57="",0,VLOOKUP(O57,'⚪设计'!$C$85:$I$113,4,FALSE)),0)</f>
        <v>0</v>
      </c>
      <c r="T57" s="71" t="str">
        <f>IF(VLOOKUP(A57,'⚪设计'!$A$253:$G$272,7,FALSE)="","",VLOOKUP(VLOOKUP(A57,'⚪设计'!$A$253:$G$272,7,FALSE),'⚪设计'!$B$85:$D$113,2,FALSE))</f>
        <v/>
      </c>
      <c r="U57" s="71">
        <f t="shared" si="11"/>
        <v>0</v>
      </c>
      <c r="V57" s="71" t="str">
        <f>IF(VLOOKUP($A57,'⚪设计'!$A$253:$K$272,7+4,FALSE)="","",VLOOKUP(A57,'⚪设计'!$A$253:$K$272,7+4,FALSE))</f>
        <v/>
      </c>
      <c r="W57" s="71">
        <f>IF(T57="",0,ROUND(VLOOKUP($A57,'⚪设计'!$A$253:$G$272,2,FALSE)*$B57/SUM(IF($E57="",0,VLOOKUP($E57,'⚪设计'!$C$85:$E$113,3,FALSE))*$F57,IF($J57="",0,VLOOKUP($J57,'⚪设计'!$C$85:$E$113,3,FALSE))*$K57,IF($O57="",0,VLOOKUP($O57,'⚪设计'!$C$85:$E$113,3,FALSE))*$P57,IF($T57="",0,VLOOKUP($T57,'⚪设计'!$C$85:$E$113,3,FALSE))*$U57)*VLOOKUP(T57,'⚪设计'!$C$85:$E$113,3,FALSE),0))</f>
        <v>0</v>
      </c>
      <c r="X57" s="71">
        <f>ROUND(战斗节奏!$B$3/SUM(IF(无限模式!$E57="",0,VLOOKUP(无限模式!$E57,'⚪设计'!$C$85:$I$113,4,FALSE)*无限模式!$F57),IF(无限模式!$J57="",0,VLOOKUP(无限模式!$J57,'⚪设计'!$C$85:$I$113,4,FALSE)*无限模式!$K57),IF(无限模式!$O57="",0,VLOOKUP(无限模式!$O57,'⚪设计'!$C$85:$I$113,4,FALSE)*无限模式!$P57),IF(无限模式!$T57="",0,VLOOKUP(无限模式!$T57,'⚪设计'!$C$85:$I$113,4,FALSE)*无限模式!$U57))*IF(T57="",0,VLOOKUP(T57,'⚪设计'!$C$85:$I$113,4,FALSE)),0)</f>
        <v>0</v>
      </c>
      <c r="Y57" s="94">
        <v>18.75</v>
      </c>
    </row>
    <row r="58" spans="1:25" x14ac:dyDescent="0.2">
      <c r="A58" s="94">
        <v>7</v>
      </c>
      <c r="B58" s="71">
        <f>MAX(MIN(战斗节奏!$C$3-INT(A58/'⚪设计'!$C$55),MOD(A58,'⚪设计'!$C$55)),0)*'⚪设计'!$C$79*防御塔!$C$2+MIN(INT(A58/'⚪设计'!$C$55),战斗节奏!$C$3)*'⚪设计'!$C$80*防御塔!$C$2</f>
        <v>3780</v>
      </c>
      <c r="C58" s="173">
        <v>1.3</v>
      </c>
      <c r="D58" s="173">
        <v>16</v>
      </c>
      <c r="E58" s="71" t="str">
        <f>IF(VLOOKUP(A58,'⚪设计'!$A$253:$G$272,4,FALSE)="","",VLOOKUP(VLOOKUP(A58,'⚪设计'!$A$253:$G$272,4,FALSE),'⚪设计'!$B$85:$D$113,2,FALSE))</f>
        <v>ResUnit_Rou1</v>
      </c>
      <c r="F58" s="71">
        <f t="shared" si="8"/>
        <v>4</v>
      </c>
      <c r="G58" s="71">
        <f>IF(VLOOKUP($A58,'⚪设计'!$A$253:$K$272,7+1,FALSE)="","",VLOOKUP(A58,'⚪设计'!$A$253:$K$272,7+1,FALSE))</f>
        <v>4</v>
      </c>
      <c r="H58" s="71">
        <f>IF(E58="",0,ROUND(VLOOKUP($A58,'⚪设计'!$A$253:$G$272,2,FALSE)*$B58/SUM(IF($E58="",0,VLOOKUP($E58,'⚪设计'!$C$85:$E$113,3,FALSE))*$F58,IF($J58="",0,VLOOKUP($J58,'⚪设计'!$C$85:$E$113,3,FALSE))*$K58,IF($O58="",0,VLOOKUP($O58,'⚪设计'!$C$85:$E$113,3,FALSE))*$P58,IF($T58="",0,VLOOKUP($T58,'⚪设计'!$C$85:$E$113,3,FALSE))*$U58)*VLOOKUP(E58,'⚪设计'!$C$85:$E$113,3,FALSE),0))</f>
        <v>14175</v>
      </c>
      <c r="I58" s="71">
        <f>ROUND(战斗节奏!$B$3/SUM(IF(无限模式!$E58="",0,VLOOKUP(无限模式!$E58,'⚪设计'!$C$85:$I$113,4,FALSE)*无限模式!$F58),IF(无限模式!$J58="",0,VLOOKUP(无限模式!$J58,'⚪设计'!$C$85:$I$113,4,FALSE)*无限模式!$K58),IF(无限模式!$O58="",0,VLOOKUP(无限模式!$O58,'⚪设计'!$C$85:$I$113,4,FALSE)*无限模式!$P58),IF(无限模式!$T58="",0,VLOOKUP(无限模式!$T58,'⚪设计'!$C$85:$I$113,4,FALSE)*无限模式!$U58))*IF(E58="",0,VLOOKUP(E58,'⚪设计'!$C$85:$I$113,4,FALSE)),0)</f>
        <v>54</v>
      </c>
      <c r="J58" s="71" t="str">
        <f>IF(VLOOKUP(A58,'⚪设计'!$A$253:$G$272,5,FALSE)="","",VLOOKUP(VLOOKUP(A58,'⚪设计'!$A$253:$G$272,5,FALSE),'⚪设计'!$B$85:$D$113,2,FALSE))</f>
        <v>ResUnit_ZhiZhu1</v>
      </c>
      <c r="K58" s="71">
        <f t="shared" si="9"/>
        <v>32</v>
      </c>
      <c r="L58" s="71">
        <f>IF(VLOOKUP($A58,'⚪设计'!$A$253:$K$272,7+2,FALSE)="","",VLOOKUP(A58,'⚪设计'!$A$253:$K$272,7+2,FALSE))</f>
        <v>0.5</v>
      </c>
      <c r="M58" s="71">
        <f>IF(J58="",0,ROUND(VLOOKUP($A58,'⚪设计'!$A$253:$G$272,2,FALSE)*$B58/SUM(IF($E58="",0,VLOOKUP($E58,'⚪设计'!$C$85:$E$113,3,FALSE))*$F58,IF($J58="",0,VLOOKUP($J58,'⚪设计'!$C$85:$E$113,3,FALSE))*$K58,IF($O58="",0,VLOOKUP($O58,'⚪设计'!$C$85:$E$113,3,FALSE))*$P58,IF($T58="",0,VLOOKUP($T58,'⚪设计'!$C$85:$E$113,3,FALSE))*$U58)*VLOOKUP(J58,'⚪设计'!$C$85:$E$113,3,FALSE),0))</f>
        <v>886</v>
      </c>
      <c r="N58" s="71">
        <f>ROUND(战斗节奏!$B$3/SUM(IF(无限模式!$E58="",0,VLOOKUP(无限模式!$E58,'⚪设计'!$C$85:$I$113,4,FALSE)*无限模式!$F58),IF(无限模式!$J58="",0,VLOOKUP(无限模式!$J58,'⚪设计'!$C$85:$I$113,4,FALSE)*无限模式!$K58),IF(无限模式!$O58="",0,VLOOKUP(无限模式!$O58,'⚪设计'!$C$85:$I$113,4,FALSE)*无限模式!$P58),IF(无限模式!$T58="",0,VLOOKUP(无限模式!$T58,'⚪设计'!$C$85:$I$113,4,FALSE)*无限模式!$U58))*IF(J58="",0,VLOOKUP(J58,'⚪设计'!$C$85:$I$113,4,FALSE)),0)</f>
        <v>3</v>
      </c>
      <c r="O58" s="71" t="str">
        <f>IF(VLOOKUP(A58,'⚪设计'!$A$253:$G$272,6,FALSE)="","",VLOOKUP(VLOOKUP(A58,'⚪设计'!$A$253:$G$272,6,FALSE),'⚪设计'!$B$85:$D$113,2,FALSE))</f>
        <v/>
      </c>
      <c r="P58" s="71">
        <f t="shared" si="10"/>
        <v>0</v>
      </c>
      <c r="Q58" s="71" t="str">
        <f>IF(VLOOKUP($A58,'⚪设计'!$A$253:$K$272,7+3,FALSE)="","",VLOOKUP(A58,'⚪设计'!$A$253:$K$272,7+3,FALSE))</f>
        <v/>
      </c>
      <c r="R58" s="71">
        <f>IF(O58="",0,ROUND(VLOOKUP($A58,'⚪设计'!$A$253:$G$272,2,FALSE)*$B58/SUM(IF($E58="",0,VLOOKUP($E58,'⚪设计'!$C$85:$E$113,3,FALSE))*$F58,IF($J58="",0,VLOOKUP($J58,'⚪设计'!$C$85:$E$113,3,FALSE))*$K58,IF($O58="",0,VLOOKUP($O58,'⚪设计'!$C$85:$E$113,3,FALSE))*$P58,IF($T58="",0,VLOOKUP($T58,'⚪设计'!$C$85:$E$113,3,FALSE))*$U58)*VLOOKUP(O58,'⚪设计'!$C$85:$E$113,3,FALSE),0))</f>
        <v>0</v>
      </c>
      <c r="S58" s="71">
        <f>ROUND(战斗节奏!$B$3/SUM(IF(无限模式!$E58="",0,VLOOKUP(无限模式!$E58,'⚪设计'!$C$85:$I$113,4,FALSE)*无限模式!$F58),IF(无限模式!$J58="",0,VLOOKUP(无限模式!$J58,'⚪设计'!$C$85:$I$113,4,FALSE)*无限模式!$K58),IF(无限模式!$O58="",0,VLOOKUP(无限模式!$O58,'⚪设计'!$C$85:$I$113,4,FALSE)*无限模式!$P58),IF(无限模式!$T58="",0,VLOOKUP(无限模式!$T58,'⚪设计'!$C$85:$I$113,4,FALSE)*无限模式!$U58))*IF(O58="",0,VLOOKUP(O58,'⚪设计'!$C$85:$I$113,4,FALSE)),0)</f>
        <v>0</v>
      </c>
      <c r="T58" s="71" t="str">
        <f>IF(VLOOKUP(A58,'⚪设计'!$A$253:$G$272,7,FALSE)="","",VLOOKUP(VLOOKUP(A58,'⚪设计'!$A$253:$G$272,7,FALSE),'⚪设计'!$B$85:$D$113,2,FALSE))</f>
        <v/>
      </c>
      <c r="U58" s="71">
        <f t="shared" si="11"/>
        <v>0</v>
      </c>
      <c r="V58" s="71" t="str">
        <f>IF(VLOOKUP($A58,'⚪设计'!$A$253:$K$272,7+4,FALSE)="","",VLOOKUP(A58,'⚪设计'!$A$253:$K$272,7+4,FALSE))</f>
        <v/>
      </c>
      <c r="W58" s="71">
        <f>IF(T58="",0,ROUND(VLOOKUP($A58,'⚪设计'!$A$253:$G$272,2,FALSE)*$B58/SUM(IF($E58="",0,VLOOKUP($E58,'⚪设计'!$C$85:$E$113,3,FALSE))*$F58,IF($J58="",0,VLOOKUP($J58,'⚪设计'!$C$85:$E$113,3,FALSE))*$K58,IF($O58="",0,VLOOKUP($O58,'⚪设计'!$C$85:$E$113,3,FALSE))*$P58,IF($T58="",0,VLOOKUP($T58,'⚪设计'!$C$85:$E$113,3,FALSE))*$U58)*VLOOKUP(T58,'⚪设计'!$C$85:$E$113,3,FALSE),0))</f>
        <v>0</v>
      </c>
      <c r="X58" s="71">
        <f>ROUND(战斗节奏!$B$3/SUM(IF(无限模式!$E58="",0,VLOOKUP(无限模式!$E58,'⚪设计'!$C$85:$I$113,4,FALSE)*无限模式!$F58),IF(无限模式!$J58="",0,VLOOKUP(无限模式!$J58,'⚪设计'!$C$85:$I$113,4,FALSE)*无限模式!$K58),IF(无限模式!$O58="",0,VLOOKUP(无限模式!$O58,'⚪设计'!$C$85:$I$113,4,FALSE)*无限模式!$P58),IF(无限模式!$T58="",0,VLOOKUP(无限模式!$T58,'⚪设计'!$C$85:$I$113,4,FALSE)*无限模式!$U58))*IF(T58="",0,VLOOKUP(T58,'⚪设计'!$C$85:$I$113,4,FALSE)),0)</f>
        <v>0</v>
      </c>
      <c r="Y58" s="94">
        <v>22.5</v>
      </c>
    </row>
    <row r="59" spans="1:25" x14ac:dyDescent="0.2">
      <c r="A59" s="94">
        <v>8</v>
      </c>
      <c r="B59" s="71">
        <f>MAX(MIN(战斗节奏!$C$3-INT(A59/'⚪设计'!$C$55),MOD(A59,'⚪设计'!$C$55)),0)*'⚪设计'!$C$79*防御塔!$C$2+MIN(INT(A59/'⚪设计'!$C$55),战斗节奏!$C$3)*'⚪设计'!$C$80*防御塔!$C$2</f>
        <v>4320</v>
      </c>
      <c r="C59" s="173">
        <v>1.35</v>
      </c>
      <c r="D59" s="173">
        <v>17</v>
      </c>
      <c r="E59" s="71" t="str">
        <f>IF(VLOOKUP(A59,'⚪设计'!$A$253:$G$272,4,FALSE)="","",VLOOKUP(VLOOKUP(A59,'⚪设计'!$A$253:$G$272,4,FALSE),'⚪设计'!$B$85:$D$113,2,FALSE))</f>
        <v>ResUnit_Rou1</v>
      </c>
      <c r="F59" s="71">
        <f t="shared" si="8"/>
        <v>4</v>
      </c>
      <c r="G59" s="71">
        <f>IF(VLOOKUP($A59,'⚪设计'!$A$253:$K$272,7+1,FALSE)="","",VLOOKUP(A59,'⚪设计'!$A$253:$K$272,7+1,FALSE))</f>
        <v>4</v>
      </c>
      <c r="H59" s="71">
        <f>IF(E59="",0,ROUND(VLOOKUP($A59,'⚪设计'!$A$253:$G$272,2,FALSE)*$B59/SUM(IF($E59="",0,VLOOKUP($E59,'⚪设计'!$C$85:$E$113,3,FALSE))*$F59,IF($J59="",0,VLOOKUP($J59,'⚪设计'!$C$85:$E$113,3,FALSE))*$K59,IF($O59="",0,VLOOKUP($O59,'⚪设计'!$C$85:$E$113,3,FALSE))*$P59,IF($T59="",0,VLOOKUP($T59,'⚪设计'!$C$85:$E$113,3,FALSE))*$U59)*VLOOKUP(E59,'⚪设计'!$C$85:$E$113,3,FALSE),0))</f>
        <v>24686</v>
      </c>
      <c r="I59" s="71">
        <f>ROUND(战斗节奏!$B$3/SUM(IF(无限模式!$E59="",0,VLOOKUP(无限模式!$E59,'⚪设计'!$C$85:$I$113,4,FALSE)*无限模式!$F59),IF(无限模式!$J59="",0,VLOOKUP(无限模式!$J59,'⚪设计'!$C$85:$I$113,4,FALSE)*无限模式!$K59),IF(无限模式!$O59="",0,VLOOKUP(无限模式!$O59,'⚪设计'!$C$85:$I$113,4,FALSE)*无限模式!$P59),IF(无限模式!$T59="",0,VLOOKUP(无限模式!$T59,'⚪设计'!$C$85:$I$113,4,FALSE)*无限模式!$U59))*IF(E59="",0,VLOOKUP(E59,'⚪设计'!$C$85:$I$113,4,FALSE)),0)</f>
        <v>60</v>
      </c>
      <c r="J59" s="71" t="str">
        <f>IF(VLOOKUP(A59,'⚪设计'!$A$253:$G$272,5,FALSE)="","",VLOOKUP(VLOOKUP(A59,'⚪设计'!$A$253:$G$272,5,FALSE),'⚪设计'!$B$85:$D$113,2,FALSE))</f>
        <v>ResUnit_ZhiZhu3</v>
      </c>
      <c r="K59" s="71">
        <f t="shared" si="9"/>
        <v>1</v>
      </c>
      <c r="L59" s="71">
        <f>IF(VLOOKUP($A59,'⚪设计'!$A$253:$K$272,7+2,FALSE)="","",VLOOKUP(A59,'⚪设计'!$A$253:$K$272,7+2,FALSE))</f>
        <v>0</v>
      </c>
      <c r="M59" s="71">
        <f>IF(J59="",0,ROUND(VLOOKUP($A59,'⚪设计'!$A$253:$G$272,2,FALSE)*$B59/SUM(IF($E59="",0,VLOOKUP($E59,'⚪设计'!$C$85:$E$113,3,FALSE))*$F59,IF($J59="",0,VLOOKUP($J59,'⚪设计'!$C$85:$E$113,3,FALSE))*$K59,IF($O59="",0,VLOOKUP($O59,'⚪设计'!$C$85:$E$113,3,FALSE))*$P59,IF($T59="",0,VLOOKUP($T59,'⚪设计'!$C$85:$E$113,3,FALSE))*$U59)*VLOOKUP(J59,'⚪设计'!$C$85:$E$113,3,FALSE),0))</f>
        <v>30857</v>
      </c>
      <c r="N59" s="71">
        <f>ROUND(战斗节奏!$B$3/SUM(IF(无限模式!$E59="",0,VLOOKUP(无限模式!$E59,'⚪设计'!$C$85:$I$113,4,FALSE)*无限模式!$F59),IF(无限模式!$J59="",0,VLOOKUP(无限模式!$J59,'⚪设计'!$C$85:$I$113,4,FALSE)*无限模式!$K59),IF(无限模式!$O59="",0,VLOOKUP(无限模式!$O59,'⚪设计'!$C$85:$I$113,4,FALSE)*无限模式!$P59),IF(无限模式!$T59="",0,VLOOKUP(无限模式!$T59,'⚪设计'!$C$85:$I$113,4,FALSE)*无限模式!$U59))*IF(J59="",0,VLOOKUP(J59,'⚪设计'!$C$85:$I$113,4,FALSE)),0)</f>
        <v>60</v>
      </c>
      <c r="O59" s="71" t="str">
        <f>IF(VLOOKUP(A59,'⚪设计'!$A$253:$G$272,6,FALSE)="","",VLOOKUP(VLOOKUP(A59,'⚪设计'!$A$253:$G$272,6,FALSE),'⚪设计'!$B$85:$D$113,2,FALSE))</f>
        <v/>
      </c>
      <c r="P59" s="71">
        <f t="shared" si="10"/>
        <v>0</v>
      </c>
      <c r="Q59" s="71" t="str">
        <f>IF(VLOOKUP($A59,'⚪设计'!$A$253:$K$272,7+3,FALSE)="","",VLOOKUP(A59,'⚪设计'!$A$253:$K$272,7+3,FALSE))</f>
        <v/>
      </c>
      <c r="R59" s="71">
        <f>IF(O59="",0,ROUND(VLOOKUP($A59,'⚪设计'!$A$253:$G$272,2,FALSE)*$B59/SUM(IF($E59="",0,VLOOKUP($E59,'⚪设计'!$C$85:$E$113,3,FALSE))*$F59,IF($J59="",0,VLOOKUP($J59,'⚪设计'!$C$85:$E$113,3,FALSE))*$K59,IF($O59="",0,VLOOKUP($O59,'⚪设计'!$C$85:$E$113,3,FALSE))*$P59,IF($T59="",0,VLOOKUP($T59,'⚪设计'!$C$85:$E$113,3,FALSE))*$U59)*VLOOKUP(O59,'⚪设计'!$C$85:$E$113,3,FALSE),0))</f>
        <v>0</v>
      </c>
      <c r="S59" s="71">
        <f>ROUND(战斗节奏!$B$3/SUM(IF(无限模式!$E59="",0,VLOOKUP(无限模式!$E59,'⚪设计'!$C$85:$I$113,4,FALSE)*无限模式!$F59),IF(无限模式!$J59="",0,VLOOKUP(无限模式!$J59,'⚪设计'!$C$85:$I$113,4,FALSE)*无限模式!$K59),IF(无限模式!$O59="",0,VLOOKUP(无限模式!$O59,'⚪设计'!$C$85:$I$113,4,FALSE)*无限模式!$P59),IF(无限模式!$T59="",0,VLOOKUP(无限模式!$T59,'⚪设计'!$C$85:$I$113,4,FALSE)*无限模式!$U59))*IF(O59="",0,VLOOKUP(O59,'⚪设计'!$C$85:$I$113,4,FALSE)),0)</f>
        <v>0</v>
      </c>
      <c r="T59" s="71" t="str">
        <f>IF(VLOOKUP(A59,'⚪设计'!$A$253:$G$272,7,FALSE)="","",VLOOKUP(VLOOKUP(A59,'⚪设计'!$A$253:$G$272,7,FALSE),'⚪设计'!$B$85:$D$113,2,FALSE))</f>
        <v/>
      </c>
      <c r="U59" s="71">
        <f t="shared" si="11"/>
        <v>0</v>
      </c>
      <c r="V59" s="71" t="str">
        <f>IF(VLOOKUP($A59,'⚪设计'!$A$253:$K$272,7+4,FALSE)="","",VLOOKUP(A59,'⚪设计'!$A$253:$K$272,7+4,FALSE))</f>
        <v/>
      </c>
      <c r="W59" s="71">
        <f>IF(T59="",0,ROUND(VLOOKUP($A59,'⚪设计'!$A$253:$G$272,2,FALSE)*$B59/SUM(IF($E59="",0,VLOOKUP($E59,'⚪设计'!$C$85:$E$113,3,FALSE))*$F59,IF($J59="",0,VLOOKUP($J59,'⚪设计'!$C$85:$E$113,3,FALSE))*$K59,IF($O59="",0,VLOOKUP($O59,'⚪设计'!$C$85:$E$113,3,FALSE))*$P59,IF($T59="",0,VLOOKUP($T59,'⚪设计'!$C$85:$E$113,3,FALSE))*$U59)*VLOOKUP(T59,'⚪设计'!$C$85:$E$113,3,FALSE),0))</f>
        <v>0</v>
      </c>
      <c r="X59" s="71">
        <f>ROUND(战斗节奏!$B$3/SUM(IF(无限模式!$E59="",0,VLOOKUP(无限模式!$E59,'⚪设计'!$C$85:$I$113,4,FALSE)*无限模式!$F59),IF(无限模式!$J59="",0,VLOOKUP(无限模式!$J59,'⚪设计'!$C$85:$I$113,4,FALSE)*无限模式!$K59),IF(无限模式!$O59="",0,VLOOKUP(无限模式!$O59,'⚪设计'!$C$85:$I$113,4,FALSE)*无限模式!$P59),IF(无限模式!$T59="",0,VLOOKUP(无限模式!$T59,'⚪设计'!$C$85:$I$113,4,FALSE)*无限模式!$U59))*IF(T59="",0,VLOOKUP(T59,'⚪设计'!$C$85:$I$113,4,FALSE)),0)</f>
        <v>0</v>
      </c>
      <c r="Y59" s="94">
        <v>30</v>
      </c>
    </row>
    <row r="60" spans="1:25" x14ac:dyDescent="0.2">
      <c r="A60" s="94">
        <v>9</v>
      </c>
      <c r="B60" s="71">
        <f>MAX(MIN(战斗节奏!$C$3-INT(A60/'⚪设计'!$C$55),MOD(A60,'⚪设计'!$C$55)),0)*'⚪设计'!$C$79*防御塔!$C$2+MIN(INT(A60/'⚪设计'!$C$55),战斗节奏!$C$3)*'⚪设计'!$C$80*防御塔!$C$2</f>
        <v>4859.9999999999991</v>
      </c>
      <c r="C60" s="173">
        <v>1.4</v>
      </c>
      <c r="D60" s="173">
        <v>18</v>
      </c>
      <c r="E60" s="71" t="str">
        <f>IF(VLOOKUP(A60,'⚪设计'!$A$253:$G$272,4,FALSE)="","",VLOOKUP(VLOOKUP(A60,'⚪设计'!$A$253:$G$272,4,FALSE),'⚪设计'!$B$85:$D$113,2,FALSE))</f>
        <v>ResUnit_Rou2</v>
      </c>
      <c r="F60" s="71">
        <f t="shared" si="8"/>
        <v>3</v>
      </c>
      <c r="G60" s="71">
        <f>IF(VLOOKUP($A60,'⚪设计'!$A$253:$K$272,7+1,FALSE)="","",VLOOKUP(A60,'⚪设计'!$A$253:$K$272,7+1,FALSE))</f>
        <v>6</v>
      </c>
      <c r="H60" s="71">
        <f>IF(E60="",0,ROUND(VLOOKUP($A60,'⚪设计'!$A$253:$G$272,2,FALSE)*$B60/SUM(IF($E60="",0,VLOOKUP($E60,'⚪设计'!$C$85:$E$113,3,FALSE))*$F60,IF($J60="",0,VLOOKUP($J60,'⚪设计'!$C$85:$E$113,3,FALSE))*$K60,IF($O60="",0,VLOOKUP($O60,'⚪设计'!$C$85:$E$113,3,FALSE))*$P60,IF($T60="",0,VLOOKUP($T60,'⚪设计'!$C$85:$E$113,3,FALSE))*$U60)*VLOOKUP(E60,'⚪设计'!$C$85:$E$113,3,FALSE),0))</f>
        <v>17673</v>
      </c>
      <c r="I60" s="71">
        <f>ROUND(战斗节奏!$B$3/SUM(IF(无限模式!$E60="",0,VLOOKUP(无限模式!$E60,'⚪设计'!$C$85:$I$113,4,FALSE)*无限模式!$F60),IF(无限模式!$J60="",0,VLOOKUP(无限模式!$J60,'⚪设计'!$C$85:$I$113,4,FALSE)*无限模式!$K60),IF(无限模式!$O60="",0,VLOOKUP(无限模式!$O60,'⚪设计'!$C$85:$I$113,4,FALSE)*无限模式!$P60),IF(无限模式!$T60="",0,VLOOKUP(无限模式!$T60,'⚪设计'!$C$85:$I$113,4,FALSE)*无限模式!$U60))*IF(E60="",0,VLOOKUP(E60,'⚪设计'!$C$85:$I$113,4,FALSE)),0)</f>
        <v>88</v>
      </c>
      <c r="J60" s="71" t="str">
        <f>IF(VLOOKUP(A60,'⚪设计'!$A$253:$G$272,5,FALSE)="","",VLOOKUP(VLOOKUP(A60,'⚪设计'!$A$253:$G$272,5,FALSE),'⚪设计'!$B$85:$D$113,2,FALSE))</f>
        <v>ResUnit_ZhongZi1</v>
      </c>
      <c r="K60" s="71">
        <f t="shared" si="9"/>
        <v>6</v>
      </c>
      <c r="L60" s="71">
        <f>IF(VLOOKUP($A60,'⚪设计'!$A$253:$K$272,7+2,FALSE)="","",VLOOKUP(A60,'⚪设计'!$A$253:$K$272,7+2,FALSE))</f>
        <v>3</v>
      </c>
      <c r="M60" s="71">
        <f>IF(J60="",0,ROUND(VLOOKUP($A60,'⚪设计'!$A$253:$G$272,2,FALSE)*$B60/SUM(IF($E60="",0,VLOOKUP($E60,'⚪设计'!$C$85:$E$113,3,FALSE))*$F60,IF($J60="",0,VLOOKUP($J60,'⚪设计'!$C$85:$E$113,3,FALSE))*$K60,IF($O60="",0,VLOOKUP($O60,'⚪设计'!$C$85:$E$113,3,FALSE))*$P60,IF($T60="",0,VLOOKUP($T60,'⚪设计'!$C$85:$E$113,3,FALSE))*$U60)*VLOOKUP(J60,'⚪设计'!$C$85:$E$113,3,FALSE),0))</f>
        <v>3314</v>
      </c>
      <c r="N60" s="71">
        <f>ROUND(战斗节奏!$B$3/SUM(IF(无限模式!$E60="",0,VLOOKUP(无限模式!$E60,'⚪设计'!$C$85:$I$113,4,FALSE)*无限模式!$F60),IF(无限模式!$J60="",0,VLOOKUP(无限模式!$J60,'⚪设计'!$C$85:$I$113,4,FALSE)*无限模式!$K60),IF(无限模式!$O60="",0,VLOOKUP(无限模式!$O60,'⚪设计'!$C$85:$I$113,4,FALSE)*无限模式!$P60),IF(无限模式!$T60="",0,VLOOKUP(无限模式!$T60,'⚪设计'!$C$85:$I$113,4,FALSE)*无限模式!$U60))*IF(J60="",0,VLOOKUP(J60,'⚪设计'!$C$85:$I$113,4,FALSE)),0)</f>
        <v>6</v>
      </c>
      <c r="O60" s="71" t="str">
        <f>IF(VLOOKUP(A60,'⚪设计'!$A$253:$G$272,6,FALSE)="","",VLOOKUP(VLOOKUP(A60,'⚪设计'!$A$253:$G$272,6,FALSE),'⚪设计'!$B$85:$D$113,2,FALSE))</f>
        <v/>
      </c>
      <c r="P60" s="71">
        <f t="shared" si="10"/>
        <v>0</v>
      </c>
      <c r="Q60" s="71" t="str">
        <f>IF(VLOOKUP($A60,'⚪设计'!$A$253:$K$272,7+3,FALSE)="","",VLOOKUP(A60,'⚪设计'!$A$253:$K$272,7+3,FALSE))</f>
        <v/>
      </c>
      <c r="R60" s="71">
        <f>IF(O60="",0,ROUND(VLOOKUP($A60,'⚪设计'!$A$253:$G$272,2,FALSE)*$B60/SUM(IF($E60="",0,VLOOKUP($E60,'⚪设计'!$C$85:$E$113,3,FALSE))*$F60,IF($J60="",0,VLOOKUP($J60,'⚪设计'!$C$85:$E$113,3,FALSE))*$K60,IF($O60="",0,VLOOKUP($O60,'⚪设计'!$C$85:$E$113,3,FALSE))*$P60,IF($T60="",0,VLOOKUP($T60,'⚪设计'!$C$85:$E$113,3,FALSE))*$U60)*VLOOKUP(O60,'⚪设计'!$C$85:$E$113,3,FALSE),0))</f>
        <v>0</v>
      </c>
      <c r="S60" s="71">
        <f>ROUND(战斗节奏!$B$3/SUM(IF(无限模式!$E60="",0,VLOOKUP(无限模式!$E60,'⚪设计'!$C$85:$I$113,4,FALSE)*无限模式!$F60),IF(无限模式!$J60="",0,VLOOKUP(无限模式!$J60,'⚪设计'!$C$85:$I$113,4,FALSE)*无限模式!$K60),IF(无限模式!$O60="",0,VLOOKUP(无限模式!$O60,'⚪设计'!$C$85:$I$113,4,FALSE)*无限模式!$P60),IF(无限模式!$T60="",0,VLOOKUP(无限模式!$T60,'⚪设计'!$C$85:$I$113,4,FALSE)*无限模式!$U60))*IF(O60="",0,VLOOKUP(O60,'⚪设计'!$C$85:$I$113,4,FALSE)),0)</f>
        <v>0</v>
      </c>
      <c r="T60" s="71" t="str">
        <f>IF(VLOOKUP(A60,'⚪设计'!$A$253:$G$272,7,FALSE)="","",VLOOKUP(VLOOKUP(A60,'⚪设计'!$A$253:$G$272,7,FALSE),'⚪设计'!$B$85:$D$113,2,FALSE))</f>
        <v/>
      </c>
      <c r="U60" s="71">
        <f t="shared" si="11"/>
        <v>0</v>
      </c>
      <c r="V60" s="71" t="str">
        <f>IF(VLOOKUP($A60,'⚪设计'!$A$253:$K$272,7+4,FALSE)="","",VLOOKUP(A60,'⚪设计'!$A$253:$K$272,7+4,FALSE))</f>
        <v/>
      </c>
      <c r="W60" s="71">
        <f>IF(T60="",0,ROUND(VLOOKUP($A60,'⚪设计'!$A$253:$G$272,2,FALSE)*$B60/SUM(IF($E60="",0,VLOOKUP($E60,'⚪设计'!$C$85:$E$113,3,FALSE))*$F60,IF($J60="",0,VLOOKUP($J60,'⚪设计'!$C$85:$E$113,3,FALSE))*$K60,IF($O60="",0,VLOOKUP($O60,'⚪设计'!$C$85:$E$113,3,FALSE))*$P60,IF($T60="",0,VLOOKUP($T60,'⚪设计'!$C$85:$E$113,3,FALSE))*$U60)*VLOOKUP(T60,'⚪设计'!$C$85:$E$113,3,FALSE),0))</f>
        <v>0</v>
      </c>
      <c r="X60" s="71">
        <f>ROUND(战斗节奏!$B$3/SUM(IF(无限模式!$E60="",0,VLOOKUP(无限模式!$E60,'⚪设计'!$C$85:$I$113,4,FALSE)*无限模式!$F60),IF(无限模式!$J60="",0,VLOOKUP(无限模式!$J60,'⚪设计'!$C$85:$I$113,4,FALSE)*无限模式!$K60),IF(无限模式!$O60="",0,VLOOKUP(无限模式!$O60,'⚪设计'!$C$85:$I$113,4,FALSE)*无限模式!$P60),IF(无限模式!$T60="",0,VLOOKUP(无限模式!$T60,'⚪设计'!$C$85:$I$113,4,FALSE)*无限模式!$U60))*IF(T60="",0,VLOOKUP(T60,'⚪设计'!$C$85:$I$113,4,FALSE)),0)</f>
        <v>0</v>
      </c>
      <c r="Y60" s="94">
        <v>15</v>
      </c>
    </row>
    <row r="61" spans="1:25" x14ac:dyDescent="0.2">
      <c r="A61" s="94">
        <v>10</v>
      </c>
      <c r="B61" s="71">
        <f>MAX(MIN(战斗节奏!$C$3-INT(A61/'⚪设计'!$C$55),MOD(A61,'⚪设计'!$C$55)),0)*'⚪设计'!$C$79*防御塔!$C$2+MIN(INT(A61/'⚪设计'!$C$55),战斗节奏!$C$3)*'⚪设计'!$C$80*防御塔!$C$2</f>
        <v>5399.9999999999991</v>
      </c>
      <c r="C61" s="173">
        <v>1.45</v>
      </c>
      <c r="D61" s="173">
        <v>19</v>
      </c>
      <c r="E61" s="71" t="str">
        <f>IF(VLOOKUP(A61,'⚪设计'!$A$253:$G$272,4,FALSE)="","",VLOOKUP(VLOOKUP(A61,'⚪设计'!$A$253:$G$272,4,FALSE),'⚪设计'!$B$85:$D$113,2,FALSE))</f>
        <v>ResUnit_Rou2</v>
      </c>
      <c r="F61" s="71">
        <f t="shared" si="8"/>
        <v>3</v>
      </c>
      <c r="G61" s="71">
        <f>IF(VLOOKUP($A61,'⚪设计'!$A$253:$K$272,7+1,FALSE)="","",VLOOKUP(A61,'⚪设计'!$A$253:$K$272,7+1,FALSE))</f>
        <v>6</v>
      </c>
      <c r="H61" s="71">
        <f>IF(E61="",0,ROUND(VLOOKUP($A61,'⚪设计'!$A$253:$G$272,2,FALSE)*$B61/SUM(IF($E61="",0,VLOOKUP($E61,'⚪设计'!$C$85:$E$113,3,FALSE))*$F61,IF($J61="",0,VLOOKUP($J61,'⚪设计'!$C$85:$E$113,3,FALSE))*$K61,IF($O61="",0,VLOOKUP($O61,'⚪设计'!$C$85:$E$113,3,FALSE))*$P61,IF($T61="",0,VLOOKUP($T61,'⚪设计'!$C$85:$E$113,3,FALSE))*$U61)*VLOOKUP(E61,'⚪设计'!$C$85:$E$113,3,FALSE),0))</f>
        <v>24545</v>
      </c>
      <c r="I61" s="71">
        <f>ROUND(战斗节奏!$B$3/SUM(IF(无限模式!$E61="",0,VLOOKUP(无限模式!$E61,'⚪设计'!$C$85:$I$113,4,FALSE)*无限模式!$F61),IF(无限模式!$J61="",0,VLOOKUP(无限模式!$J61,'⚪设计'!$C$85:$I$113,4,FALSE)*无限模式!$K61),IF(无限模式!$O61="",0,VLOOKUP(无限模式!$O61,'⚪设计'!$C$85:$I$113,4,FALSE)*无限模式!$P61),IF(无限模式!$T61="",0,VLOOKUP(无限模式!$T61,'⚪设计'!$C$85:$I$113,4,FALSE)*无限模式!$U61))*IF(E61="",0,VLOOKUP(E61,'⚪设计'!$C$85:$I$113,4,FALSE)),0)</f>
        <v>88</v>
      </c>
      <c r="J61" s="71" t="str">
        <f>IF(VLOOKUP(A61,'⚪设计'!$A$253:$G$272,5,FALSE)="","",VLOOKUP(VLOOKUP(A61,'⚪设计'!$A$253:$G$272,5,FALSE),'⚪设计'!$B$85:$D$113,2,FALSE))</f>
        <v>ResUnit_ZhongZi1</v>
      </c>
      <c r="K61" s="71">
        <f t="shared" si="9"/>
        <v>6</v>
      </c>
      <c r="L61" s="71">
        <f>IF(VLOOKUP($A61,'⚪设计'!$A$253:$K$272,7+2,FALSE)="","",VLOOKUP(A61,'⚪设计'!$A$253:$K$272,7+2,FALSE))</f>
        <v>3</v>
      </c>
      <c r="M61" s="71">
        <f>IF(J61="",0,ROUND(VLOOKUP($A61,'⚪设计'!$A$253:$G$272,2,FALSE)*$B61/SUM(IF($E61="",0,VLOOKUP($E61,'⚪设计'!$C$85:$E$113,3,FALSE))*$F61,IF($J61="",0,VLOOKUP($J61,'⚪设计'!$C$85:$E$113,3,FALSE))*$K61,IF($O61="",0,VLOOKUP($O61,'⚪设计'!$C$85:$E$113,3,FALSE))*$P61,IF($T61="",0,VLOOKUP($T61,'⚪设计'!$C$85:$E$113,3,FALSE))*$U61)*VLOOKUP(J61,'⚪设计'!$C$85:$E$113,3,FALSE),0))</f>
        <v>4602</v>
      </c>
      <c r="N61" s="71">
        <f>ROUND(战斗节奏!$B$3/SUM(IF(无限模式!$E61="",0,VLOOKUP(无限模式!$E61,'⚪设计'!$C$85:$I$113,4,FALSE)*无限模式!$F61),IF(无限模式!$J61="",0,VLOOKUP(无限模式!$J61,'⚪设计'!$C$85:$I$113,4,FALSE)*无限模式!$K61),IF(无限模式!$O61="",0,VLOOKUP(无限模式!$O61,'⚪设计'!$C$85:$I$113,4,FALSE)*无限模式!$P61),IF(无限模式!$T61="",0,VLOOKUP(无限模式!$T61,'⚪设计'!$C$85:$I$113,4,FALSE)*无限模式!$U61))*IF(J61="",0,VLOOKUP(J61,'⚪设计'!$C$85:$I$113,4,FALSE)),0)</f>
        <v>6</v>
      </c>
      <c r="O61" s="71" t="str">
        <f>IF(VLOOKUP(A61,'⚪设计'!$A$253:$G$272,6,FALSE)="","",VLOOKUP(VLOOKUP(A61,'⚪设计'!$A$253:$G$272,6,FALSE),'⚪设计'!$B$85:$D$113,2,FALSE))</f>
        <v/>
      </c>
      <c r="P61" s="71">
        <f t="shared" si="10"/>
        <v>0</v>
      </c>
      <c r="Q61" s="71" t="str">
        <f>IF(VLOOKUP($A61,'⚪设计'!$A$253:$K$272,7+3,FALSE)="","",VLOOKUP(A61,'⚪设计'!$A$253:$K$272,7+3,FALSE))</f>
        <v/>
      </c>
      <c r="R61" s="71">
        <f>IF(O61="",0,ROUND(VLOOKUP($A61,'⚪设计'!$A$253:$G$272,2,FALSE)*$B61/SUM(IF($E61="",0,VLOOKUP($E61,'⚪设计'!$C$85:$E$113,3,FALSE))*$F61,IF($J61="",0,VLOOKUP($J61,'⚪设计'!$C$85:$E$113,3,FALSE))*$K61,IF($O61="",0,VLOOKUP($O61,'⚪设计'!$C$85:$E$113,3,FALSE))*$P61,IF($T61="",0,VLOOKUP($T61,'⚪设计'!$C$85:$E$113,3,FALSE))*$U61)*VLOOKUP(O61,'⚪设计'!$C$85:$E$113,3,FALSE),0))</f>
        <v>0</v>
      </c>
      <c r="S61" s="71">
        <f>ROUND(战斗节奏!$B$3/SUM(IF(无限模式!$E61="",0,VLOOKUP(无限模式!$E61,'⚪设计'!$C$85:$I$113,4,FALSE)*无限模式!$F61),IF(无限模式!$J61="",0,VLOOKUP(无限模式!$J61,'⚪设计'!$C$85:$I$113,4,FALSE)*无限模式!$K61),IF(无限模式!$O61="",0,VLOOKUP(无限模式!$O61,'⚪设计'!$C$85:$I$113,4,FALSE)*无限模式!$P61),IF(无限模式!$T61="",0,VLOOKUP(无限模式!$T61,'⚪设计'!$C$85:$I$113,4,FALSE)*无限模式!$U61))*IF(O61="",0,VLOOKUP(O61,'⚪设计'!$C$85:$I$113,4,FALSE)),0)</f>
        <v>0</v>
      </c>
      <c r="T61" s="71" t="str">
        <f>IF(VLOOKUP(A61,'⚪设计'!$A$253:$G$272,7,FALSE)="","",VLOOKUP(VLOOKUP(A61,'⚪设计'!$A$253:$G$272,7,FALSE),'⚪设计'!$B$85:$D$113,2,FALSE))</f>
        <v/>
      </c>
      <c r="U61" s="71">
        <f t="shared" si="11"/>
        <v>0</v>
      </c>
      <c r="V61" s="71" t="str">
        <f>IF(VLOOKUP($A61,'⚪设计'!$A$253:$K$272,7+4,FALSE)="","",VLOOKUP(A61,'⚪设计'!$A$253:$K$272,7+4,FALSE))</f>
        <v/>
      </c>
      <c r="W61" s="71">
        <f>IF(T61="",0,ROUND(VLOOKUP($A61,'⚪设计'!$A$253:$G$272,2,FALSE)*$B61/SUM(IF($E61="",0,VLOOKUP($E61,'⚪设计'!$C$85:$E$113,3,FALSE))*$F61,IF($J61="",0,VLOOKUP($J61,'⚪设计'!$C$85:$E$113,3,FALSE))*$K61,IF($O61="",0,VLOOKUP($O61,'⚪设计'!$C$85:$E$113,3,FALSE))*$P61,IF($T61="",0,VLOOKUP($T61,'⚪设计'!$C$85:$E$113,3,FALSE))*$U61)*VLOOKUP(T61,'⚪设计'!$C$85:$E$113,3,FALSE),0))</f>
        <v>0</v>
      </c>
      <c r="X61" s="71">
        <f>ROUND(战斗节奏!$B$3/SUM(IF(无限模式!$E61="",0,VLOOKUP(无限模式!$E61,'⚪设计'!$C$85:$I$113,4,FALSE)*无限模式!$F61),IF(无限模式!$J61="",0,VLOOKUP(无限模式!$J61,'⚪设计'!$C$85:$I$113,4,FALSE)*无限模式!$K61),IF(无限模式!$O61="",0,VLOOKUP(无限模式!$O61,'⚪设计'!$C$85:$I$113,4,FALSE)*无限模式!$P61),IF(无限模式!$T61="",0,VLOOKUP(无限模式!$T61,'⚪设计'!$C$85:$I$113,4,FALSE)*无限模式!$U61))*IF(T61="",0,VLOOKUP(T61,'⚪设计'!$C$85:$I$113,4,FALSE)),0)</f>
        <v>0</v>
      </c>
      <c r="Y61" s="94">
        <v>18.75</v>
      </c>
    </row>
    <row r="62" spans="1:25" x14ac:dyDescent="0.2">
      <c r="A62" s="94">
        <v>11</v>
      </c>
      <c r="B62" s="71">
        <f>MAX(MIN(战斗节奏!$C$3-INT(A62/'⚪设计'!$C$55),MOD(A62,'⚪设计'!$C$55)),0)*'⚪设计'!$C$79*防御塔!$C$2+MIN(INT(A62/'⚪设计'!$C$55),战斗节奏!$C$3)*'⚪设计'!$C$80*防御塔!$C$2</f>
        <v>5939.9999999999991</v>
      </c>
      <c r="C62" s="173">
        <v>1.5</v>
      </c>
      <c r="D62" s="173">
        <v>20</v>
      </c>
      <c r="E62" s="71" t="str">
        <f>IF(VLOOKUP(A62,'⚪设计'!$A$253:$G$272,4,FALSE)="","",VLOOKUP(VLOOKUP(A62,'⚪设计'!$A$253:$G$272,4,FALSE),'⚪设计'!$B$85:$D$113,2,FALSE))</f>
        <v>ResUnit_Rou2</v>
      </c>
      <c r="F62" s="71">
        <f t="shared" si="8"/>
        <v>3</v>
      </c>
      <c r="G62" s="71">
        <f>IF(VLOOKUP($A62,'⚪设计'!$A$253:$K$272,7+1,FALSE)="","",VLOOKUP(A62,'⚪设计'!$A$253:$K$272,7+1,FALSE))</f>
        <v>6</v>
      </c>
      <c r="H62" s="71">
        <f>IF(E62="",0,ROUND(VLOOKUP($A62,'⚪设计'!$A$253:$G$272,2,FALSE)*$B62/SUM(IF($E62="",0,VLOOKUP($E62,'⚪设计'!$C$85:$E$113,3,FALSE))*$F62,IF($J62="",0,VLOOKUP($J62,'⚪设计'!$C$85:$E$113,3,FALSE))*$K62,IF($O62="",0,VLOOKUP($O62,'⚪设计'!$C$85:$E$113,3,FALSE))*$P62,IF($T62="",0,VLOOKUP($T62,'⚪设计'!$C$85:$E$113,3,FALSE))*$U62)*VLOOKUP(E62,'⚪设计'!$C$85:$E$113,3,FALSE),0))</f>
        <v>36688</v>
      </c>
      <c r="I62" s="71">
        <f>ROUND(战斗节奏!$B$3/SUM(IF(无限模式!$E62="",0,VLOOKUP(无限模式!$E62,'⚪设计'!$C$85:$I$113,4,FALSE)*无限模式!$F62),IF(无限模式!$J62="",0,VLOOKUP(无限模式!$J62,'⚪设计'!$C$85:$I$113,4,FALSE)*无限模式!$K62),IF(无限模式!$O62="",0,VLOOKUP(无限模式!$O62,'⚪设计'!$C$85:$I$113,4,FALSE)*无限模式!$P62),IF(无限模式!$T62="",0,VLOOKUP(无限模式!$T62,'⚪设计'!$C$85:$I$113,4,FALSE)*无限模式!$U62))*IF(E62="",0,VLOOKUP(E62,'⚪设计'!$C$85:$I$113,4,FALSE)),0)</f>
        <v>90</v>
      </c>
      <c r="J62" s="71" t="str">
        <f>IF(VLOOKUP(A62,'⚪设计'!$A$253:$G$272,5,FALSE)="","",VLOOKUP(VLOOKUP(A62,'⚪设计'!$A$253:$G$272,5,FALSE),'⚪设计'!$B$85:$D$113,2,FALSE))</f>
        <v>ResUnit_ZhiZhu2</v>
      </c>
      <c r="K62" s="71">
        <f t="shared" si="9"/>
        <v>10</v>
      </c>
      <c r="L62" s="71">
        <f>IF(VLOOKUP($A62,'⚪设计'!$A$253:$K$272,7+2,FALSE)="","",VLOOKUP(A62,'⚪设计'!$A$253:$K$272,7+2,FALSE))</f>
        <v>2</v>
      </c>
      <c r="M62" s="71">
        <f>IF(J62="",0,ROUND(VLOOKUP($A62,'⚪设计'!$A$253:$G$272,2,FALSE)*$B62/SUM(IF($E62="",0,VLOOKUP($E62,'⚪设计'!$C$85:$E$113,3,FALSE))*$F62,IF($J62="",0,VLOOKUP($J62,'⚪设计'!$C$85:$E$113,3,FALSE))*$K62,IF($O62="",0,VLOOKUP($O62,'⚪设计'!$C$85:$E$113,3,FALSE))*$P62,IF($T62="",0,VLOOKUP($T62,'⚪设计'!$C$85:$E$113,3,FALSE))*$U62)*VLOOKUP(J62,'⚪设计'!$C$85:$E$113,3,FALSE),0))</f>
        <v>4586</v>
      </c>
      <c r="N62" s="71">
        <f>ROUND(战斗节奏!$B$3/SUM(IF(无限模式!$E62="",0,VLOOKUP(无限模式!$E62,'⚪设计'!$C$85:$I$113,4,FALSE)*无限模式!$F62),IF(无限模式!$J62="",0,VLOOKUP(无限模式!$J62,'⚪设计'!$C$85:$I$113,4,FALSE)*无限模式!$K62),IF(无限模式!$O62="",0,VLOOKUP(无限模式!$O62,'⚪设计'!$C$85:$I$113,4,FALSE)*无限模式!$P62),IF(无限模式!$T62="",0,VLOOKUP(无限模式!$T62,'⚪设计'!$C$85:$I$113,4,FALSE)*无限模式!$U62))*IF(J62="",0,VLOOKUP(J62,'⚪设计'!$C$85:$I$113,4,FALSE)),0)</f>
        <v>3</v>
      </c>
      <c r="O62" s="71" t="str">
        <f>IF(VLOOKUP(A62,'⚪设计'!$A$253:$G$272,6,FALSE)="","",VLOOKUP(VLOOKUP(A62,'⚪设计'!$A$253:$G$272,6,FALSE),'⚪设计'!$B$85:$D$113,2,FALSE))</f>
        <v/>
      </c>
      <c r="P62" s="71">
        <f t="shared" si="10"/>
        <v>0</v>
      </c>
      <c r="Q62" s="71" t="str">
        <f>IF(VLOOKUP($A62,'⚪设计'!$A$253:$K$272,7+3,FALSE)="","",VLOOKUP(A62,'⚪设计'!$A$253:$K$272,7+3,FALSE))</f>
        <v/>
      </c>
      <c r="R62" s="71">
        <f>IF(O62="",0,ROUND(VLOOKUP($A62,'⚪设计'!$A$253:$G$272,2,FALSE)*$B62/SUM(IF($E62="",0,VLOOKUP($E62,'⚪设计'!$C$85:$E$113,3,FALSE))*$F62,IF($J62="",0,VLOOKUP($J62,'⚪设计'!$C$85:$E$113,3,FALSE))*$K62,IF($O62="",0,VLOOKUP($O62,'⚪设计'!$C$85:$E$113,3,FALSE))*$P62,IF($T62="",0,VLOOKUP($T62,'⚪设计'!$C$85:$E$113,3,FALSE))*$U62)*VLOOKUP(O62,'⚪设计'!$C$85:$E$113,3,FALSE),0))</f>
        <v>0</v>
      </c>
      <c r="S62" s="71">
        <f>ROUND(战斗节奏!$B$3/SUM(IF(无限模式!$E62="",0,VLOOKUP(无限模式!$E62,'⚪设计'!$C$85:$I$113,4,FALSE)*无限模式!$F62),IF(无限模式!$J62="",0,VLOOKUP(无限模式!$J62,'⚪设计'!$C$85:$I$113,4,FALSE)*无限模式!$K62),IF(无限模式!$O62="",0,VLOOKUP(无限模式!$O62,'⚪设计'!$C$85:$I$113,4,FALSE)*无限模式!$P62),IF(无限模式!$T62="",0,VLOOKUP(无限模式!$T62,'⚪设计'!$C$85:$I$113,4,FALSE)*无限模式!$U62))*IF(O62="",0,VLOOKUP(O62,'⚪设计'!$C$85:$I$113,4,FALSE)),0)</f>
        <v>0</v>
      </c>
      <c r="T62" s="71" t="str">
        <f>IF(VLOOKUP(A62,'⚪设计'!$A$253:$G$272,7,FALSE)="","",VLOOKUP(VLOOKUP(A62,'⚪设计'!$A$253:$G$272,7,FALSE),'⚪设计'!$B$85:$D$113,2,FALSE))</f>
        <v/>
      </c>
      <c r="U62" s="71">
        <f t="shared" si="11"/>
        <v>0</v>
      </c>
      <c r="V62" s="71" t="str">
        <f>IF(VLOOKUP($A62,'⚪设计'!$A$253:$K$272,7+4,FALSE)="","",VLOOKUP(A62,'⚪设计'!$A$253:$K$272,7+4,FALSE))</f>
        <v/>
      </c>
      <c r="W62" s="71">
        <f>IF(T62="",0,ROUND(VLOOKUP($A62,'⚪设计'!$A$253:$G$272,2,FALSE)*$B62/SUM(IF($E62="",0,VLOOKUP($E62,'⚪设计'!$C$85:$E$113,3,FALSE))*$F62,IF($J62="",0,VLOOKUP($J62,'⚪设计'!$C$85:$E$113,3,FALSE))*$K62,IF($O62="",0,VLOOKUP($O62,'⚪设计'!$C$85:$E$113,3,FALSE))*$P62,IF($T62="",0,VLOOKUP($T62,'⚪设计'!$C$85:$E$113,3,FALSE))*$U62)*VLOOKUP(T62,'⚪设计'!$C$85:$E$113,3,FALSE),0))</f>
        <v>0</v>
      </c>
      <c r="X62" s="71">
        <f>ROUND(战斗节奏!$B$3/SUM(IF(无限模式!$E62="",0,VLOOKUP(无限模式!$E62,'⚪设计'!$C$85:$I$113,4,FALSE)*无限模式!$F62),IF(无限模式!$J62="",0,VLOOKUP(无限模式!$J62,'⚪设计'!$C$85:$I$113,4,FALSE)*无限模式!$K62),IF(无限模式!$O62="",0,VLOOKUP(无限模式!$O62,'⚪设计'!$C$85:$I$113,4,FALSE)*无限模式!$P62),IF(无限模式!$T62="",0,VLOOKUP(无限模式!$T62,'⚪设计'!$C$85:$I$113,4,FALSE)*无限模式!$U62))*IF(T62="",0,VLOOKUP(T62,'⚪设计'!$C$85:$I$113,4,FALSE)),0)</f>
        <v>0</v>
      </c>
      <c r="Y62" s="94">
        <v>26.25</v>
      </c>
    </row>
    <row r="63" spans="1:25" x14ac:dyDescent="0.2">
      <c r="A63" s="94">
        <v>12</v>
      </c>
      <c r="B63" s="71">
        <f>MAX(MIN(战斗节奏!$C$3-INT(A63/'⚪设计'!$C$55),MOD(A63,'⚪设计'!$C$55)),0)*'⚪设计'!$C$79*防御塔!$C$2+MIN(INT(A63/'⚪设计'!$C$55),战斗节奏!$C$3)*'⚪设计'!$C$80*防御塔!$C$2</f>
        <v>6480</v>
      </c>
      <c r="C63" s="173">
        <v>1.55</v>
      </c>
      <c r="D63" s="173">
        <v>21</v>
      </c>
      <c r="E63" s="71" t="str">
        <f>IF(VLOOKUP(A63,'⚪设计'!$A$253:$G$272,4,FALSE)="","",VLOOKUP(VLOOKUP(A63,'⚪设计'!$A$253:$G$272,4,FALSE),'⚪设计'!$B$85:$D$113,2,FALSE))</f>
        <v>ResUnit_Rou2</v>
      </c>
      <c r="F63" s="71">
        <f t="shared" si="8"/>
        <v>4</v>
      </c>
      <c r="G63" s="71">
        <f>IF(VLOOKUP($A63,'⚪设计'!$A$253:$K$272,7+1,FALSE)="","",VLOOKUP(A63,'⚪设计'!$A$253:$K$272,7+1,FALSE))</f>
        <v>6</v>
      </c>
      <c r="H63" s="71">
        <f>IF(E63="",0,ROUND(VLOOKUP($A63,'⚪设计'!$A$253:$G$272,2,FALSE)*$B63/SUM(IF($E63="",0,VLOOKUP($E63,'⚪设计'!$C$85:$E$113,3,FALSE))*$F63,IF($J63="",0,VLOOKUP($J63,'⚪设计'!$C$85:$E$113,3,FALSE))*$K63,IF($O63="",0,VLOOKUP($O63,'⚪设计'!$C$85:$E$113,3,FALSE))*$P63,IF($T63="",0,VLOOKUP($T63,'⚪设计'!$C$85:$E$113,3,FALSE))*$U63)*VLOOKUP(E63,'⚪设计'!$C$85:$E$113,3,FALSE),0))</f>
        <v>46656</v>
      </c>
      <c r="I63" s="71">
        <f>ROUND(战斗节奏!$B$3/SUM(IF(无限模式!$E63="",0,VLOOKUP(无限模式!$E63,'⚪设计'!$C$85:$I$113,4,FALSE)*无限模式!$F63),IF(无限模式!$J63="",0,VLOOKUP(无限模式!$J63,'⚪设计'!$C$85:$I$113,4,FALSE)*无限模式!$K63),IF(无限模式!$O63="",0,VLOOKUP(无限模式!$O63,'⚪设计'!$C$85:$I$113,4,FALSE)*无限模式!$P63),IF(无限模式!$T63="",0,VLOOKUP(无限模式!$T63,'⚪设计'!$C$85:$I$113,4,FALSE)*无限模式!$U63))*IF(E63="",0,VLOOKUP(E63,'⚪设计'!$C$85:$I$113,4,FALSE)),0)</f>
        <v>52</v>
      </c>
      <c r="J63" s="71" t="str">
        <f>IF(VLOOKUP(A63,'⚪设计'!$A$253:$G$272,5,FALSE)="","",VLOOKUP(VLOOKUP(A63,'⚪设计'!$A$253:$G$272,5,FALSE),'⚪设计'!$B$85:$D$113,2,FALSE))</f>
        <v>ResUnit_ZhongZi1</v>
      </c>
      <c r="K63" s="71">
        <f t="shared" si="9"/>
        <v>7</v>
      </c>
      <c r="L63" s="71">
        <f>IF(VLOOKUP($A63,'⚪设计'!$A$253:$K$272,7+2,FALSE)="","",VLOOKUP(A63,'⚪设计'!$A$253:$K$272,7+2,FALSE))</f>
        <v>3</v>
      </c>
      <c r="M63" s="71">
        <f>IF(J63="",0,ROUND(VLOOKUP($A63,'⚪设计'!$A$253:$G$272,2,FALSE)*$B63/SUM(IF($E63="",0,VLOOKUP($E63,'⚪设计'!$C$85:$E$113,3,FALSE))*$F63,IF($J63="",0,VLOOKUP($J63,'⚪设计'!$C$85:$E$113,3,FALSE))*$K63,IF($O63="",0,VLOOKUP($O63,'⚪设计'!$C$85:$E$113,3,FALSE))*$P63,IF($T63="",0,VLOOKUP($T63,'⚪设计'!$C$85:$E$113,3,FALSE))*$U63)*VLOOKUP(J63,'⚪设计'!$C$85:$E$113,3,FALSE),0))</f>
        <v>8748</v>
      </c>
      <c r="N63" s="71">
        <f>ROUND(战斗节奏!$B$3/SUM(IF(无限模式!$E63="",0,VLOOKUP(无限模式!$E63,'⚪设计'!$C$85:$I$113,4,FALSE)*无限模式!$F63),IF(无限模式!$J63="",0,VLOOKUP(无限模式!$J63,'⚪设计'!$C$85:$I$113,4,FALSE)*无限模式!$K63),IF(无限模式!$O63="",0,VLOOKUP(无限模式!$O63,'⚪设计'!$C$85:$I$113,4,FALSE)*无限模式!$P63),IF(无限模式!$T63="",0,VLOOKUP(无限模式!$T63,'⚪设计'!$C$85:$I$113,4,FALSE)*无限模式!$U63))*IF(J63="",0,VLOOKUP(J63,'⚪设计'!$C$85:$I$113,4,FALSE)),0)</f>
        <v>3</v>
      </c>
      <c r="O63" s="71" t="str">
        <f>IF(VLOOKUP(A63,'⚪设计'!$A$253:$G$272,6,FALSE)="","",VLOOKUP(VLOOKUP(A63,'⚪设计'!$A$253:$G$272,6,FALSE),'⚪设计'!$B$85:$D$113,2,FALSE))</f>
        <v>ResUnit_ZhongZi3</v>
      </c>
      <c r="P63" s="71">
        <f t="shared" si="10"/>
        <v>1</v>
      </c>
      <c r="Q63" s="71">
        <f>IF(VLOOKUP($A63,'⚪设计'!$A$253:$K$272,7+3,FALSE)="","",VLOOKUP(A63,'⚪设计'!$A$253:$K$272,7+3,FALSE))</f>
        <v>0</v>
      </c>
      <c r="R63" s="71">
        <f>IF(O63="",0,ROUND(VLOOKUP($A63,'⚪设计'!$A$253:$G$272,2,FALSE)*$B63/SUM(IF($E63="",0,VLOOKUP($E63,'⚪设计'!$C$85:$E$113,3,FALSE))*$F63,IF($J63="",0,VLOOKUP($J63,'⚪设计'!$C$85:$E$113,3,FALSE))*$K63,IF($O63="",0,VLOOKUP($O63,'⚪设计'!$C$85:$E$113,3,FALSE))*$P63,IF($T63="",0,VLOOKUP($T63,'⚪设计'!$C$85:$E$113,3,FALSE))*$U63)*VLOOKUP(O63,'⚪设计'!$C$85:$E$113,3,FALSE),0))</f>
        <v>116640</v>
      </c>
      <c r="S63" s="71">
        <f>ROUND(战斗节奏!$B$3/SUM(IF(无限模式!$E63="",0,VLOOKUP(无限模式!$E63,'⚪设计'!$C$85:$I$113,4,FALSE)*无限模式!$F63),IF(无限模式!$J63="",0,VLOOKUP(无限模式!$J63,'⚪设计'!$C$85:$I$113,4,FALSE)*无限模式!$K63),IF(无限模式!$O63="",0,VLOOKUP(无限模式!$O63,'⚪设计'!$C$85:$I$113,4,FALSE)*无限模式!$P63),IF(无限模式!$T63="",0,VLOOKUP(无限模式!$T63,'⚪设计'!$C$85:$I$113,4,FALSE)*无限模式!$U63))*IF(O63="",0,VLOOKUP(O63,'⚪设计'!$C$85:$I$113,4,FALSE)),0)</f>
        <v>69</v>
      </c>
      <c r="T63" s="71" t="str">
        <f>IF(VLOOKUP(A63,'⚪设计'!$A$253:$G$272,7,FALSE)="","",VLOOKUP(VLOOKUP(A63,'⚪设计'!$A$253:$G$272,7,FALSE),'⚪设计'!$B$85:$D$113,2,FALSE))</f>
        <v/>
      </c>
      <c r="U63" s="71">
        <f t="shared" si="11"/>
        <v>0</v>
      </c>
      <c r="V63" s="71" t="str">
        <f>IF(VLOOKUP($A63,'⚪设计'!$A$253:$K$272,7+4,FALSE)="","",VLOOKUP(A63,'⚪设计'!$A$253:$K$272,7+4,FALSE))</f>
        <v/>
      </c>
      <c r="W63" s="71">
        <f>IF(T63="",0,ROUND(VLOOKUP($A63,'⚪设计'!$A$253:$G$272,2,FALSE)*$B63/SUM(IF($E63="",0,VLOOKUP($E63,'⚪设计'!$C$85:$E$113,3,FALSE))*$F63,IF($J63="",0,VLOOKUP($J63,'⚪设计'!$C$85:$E$113,3,FALSE))*$K63,IF($O63="",0,VLOOKUP($O63,'⚪设计'!$C$85:$E$113,3,FALSE))*$P63,IF($T63="",0,VLOOKUP($T63,'⚪设计'!$C$85:$E$113,3,FALSE))*$U63)*VLOOKUP(T63,'⚪设计'!$C$85:$E$113,3,FALSE),0))</f>
        <v>0</v>
      </c>
      <c r="X63" s="71">
        <f>ROUND(战斗节奏!$B$3/SUM(IF(无限模式!$E63="",0,VLOOKUP(无限模式!$E63,'⚪设计'!$C$85:$I$113,4,FALSE)*无限模式!$F63),IF(无限模式!$J63="",0,VLOOKUP(无限模式!$J63,'⚪设计'!$C$85:$I$113,4,FALSE)*无限模式!$K63),IF(无限模式!$O63="",0,VLOOKUP(无限模式!$O63,'⚪设计'!$C$85:$I$113,4,FALSE)*无限模式!$P63),IF(无限模式!$T63="",0,VLOOKUP(无限模式!$T63,'⚪设计'!$C$85:$I$113,4,FALSE)*无限模式!$U63))*IF(T63="",0,VLOOKUP(T63,'⚪设计'!$C$85:$I$113,4,FALSE)),0)</f>
        <v>0</v>
      </c>
      <c r="Y63" s="94">
        <v>56.25</v>
      </c>
    </row>
    <row r="64" spans="1:25" x14ac:dyDescent="0.2">
      <c r="A64" s="94">
        <v>13</v>
      </c>
      <c r="B64" s="71">
        <f>MAX(MIN(战斗节奏!$C$3-INT(A64/'⚪设计'!$C$55),MOD(A64,'⚪设计'!$C$55)),0)*'⚪设计'!$C$79*防御塔!$C$2+MIN(INT(A64/'⚪设计'!$C$55),战斗节奏!$C$3)*'⚪设计'!$C$80*防御塔!$C$2</f>
        <v>7020</v>
      </c>
      <c r="C64" s="173">
        <v>1.6</v>
      </c>
      <c r="D64" s="173">
        <v>22</v>
      </c>
      <c r="E64" s="71" t="str">
        <f>IF(VLOOKUP(A64,'⚪设计'!$A$253:$G$272,4,FALSE)="","",VLOOKUP(VLOOKUP(A64,'⚪设计'!$A$253:$G$272,4,FALSE),'⚪设计'!$B$85:$D$113,2,FALSE))</f>
        <v>ResUnit_Gui1</v>
      </c>
      <c r="F64" s="71">
        <f t="shared" si="8"/>
        <v>15</v>
      </c>
      <c r="G64" s="71">
        <f>IF(VLOOKUP($A64,'⚪设计'!$A$253:$K$272,7+1,FALSE)="","",VLOOKUP(A64,'⚪设计'!$A$253:$K$272,7+1,FALSE))</f>
        <v>1.5</v>
      </c>
      <c r="H64" s="71">
        <f>IF(E64="",0,ROUND(VLOOKUP($A64,'⚪设计'!$A$253:$G$272,2,FALSE)*$B64/SUM(IF($E64="",0,VLOOKUP($E64,'⚪设计'!$C$85:$E$113,3,FALSE))*$F64,IF($J64="",0,VLOOKUP($J64,'⚪设计'!$C$85:$E$113,3,FALSE))*$K64,IF($O64="",0,VLOOKUP($O64,'⚪设计'!$C$85:$E$113,3,FALSE))*$P64,IF($T64="",0,VLOOKUP($T64,'⚪设计'!$C$85:$E$113,3,FALSE))*$U64)*VLOOKUP(E64,'⚪设计'!$C$85:$E$113,3,FALSE),0))</f>
        <v>8775</v>
      </c>
      <c r="I64" s="71">
        <f>ROUND(战斗节奏!$B$3/SUM(IF(无限模式!$E64="",0,VLOOKUP(无限模式!$E64,'⚪设计'!$C$85:$I$113,4,FALSE)*无限模式!$F64),IF(无限模式!$J64="",0,VLOOKUP(无限模式!$J64,'⚪设计'!$C$85:$I$113,4,FALSE)*无限模式!$K64),IF(无限模式!$O64="",0,VLOOKUP(无限模式!$O64,'⚪设计'!$C$85:$I$113,4,FALSE)*无限模式!$P64),IF(无限模式!$T64="",0,VLOOKUP(无限模式!$T64,'⚪设计'!$C$85:$I$113,4,FALSE)*无限模式!$U64))*IF(E64="",0,VLOOKUP(E64,'⚪设计'!$C$85:$I$113,4,FALSE)),0)</f>
        <v>20</v>
      </c>
      <c r="J64" s="71" t="str">
        <f>IF(VLOOKUP(A64,'⚪设计'!$A$253:$G$272,5,FALSE)="","",VLOOKUP(VLOOKUP(A64,'⚪设计'!$A$253:$G$272,5,FALSE),'⚪设计'!$B$85:$D$113,2,FALSE))</f>
        <v/>
      </c>
      <c r="K64" s="71">
        <f t="shared" si="9"/>
        <v>0</v>
      </c>
      <c r="L64" s="71" t="str">
        <f>IF(VLOOKUP($A64,'⚪设计'!$A$253:$K$272,7+2,FALSE)="","",VLOOKUP(A64,'⚪设计'!$A$253:$K$272,7+2,FALSE))</f>
        <v/>
      </c>
      <c r="M64" s="71">
        <f>IF(J64="",0,ROUND(VLOOKUP($A64,'⚪设计'!$A$253:$G$272,2,FALSE)*$B64/SUM(IF($E64="",0,VLOOKUP($E64,'⚪设计'!$C$85:$E$113,3,FALSE))*$F64,IF($J64="",0,VLOOKUP($J64,'⚪设计'!$C$85:$E$113,3,FALSE))*$K64,IF($O64="",0,VLOOKUP($O64,'⚪设计'!$C$85:$E$113,3,FALSE))*$P64,IF($T64="",0,VLOOKUP($T64,'⚪设计'!$C$85:$E$113,3,FALSE))*$U64)*VLOOKUP(J64,'⚪设计'!$C$85:$E$113,3,FALSE),0))</f>
        <v>0</v>
      </c>
      <c r="N64" s="71">
        <f>ROUND(战斗节奏!$B$3/SUM(IF(无限模式!$E64="",0,VLOOKUP(无限模式!$E64,'⚪设计'!$C$85:$I$113,4,FALSE)*无限模式!$F64),IF(无限模式!$J64="",0,VLOOKUP(无限模式!$J64,'⚪设计'!$C$85:$I$113,4,FALSE)*无限模式!$K64),IF(无限模式!$O64="",0,VLOOKUP(无限模式!$O64,'⚪设计'!$C$85:$I$113,4,FALSE)*无限模式!$P64),IF(无限模式!$T64="",0,VLOOKUP(无限模式!$T64,'⚪设计'!$C$85:$I$113,4,FALSE)*无限模式!$U64))*IF(J64="",0,VLOOKUP(J64,'⚪设计'!$C$85:$I$113,4,FALSE)),0)</f>
        <v>0</v>
      </c>
      <c r="O64" s="71" t="str">
        <f>IF(VLOOKUP(A64,'⚪设计'!$A$253:$G$272,6,FALSE)="","",VLOOKUP(VLOOKUP(A64,'⚪设计'!$A$253:$G$272,6,FALSE),'⚪设计'!$B$85:$D$113,2,FALSE))</f>
        <v/>
      </c>
      <c r="P64" s="71">
        <f t="shared" si="10"/>
        <v>0</v>
      </c>
      <c r="Q64" s="71" t="str">
        <f>IF(VLOOKUP($A64,'⚪设计'!$A$253:$K$272,7+3,FALSE)="","",VLOOKUP(A64,'⚪设计'!$A$253:$K$272,7+3,FALSE))</f>
        <v/>
      </c>
      <c r="R64" s="71">
        <f>IF(O64="",0,ROUND(VLOOKUP($A64,'⚪设计'!$A$253:$G$272,2,FALSE)*$B64/SUM(IF($E64="",0,VLOOKUP($E64,'⚪设计'!$C$85:$E$113,3,FALSE))*$F64,IF($J64="",0,VLOOKUP($J64,'⚪设计'!$C$85:$E$113,3,FALSE))*$K64,IF($O64="",0,VLOOKUP($O64,'⚪设计'!$C$85:$E$113,3,FALSE))*$P64,IF($T64="",0,VLOOKUP($T64,'⚪设计'!$C$85:$E$113,3,FALSE))*$U64)*VLOOKUP(O64,'⚪设计'!$C$85:$E$113,3,FALSE),0))</f>
        <v>0</v>
      </c>
      <c r="S64" s="71">
        <f>ROUND(战斗节奏!$B$3/SUM(IF(无限模式!$E64="",0,VLOOKUP(无限模式!$E64,'⚪设计'!$C$85:$I$113,4,FALSE)*无限模式!$F64),IF(无限模式!$J64="",0,VLOOKUP(无限模式!$J64,'⚪设计'!$C$85:$I$113,4,FALSE)*无限模式!$K64),IF(无限模式!$O64="",0,VLOOKUP(无限模式!$O64,'⚪设计'!$C$85:$I$113,4,FALSE)*无限模式!$P64),IF(无限模式!$T64="",0,VLOOKUP(无限模式!$T64,'⚪设计'!$C$85:$I$113,4,FALSE)*无限模式!$U64))*IF(O64="",0,VLOOKUP(O64,'⚪设计'!$C$85:$I$113,4,FALSE)),0)</f>
        <v>0</v>
      </c>
      <c r="T64" s="71" t="str">
        <f>IF(VLOOKUP(A64,'⚪设计'!$A$253:$G$272,7,FALSE)="","",VLOOKUP(VLOOKUP(A64,'⚪设计'!$A$253:$G$272,7,FALSE),'⚪设计'!$B$85:$D$113,2,FALSE))</f>
        <v/>
      </c>
      <c r="U64" s="71">
        <f t="shared" si="11"/>
        <v>0</v>
      </c>
      <c r="V64" s="71" t="str">
        <f>IF(VLOOKUP($A64,'⚪设计'!$A$253:$K$272,7+4,FALSE)="","",VLOOKUP(A64,'⚪设计'!$A$253:$K$272,7+4,FALSE))</f>
        <v/>
      </c>
      <c r="W64" s="71">
        <f>IF(T64="",0,ROUND(VLOOKUP($A64,'⚪设计'!$A$253:$G$272,2,FALSE)*$B64/SUM(IF($E64="",0,VLOOKUP($E64,'⚪设计'!$C$85:$E$113,3,FALSE))*$F64,IF($J64="",0,VLOOKUP($J64,'⚪设计'!$C$85:$E$113,3,FALSE))*$K64,IF($O64="",0,VLOOKUP($O64,'⚪设计'!$C$85:$E$113,3,FALSE))*$P64,IF($T64="",0,VLOOKUP($T64,'⚪设计'!$C$85:$E$113,3,FALSE))*$U64)*VLOOKUP(T64,'⚪设计'!$C$85:$E$113,3,FALSE),0))</f>
        <v>0</v>
      </c>
      <c r="X64" s="71">
        <f>ROUND(战斗节奏!$B$3/SUM(IF(无限模式!$E64="",0,VLOOKUP(无限模式!$E64,'⚪设计'!$C$85:$I$113,4,FALSE)*无限模式!$F64),IF(无限模式!$J64="",0,VLOOKUP(无限模式!$J64,'⚪设计'!$C$85:$I$113,4,FALSE)*无限模式!$K64),IF(无限模式!$O64="",0,VLOOKUP(无限模式!$O64,'⚪设计'!$C$85:$I$113,4,FALSE)*无限模式!$P64),IF(无限模式!$T64="",0,VLOOKUP(无限模式!$T64,'⚪设计'!$C$85:$I$113,4,FALSE)*无限模式!$U64))*IF(T64="",0,VLOOKUP(T64,'⚪设计'!$C$85:$I$113,4,FALSE)),0)</f>
        <v>0</v>
      </c>
      <c r="Y64" s="94">
        <v>18.75</v>
      </c>
    </row>
    <row r="65" spans="1:25" x14ac:dyDescent="0.2">
      <c r="A65" s="94">
        <v>14</v>
      </c>
      <c r="B65" s="71">
        <f>MAX(MIN(战斗节奏!$C$3-INT(A65/'⚪设计'!$C$55),MOD(A65,'⚪设计'!$C$55)),0)*'⚪设计'!$C$79*防御塔!$C$2+MIN(INT(A65/'⚪设计'!$C$55),战斗节奏!$C$3)*'⚪设计'!$C$80*防御塔!$C$2</f>
        <v>7560</v>
      </c>
      <c r="C65" s="173">
        <v>1.65</v>
      </c>
      <c r="D65" s="173">
        <v>23</v>
      </c>
      <c r="E65" s="71" t="str">
        <f>IF(VLOOKUP(A65,'⚪设计'!$A$253:$G$272,4,FALSE)="","",VLOOKUP(VLOOKUP(A65,'⚪设计'!$A$253:$G$272,4,FALSE),'⚪设计'!$B$85:$D$113,2,FALSE))</f>
        <v>ResUnit_Gui1</v>
      </c>
      <c r="F65" s="71">
        <f t="shared" si="8"/>
        <v>15</v>
      </c>
      <c r="G65" s="71">
        <f>IF(VLOOKUP($A65,'⚪设计'!$A$253:$K$272,7+1,FALSE)="","",VLOOKUP(A65,'⚪设计'!$A$253:$K$272,7+1,FALSE))</f>
        <v>1.5</v>
      </c>
      <c r="H65" s="71">
        <f>IF(E65="",0,ROUND(VLOOKUP($A65,'⚪设计'!$A$253:$G$272,2,FALSE)*$B65/SUM(IF($E65="",0,VLOOKUP($E65,'⚪设计'!$C$85:$E$113,3,FALSE))*$F65,IF($J65="",0,VLOOKUP($J65,'⚪设计'!$C$85:$E$113,3,FALSE))*$K65,IF($O65="",0,VLOOKUP($O65,'⚪设计'!$C$85:$E$113,3,FALSE))*$P65,IF($T65="",0,VLOOKUP($T65,'⚪设计'!$C$85:$E$113,3,FALSE))*$U65)*VLOOKUP(E65,'⚪设计'!$C$85:$E$113,3,FALSE),0))</f>
        <v>3065</v>
      </c>
      <c r="I65" s="71">
        <f>ROUND(战斗节奏!$B$3/SUM(IF(无限模式!$E65="",0,VLOOKUP(无限模式!$E65,'⚪设计'!$C$85:$I$113,4,FALSE)*无限模式!$F65),IF(无限模式!$J65="",0,VLOOKUP(无限模式!$J65,'⚪设计'!$C$85:$I$113,4,FALSE)*无限模式!$K65),IF(无限模式!$O65="",0,VLOOKUP(无限模式!$O65,'⚪设计'!$C$85:$I$113,4,FALSE)*无限模式!$P65),IF(无限模式!$T65="",0,VLOOKUP(无限模式!$T65,'⚪设计'!$C$85:$I$113,4,FALSE)*无限模式!$U65))*IF(E65="",0,VLOOKUP(E65,'⚪设计'!$C$85:$I$113,4,FALSE)),0)</f>
        <v>2</v>
      </c>
      <c r="J65" s="71" t="str">
        <f>IF(VLOOKUP(A65,'⚪设计'!$A$253:$G$272,5,FALSE)="","",VLOOKUP(VLOOKUP(A65,'⚪设计'!$A$253:$G$272,5,FALSE),'⚪设计'!$B$85:$D$113,2,FALSE))</f>
        <v>ResUnit_Rou2</v>
      </c>
      <c r="K65" s="71">
        <f t="shared" si="9"/>
        <v>6</v>
      </c>
      <c r="L65" s="71">
        <f>IF(VLOOKUP($A65,'⚪设计'!$A$253:$K$272,7+2,FALSE)="","",VLOOKUP(A65,'⚪设计'!$A$253:$K$272,7+2,FALSE))</f>
        <v>4</v>
      </c>
      <c r="M65" s="71">
        <f>IF(J65="",0,ROUND(VLOOKUP($A65,'⚪设计'!$A$253:$G$272,2,FALSE)*$B65/SUM(IF($E65="",0,VLOOKUP($E65,'⚪设计'!$C$85:$E$113,3,FALSE))*$F65,IF($J65="",0,VLOOKUP($J65,'⚪设计'!$C$85:$E$113,3,FALSE))*$K65,IF($O65="",0,VLOOKUP($O65,'⚪设计'!$C$85:$E$113,3,FALSE))*$P65,IF($T65="",0,VLOOKUP($T65,'⚪设计'!$C$85:$E$113,3,FALSE))*$U65)*VLOOKUP(J65,'⚪设计'!$C$85:$E$113,3,FALSE),0))</f>
        <v>49038</v>
      </c>
      <c r="N65" s="71">
        <f>ROUND(战斗节奏!$B$3/SUM(IF(无限模式!$E65="",0,VLOOKUP(无限模式!$E65,'⚪设计'!$C$85:$I$113,4,FALSE)*无限模式!$F65),IF(无限模式!$J65="",0,VLOOKUP(无限模式!$J65,'⚪设计'!$C$85:$I$113,4,FALSE)*无限模式!$K65),IF(无限模式!$O65="",0,VLOOKUP(无限模式!$O65,'⚪设计'!$C$85:$I$113,4,FALSE)*无限模式!$P65),IF(无限模式!$T65="",0,VLOOKUP(无限模式!$T65,'⚪设计'!$C$85:$I$113,4,FALSE)*无限模式!$U65))*IF(J65="",0,VLOOKUP(J65,'⚪设计'!$C$85:$I$113,4,FALSE)),0)</f>
        <v>46</v>
      </c>
      <c r="O65" s="71" t="str">
        <f>IF(VLOOKUP(A65,'⚪设计'!$A$253:$G$272,6,FALSE)="","",VLOOKUP(VLOOKUP(A65,'⚪设计'!$A$253:$G$272,6,FALSE),'⚪设计'!$B$85:$D$113,2,FALSE))</f>
        <v/>
      </c>
      <c r="P65" s="71">
        <f t="shared" si="10"/>
        <v>0</v>
      </c>
      <c r="Q65" s="71" t="str">
        <f>IF(VLOOKUP($A65,'⚪设计'!$A$253:$K$272,7+3,FALSE)="","",VLOOKUP(A65,'⚪设计'!$A$253:$K$272,7+3,FALSE))</f>
        <v/>
      </c>
      <c r="R65" s="71">
        <f>IF(O65="",0,ROUND(VLOOKUP($A65,'⚪设计'!$A$253:$G$272,2,FALSE)*$B65/SUM(IF($E65="",0,VLOOKUP($E65,'⚪设计'!$C$85:$E$113,3,FALSE))*$F65,IF($J65="",0,VLOOKUP($J65,'⚪设计'!$C$85:$E$113,3,FALSE))*$K65,IF($O65="",0,VLOOKUP($O65,'⚪设计'!$C$85:$E$113,3,FALSE))*$P65,IF($T65="",0,VLOOKUP($T65,'⚪设计'!$C$85:$E$113,3,FALSE))*$U65)*VLOOKUP(O65,'⚪设计'!$C$85:$E$113,3,FALSE),0))</f>
        <v>0</v>
      </c>
      <c r="S65" s="71">
        <f>ROUND(战斗节奏!$B$3/SUM(IF(无限模式!$E65="",0,VLOOKUP(无限模式!$E65,'⚪设计'!$C$85:$I$113,4,FALSE)*无限模式!$F65),IF(无限模式!$J65="",0,VLOOKUP(无限模式!$J65,'⚪设计'!$C$85:$I$113,4,FALSE)*无限模式!$K65),IF(无限模式!$O65="",0,VLOOKUP(无限模式!$O65,'⚪设计'!$C$85:$I$113,4,FALSE)*无限模式!$P65),IF(无限模式!$T65="",0,VLOOKUP(无限模式!$T65,'⚪设计'!$C$85:$I$113,4,FALSE)*无限模式!$U65))*IF(O65="",0,VLOOKUP(O65,'⚪设计'!$C$85:$I$113,4,FALSE)),0)</f>
        <v>0</v>
      </c>
      <c r="T65" s="71" t="str">
        <f>IF(VLOOKUP(A65,'⚪设计'!$A$253:$G$272,7,FALSE)="","",VLOOKUP(VLOOKUP(A65,'⚪设计'!$A$253:$G$272,7,FALSE),'⚪设计'!$B$85:$D$113,2,FALSE))</f>
        <v/>
      </c>
      <c r="U65" s="71">
        <f t="shared" si="11"/>
        <v>0</v>
      </c>
      <c r="V65" s="71" t="str">
        <f>IF(VLOOKUP($A65,'⚪设计'!$A$253:$K$272,7+4,FALSE)="","",VLOOKUP(A65,'⚪设计'!$A$253:$K$272,7+4,FALSE))</f>
        <v/>
      </c>
      <c r="W65" s="71">
        <f>IF(T65="",0,ROUND(VLOOKUP($A65,'⚪设计'!$A$253:$G$272,2,FALSE)*$B65/SUM(IF($E65="",0,VLOOKUP($E65,'⚪设计'!$C$85:$E$113,3,FALSE))*$F65,IF($J65="",0,VLOOKUP($J65,'⚪设计'!$C$85:$E$113,3,FALSE))*$K65,IF($O65="",0,VLOOKUP($O65,'⚪设计'!$C$85:$E$113,3,FALSE))*$P65,IF($T65="",0,VLOOKUP($T65,'⚪设计'!$C$85:$E$113,3,FALSE))*$U65)*VLOOKUP(T65,'⚪设计'!$C$85:$E$113,3,FALSE),0))</f>
        <v>0</v>
      </c>
      <c r="X65" s="71">
        <f>ROUND(战斗节奏!$B$3/SUM(IF(无限模式!$E65="",0,VLOOKUP(无限模式!$E65,'⚪设计'!$C$85:$I$113,4,FALSE)*无限模式!$F65),IF(无限模式!$J65="",0,VLOOKUP(无限模式!$J65,'⚪设计'!$C$85:$I$113,4,FALSE)*无限模式!$K65),IF(无限模式!$O65="",0,VLOOKUP(无限模式!$O65,'⚪设计'!$C$85:$I$113,4,FALSE)*无限模式!$P65),IF(无限模式!$T65="",0,VLOOKUP(无限模式!$T65,'⚪设计'!$C$85:$I$113,4,FALSE)*无限模式!$U65))*IF(T65="",0,VLOOKUP(T65,'⚪设计'!$C$85:$I$113,4,FALSE)),0)</f>
        <v>0</v>
      </c>
      <c r="Y65" s="94">
        <v>45</v>
      </c>
    </row>
    <row r="66" spans="1:25" x14ac:dyDescent="0.2">
      <c r="A66" s="94">
        <v>15</v>
      </c>
      <c r="B66" s="71">
        <f>MAX(MIN(战斗节奏!$C$3-INT(A66/'⚪设计'!$C$55),MOD(A66,'⚪设计'!$C$55)),0)*'⚪设计'!$C$79*防御塔!$C$2+MIN(INT(A66/'⚪设计'!$C$55),战斗节奏!$C$3)*'⚪设计'!$C$80*防御塔!$C$2</f>
        <v>8100</v>
      </c>
      <c r="C66" s="173">
        <v>1.7</v>
      </c>
      <c r="D66" s="173">
        <v>24</v>
      </c>
      <c r="E66" s="71" t="str">
        <f>IF(VLOOKUP(A66,'⚪设计'!$A$253:$G$272,4,FALSE)="","",VLOOKUP(VLOOKUP(A66,'⚪设计'!$A$253:$G$272,4,FALSE),'⚪设计'!$B$85:$D$113,2,FALSE))</f>
        <v>ResUnit_Gui1</v>
      </c>
      <c r="F66" s="71">
        <f t="shared" si="8"/>
        <v>48</v>
      </c>
      <c r="G66" s="71">
        <f>IF(VLOOKUP($A66,'⚪设计'!$A$253:$K$272,7+1,FALSE)="","",VLOOKUP(A66,'⚪设计'!$A$253:$K$272,7+1,FALSE))</f>
        <v>0.5</v>
      </c>
      <c r="H66" s="71">
        <f>IF(E66="",0,ROUND(VLOOKUP($A66,'⚪设计'!$A$253:$G$272,2,FALSE)*$B66/SUM(IF($E66="",0,VLOOKUP($E66,'⚪设计'!$C$85:$E$113,3,FALSE))*$F66,IF($J66="",0,VLOOKUP($J66,'⚪设计'!$C$85:$E$113,3,FALSE))*$K66,IF($O66="",0,VLOOKUP($O66,'⚪设计'!$C$85:$E$113,3,FALSE))*$P66,IF($T66="",0,VLOOKUP($T66,'⚪设计'!$C$85:$E$113,3,FALSE))*$U66)*VLOOKUP(E66,'⚪设计'!$C$85:$E$113,3,FALSE),0))</f>
        <v>4556</v>
      </c>
      <c r="I66" s="71">
        <f>ROUND(战斗节奏!$B$3/SUM(IF(无限模式!$E66="",0,VLOOKUP(无限模式!$E66,'⚪设计'!$C$85:$I$113,4,FALSE)*无限模式!$F66),IF(无限模式!$J66="",0,VLOOKUP(无限模式!$J66,'⚪设计'!$C$85:$I$113,4,FALSE)*无限模式!$K66),IF(无限模式!$O66="",0,VLOOKUP(无限模式!$O66,'⚪设计'!$C$85:$I$113,4,FALSE)*无限模式!$P66),IF(无限模式!$T66="",0,VLOOKUP(无限模式!$T66,'⚪设计'!$C$85:$I$113,4,FALSE)*无限模式!$U66))*IF(E66="",0,VLOOKUP(E66,'⚪设计'!$C$85:$I$113,4,FALSE)),0)</f>
        <v>4</v>
      </c>
      <c r="J66" s="71" t="str">
        <f>IF(VLOOKUP(A66,'⚪设计'!$A$253:$G$272,5,FALSE)="","",VLOOKUP(VLOOKUP(A66,'⚪设计'!$A$253:$G$272,5,FALSE),'⚪设计'!$B$85:$D$113,2,FALSE))</f>
        <v>ResUnit_ZhongZi2</v>
      </c>
      <c r="K66" s="71">
        <f t="shared" si="9"/>
        <v>12</v>
      </c>
      <c r="L66" s="71">
        <f>IF(VLOOKUP($A66,'⚪设计'!$A$253:$K$272,7+2,FALSE)="","",VLOOKUP(A66,'⚪设计'!$A$253:$K$272,7+2,FALSE))</f>
        <v>2</v>
      </c>
      <c r="M66" s="71">
        <f>IF(J66="",0,ROUND(VLOOKUP($A66,'⚪设计'!$A$253:$G$272,2,FALSE)*$B66/SUM(IF($E66="",0,VLOOKUP($E66,'⚪设计'!$C$85:$E$113,3,FALSE))*$F66,IF($J66="",0,VLOOKUP($J66,'⚪设计'!$C$85:$E$113,3,FALSE))*$K66,IF($O66="",0,VLOOKUP($O66,'⚪设计'!$C$85:$E$113,3,FALSE))*$P66,IF($T66="",0,VLOOKUP($T66,'⚪设计'!$C$85:$E$113,3,FALSE))*$U66)*VLOOKUP(J66,'⚪设计'!$C$85:$E$113,3,FALSE),0))</f>
        <v>27338</v>
      </c>
      <c r="N66" s="71">
        <f>ROUND(战斗节奏!$B$3/SUM(IF(无限模式!$E66="",0,VLOOKUP(无限模式!$E66,'⚪设计'!$C$85:$I$113,4,FALSE)*无限模式!$F66),IF(无限模式!$J66="",0,VLOOKUP(无限模式!$J66,'⚪设计'!$C$85:$I$113,4,FALSE)*无限模式!$K66),IF(无限模式!$O66="",0,VLOOKUP(无限模式!$O66,'⚪设计'!$C$85:$I$113,4,FALSE)*无限模式!$P66),IF(无限模式!$T66="",0,VLOOKUP(无限模式!$T66,'⚪设计'!$C$85:$I$113,4,FALSE)*无限模式!$U66))*IF(J66="",0,VLOOKUP(J66,'⚪设计'!$C$85:$I$113,4,FALSE)),0)</f>
        <v>8</v>
      </c>
      <c r="O66" s="71" t="str">
        <f>IF(VLOOKUP(A66,'⚪设计'!$A$253:$G$272,6,FALSE)="","",VLOOKUP(VLOOKUP(A66,'⚪设计'!$A$253:$G$272,6,FALSE),'⚪设计'!$B$85:$D$113,2,FALSE))</f>
        <v/>
      </c>
      <c r="P66" s="71">
        <f t="shared" si="10"/>
        <v>0</v>
      </c>
      <c r="Q66" s="71" t="str">
        <f>IF(VLOOKUP($A66,'⚪设计'!$A$253:$K$272,7+3,FALSE)="","",VLOOKUP(A66,'⚪设计'!$A$253:$K$272,7+3,FALSE))</f>
        <v/>
      </c>
      <c r="R66" s="71">
        <f>IF(O66="",0,ROUND(VLOOKUP($A66,'⚪设计'!$A$253:$G$272,2,FALSE)*$B66/SUM(IF($E66="",0,VLOOKUP($E66,'⚪设计'!$C$85:$E$113,3,FALSE))*$F66,IF($J66="",0,VLOOKUP($J66,'⚪设计'!$C$85:$E$113,3,FALSE))*$K66,IF($O66="",0,VLOOKUP($O66,'⚪设计'!$C$85:$E$113,3,FALSE))*$P66,IF($T66="",0,VLOOKUP($T66,'⚪设计'!$C$85:$E$113,3,FALSE))*$U66)*VLOOKUP(O66,'⚪设计'!$C$85:$E$113,3,FALSE),0))</f>
        <v>0</v>
      </c>
      <c r="S66" s="71">
        <f>ROUND(战斗节奏!$B$3/SUM(IF(无限模式!$E66="",0,VLOOKUP(无限模式!$E66,'⚪设计'!$C$85:$I$113,4,FALSE)*无限模式!$F66),IF(无限模式!$J66="",0,VLOOKUP(无限模式!$J66,'⚪设计'!$C$85:$I$113,4,FALSE)*无限模式!$K66),IF(无限模式!$O66="",0,VLOOKUP(无限模式!$O66,'⚪设计'!$C$85:$I$113,4,FALSE)*无限模式!$P66),IF(无限模式!$T66="",0,VLOOKUP(无限模式!$T66,'⚪设计'!$C$85:$I$113,4,FALSE)*无限模式!$U66))*IF(O66="",0,VLOOKUP(O66,'⚪设计'!$C$85:$I$113,4,FALSE)),0)</f>
        <v>0</v>
      </c>
      <c r="T66" s="71" t="str">
        <f>IF(VLOOKUP(A66,'⚪设计'!$A$253:$G$272,7,FALSE)="","",VLOOKUP(VLOOKUP(A66,'⚪设计'!$A$253:$G$272,7,FALSE),'⚪设计'!$B$85:$D$113,2,FALSE))</f>
        <v/>
      </c>
      <c r="U66" s="71">
        <f t="shared" si="11"/>
        <v>0</v>
      </c>
      <c r="V66" s="71" t="str">
        <f>IF(VLOOKUP($A66,'⚪设计'!$A$253:$K$272,7+4,FALSE)="","",VLOOKUP(A66,'⚪设计'!$A$253:$K$272,7+4,FALSE))</f>
        <v/>
      </c>
      <c r="W66" s="71">
        <f>IF(T66="",0,ROUND(VLOOKUP($A66,'⚪设计'!$A$253:$G$272,2,FALSE)*$B66/SUM(IF($E66="",0,VLOOKUP($E66,'⚪设计'!$C$85:$E$113,3,FALSE))*$F66,IF($J66="",0,VLOOKUP($J66,'⚪设计'!$C$85:$E$113,3,FALSE))*$K66,IF($O66="",0,VLOOKUP($O66,'⚪设计'!$C$85:$E$113,3,FALSE))*$P66,IF($T66="",0,VLOOKUP($T66,'⚪设计'!$C$85:$E$113,3,FALSE))*$U66)*VLOOKUP(T66,'⚪设计'!$C$85:$E$113,3,FALSE),0))</f>
        <v>0</v>
      </c>
      <c r="X66" s="71">
        <f>ROUND(战斗节奏!$B$3/SUM(IF(无限模式!$E66="",0,VLOOKUP(无限模式!$E66,'⚪设计'!$C$85:$I$113,4,FALSE)*无限模式!$F66),IF(无限模式!$J66="",0,VLOOKUP(无限模式!$J66,'⚪设计'!$C$85:$I$113,4,FALSE)*无限模式!$K66),IF(无限模式!$O66="",0,VLOOKUP(无限模式!$O66,'⚪设计'!$C$85:$I$113,4,FALSE)*无限模式!$P66),IF(无限模式!$T66="",0,VLOOKUP(无限模式!$T66,'⚪设计'!$C$85:$I$113,4,FALSE)*无限模式!$U66))*IF(T66="",0,VLOOKUP(T66,'⚪设计'!$C$85:$I$113,4,FALSE)),0)</f>
        <v>0</v>
      </c>
      <c r="Y66" s="94">
        <v>67.5</v>
      </c>
    </row>
    <row r="67" spans="1:25" x14ac:dyDescent="0.2">
      <c r="A67" s="94">
        <v>16</v>
      </c>
      <c r="B67" s="71">
        <f>MAX(MIN(战斗节奏!$C$3-INT(A67/'⚪设计'!$C$55),MOD(A67,'⚪设计'!$C$55)),0)*'⚪设计'!$C$79*防御塔!$C$2+MIN(INT(A67/'⚪设计'!$C$55),战斗节奏!$C$3)*'⚪设计'!$C$80*防御塔!$C$2</f>
        <v>8640</v>
      </c>
      <c r="C67" s="173">
        <v>1.75</v>
      </c>
      <c r="D67" s="173">
        <v>25</v>
      </c>
      <c r="E67" s="71" t="str">
        <f>IF(VLOOKUP(A67,'⚪设计'!$A$253:$G$272,4,FALSE)="","",VLOOKUP(VLOOKUP(A67,'⚪设计'!$A$253:$G$272,4,FALSE),'⚪设计'!$B$85:$D$113,2,FALSE))</f>
        <v>ResUnit_Rou2</v>
      </c>
      <c r="F67" s="71">
        <f t="shared" si="8"/>
        <v>6</v>
      </c>
      <c r="G67" s="71">
        <f>IF(VLOOKUP($A67,'⚪设计'!$A$253:$K$272,7+1,FALSE)="","",VLOOKUP(A67,'⚪设计'!$A$253:$K$272,7+1,FALSE))</f>
        <v>4</v>
      </c>
      <c r="H67" s="71">
        <f>IF(E67="",0,ROUND(VLOOKUP($A67,'⚪设计'!$A$253:$G$272,2,FALSE)*$B67/SUM(IF($E67="",0,VLOOKUP($E67,'⚪设计'!$C$85:$E$113,3,FALSE))*$F67,IF($J67="",0,VLOOKUP($J67,'⚪设计'!$C$85:$E$113,3,FALSE))*$K67,IF($O67="",0,VLOOKUP($O67,'⚪设计'!$C$85:$E$113,3,FALSE))*$P67,IF($T67="",0,VLOOKUP($T67,'⚪设计'!$C$85:$E$113,3,FALSE))*$U67)*VLOOKUP(E67,'⚪设计'!$C$85:$E$113,3,FALSE),0))</f>
        <v>91482</v>
      </c>
      <c r="I67" s="71">
        <f>ROUND(战斗节奏!$B$3/SUM(IF(无限模式!$E67="",0,VLOOKUP(无限模式!$E67,'⚪设计'!$C$85:$I$113,4,FALSE)*无限模式!$F67),IF(无限模式!$J67="",0,VLOOKUP(无限模式!$J67,'⚪设计'!$C$85:$I$113,4,FALSE)*无限模式!$K67),IF(无限模式!$O67="",0,VLOOKUP(无限模式!$O67,'⚪设计'!$C$85:$I$113,4,FALSE)*无限模式!$P67),IF(无限模式!$T67="",0,VLOOKUP(无限模式!$T67,'⚪设计'!$C$85:$I$113,4,FALSE)*无限模式!$U67))*IF(E67="",0,VLOOKUP(E67,'⚪设计'!$C$85:$I$113,4,FALSE)),0)</f>
        <v>45</v>
      </c>
      <c r="J67" s="71" t="str">
        <f>IF(VLOOKUP(A67,'⚪设计'!$A$253:$G$272,5,FALSE)="","",VLOOKUP(VLOOKUP(A67,'⚪设计'!$A$253:$G$272,5,FALSE),'⚪设计'!$B$85:$D$113,2,FALSE))</f>
        <v>ResUnit_Gui3</v>
      </c>
      <c r="K67" s="71">
        <f t="shared" si="9"/>
        <v>1</v>
      </c>
      <c r="L67" s="71">
        <f>IF(VLOOKUP($A67,'⚪设计'!$A$253:$K$272,7+2,FALSE)="","",VLOOKUP(A67,'⚪设计'!$A$253:$K$272,7+2,FALSE))</f>
        <v>0</v>
      </c>
      <c r="M67" s="71">
        <f>IF(J67="",0,ROUND(VLOOKUP($A67,'⚪设计'!$A$253:$G$272,2,FALSE)*$B67/SUM(IF($E67="",0,VLOOKUP($E67,'⚪设计'!$C$85:$E$113,3,FALSE))*$F67,IF($J67="",0,VLOOKUP($J67,'⚪设计'!$C$85:$E$113,3,FALSE))*$K67,IF($O67="",0,VLOOKUP($O67,'⚪设计'!$C$85:$E$113,3,FALSE))*$P67,IF($T67="",0,VLOOKUP($T67,'⚪设计'!$C$85:$E$113,3,FALSE))*$U67)*VLOOKUP(J67,'⚪设计'!$C$85:$E$113,3,FALSE),0))</f>
        <v>228706</v>
      </c>
      <c r="N67" s="71">
        <f>ROUND(战斗节奏!$B$3/SUM(IF(无限模式!$E67="",0,VLOOKUP(无限模式!$E67,'⚪设计'!$C$85:$I$113,4,FALSE)*无限模式!$F67),IF(无限模式!$J67="",0,VLOOKUP(无限模式!$J67,'⚪设计'!$C$85:$I$113,4,FALSE)*无限模式!$K67),IF(无限模式!$O67="",0,VLOOKUP(无限模式!$O67,'⚪设计'!$C$85:$I$113,4,FALSE)*无限模式!$P67),IF(无限模式!$T67="",0,VLOOKUP(无限模式!$T67,'⚪设计'!$C$85:$I$113,4,FALSE)*无限模式!$U67))*IF(J67="",0,VLOOKUP(J67,'⚪设计'!$C$85:$I$113,4,FALSE)),0)</f>
        <v>30</v>
      </c>
      <c r="O67" s="71" t="str">
        <f>IF(VLOOKUP(A67,'⚪设计'!$A$253:$G$272,6,FALSE)="","",VLOOKUP(VLOOKUP(A67,'⚪设计'!$A$253:$G$272,6,FALSE),'⚪设计'!$B$85:$D$113,2,FALSE))</f>
        <v/>
      </c>
      <c r="P67" s="71">
        <f t="shared" si="10"/>
        <v>0</v>
      </c>
      <c r="Q67" s="71" t="str">
        <f>IF(VLOOKUP($A67,'⚪设计'!$A$253:$K$272,7+3,FALSE)="","",VLOOKUP(A67,'⚪设计'!$A$253:$K$272,7+3,FALSE))</f>
        <v/>
      </c>
      <c r="R67" s="71">
        <f>IF(O67="",0,ROUND(VLOOKUP($A67,'⚪设计'!$A$253:$G$272,2,FALSE)*$B67/SUM(IF($E67="",0,VLOOKUP($E67,'⚪设计'!$C$85:$E$113,3,FALSE))*$F67,IF($J67="",0,VLOOKUP($J67,'⚪设计'!$C$85:$E$113,3,FALSE))*$K67,IF($O67="",0,VLOOKUP($O67,'⚪设计'!$C$85:$E$113,3,FALSE))*$P67,IF($T67="",0,VLOOKUP($T67,'⚪设计'!$C$85:$E$113,3,FALSE))*$U67)*VLOOKUP(O67,'⚪设计'!$C$85:$E$113,3,FALSE),0))</f>
        <v>0</v>
      </c>
      <c r="S67" s="71">
        <f>ROUND(战斗节奏!$B$3/SUM(IF(无限模式!$E67="",0,VLOOKUP(无限模式!$E67,'⚪设计'!$C$85:$I$113,4,FALSE)*无限模式!$F67),IF(无限模式!$J67="",0,VLOOKUP(无限模式!$J67,'⚪设计'!$C$85:$I$113,4,FALSE)*无限模式!$K67),IF(无限模式!$O67="",0,VLOOKUP(无限模式!$O67,'⚪设计'!$C$85:$I$113,4,FALSE)*无限模式!$P67),IF(无限模式!$T67="",0,VLOOKUP(无限模式!$T67,'⚪设计'!$C$85:$I$113,4,FALSE)*无限模式!$U67))*IF(O67="",0,VLOOKUP(O67,'⚪设计'!$C$85:$I$113,4,FALSE)),0)</f>
        <v>0</v>
      </c>
      <c r="T67" s="71" t="str">
        <f>IF(VLOOKUP(A67,'⚪设计'!$A$253:$G$272,7,FALSE)="","",VLOOKUP(VLOOKUP(A67,'⚪设计'!$A$253:$G$272,7,FALSE),'⚪设计'!$B$85:$D$113,2,FALSE))</f>
        <v/>
      </c>
      <c r="U67" s="71">
        <f t="shared" si="11"/>
        <v>0</v>
      </c>
      <c r="V67" s="71" t="str">
        <f>IF(VLOOKUP($A67,'⚪设计'!$A$253:$K$272,7+4,FALSE)="","",VLOOKUP(A67,'⚪设计'!$A$253:$K$272,7+4,FALSE))</f>
        <v/>
      </c>
      <c r="W67" s="71">
        <f>IF(T67="",0,ROUND(VLOOKUP($A67,'⚪设计'!$A$253:$G$272,2,FALSE)*$B67/SUM(IF($E67="",0,VLOOKUP($E67,'⚪设计'!$C$85:$E$113,3,FALSE))*$F67,IF($J67="",0,VLOOKUP($J67,'⚪设计'!$C$85:$E$113,3,FALSE))*$K67,IF($O67="",0,VLOOKUP($O67,'⚪设计'!$C$85:$E$113,3,FALSE))*$P67,IF($T67="",0,VLOOKUP($T67,'⚪设计'!$C$85:$E$113,3,FALSE))*$U67)*VLOOKUP(T67,'⚪设计'!$C$85:$E$113,3,FALSE),0))</f>
        <v>0</v>
      </c>
      <c r="X67" s="71">
        <f>ROUND(战斗节奏!$B$3/SUM(IF(无限模式!$E67="",0,VLOOKUP(无限模式!$E67,'⚪设计'!$C$85:$I$113,4,FALSE)*无限模式!$F67),IF(无限模式!$J67="",0,VLOOKUP(无限模式!$J67,'⚪设计'!$C$85:$I$113,4,FALSE)*无限模式!$K67),IF(无限模式!$O67="",0,VLOOKUP(无限模式!$O67,'⚪设计'!$C$85:$I$113,4,FALSE)*无限模式!$P67),IF(无限模式!$T67="",0,VLOOKUP(无限模式!$T67,'⚪设计'!$C$85:$I$113,4,FALSE)*无限模式!$U67))*IF(T67="",0,VLOOKUP(T67,'⚪设计'!$C$85:$I$113,4,FALSE)),0)</f>
        <v>0</v>
      </c>
      <c r="Y67" s="94">
        <v>90</v>
      </c>
    </row>
    <row r="68" spans="1:25" x14ac:dyDescent="0.2">
      <c r="A68" s="94">
        <v>17</v>
      </c>
      <c r="B68" s="71">
        <f>MAX(MIN(战斗节奏!$C$3-INT(A68/'⚪设计'!$C$55),MOD(A68,'⚪设计'!$C$55)),0)*'⚪设计'!$C$79*防御塔!$C$2+MIN(INT(A68/'⚪设计'!$C$55),战斗节奏!$C$3)*'⚪设计'!$C$80*防御塔!$C$2</f>
        <v>9180</v>
      </c>
      <c r="C68" s="173">
        <v>1.8</v>
      </c>
      <c r="D68" s="173">
        <v>26</v>
      </c>
      <c r="E68" s="71" t="str">
        <f>IF(VLOOKUP(A68,'⚪设计'!$A$253:$G$272,4,FALSE)="","",VLOOKUP(VLOOKUP(A68,'⚪设计'!$A$253:$G$272,4,FALSE),'⚪设计'!$B$85:$D$113,2,FALSE))</f>
        <v>ResUnit_Rou3</v>
      </c>
      <c r="F68" s="71">
        <f t="shared" si="8"/>
        <v>4</v>
      </c>
      <c r="G68" s="71">
        <f>IF(VLOOKUP($A68,'⚪设计'!$A$253:$K$272,7+1,FALSE)="","",VLOOKUP(A68,'⚪设计'!$A$253:$K$272,7+1,FALSE))</f>
        <v>6</v>
      </c>
      <c r="H68" s="71">
        <f>IF(E68="",0,ROUND(VLOOKUP($A68,'⚪设计'!$A$253:$G$272,2,FALSE)*$B68/SUM(IF($E68="",0,VLOOKUP($E68,'⚪设计'!$C$85:$E$113,3,FALSE))*$F68,IF($J68="",0,VLOOKUP($J68,'⚪设计'!$C$85:$E$113,3,FALSE))*$K68,IF($O68="",0,VLOOKUP($O68,'⚪设计'!$C$85:$E$113,3,FALSE))*$P68,IF($T68="",0,VLOOKUP($T68,'⚪设计'!$C$85:$E$113,3,FALSE))*$U68)*VLOOKUP(E68,'⚪设计'!$C$85:$E$113,3,FALSE),0))</f>
        <v>110160</v>
      </c>
      <c r="I68" s="71">
        <f>ROUND(战斗节奏!$B$3/SUM(IF(无限模式!$E68="",0,VLOOKUP(无限模式!$E68,'⚪设计'!$C$85:$I$113,4,FALSE)*无限模式!$F68),IF(无限模式!$J68="",0,VLOOKUP(无限模式!$J68,'⚪设计'!$C$85:$I$113,4,FALSE)*无限模式!$K68),IF(无限模式!$O68="",0,VLOOKUP(无限模式!$O68,'⚪设计'!$C$85:$I$113,4,FALSE)*无限模式!$P68),IF(无限模式!$T68="",0,VLOOKUP(无限模式!$T68,'⚪设计'!$C$85:$I$113,4,FALSE)*无限模式!$U68))*IF(E68="",0,VLOOKUP(E68,'⚪设计'!$C$85:$I$113,4,FALSE)),0)</f>
        <v>67</v>
      </c>
      <c r="J68" s="71" t="str">
        <f>IF(VLOOKUP(A68,'⚪设计'!$A$253:$G$272,5,FALSE)="","",VLOOKUP(VLOOKUP(A68,'⚪设计'!$A$253:$G$272,5,FALSE),'⚪设计'!$B$85:$D$113,2,FALSE))</f>
        <v>ResUnit_Dan2</v>
      </c>
      <c r="K68" s="71">
        <f t="shared" si="9"/>
        <v>9</v>
      </c>
      <c r="L68" s="71">
        <f>IF(VLOOKUP($A68,'⚪设计'!$A$253:$K$272,7+2,FALSE)="","",VLOOKUP(A68,'⚪设计'!$A$253:$K$272,7+2,FALSE))</f>
        <v>3</v>
      </c>
      <c r="M68" s="71">
        <f>IF(J68="",0,ROUND(VLOOKUP($A68,'⚪设计'!$A$253:$G$272,2,FALSE)*$B68/SUM(IF($E68="",0,VLOOKUP($E68,'⚪设计'!$C$85:$E$113,3,FALSE))*$F68,IF($J68="",0,VLOOKUP($J68,'⚪设计'!$C$85:$E$113,3,FALSE))*$K68,IF($O68="",0,VLOOKUP($O68,'⚪设计'!$C$85:$E$113,3,FALSE))*$P68,IF($T68="",0,VLOOKUP($T68,'⚪设计'!$C$85:$E$113,3,FALSE))*$U68)*VLOOKUP(J68,'⚪设计'!$C$85:$E$113,3,FALSE),0))</f>
        <v>27540</v>
      </c>
      <c r="N68" s="71">
        <f>ROUND(战斗节奏!$B$3/SUM(IF(无限模式!$E68="",0,VLOOKUP(无限模式!$E68,'⚪设计'!$C$85:$I$113,4,FALSE)*无限模式!$F68),IF(无限模式!$J68="",0,VLOOKUP(无限模式!$J68,'⚪设计'!$C$85:$I$113,4,FALSE)*无限模式!$K68),IF(无限模式!$O68="",0,VLOOKUP(无限模式!$O68,'⚪设计'!$C$85:$I$113,4,FALSE)*无限模式!$P68),IF(无限模式!$T68="",0,VLOOKUP(无限模式!$T68,'⚪设计'!$C$85:$I$113,4,FALSE)*无限模式!$U68))*IF(J68="",0,VLOOKUP(J68,'⚪设计'!$C$85:$I$113,4,FALSE)),0)</f>
        <v>3</v>
      </c>
      <c r="O68" s="71" t="str">
        <f>IF(VLOOKUP(A68,'⚪设计'!$A$253:$G$272,6,FALSE)="","",VLOOKUP(VLOOKUP(A68,'⚪设计'!$A$253:$G$272,6,FALSE),'⚪设计'!$B$85:$D$113,2,FALSE))</f>
        <v/>
      </c>
      <c r="P68" s="71">
        <f t="shared" si="10"/>
        <v>0</v>
      </c>
      <c r="Q68" s="71" t="str">
        <f>IF(VLOOKUP($A68,'⚪设计'!$A$253:$K$272,7+3,FALSE)="","",VLOOKUP(A68,'⚪设计'!$A$253:$K$272,7+3,FALSE))</f>
        <v/>
      </c>
      <c r="R68" s="71">
        <f>IF(O68="",0,ROUND(VLOOKUP($A68,'⚪设计'!$A$253:$G$272,2,FALSE)*$B68/SUM(IF($E68="",0,VLOOKUP($E68,'⚪设计'!$C$85:$E$113,3,FALSE))*$F68,IF($J68="",0,VLOOKUP($J68,'⚪设计'!$C$85:$E$113,3,FALSE))*$K68,IF($O68="",0,VLOOKUP($O68,'⚪设计'!$C$85:$E$113,3,FALSE))*$P68,IF($T68="",0,VLOOKUP($T68,'⚪设计'!$C$85:$E$113,3,FALSE))*$U68)*VLOOKUP(O68,'⚪设计'!$C$85:$E$113,3,FALSE),0))</f>
        <v>0</v>
      </c>
      <c r="S68" s="71">
        <f>ROUND(战斗节奏!$B$3/SUM(IF(无限模式!$E68="",0,VLOOKUP(无限模式!$E68,'⚪设计'!$C$85:$I$113,4,FALSE)*无限模式!$F68),IF(无限模式!$J68="",0,VLOOKUP(无限模式!$J68,'⚪设计'!$C$85:$I$113,4,FALSE)*无限模式!$K68),IF(无限模式!$O68="",0,VLOOKUP(无限模式!$O68,'⚪设计'!$C$85:$I$113,4,FALSE)*无限模式!$P68),IF(无限模式!$T68="",0,VLOOKUP(无限模式!$T68,'⚪设计'!$C$85:$I$113,4,FALSE)*无限模式!$U68))*IF(O68="",0,VLOOKUP(O68,'⚪设计'!$C$85:$I$113,4,FALSE)),0)</f>
        <v>0</v>
      </c>
      <c r="T68" s="71" t="str">
        <f>IF(VLOOKUP(A68,'⚪设计'!$A$253:$G$272,7,FALSE)="","",VLOOKUP(VLOOKUP(A68,'⚪设计'!$A$253:$G$272,7,FALSE),'⚪设计'!$B$85:$D$113,2,FALSE))</f>
        <v/>
      </c>
      <c r="U68" s="71">
        <f t="shared" si="11"/>
        <v>0</v>
      </c>
      <c r="V68" s="71" t="str">
        <f>IF(VLOOKUP($A68,'⚪设计'!$A$253:$K$272,7+4,FALSE)="","",VLOOKUP(A68,'⚪设计'!$A$253:$K$272,7+4,FALSE))</f>
        <v/>
      </c>
      <c r="W68" s="71">
        <f>IF(T68="",0,ROUND(VLOOKUP($A68,'⚪设计'!$A$253:$G$272,2,FALSE)*$B68/SUM(IF($E68="",0,VLOOKUP($E68,'⚪设计'!$C$85:$E$113,3,FALSE))*$F68,IF($J68="",0,VLOOKUP($J68,'⚪设计'!$C$85:$E$113,3,FALSE))*$K68,IF($O68="",0,VLOOKUP($O68,'⚪设计'!$C$85:$E$113,3,FALSE))*$P68,IF($T68="",0,VLOOKUP($T68,'⚪设计'!$C$85:$E$113,3,FALSE))*$U68)*VLOOKUP(T68,'⚪设计'!$C$85:$E$113,3,FALSE),0))</f>
        <v>0</v>
      </c>
      <c r="X68" s="71">
        <f>ROUND(战斗节奏!$B$3/SUM(IF(无限模式!$E68="",0,VLOOKUP(无限模式!$E68,'⚪设计'!$C$85:$I$113,4,FALSE)*无限模式!$F68),IF(无限模式!$J68="",0,VLOOKUP(无限模式!$J68,'⚪设计'!$C$85:$I$113,4,FALSE)*无限模式!$K68),IF(无限模式!$O68="",0,VLOOKUP(无限模式!$O68,'⚪设计'!$C$85:$I$113,4,FALSE)*无限模式!$P68),IF(无限模式!$T68="",0,VLOOKUP(无限模式!$T68,'⚪设计'!$C$85:$I$113,4,FALSE)*无限模式!$U68))*IF(T68="",0,VLOOKUP(T68,'⚪设计'!$C$85:$I$113,4,FALSE)),0)</f>
        <v>0</v>
      </c>
      <c r="Y68" s="94">
        <v>75</v>
      </c>
    </row>
    <row r="69" spans="1:25" x14ac:dyDescent="0.2">
      <c r="A69" s="94">
        <v>18</v>
      </c>
      <c r="B69" s="71">
        <f>MAX(MIN(战斗节奏!$C$3-INT(A69/'⚪设计'!$C$55),MOD(A69,'⚪设计'!$C$55)),0)*'⚪设计'!$C$79*防御塔!$C$2+MIN(INT(A69/'⚪设计'!$C$55),战斗节奏!$C$3)*'⚪设计'!$C$80*防御塔!$C$2</f>
        <v>9719.9999999999982</v>
      </c>
      <c r="C69" s="173">
        <v>1.85</v>
      </c>
      <c r="D69" s="173">
        <v>27</v>
      </c>
      <c r="E69" s="71" t="str">
        <f>IF(VLOOKUP(A69,'⚪设计'!$A$253:$G$272,4,FALSE)="","",VLOOKUP(VLOOKUP(A69,'⚪设计'!$A$253:$G$272,4,FALSE),'⚪设计'!$B$85:$D$113,2,FALSE))</f>
        <v>ResUnit_Dan2</v>
      </c>
      <c r="F69" s="71">
        <f t="shared" si="8"/>
        <v>18</v>
      </c>
      <c r="G69" s="71">
        <f>IF(VLOOKUP($A69,'⚪设计'!$A$253:$K$272,7+1,FALSE)="","",VLOOKUP(A69,'⚪设计'!$A$253:$K$272,7+1,FALSE))</f>
        <v>1.5</v>
      </c>
      <c r="H69" s="71">
        <f>IF(E69="",0,ROUND(VLOOKUP($A69,'⚪设计'!$A$253:$G$272,2,FALSE)*$B69/SUM(IF($E69="",0,VLOOKUP($E69,'⚪设计'!$C$85:$E$113,3,FALSE))*$F69,IF($J69="",0,VLOOKUP($J69,'⚪设计'!$C$85:$E$113,3,FALSE))*$K69,IF($O69="",0,VLOOKUP($O69,'⚪设计'!$C$85:$E$113,3,FALSE))*$P69,IF($T69="",0,VLOOKUP($T69,'⚪设计'!$C$85:$E$113,3,FALSE))*$U69)*VLOOKUP(E69,'⚪设计'!$C$85:$E$113,3,FALSE),0))</f>
        <v>22275</v>
      </c>
      <c r="I69" s="71">
        <f>ROUND(战斗节奏!$B$3/SUM(IF(无限模式!$E69="",0,VLOOKUP(无限模式!$E69,'⚪设计'!$C$85:$I$113,4,FALSE)*无限模式!$F69),IF(无限模式!$J69="",0,VLOOKUP(无限模式!$J69,'⚪设计'!$C$85:$I$113,4,FALSE)*无限模式!$K69),IF(无限模式!$O69="",0,VLOOKUP(无限模式!$O69,'⚪设计'!$C$85:$I$113,4,FALSE)*无限模式!$P69),IF(无限模式!$T69="",0,VLOOKUP(无限模式!$T69,'⚪设计'!$C$85:$I$113,4,FALSE)*无限模式!$U69))*IF(E69="",0,VLOOKUP(E69,'⚪设计'!$C$85:$I$113,4,FALSE)),0)</f>
        <v>8</v>
      </c>
      <c r="J69" s="71" t="str">
        <f>IF(VLOOKUP(A69,'⚪设计'!$A$253:$G$272,5,FALSE)="","",VLOOKUP(VLOOKUP(A69,'⚪设计'!$A$253:$G$272,5,FALSE),'⚪设计'!$B$85:$D$113,2,FALSE))</f>
        <v>ResUnit_ZhiZhu2</v>
      </c>
      <c r="K69" s="71">
        <f t="shared" si="9"/>
        <v>36</v>
      </c>
      <c r="L69" s="71">
        <f>IF(VLOOKUP($A69,'⚪设计'!$A$253:$K$272,7+2,FALSE)="","",VLOOKUP(A69,'⚪设计'!$A$253:$K$272,7+2,FALSE))</f>
        <v>0.75</v>
      </c>
      <c r="M69" s="71">
        <f>IF(J69="",0,ROUND(VLOOKUP($A69,'⚪设计'!$A$253:$G$272,2,FALSE)*$B69/SUM(IF($E69="",0,VLOOKUP($E69,'⚪设计'!$C$85:$E$113,3,FALSE))*$F69,IF($J69="",0,VLOOKUP($J69,'⚪设计'!$C$85:$E$113,3,FALSE))*$K69,IF($O69="",0,VLOOKUP($O69,'⚪设计'!$C$85:$E$113,3,FALSE))*$P69,IF($T69="",0,VLOOKUP($T69,'⚪设计'!$C$85:$E$113,3,FALSE))*$U69)*VLOOKUP(J69,'⚪设计'!$C$85:$E$113,3,FALSE),0))</f>
        <v>11138</v>
      </c>
      <c r="N69" s="71">
        <f>ROUND(战斗节奏!$B$3/SUM(IF(无限模式!$E69="",0,VLOOKUP(无限模式!$E69,'⚪设计'!$C$85:$I$113,4,FALSE)*无限模式!$F69),IF(无限模式!$J69="",0,VLOOKUP(无限模式!$J69,'⚪设计'!$C$85:$I$113,4,FALSE)*无限模式!$K69),IF(无限模式!$O69="",0,VLOOKUP(无限模式!$O69,'⚪设计'!$C$85:$I$113,4,FALSE)*无限模式!$P69),IF(无限模式!$T69="",0,VLOOKUP(无限模式!$T69,'⚪设计'!$C$85:$I$113,4,FALSE)*无限模式!$U69))*IF(J69="",0,VLOOKUP(J69,'⚪设计'!$C$85:$I$113,4,FALSE)),0)</f>
        <v>4</v>
      </c>
      <c r="O69" s="71" t="str">
        <f>IF(VLOOKUP(A69,'⚪设计'!$A$253:$G$272,6,FALSE)="","",VLOOKUP(VLOOKUP(A69,'⚪设计'!$A$253:$G$272,6,FALSE),'⚪设计'!$B$85:$D$113,2,FALSE))</f>
        <v/>
      </c>
      <c r="P69" s="71">
        <f t="shared" si="10"/>
        <v>0</v>
      </c>
      <c r="Q69" s="71" t="str">
        <f>IF(VLOOKUP($A69,'⚪设计'!$A$253:$K$272,7+3,FALSE)="","",VLOOKUP(A69,'⚪设计'!$A$253:$K$272,7+3,FALSE))</f>
        <v/>
      </c>
      <c r="R69" s="71">
        <f>IF(O69="",0,ROUND(VLOOKUP($A69,'⚪设计'!$A$253:$G$272,2,FALSE)*$B69/SUM(IF($E69="",0,VLOOKUP($E69,'⚪设计'!$C$85:$E$113,3,FALSE))*$F69,IF($J69="",0,VLOOKUP($J69,'⚪设计'!$C$85:$E$113,3,FALSE))*$K69,IF($O69="",0,VLOOKUP($O69,'⚪设计'!$C$85:$E$113,3,FALSE))*$P69,IF($T69="",0,VLOOKUP($T69,'⚪设计'!$C$85:$E$113,3,FALSE))*$U69)*VLOOKUP(O69,'⚪设计'!$C$85:$E$113,3,FALSE),0))</f>
        <v>0</v>
      </c>
      <c r="S69" s="71">
        <f>ROUND(战斗节奏!$B$3/SUM(IF(无限模式!$E69="",0,VLOOKUP(无限模式!$E69,'⚪设计'!$C$85:$I$113,4,FALSE)*无限模式!$F69),IF(无限模式!$J69="",0,VLOOKUP(无限模式!$J69,'⚪设计'!$C$85:$I$113,4,FALSE)*无限模式!$K69),IF(无限模式!$O69="",0,VLOOKUP(无限模式!$O69,'⚪设计'!$C$85:$I$113,4,FALSE)*无限模式!$P69),IF(无限模式!$T69="",0,VLOOKUP(无限模式!$T69,'⚪设计'!$C$85:$I$113,4,FALSE)*无限模式!$U69))*IF(O69="",0,VLOOKUP(O69,'⚪设计'!$C$85:$I$113,4,FALSE)),0)</f>
        <v>0</v>
      </c>
      <c r="T69" s="71" t="str">
        <f>IF(VLOOKUP(A69,'⚪设计'!$A$253:$G$272,7,FALSE)="","",VLOOKUP(VLOOKUP(A69,'⚪设计'!$A$253:$G$272,7,FALSE),'⚪设计'!$B$85:$D$113,2,FALSE))</f>
        <v/>
      </c>
      <c r="U69" s="71">
        <f t="shared" si="11"/>
        <v>0</v>
      </c>
      <c r="V69" s="71" t="str">
        <f>IF(VLOOKUP($A69,'⚪设计'!$A$253:$K$272,7+4,FALSE)="","",VLOOKUP(A69,'⚪设计'!$A$253:$K$272,7+4,FALSE))</f>
        <v/>
      </c>
      <c r="W69" s="71">
        <f>IF(T69="",0,ROUND(VLOOKUP($A69,'⚪设计'!$A$253:$G$272,2,FALSE)*$B69/SUM(IF($E69="",0,VLOOKUP($E69,'⚪设计'!$C$85:$E$113,3,FALSE))*$F69,IF($J69="",0,VLOOKUP($J69,'⚪设计'!$C$85:$E$113,3,FALSE))*$K69,IF($O69="",0,VLOOKUP($O69,'⚪设计'!$C$85:$E$113,3,FALSE))*$P69,IF($T69="",0,VLOOKUP($T69,'⚪设计'!$C$85:$E$113,3,FALSE))*$U69)*VLOOKUP(T69,'⚪设计'!$C$85:$E$113,3,FALSE),0))</f>
        <v>0</v>
      </c>
      <c r="X69" s="71">
        <f>ROUND(战斗节奏!$B$3/SUM(IF(无限模式!$E69="",0,VLOOKUP(无限模式!$E69,'⚪设计'!$C$85:$I$113,4,FALSE)*无限模式!$F69),IF(无限模式!$J69="",0,VLOOKUP(无限模式!$J69,'⚪设计'!$C$85:$I$113,4,FALSE)*无限模式!$K69),IF(无限模式!$O69="",0,VLOOKUP(无限模式!$O69,'⚪设计'!$C$85:$I$113,4,FALSE)*无限模式!$P69),IF(无限模式!$T69="",0,VLOOKUP(无限模式!$T69,'⚪设计'!$C$85:$I$113,4,FALSE)*无限模式!$U69))*IF(T69="",0,VLOOKUP(T69,'⚪设计'!$C$85:$I$113,4,FALSE)),0)</f>
        <v>0</v>
      </c>
      <c r="Y69" s="94">
        <v>82.5</v>
      </c>
    </row>
    <row r="70" spans="1:25" x14ac:dyDescent="0.2">
      <c r="A70" s="94">
        <v>19</v>
      </c>
      <c r="B70" s="71">
        <f>MAX(MIN(战斗节奏!$C$3-INT(A70/'⚪设计'!$C$55),MOD(A70,'⚪设计'!$C$55)),0)*'⚪设计'!$C$79*防御塔!$C$2+MIN(INT(A70/'⚪设计'!$C$55),战斗节奏!$C$3)*'⚪设计'!$C$80*防御塔!$C$2</f>
        <v>10259.999999999998</v>
      </c>
      <c r="C70" s="173">
        <v>1.9</v>
      </c>
      <c r="D70" s="173">
        <v>28</v>
      </c>
      <c r="E70" s="71" t="str">
        <f>IF(VLOOKUP(A70,'⚪设计'!$A$253:$G$272,4,FALSE)="","",VLOOKUP(VLOOKUP(A70,'⚪设计'!$A$253:$G$272,4,FALSE),'⚪设计'!$B$85:$D$113,2,FALSE))</f>
        <v>ResUnit_Dan2</v>
      </c>
      <c r="F70" s="71">
        <f t="shared" si="8"/>
        <v>19</v>
      </c>
      <c r="G70" s="71">
        <f>IF(VLOOKUP($A70,'⚪设计'!$A$253:$K$272,7+1,FALSE)="","",VLOOKUP(A70,'⚪设计'!$A$253:$K$272,7+1,FALSE))</f>
        <v>1.5</v>
      </c>
      <c r="H70" s="71">
        <f>IF(E70="",0,ROUND(VLOOKUP($A70,'⚪设计'!$A$253:$G$272,2,FALSE)*$B70/SUM(IF($E70="",0,VLOOKUP($E70,'⚪设计'!$C$85:$E$113,3,FALSE))*$F70,IF($J70="",0,VLOOKUP($J70,'⚪设计'!$C$85:$E$113,3,FALSE))*$K70,IF($O70="",0,VLOOKUP($O70,'⚪设计'!$C$85:$E$113,3,FALSE))*$P70,IF($T70="",0,VLOOKUP($T70,'⚪设计'!$C$85:$E$113,3,FALSE))*$U70)*VLOOKUP(E70,'⚪设计'!$C$85:$E$113,3,FALSE),0))</f>
        <v>23085</v>
      </c>
      <c r="I70" s="71">
        <f>ROUND(战斗节奏!$B$3/SUM(IF(无限模式!$E70="",0,VLOOKUP(无限模式!$E70,'⚪设计'!$C$85:$I$113,4,FALSE)*无限模式!$F70),IF(无限模式!$J70="",0,VLOOKUP(无限模式!$J70,'⚪设计'!$C$85:$I$113,4,FALSE)*无限模式!$K70),IF(无限模式!$O70="",0,VLOOKUP(无限模式!$O70,'⚪设计'!$C$85:$I$113,4,FALSE)*无限模式!$P70),IF(无限模式!$T70="",0,VLOOKUP(无限模式!$T70,'⚪设计'!$C$85:$I$113,4,FALSE)*无限模式!$U70))*IF(E70="",0,VLOOKUP(E70,'⚪设计'!$C$85:$I$113,4,FALSE)),0)</f>
        <v>2</v>
      </c>
      <c r="J70" s="71" t="str">
        <f>IF(VLOOKUP(A70,'⚪设计'!$A$253:$G$272,5,FALSE)="","",VLOOKUP(VLOOKUP(A70,'⚪设计'!$A$253:$G$272,5,FALSE),'⚪设计'!$B$85:$D$113,2,FALSE))</f>
        <v>ResUnit_Rou3</v>
      </c>
      <c r="K70" s="71">
        <f t="shared" si="9"/>
        <v>5</v>
      </c>
      <c r="L70" s="71">
        <f>IF(VLOOKUP($A70,'⚪设计'!$A$253:$K$272,7+2,FALSE)="","",VLOOKUP(A70,'⚪设计'!$A$253:$K$272,7+2,FALSE))</f>
        <v>6</v>
      </c>
      <c r="M70" s="71">
        <f>IF(J70="",0,ROUND(VLOOKUP($A70,'⚪设计'!$A$253:$G$272,2,FALSE)*$B70/SUM(IF($E70="",0,VLOOKUP($E70,'⚪设计'!$C$85:$E$113,3,FALSE))*$F70,IF($J70="",0,VLOOKUP($J70,'⚪设计'!$C$85:$E$113,3,FALSE))*$K70,IF($O70="",0,VLOOKUP($O70,'⚪设计'!$C$85:$E$113,3,FALSE))*$P70,IF($T70="",0,VLOOKUP($T70,'⚪设计'!$C$85:$E$113,3,FALSE))*$U70)*VLOOKUP(J70,'⚪设计'!$C$85:$E$113,3,FALSE),0))</f>
        <v>92340</v>
      </c>
      <c r="N70" s="71">
        <f>ROUND(战斗节奏!$B$3/SUM(IF(无限模式!$E70="",0,VLOOKUP(无限模式!$E70,'⚪设计'!$C$85:$I$113,4,FALSE)*无限模式!$F70),IF(无限模式!$J70="",0,VLOOKUP(无限模式!$J70,'⚪设计'!$C$85:$I$113,4,FALSE)*无限模式!$K70),IF(无限模式!$O70="",0,VLOOKUP(无限模式!$O70,'⚪设计'!$C$85:$I$113,4,FALSE)*无限模式!$P70),IF(无限模式!$T70="",0,VLOOKUP(无限模式!$T70,'⚪设计'!$C$85:$I$113,4,FALSE)*无限模式!$U70))*IF(J70="",0,VLOOKUP(J70,'⚪设计'!$C$85:$I$113,4,FALSE)),0)</f>
        <v>45</v>
      </c>
      <c r="O70" s="71" t="str">
        <f>IF(VLOOKUP(A70,'⚪设计'!$A$253:$G$272,6,FALSE)="","",VLOOKUP(VLOOKUP(A70,'⚪设计'!$A$253:$G$272,6,FALSE),'⚪设计'!$B$85:$D$113,2,FALSE))</f>
        <v>ResUnit_ZhongZi2</v>
      </c>
      <c r="P70" s="71">
        <f t="shared" si="10"/>
        <v>14</v>
      </c>
      <c r="Q70" s="71">
        <f>IF(VLOOKUP($A70,'⚪设计'!$A$253:$K$272,7+3,FALSE)="","",VLOOKUP(A70,'⚪设计'!$A$253:$K$272,7+3,FALSE))</f>
        <v>2</v>
      </c>
      <c r="R70" s="71">
        <f>IF(O70="",0,ROUND(VLOOKUP($A70,'⚪设计'!$A$253:$G$272,2,FALSE)*$B70/SUM(IF($E70="",0,VLOOKUP($E70,'⚪设计'!$C$85:$E$113,3,FALSE))*$F70,IF($J70="",0,VLOOKUP($J70,'⚪设计'!$C$85:$E$113,3,FALSE))*$K70,IF($O70="",0,VLOOKUP($O70,'⚪设计'!$C$85:$E$113,3,FALSE))*$P70,IF($T70="",0,VLOOKUP($T70,'⚪设计'!$C$85:$E$113,3,FALSE))*$U70)*VLOOKUP(O70,'⚪设计'!$C$85:$E$113,3,FALSE),0))</f>
        <v>34628</v>
      </c>
      <c r="S70" s="71">
        <f>ROUND(战斗节奏!$B$3/SUM(IF(无限模式!$E70="",0,VLOOKUP(无限模式!$E70,'⚪设计'!$C$85:$I$113,4,FALSE)*无限模式!$F70),IF(无限模式!$J70="",0,VLOOKUP(无限模式!$J70,'⚪设计'!$C$85:$I$113,4,FALSE)*无限模式!$K70),IF(无限模式!$O70="",0,VLOOKUP(无限模式!$O70,'⚪设计'!$C$85:$I$113,4,FALSE)*无限模式!$P70),IF(无限模式!$T70="",0,VLOOKUP(无限模式!$T70,'⚪设计'!$C$85:$I$113,4,FALSE)*无限模式!$U70))*IF(O70="",0,VLOOKUP(O70,'⚪设计'!$C$85:$I$113,4,FALSE)),0)</f>
        <v>2</v>
      </c>
      <c r="T70" s="71" t="str">
        <f>IF(VLOOKUP(A70,'⚪设计'!$A$253:$G$272,7,FALSE)="","",VLOOKUP(VLOOKUP(A70,'⚪设计'!$A$253:$G$272,7,FALSE),'⚪设计'!$B$85:$D$113,2,FALSE))</f>
        <v/>
      </c>
      <c r="U70" s="71">
        <f t="shared" si="11"/>
        <v>0</v>
      </c>
      <c r="V70" s="71" t="str">
        <f>IF(VLOOKUP($A70,'⚪设计'!$A$253:$K$272,7+4,FALSE)="","",VLOOKUP(A70,'⚪设计'!$A$253:$K$272,7+4,FALSE))</f>
        <v/>
      </c>
      <c r="W70" s="71">
        <f>IF(T70="",0,ROUND(VLOOKUP($A70,'⚪设计'!$A$253:$G$272,2,FALSE)*$B70/SUM(IF($E70="",0,VLOOKUP($E70,'⚪设计'!$C$85:$E$113,3,FALSE))*$F70,IF($J70="",0,VLOOKUP($J70,'⚪设计'!$C$85:$E$113,3,FALSE))*$K70,IF($O70="",0,VLOOKUP($O70,'⚪设计'!$C$85:$E$113,3,FALSE))*$P70,IF($T70="",0,VLOOKUP($T70,'⚪设计'!$C$85:$E$113,3,FALSE))*$U70)*VLOOKUP(T70,'⚪设计'!$C$85:$E$113,3,FALSE),0))</f>
        <v>0</v>
      </c>
      <c r="X70" s="71">
        <f>ROUND(战斗节奏!$B$3/SUM(IF(无限模式!$E70="",0,VLOOKUP(无限模式!$E70,'⚪设计'!$C$85:$I$113,4,FALSE)*无限模式!$F70),IF(无限模式!$J70="",0,VLOOKUP(无限模式!$J70,'⚪设计'!$C$85:$I$113,4,FALSE)*无限模式!$K70),IF(无限模式!$O70="",0,VLOOKUP(无限模式!$O70,'⚪设计'!$C$85:$I$113,4,FALSE)*无限模式!$P70),IF(无限模式!$T70="",0,VLOOKUP(无限模式!$T70,'⚪设计'!$C$85:$I$113,4,FALSE)*无限模式!$U70))*IF(T70="",0,VLOOKUP(T70,'⚪设计'!$C$85:$I$113,4,FALSE)),0)</f>
        <v>0</v>
      </c>
      <c r="Y70" s="94">
        <v>135</v>
      </c>
    </row>
    <row r="71" spans="1:25" x14ac:dyDescent="0.2">
      <c r="A71" s="94">
        <v>20</v>
      </c>
      <c r="B71" s="71">
        <f>MAX(MIN(战斗节奏!$C$3-INT(A71/'⚪设计'!$C$55),MOD(A71,'⚪设计'!$C$55)),0)*'⚪设计'!$C$79*防御塔!$C$2+MIN(INT(A71/'⚪设计'!$C$55),战斗节奏!$C$3)*'⚪设计'!$C$80*防御塔!$C$2</f>
        <v>10799.999999999998</v>
      </c>
      <c r="C71" s="173">
        <v>1.95</v>
      </c>
      <c r="D71" s="173">
        <v>29</v>
      </c>
      <c r="E71" s="71" t="str">
        <f>IF(VLOOKUP(A71,'⚪设计'!$A$253:$G$272,4,FALSE)="","",VLOOKUP(VLOOKUP(A71,'⚪设计'!$A$253:$G$272,4,FALSE),'⚪设计'!$B$85:$D$113,2,FALSE))</f>
        <v>ResUnit_Dan3</v>
      </c>
      <c r="F71" s="71">
        <f t="shared" si="8"/>
        <v>1</v>
      </c>
      <c r="G71" s="71">
        <f>IF(VLOOKUP($A71,'⚪设计'!$A$253:$K$272,7+1,FALSE)="","",VLOOKUP(A71,'⚪设计'!$A$253:$K$272,7+1,FALSE))</f>
        <v>0</v>
      </c>
      <c r="H71" s="71">
        <f>IF(E71="",0,ROUND(VLOOKUP($A71,'⚪设计'!$A$253:$G$272,2,FALSE)*$B71/SUM(IF($E71="",0,VLOOKUP($E71,'⚪设计'!$C$85:$E$113,3,FALSE))*$F71,IF($J71="",0,VLOOKUP($J71,'⚪设计'!$C$85:$E$113,3,FALSE))*$K71,IF($O71="",0,VLOOKUP($O71,'⚪设计'!$C$85:$E$113,3,FALSE))*$P71,IF($T71="",0,VLOOKUP($T71,'⚪设计'!$C$85:$E$113,3,FALSE))*$U71)*VLOOKUP(E71,'⚪设计'!$C$85:$E$113,3,FALSE),0))</f>
        <v>240594</v>
      </c>
      <c r="I71" s="71">
        <f>ROUND(战斗节奏!$B$3/SUM(IF(无限模式!$E71="",0,VLOOKUP(无限模式!$E71,'⚪设计'!$C$85:$I$113,4,FALSE)*无限模式!$F71),IF(无限模式!$J71="",0,VLOOKUP(无限模式!$J71,'⚪设计'!$C$85:$I$113,4,FALSE)*无限模式!$K71),IF(无限模式!$O71="",0,VLOOKUP(无限模式!$O71,'⚪设计'!$C$85:$I$113,4,FALSE)*无限模式!$P71),IF(无限模式!$T71="",0,VLOOKUP(无限模式!$T71,'⚪设计'!$C$85:$I$113,4,FALSE)*无限模式!$U71))*IF(E71="",0,VLOOKUP(E71,'⚪设计'!$C$85:$I$113,4,FALSE)),0)</f>
        <v>29</v>
      </c>
      <c r="J71" s="71" t="str">
        <f>IF(VLOOKUP(A71,'⚪设计'!$A$253:$G$272,5,FALSE)="","",VLOOKUP(VLOOKUP(A71,'⚪设计'!$A$253:$G$272,5,FALSE),'⚪设计'!$B$85:$D$113,2,FALSE))</f>
        <v>ResUnit_Gui2</v>
      </c>
      <c r="K71" s="71">
        <f t="shared" si="9"/>
        <v>39</v>
      </c>
      <c r="L71" s="71">
        <f>IF(VLOOKUP($A71,'⚪设计'!$A$253:$K$272,7+2,FALSE)="","",VLOOKUP(A71,'⚪设计'!$A$253:$K$272,7+2,FALSE))</f>
        <v>0.75</v>
      </c>
      <c r="M71" s="71">
        <f>IF(J71="",0,ROUND(VLOOKUP($A71,'⚪设计'!$A$253:$G$272,2,FALSE)*$B71/SUM(IF($E71="",0,VLOOKUP($E71,'⚪设计'!$C$85:$E$113,3,FALSE))*$F71,IF($J71="",0,VLOOKUP($J71,'⚪设计'!$C$85:$E$113,3,FALSE))*$K71,IF($O71="",0,VLOOKUP($O71,'⚪设计'!$C$85:$E$113,3,FALSE))*$P71,IF($T71="",0,VLOOKUP($T71,'⚪设计'!$C$85:$E$113,3,FALSE))*$U71)*VLOOKUP(J71,'⚪设计'!$C$85:$E$113,3,FALSE),0))</f>
        <v>12030</v>
      </c>
      <c r="N71" s="71">
        <f>ROUND(战斗节奏!$B$3/SUM(IF(无限模式!$E71="",0,VLOOKUP(无限模式!$E71,'⚪设计'!$C$85:$I$113,4,FALSE)*无限模式!$F71),IF(无限模式!$J71="",0,VLOOKUP(无限模式!$J71,'⚪设计'!$C$85:$I$113,4,FALSE)*无限模式!$K71),IF(无限模式!$O71="",0,VLOOKUP(无限模式!$O71,'⚪设计'!$C$85:$I$113,4,FALSE)*无限模式!$P71),IF(无限模式!$T71="",0,VLOOKUP(无限模式!$T71,'⚪设计'!$C$85:$I$113,4,FALSE)*无限模式!$U71))*IF(J71="",0,VLOOKUP(J71,'⚪设计'!$C$85:$I$113,4,FALSE)),0)</f>
        <v>1</v>
      </c>
      <c r="O71" s="71" t="str">
        <f>IF(VLOOKUP(A71,'⚪设计'!$A$253:$G$272,6,FALSE)="","",VLOOKUP(VLOOKUP(A71,'⚪设计'!$A$253:$G$272,6,FALSE),'⚪设计'!$B$85:$D$113,2,FALSE))</f>
        <v>ResUnit_ZhongZi2</v>
      </c>
      <c r="P71" s="71">
        <f t="shared" si="10"/>
        <v>29</v>
      </c>
      <c r="Q71" s="71">
        <f>IF(VLOOKUP($A71,'⚪设计'!$A$253:$K$272,7+3,FALSE)="","",VLOOKUP(A71,'⚪设计'!$A$253:$K$272,7+3,FALSE))</f>
        <v>1</v>
      </c>
      <c r="R71" s="71">
        <f>IF(O71="",0,ROUND(VLOOKUP($A71,'⚪设计'!$A$253:$G$272,2,FALSE)*$B71/SUM(IF($E71="",0,VLOOKUP($E71,'⚪设计'!$C$85:$E$113,3,FALSE))*$F71,IF($J71="",0,VLOOKUP($J71,'⚪设计'!$C$85:$E$113,3,FALSE))*$K71,IF($O71="",0,VLOOKUP($O71,'⚪设计'!$C$85:$E$113,3,FALSE))*$P71,IF($T71="",0,VLOOKUP($T71,'⚪设计'!$C$85:$E$113,3,FALSE))*$U71)*VLOOKUP(O71,'⚪设计'!$C$85:$E$113,3,FALSE),0))</f>
        <v>36089</v>
      </c>
      <c r="S71" s="71">
        <f>ROUND(战斗节奏!$B$3/SUM(IF(无限模式!$E71="",0,VLOOKUP(无限模式!$E71,'⚪设计'!$C$85:$I$113,4,FALSE)*无限模式!$F71),IF(无限模式!$J71="",0,VLOOKUP(无限模式!$J71,'⚪设计'!$C$85:$I$113,4,FALSE)*无限模式!$K71),IF(无限模式!$O71="",0,VLOOKUP(无限模式!$O71,'⚪设计'!$C$85:$I$113,4,FALSE)*无限模式!$P71),IF(无限模式!$T71="",0,VLOOKUP(无限模式!$T71,'⚪设计'!$C$85:$I$113,4,FALSE)*无限模式!$U71))*IF(O71="",0,VLOOKUP(O71,'⚪设计'!$C$85:$I$113,4,FALSE)),0)</f>
        <v>1</v>
      </c>
      <c r="T71" s="71" t="str">
        <f>IF(VLOOKUP(A71,'⚪设计'!$A$253:$G$272,7,FALSE)="","",VLOOKUP(VLOOKUP(A71,'⚪设计'!$A$253:$G$272,7,FALSE),'⚪设计'!$B$85:$D$113,2,FALSE))</f>
        <v>ResUnit_Rou3</v>
      </c>
      <c r="U71" s="71">
        <f t="shared" si="11"/>
        <v>7</v>
      </c>
      <c r="V71" s="71">
        <f>IF(VLOOKUP($A71,'⚪设计'!$A$253:$K$272,7+4,FALSE)="","",VLOOKUP(A71,'⚪设计'!$A$253:$K$272,7+4,FALSE))</f>
        <v>4</v>
      </c>
      <c r="W71" s="71">
        <f>IF(T71="",0,ROUND(VLOOKUP($A71,'⚪设计'!$A$253:$G$272,2,FALSE)*$B71/SUM(IF($E71="",0,VLOOKUP($E71,'⚪设计'!$C$85:$E$113,3,FALSE))*$F71,IF($J71="",0,VLOOKUP($J71,'⚪设计'!$C$85:$E$113,3,FALSE))*$K71,IF($O71="",0,VLOOKUP($O71,'⚪设计'!$C$85:$E$113,3,FALSE))*$P71,IF($T71="",0,VLOOKUP($T71,'⚪设计'!$C$85:$E$113,3,FALSE))*$U71)*VLOOKUP(T71,'⚪设计'!$C$85:$E$113,3,FALSE),0))</f>
        <v>96238</v>
      </c>
      <c r="X71" s="71">
        <f>ROUND(战斗节奏!$B$3/SUM(IF(无限模式!$E71="",0,VLOOKUP(无限模式!$E71,'⚪设计'!$C$85:$I$113,4,FALSE)*无限模式!$F71),IF(无限模式!$J71="",0,VLOOKUP(无限模式!$J71,'⚪设计'!$C$85:$I$113,4,FALSE)*无限模式!$K71),IF(无限模式!$O71="",0,VLOOKUP(无限模式!$O71,'⚪设计'!$C$85:$I$113,4,FALSE)*无限模式!$P71),IF(无限模式!$T71="",0,VLOOKUP(无限模式!$T71,'⚪设计'!$C$85:$I$113,4,FALSE)*无限模式!$U71))*IF(T71="",0,VLOOKUP(T71,'⚪设计'!$C$85:$I$113,4,FALSE)),0)</f>
        <v>29</v>
      </c>
      <c r="Y71" s="94">
        <v>225</v>
      </c>
    </row>
    <row r="73" spans="1:25" x14ac:dyDescent="0.2">
      <c r="A73" s="94" t="s">
        <v>1975</v>
      </c>
    </row>
    <row r="74" spans="1:25" x14ac:dyDescent="0.2">
      <c r="A74" s="195" t="s">
        <v>380</v>
      </c>
      <c r="B74" s="195" t="s">
        <v>428</v>
      </c>
      <c r="C74" s="197" t="s">
        <v>430</v>
      </c>
      <c r="D74" s="197" t="s">
        <v>396</v>
      </c>
      <c r="E74" s="195" t="s">
        <v>400</v>
      </c>
      <c r="F74" s="196"/>
      <c r="G74" s="196"/>
      <c r="H74" s="196"/>
      <c r="I74" s="196"/>
      <c r="J74" s="195" t="s">
        <v>401</v>
      </c>
      <c r="K74" s="196"/>
      <c r="L74" s="196"/>
      <c r="M74" s="196"/>
      <c r="N74" s="196"/>
      <c r="O74" s="195" t="s">
        <v>402</v>
      </c>
      <c r="P74" s="196"/>
      <c r="Q74" s="196"/>
      <c r="R74" s="196"/>
      <c r="S74" s="196"/>
      <c r="T74" s="195" t="s">
        <v>403</v>
      </c>
      <c r="U74" s="196"/>
      <c r="V74" s="196"/>
      <c r="W74" s="196"/>
      <c r="X74" s="197"/>
    </row>
    <row r="75" spans="1:25" x14ac:dyDescent="0.2">
      <c r="A75" s="198"/>
      <c r="B75" s="198"/>
      <c r="C75" s="199"/>
      <c r="D75" s="199"/>
      <c r="E75" s="93" t="s">
        <v>397</v>
      </c>
      <c r="F75" s="172" t="s">
        <v>283</v>
      </c>
      <c r="G75" s="172" t="s">
        <v>404</v>
      </c>
      <c r="H75" s="172" t="s">
        <v>398</v>
      </c>
      <c r="I75" s="172" t="s">
        <v>399</v>
      </c>
      <c r="J75" s="93" t="s">
        <v>397</v>
      </c>
      <c r="K75" s="172" t="s">
        <v>283</v>
      </c>
      <c r="L75" s="172" t="s">
        <v>404</v>
      </c>
      <c r="M75" s="172" t="s">
        <v>398</v>
      </c>
      <c r="N75" s="172" t="s">
        <v>399</v>
      </c>
      <c r="O75" s="93" t="s">
        <v>397</v>
      </c>
      <c r="P75" s="172" t="s">
        <v>283</v>
      </c>
      <c r="Q75" s="172" t="s">
        <v>404</v>
      </c>
      <c r="R75" s="172" t="s">
        <v>398</v>
      </c>
      <c r="S75" s="172" t="s">
        <v>399</v>
      </c>
      <c r="T75" s="93" t="s">
        <v>397</v>
      </c>
      <c r="U75" s="172" t="s">
        <v>283</v>
      </c>
      <c r="V75" s="172" t="s">
        <v>404</v>
      </c>
      <c r="W75" s="172" t="s">
        <v>398</v>
      </c>
      <c r="X75" s="171" t="s">
        <v>399</v>
      </c>
    </row>
    <row r="76" spans="1:25" x14ac:dyDescent="0.2">
      <c r="A76" s="94">
        <v>1</v>
      </c>
      <c r="B76" s="71">
        <f>MAX(MIN(战斗节奏!$C$3-INT(A76/'⚪设计'!$C$55),MOD(A76,'⚪设计'!$C$55)),0)*'⚪设计'!$C$79*防御塔!$C$2+MIN(INT(A76/'⚪设计'!$C$55),战斗节奏!$C$3)*'⚪设计'!$C$80*防御塔!$C$2</f>
        <v>540</v>
      </c>
      <c r="C76" s="173">
        <v>1</v>
      </c>
      <c r="D76" s="173">
        <v>10</v>
      </c>
      <c r="E76" s="71" t="str">
        <f>IF(VLOOKUP(A76,'⚪设计'!$A$277:$G$296,4,FALSE)="","",VLOOKUP(VLOOKUP(A76,'⚪设计'!$A$277:$G$296,4,FALSE),'⚪设计'!$B$85:$D$113,2,FALSE))</f>
        <v>ResUnit_XueRen1</v>
      </c>
      <c r="F76" s="71">
        <f>IF(E76="",0,IF(G76=0,1,ROUND($D76/G76,0)))</f>
        <v>7</v>
      </c>
      <c r="G76" s="71">
        <f>IF(VLOOKUP($A76,'⚪设计'!$A$229:$K$249,7+1,FALSE)="","",VLOOKUP(A76,'⚪设计'!$A$229:$K$249,7+1,FALSE))</f>
        <v>1.5</v>
      </c>
      <c r="H76" s="71">
        <f>IF(E76="",0,ROUND(VLOOKUP($A76,'⚪设计'!$A$277:$G$296,2,FALSE)*$B76/SUM(IF($E76="",0,VLOOKUP($E76,'⚪设计'!$C$85:$E$113,3,FALSE))*$F76,IF($J76="",0,VLOOKUP($J76,'⚪设计'!$C$85:$E$113,3,FALSE))*$K76,IF($O76="",0,VLOOKUP($O76,'⚪设计'!$C$85:$E$113,3,FALSE))*$P76,IF($T76="",0,VLOOKUP($T76,'⚪设计'!$C$85:$E$113,3,FALSE))*$U76)*VLOOKUP(E76,'⚪设计'!$C$85:$E$113,3,FALSE),0))</f>
        <v>482</v>
      </c>
      <c r="I76" s="71">
        <f>ROUND(战斗节奏!$B$3/SUM(IF(无限模式!$E76="",0,VLOOKUP(无限模式!$E76,'⚪设计'!$C$85:$I$113,4,FALSE)*无限模式!$F76),IF(无限模式!$J76="",0,VLOOKUP(无限模式!$J76,'⚪设计'!$C$85:$I$113,4,FALSE)*无限模式!$K76),IF(无限模式!$O76="",0,VLOOKUP(无限模式!$O76,'⚪设计'!$C$85:$I$113,4,FALSE)*无限模式!$P76),IF(无限模式!$T76="",0,VLOOKUP(无限模式!$T76,'⚪设计'!$C$85:$I$113,4,FALSE)*无限模式!$U76))*IF(E76="",0,VLOOKUP(E76,'⚪设计'!$C$85:$I$113,4,FALSE)),0)</f>
        <v>43</v>
      </c>
      <c r="J76" s="71" t="str">
        <f>IF(VLOOKUP(A76,'⚪设计'!$A$277:$G$296,5,FALSE)="","",VLOOKUP(VLOOKUP(A76,'⚪设计'!$A$277:$G$296,5,FALSE),'⚪设计'!$B$85:$D$113,2,FALSE))</f>
        <v/>
      </c>
      <c r="K76" s="71">
        <f>IF(J76="",0,IF(L76=0,1,ROUND($D76/L76,0)))</f>
        <v>0</v>
      </c>
      <c r="L76" s="71" t="str">
        <f>IF(VLOOKUP($A76,'⚪设计'!$A$229:$K$249,7+2,FALSE)="","",VLOOKUP(A76,'⚪设计'!$A$229:$K$249,7+2,FALSE))</f>
        <v/>
      </c>
      <c r="M76" s="71">
        <f>IF(J76="",0,ROUND(VLOOKUP($A76,'⚪设计'!$A$277:$G$296,2,FALSE)*$B76/SUM(IF($E76="",0,VLOOKUP($E76,'⚪设计'!$C$85:$E$113,3,FALSE))*$F76,IF($J76="",0,VLOOKUP($J76,'⚪设计'!$C$85:$E$113,3,FALSE))*$K76,IF($O76="",0,VLOOKUP($O76,'⚪设计'!$C$85:$E$113,3,FALSE))*$P76,IF($T76="",0,VLOOKUP($T76,'⚪设计'!$C$85:$E$113,3,FALSE))*$U76)*VLOOKUP(J76,'⚪设计'!$C$85:$E$113,3,FALSE),0))</f>
        <v>0</v>
      </c>
      <c r="N76" s="71">
        <f>ROUND(战斗节奏!$B$3/SUM(IF(无限模式!$E76="",0,VLOOKUP(无限模式!$E76,'⚪设计'!$C$85:$I$113,4,FALSE)*无限模式!$F76),IF(无限模式!$J76="",0,VLOOKUP(无限模式!$J76,'⚪设计'!$C$85:$I$113,4,FALSE)*无限模式!$K76),IF(无限模式!$O76="",0,VLOOKUP(无限模式!$O76,'⚪设计'!$C$85:$I$113,4,FALSE)*无限模式!$P76),IF(无限模式!$T76="",0,VLOOKUP(无限模式!$T76,'⚪设计'!$C$85:$I$113,4,FALSE)*无限模式!$U76))*IF(J76="",0,VLOOKUP(J76,'⚪设计'!$C$85:$I$113,4,FALSE)),0)</f>
        <v>0</v>
      </c>
      <c r="O76" s="71" t="str">
        <f>IF(VLOOKUP(A76,'⚪设计'!$A$277:$G$296,6,FALSE)="","",VLOOKUP(VLOOKUP(A76,'⚪设计'!$A$277:$G$296,6,FALSE),'⚪设计'!$B$85:$D$113,2,FALSE))</f>
        <v/>
      </c>
      <c r="P76" s="71">
        <f>IF(O76="",0,IF(Q76=0,1,ROUND($D76/Q76,0)))</f>
        <v>0</v>
      </c>
      <c r="Q76" s="71" t="str">
        <f>IF(VLOOKUP($A76,'⚪设计'!$A$229:$K$249,7+3,FALSE)="","",VLOOKUP(A76,'⚪设计'!$A$229:$K$249,7+3,FALSE))</f>
        <v/>
      </c>
      <c r="R76" s="71">
        <f>IF(O76="",0,ROUND(VLOOKUP($A76,'⚪设计'!$A$277:$G$296,2,FALSE)*$B76/SUM(IF($E76="",0,VLOOKUP($E76,'⚪设计'!$C$85:$E$113,3,FALSE))*$F76,IF($J76="",0,VLOOKUP($J76,'⚪设计'!$C$85:$E$113,3,FALSE))*$K76,IF($O76="",0,VLOOKUP($O76,'⚪设计'!$C$85:$E$113,3,FALSE))*$P76,IF($T76="",0,VLOOKUP($T76,'⚪设计'!$C$85:$E$113,3,FALSE))*$U76)*VLOOKUP(O76,'⚪设计'!$C$85:$E$113,3,FALSE),0))</f>
        <v>0</v>
      </c>
      <c r="S76" s="71">
        <f>ROUND(战斗节奏!$B$3/SUM(IF(无限模式!$E76="",0,VLOOKUP(无限模式!$E76,'⚪设计'!$C$85:$I$113,4,FALSE)*无限模式!$F76),IF(无限模式!$J76="",0,VLOOKUP(无限模式!$J76,'⚪设计'!$C$85:$I$113,4,FALSE)*无限模式!$K76),IF(无限模式!$O76="",0,VLOOKUP(无限模式!$O76,'⚪设计'!$C$85:$I$113,4,FALSE)*无限模式!$P76),IF(无限模式!$T76="",0,VLOOKUP(无限模式!$T76,'⚪设计'!$C$85:$I$113,4,FALSE)*无限模式!$U76))*IF(O76="",0,VLOOKUP(O76,'⚪设计'!$C$85:$I$113,4,FALSE)),0)</f>
        <v>0</v>
      </c>
      <c r="T76" s="71" t="str">
        <f>IF(VLOOKUP(A76,'⚪设计'!$A$277:$G$296,7,FALSE)="","",VLOOKUP(VLOOKUP(A76,'⚪设计'!$A$277:$G$296,7,FALSE),'⚪设计'!$B$85:$D$113,2,FALSE))</f>
        <v/>
      </c>
      <c r="U76" s="71">
        <f>IF(T76="",0,IF(V76=0,1,ROUND($D76/V76,0)))</f>
        <v>0</v>
      </c>
      <c r="V76" s="71" t="str">
        <f>IF(VLOOKUP($A76,'⚪设计'!$A$229:$K$249,7+4,FALSE)="","",VLOOKUP(A76,'⚪设计'!$A$229:$K$249,7+4,FALSE))</f>
        <v/>
      </c>
      <c r="W76" s="71">
        <f>IF(T76="",0,ROUND(VLOOKUP($A76,'⚪设计'!$A$277:$G$296,2,FALSE)*$B76/SUM(IF($E76="",0,VLOOKUP($E76,'⚪设计'!$C$85:$E$113,3,FALSE))*$F76,IF($J76="",0,VLOOKUP($J76,'⚪设计'!$C$85:$E$113,3,FALSE))*$K76,IF($O76="",0,VLOOKUP($O76,'⚪设计'!$C$85:$E$113,3,FALSE))*$P76,IF($T76="",0,VLOOKUP($T76,'⚪设计'!$C$85:$E$113,3,FALSE))*$U76)*VLOOKUP(T76,'⚪设计'!$C$85:$E$113,3,FALSE),0))</f>
        <v>0</v>
      </c>
      <c r="X76" s="71">
        <f>ROUND(战斗节奏!$B$3/SUM(IF(无限模式!$E76="",0,VLOOKUP(无限模式!$E76,'⚪设计'!$C$85:$I$113,4,FALSE)*无限模式!$F76),IF(无限模式!$J76="",0,VLOOKUP(无限模式!$J76,'⚪设计'!$C$85:$I$113,4,FALSE)*无限模式!$K76),IF(无限模式!$O76="",0,VLOOKUP(无限模式!$O76,'⚪设计'!$C$85:$I$113,4,FALSE)*无限模式!$P76),IF(无限模式!$T76="",0,VLOOKUP(无限模式!$T76,'⚪设计'!$C$85:$I$113,4,FALSE)*无限模式!$U76))*IF(T76="",0,VLOOKUP(T76,'⚪设计'!$C$85:$I$113,4,FALSE)),0)</f>
        <v>0</v>
      </c>
    </row>
    <row r="77" spans="1:25" x14ac:dyDescent="0.2">
      <c r="A77" s="94">
        <v>2</v>
      </c>
      <c r="B77" s="71">
        <f>MAX(MIN(战斗节奏!$C$3-INT(A77/'⚪设计'!$C$55),MOD(A77,'⚪设计'!$C$55)),0)*'⚪设计'!$C$79*防御塔!$C$2+MIN(INT(A77/'⚪设计'!$C$55),战斗节奏!$C$3)*'⚪设计'!$C$80*防御塔!$C$2</f>
        <v>1080</v>
      </c>
      <c r="C77" s="173">
        <v>1.05</v>
      </c>
      <c r="D77" s="173">
        <v>11</v>
      </c>
      <c r="E77" s="71" t="str">
        <f>IF(VLOOKUP(A77,'⚪设计'!$A$277:$G$296,4,FALSE)="","",VLOOKUP(VLOOKUP(A77,'⚪设计'!$A$277:$G$296,4,FALSE),'⚪设计'!$B$85:$D$113,2,FALSE))</f>
        <v>ResUnit_MiFeng1</v>
      </c>
      <c r="F77" s="71">
        <f t="shared" ref="F77:F95" si="12">IF(E77="",0,IF(G77=0,1,ROUND($D77/G77,0)))</f>
        <v>15</v>
      </c>
      <c r="G77" s="71">
        <f>IF(VLOOKUP($A77,'⚪设计'!$A$229:$K$249,7+1,FALSE)="","",VLOOKUP(A77,'⚪设计'!$A$229:$K$249,7+1,FALSE))</f>
        <v>0.75</v>
      </c>
      <c r="H77" s="71">
        <f>IF(E77="",0,ROUND(VLOOKUP($A77,'⚪设计'!$A$277:$G$296,2,FALSE)*$B77/SUM(IF($E77="",0,VLOOKUP($E77,'⚪设计'!$C$85:$E$113,3,FALSE))*$F77,IF($J77="",0,VLOOKUP($J77,'⚪设计'!$C$85:$E$113,3,FALSE))*$K77,IF($O77="",0,VLOOKUP($O77,'⚪设计'!$C$85:$E$113,3,FALSE))*$P77,IF($T77="",0,VLOOKUP($T77,'⚪设计'!$C$85:$E$113,3,FALSE))*$U77)*VLOOKUP(E77,'⚪设计'!$C$85:$E$113,3,FALSE),0))</f>
        <v>113</v>
      </c>
      <c r="I77" s="71">
        <f>ROUND(战斗节奏!$B$3/SUM(IF(无限模式!$E77="",0,VLOOKUP(无限模式!$E77,'⚪设计'!$C$85:$I$113,4,FALSE)*无限模式!$F77),IF(无限模式!$J77="",0,VLOOKUP(无限模式!$J77,'⚪设计'!$C$85:$I$113,4,FALSE)*无限模式!$K77),IF(无限模式!$O77="",0,VLOOKUP(无限模式!$O77,'⚪设计'!$C$85:$I$113,4,FALSE)*无限模式!$P77),IF(无限模式!$T77="",0,VLOOKUP(无限模式!$T77,'⚪设计'!$C$85:$I$113,4,FALSE)*无限模式!$U77))*IF(E77="",0,VLOOKUP(E77,'⚪设计'!$C$85:$I$113,4,FALSE)),0)</f>
        <v>7</v>
      </c>
      <c r="J77" s="71" t="str">
        <f>IF(VLOOKUP(A77,'⚪设计'!$A$277:$G$296,5,FALSE)="","",VLOOKUP(VLOOKUP(A77,'⚪设计'!$A$277:$G$296,5,FALSE),'⚪设计'!$B$85:$D$113,2,FALSE))</f>
        <v>ResUnit_XueRen1</v>
      </c>
      <c r="K77" s="71">
        <f t="shared" ref="K77:K95" si="13">IF(J77="",0,IF(L77=0,1,ROUND($D77/L77,0)))</f>
        <v>7</v>
      </c>
      <c r="L77" s="71">
        <f>IF(VLOOKUP($A77,'⚪设计'!$A$229:$K$249,7+2,FALSE)="","",VLOOKUP(A77,'⚪设计'!$A$229:$K$249,7+2,FALSE))</f>
        <v>1.5</v>
      </c>
      <c r="M77" s="71">
        <f>IF(J77="",0,ROUND(VLOOKUP($A77,'⚪设计'!$A$277:$G$296,2,FALSE)*$B77/SUM(IF($E77="",0,VLOOKUP($E77,'⚪设计'!$C$85:$E$113,3,FALSE))*$F77,IF($J77="",0,VLOOKUP($J77,'⚪设计'!$C$85:$E$113,3,FALSE))*$K77,IF($O77="",0,VLOOKUP($O77,'⚪设计'!$C$85:$E$113,3,FALSE))*$P77,IF($T77="",0,VLOOKUP($T77,'⚪设计'!$C$85:$E$113,3,FALSE))*$U77)*VLOOKUP(J77,'⚪设计'!$C$85:$E$113,3,FALSE),0))</f>
        <v>2265</v>
      </c>
      <c r="N77" s="71">
        <f>ROUND(战斗节奏!$B$3/SUM(IF(无限模式!$E77="",0,VLOOKUP(无限模式!$E77,'⚪设计'!$C$85:$I$113,4,FALSE)*无限模式!$F77),IF(无限模式!$J77="",0,VLOOKUP(无限模式!$J77,'⚪设计'!$C$85:$I$113,4,FALSE)*无限模式!$K77),IF(无限模式!$O77="",0,VLOOKUP(无限模式!$O77,'⚪设计'!$C$85:$I$113,4,FALSE)*无限模式!$P77),IF(无限模式!$T77="",0,VLOOKUP(无限模式!$T77,'⚪设计'!$C$85:$I$113,4,FALSE)*无限模式!$U77))*IF(J77="",0,VLOOKUP(J77,'⚪设计'!$C$85:$I$113,4,FALSE)),0)</f>
        <v>28</v>
      </c>
      <c r="O77" s="71" t="str">
        <f>IF(VLOOKUP(A77,'⚪设计'!$A$277:$G$296,6,FALSE)="","",VLOOKUP(VLOOKUP(A77,'⚪设计'!$A$277:$G$296,6,FALSE),'⚪设计'!$B$85:$D$113,2,FALSE))</f>
        <v/>
      </c>
      <c r="P77" s="71">
        <f t="shared" ref="P77:P95" si="14">IF(O77="",0,IF(Q77=0,1,ROUND($D77/Q77,0)))</f>
        <v>0</v>
      </c>
      <c r="Q77" s="71" t="str">
        <f>IF(VLOOKUP($A77,'⚪设计'!$A$229:$K$249,7+3,FALSE)="","",VLOOKUP(A77,'⚪设计'!$A$229:$K$249,7+3,FALSE))</f>
        <v/>
      </c>
      <c r="R77" s="71">
        <f>IF(O77="",0,ROUND(VLOOKUP($A77,'⚪设计'!$A$277:$G$296,2,FALSE)*$B77/SUM(IF($E77="",0,VLOOKUP($E77,'⚪设计'!$C$85:$E$113,3,FALSE))*$F77,IF($J77="",0,VLOOKUP($J77,'⚪设计'!$C$85:$E$113,3,FALSE))*$K77,IF($O77="",0,VLOOKUP($O77,'⚪设计'!$C$85:$E$113,3,FALSE))*$P77,IF($T77="",0,VLOOKUP($T77,'⚪设计'!$C$85:$E$113,3,FALSE))*$U77)*VLOOKUP(O77,'⚪设计'!$C$85:$E$113,3,FALSE),0))</f>
        <v>0</v>
      </c>
      <c r="S77" s="71">
        <f>ROUND(战斗节奏!$B$3/SUM(IF(无限模式!$E77="",0,VLOOKUP(无限模式!$E77,'⚪设计'!$C$85:$I$113,4,FALSE)*无限模式!$F77),IF(无限模式!$J77="",0,VLOOKUP(无限模式!$J77,'⚪设计'!$C$85:$I$113,4,FALSE)*无限模式!$K77),IF(无限模式!$O77="",0,VLOOKUP(无限模式!$O77,'⚪设计'!$C$85:$I$113,4,FALSE)*无限模式!$P77),IF(无限模式!$T77="",0,VLOOKUP(无限模式!$T77,'⚪设计'!$C$85:$I$113,4,FALSE)*无限模式!$U77))*IF(O77="",0,VLOOKUP(O77,'⚪设计'!$C$85:$I$113,4,FALSE)),0)</f>
        <v>0</v>
      </c>
      <c r="T77" s="71" t="str">
        <f>IF(VLOOKUP(A77,'⚪设计'!$A$277:$G$296,7,FALSE)="","",VLOOKUP(VLOOKUP(A77,'⚪设计'!$A$277:$G$296,7,FALSE),'⚪设计'!$B$85:$D$113,2,FALSE))</f>
        <v/>
      </c>
      <c r="U77" s="71">
        <f t="shared" ref="U77:U95" si="15">IF(T77="",0,IF(V77=0,1,ROUND($D77/V77,0)))</f>
        <v>0</v>
      </c>
      <c r="V77" s="71" t="str">
        <f>IF(VLOOKUP($A77,'⚪设计'!$A$229:$K$249,7+4,FALSE)="","",VLOOKUP(A77,'⚪设计'!$A$229:$K$249,7+4,FALSE))</f>
        <v/>
      </c>
      <c r="W77" s="71">
        <f>IF(T77="",0,ROUND(VLOOKUP($A77,'⚪设计'!$A$277:$G$296,2,FALSE)*$B77/SUM(IF($E77="",0,VLOOKUP($E77,'⚪设计'!$C$85:$E$113,3,FALSE))*$F77,IF($J77="",0,VLOOKUP($J77,'⚪设计'!$C$85:$E$113,3,FALSE))*$K77,IF($O77="",0,VLOOKUP($O77,'⚪设计'!$C$85:$E$113,3,FALSE))*$P77,IF($T77="",0,VLOOKUP($T77,'⚪设计'!$C$85:$E$113,3,FALSE))*$U77)*VLOOKUP(T77,'⚪设计'!$C$85:$E$113,3,FALSE),0))</f>
        <v>0</v>
      </c>
      <c r="X77" s="71">
        <f>ROUND(战斗节奏!$B$3/SUM(IF(无限模式!$E77="",0,VLOOKUP(无限模式!$E77,'⚪设计'!$C$85:$I$113,4,FALSE)*无限模式!$F77),IF(无限模式!$J77="",0,VLOOKUP(无限模式!$J77,'⚪设计'!$C$85:$I$113,4,FALSE)*无限模式!$K77),IF(无限模式!$O77="",0,VLOOKUP(无限模式!$O77,'⚪设计'!$C$85:$I$113,4,FALSE)*无限模式!$P77),IF(无限模式!$T77="",0,VLOOKUP(无限模式!$T77,'⚪设计'!$C$85:$I$113,4,FALSE)*无限模式!$U77))*IF(T77="",0,VLOOKUP(T77,'⚪设计'!$C$85:$I$113,4,FALSE)),0)</f>
        <v>0</v>
      </c>
    </row>
    <row r="78" spans="1:25" x14ac:dyDescent="0.2">
      <c r="A78" s="94">
        <v>3</v>
      </c>
      <c r="B78" s="71">
        <f>MAX(MIN(战斗节奏!$C$3-INT(A78/'⚪设计'!$C$55),MOD(A78,'⚪设计'!$C$55)),0)*'⚪设计'!$C$79*防御塔!$C$2+MIN(INT(A78/'⚪设计'!$C$55),战斗节奏!$C$3)*'⚪设计'!$C$80*防御塔!$C$2</f>
        <v>1620</v>
      </c>
      <c r="C78" s="173">
        <v>1.1000000000000001</v>
      </c>
      <c r="D78" s="173">
        <v>12</v>
      </c>
      <c r="E78" s="71" t="str">
        <f>IF(VLOOKUP(A78,'⚪设计'!$A$277:$G$296,4,FALSE)="","",VLOOKUP(VLOOKUP(A78,'⚪设计'!$A$277:$G$296,4,FALSE),'⚪设计'!$B$85:$D$113,2,FALSE))</f>
        <v>ResUnit_XueRen1</v>
      </c>
      <c r="F78" s="71">
        <f t="shared" si="12"/>
        <v>8</v>
      </c>
      <c r="G78" s="71">
        <f>IF(VLOOKUP($A78,'⚪设计'!$A$229:$K$249,7+1,FALSE)="","",VLOOKUP(A78,'⚪设计'!$A$229:$K$249,7+1,FALSE))</f>
        <v>1.5</v>
      </c>
      <c r="H78" s="71">
        <f>IF(E78="",0,ROUND(VLOOKUP($A78,'⚪设计'!$A$277:$G$296,2,FALSE)*$B78/SUM(IF($E78="",0,VLOOKUP($E78,'⚪设计'!$C$85:$E$113,3,FALSE))*$F78,IF($J78="",0,VLOOKUP($J78,'⚪设计'!$C$85:$E$113,3,FALSE))*$K78,IF($O78="",0,VLOOKUP($O78,'⚪设计'!$C$85:$E$113,3,FALSE))*$P78,IF($T78="",0,VLOOKUP($T78,'⚪设计'!$C$85:$E$113,3,FALSE))*$U78)*VLOOKUP(E78,'⚪设计'!$C$85:$E$113,3,FALSE),0))</f>
        <v>3866</v>
      </c>
      <c r="I78" s="71">
        <f>ROUND(战斗节奏!$B$3/SUM(IF(无限模式!$E78="",0,VLOOKUP(无限模式!$E78,'⚪设计'!$C$85:$I$113,4,FALSE)*无限模式!$F78),IF(无限模式!$J78="",0,VLOOKUP(无限模式!$J78,'⚪设计'!$C$85:$I$113,4,FALSE)*无限模式!$K78),IF(无限模式!$O78="",0,VLOOKUP(无限模式!$O78,'⚪设计'!$C$85:$I$113,4,FALSE)*无限模式!$P78),IF(无限模式!$T78="",0,VLOOKUP(无限模式!$T78,'⚪设计'!$C$85:$I$113,4,FALSE)*无限模式!$U78))*IF(E78="",0,VLOOKUP(E78,'⚪设计'!$C$85:$I$113,4,FALSE)),0)</f>
        <v>13</v>
      </c>
      <c r="J78" s="71" t="str">
        <f>IF(VLOOKUP(A78,'⚪设计'!$A$277:$G$296,5,FALSE)="","",VLOOKUP(VLOOKUP(A78,'⚪设计'!$A$277:$G$296,5,FALSE),'⚪设计'!$B$85:$D$113,2,FALSE))</f>
        <v>ResUnit_BianFu1</v>
      </c>
      <c r="K78" s="71">
        <f t="shared" si="13"/>
        <v>60</v>
      </c>
      <c r="L78" s="71">
        <f>IF(VLOOKUP($A78,'⚪设计'!$A$229:$K$249,7+2,FALSE)="","",VLOOKUP(A78,'⚪设计'!$A$229:$K$249,7+2,FALSE))</f>
        <v>0.2</v>
      </c>
      <c r="M78" s="71">
        <f>IF(J78="",0,ROUND(VLOOKUP($A78,'⚪设计'!$A$277:$G$296,2,FALSE)*$B78/SUM(IF($E78="",0,VLOOKUP($E78,'⚪设计'!$C$85:$E$113,3,FALSE))*$F78,IF($J78="",0,VLOOKUP($J78,'⚪设计'!$C$85:$E$113,3,FALSE))*$K78,IF($O78="",0,VLOOKUP($O78,'⚪设计'!$C$85:$E$113,3,FALSE))*$P78,IF($T78="",0,VLOOKUP($T78,'⚪设计'!$C$85:$E$113,3,FALSE))*$U78)*VLOOKUP(J78,'⚪设计'!$C$85:$E$113,3,FALSE),0))</f>
        <v>193</v>
      </c>
      <c r="N78" s="71">
        <f>ROUND(战斗节奏!$B$3/SUM(IF(无限模式!$E78="",0,VLOOKUP(无限模式!$E78,'⚪设计'!$C$85:$I$113,4,FALSE)*无限模式!$F78),IF(无限模式!$J78="",0,VLOOKUP(无限模式!$J78,'⚪设计'!$C$85:$I$113,4,FALSE)*无限模式!$K78),IF(无限模式!$O78="",0,VLOOKUP(无限模式!$O78,'⚪设计'!$C$85:$I$113,4,FALSE)*无限模式!$P78),IF(无限模式!$T78="",0,VLOOKUP(无限模式!$T78,'⚪设计'!$C$85:$I$113,4,FALSE)*无限模式!$U78))*IF(J78="",0,VLOOKUP(J78,'⚪设计'!$C$85:$I$113,4,FALSE)),0)</f>
        <v>3</v>
      </c>
      <c r="O78" s="71" t="str">
        <f>IF(VLOOKUP(A78,'⚪设计'!$A$277:$G$296,6,FALSE)="","",VLOOKUP(VLOOKUP(A78,'⚪设计'!$A$277:$G$296,6,FALSE),'⚪设计'!$B$85:$D$113,2,FALSE))</f>
        <v/>
      </c>
      <c r="P78" s="71">
        <f t="shared" si="14"/>
        <v>0</v>
      </c>
      <c r="Q78" s="71" t="str">
        <f>IF(VLOOKUP($A78,'⚪设计'!$A$229:$K$249,7+3,FALSE)="","",VLOOKUP(A78,'⚪设计'!$A$229:$K$249,7+3,FALSE))</f>
        <v/>
      </c>
      <c r="R78" s="71">
        <f>IF(O78="",0,ROUND(VLOOKUP($A78,'⚪设计'!$A$277:$G$296,2,FALSE)*$B78/SUM(IF($E78="",0,VLOOKUP($E78,'⚪设计'!$C$85:$E$113,3,FALSE))*$F78,IF($J78="",0,VLOOKUP($J78,'⚪设计'!$C$85:$E$113,3,FALSE))*$K78,IF($O78="",0,VLOOKUP($O78,'⚪设计'!$C$85:$E$113,3,FALSE))*$P78,IF($T78="",0,VLOOKUP($T78,'⚪设计'!$C$85:$E$113,3,FALSE))*$U78)*VLOOKUP(O78,'⚪设计'!$C$85:$E$113,3,FALSE),0))</f>
        <v>0</v>
      </c>
      <c r="S78" s="71">
        <f>ROUND(战斗节奏!$B$3/SUM(IF(无限模式!$E78="",0,VLOOKUP(无限模式!$E78,'⚪设计'!$C$85:$I$113,4,FALSE)*无限模式!$F78),IF(无限模式!$J78="",0,VLOOKUP(无限模式!$J78,'⚪设计'!$C$85:$I$113,4,FALSE)*无限模式!$K78),IF(无限模式!$O78="",0,VLOOKUP(无限模式!$O78,'⚪设计'!$C$85:$I$113,4,FALSE)*无限模式!$P78),IF(无限模式!$T78="",0,VLOOKUP(无限模式!$T78,'⚪设计'!$C$85:$I$113,4,FALSE)*无限模式!$U78))*IF(O78="",0,VLOOKUP(O78,'⚪设计'!$C$85:$I$113,4,FALSE)),0)</f>
        <v>0</v>
      </c>
      <c r="T78" s="71" t="str">
        <f>IF(VLOOKUP(A78,'⚪设计'!$A$277:$G$296,7,FALSE)="","",VLOOKUP(VLOOKUP(A78,'⚪设计'!$A$277:$G$296,7,FALSE),'⚪设计'!$B$85:$D$113,2,FALSE))</f>
        <v/>
      </c>
      <c r="U78" s="71">
        <f t="shared" si="15"/>
        <v>0</v>
      </c>
      <c r="V78" s="71" t="str">
        <f>IF(VLOOKUP($A78,'⚪设计'!$A$229:$K$249,7+4,FALSE)="","",VLOOKUP(A78,'⚪设计'!$A$229:$K$249,7+4,FALSE))</f>
        <v/>
      </c>
      <c r="W78" s="71">
        <f>IF(T78="",0,ROUND(VLOOKUP($A78,'⚪设计'!$A$277:$G$296,2,FALSE)*$B78/SUM(IF($E78="",0,VLOOKUP($E78,'⚪设计'!$C$85:$E$113,3,FALSE))*$F78,IF($J78="",0,VLOOKUP($J78,'⚪设计'!$C$85:$E$113,3,FALSE))*$K78,IF($O78="",0,VLOOKUP($O78,'⚪设计'!$C$85:$E$113,3,FALSE))*$P78,IF($T78="",0,VLOOKUP($T78,'⚪设计'!$C$85:$E$113,3,FALSE))*$U78)*VLOOKUP(T78,'⚪设计'!$C$85:$E$113,3,FALSE),0))</f>
        <v>0</v>
      </c>
      <c r="X78" s="71">
        <f>ROUND(战斗节奏!$B$3/SUM(IF(无限模式!$E78="",0,VLOOKUP(无限模式!$E78,'⚪设计'!$C$85:$I$113,4,FALSE)*无限模式!$F78),IF(无限模式!$J78="",0,VLOOKUP(无限模式!$J78,'⚪设计'!$C$85:$I$113,4,FALSE)*无限模式!$K78),IF(无限模式!$O78="",0,VLOOKUP(无限模式!$O78,'⚪设计'!$C$85:$I$113,4,FALSE)*无限模式!$P78),IF(无限模式!$T78="",0,VLOOKUP(无限模式!$T78,'⚪设计'!$C$85:$I$113,4,FALSE)*无限模式!$U78))*IF(T78="",0,VLOOKUP(T78,'⚪设计'!$C$85:$I$113,4,FALSE)),0)</f>
        <v>0</v>
      </c>
    </row>
    <row r="79" spans="1:25" x14ac:dyDescent="0.2">
      <c r="A79" s="94">
        <v>4</v>
      </c>
      <c r="B79" s="71">
        <f>MAX(MIN(战斗节奏!$C$3-INT(A79/'⚪设计'!$C$55),MOD(A79,'⚪设计'!$C$55)),0)*'⚪设计'!$C$79*防御塔!$C$2+MIN(INT(A79/'⚪设计'!$C$55),战斗节奏!$C$3)*'⚪设计'!$C$80*防御塔!$C$2</f>
        <v>2160</v>
      </c>
      <c r="C79" s="173">
        <v>1.1499999999999999</v>
      </c>
      <c r="D79" s="173">
        <v>13</v>
      </c>
      <c r="E79" s="71" t="str">
        <f>IF(VLOOKUP(A79,'⚪设计'!$A$277:$G$296,4,FALSE)="","",VLOOKUP(VLOOKUP(A79,'⚪设计'!$A$277:$G$296,4,FALSE),'⚪设计'!$B$85:$D$113,2,FALSE))</f>
        <v>ResUnit_MiFeng3</v>
      </c>
      <c r="F79" s="71">
        <f t="shared" si="12"/>
        <v>1</v>
      </c>
      <c r="G79" s="71">
        <f>IF(VLOOKUP($A79,'⚪设计'!$A$229:$K$249,7+1,FALSE)="","",VLOOKUP(A79,'⚪设计'!$A$229:$K$249,7+1,FALSE))</f>
        <v>0</v>
      </c>
      <c r="H79" s="71">
        <f>IF(E79="",0,ROUND(VLOOKUP($A79,'⚪设计'!$A$277:$G$296,2,FALSE)*$B79/SUM(IF($E79="",0,VLOOKUP($E79,'⚪设计'!$C$85:$E$113,3,FALSE))*$F79,IF($J79="",0,VLOOKUP($J79,'⚪设计'!$C$85:$E$113,3,FALSE))*$K79,IF($O79="",0,VLOOKUP($O79,'⚪设计'!$C$85:$E$113,3,FALSE))*$P79,IF($T79="",0,VLOOKUP($T79,'⚪设计'!$C$85:$E$113,3,FALSE))*$U79)*VLOOKUP(E79,'⚪设计'!$C$85:$E$113,3,FALSE),0))</f>
        <v>32400</v>
      </c>
      <c r="I79" s="71">
        <f>ROUND(战斗节奏!$B$3/SUM(IF(无限模式!$E79="",0,VLOOKUP(无限模式!$E79,'⚪设计'!$C$85:$I$113,4,FALSE)*无限模式!$F79),IF(无限模式!$J79="",0,VLOOKUP(无限模式!$J79,'⚪设计'!$C$85:$I$113,4,FALSE)*无限模式!$K79),IF(无限模式!$O79="",0,VLOOKUP(无限模式!$O79,'⚪设计'!$C$85:$I$113,4,FALSE)*无限模式!$P79),IF(无限模式!$T79="",0,VLOOKUP(无限模式!$T79,'⚪设计'!$C$85:$I$113,4,FALSE)*无限模式!$U79))*IF(E79="",0,VLOOKUP(E79,'⚪设计'!$C$85:$I$113,4,FALSE)),0)</f>
        <v>182</v>
      </c>
      <c r="J79" s="71" t="str">
        <f>IF(VLOOKUP(A79,'⚪设计'!$A$277:$G$296,5,FALSE)="","",VLOOKUP(VLOOKUP(A79,'⚪设计'!$A$277:$G$296,5,FALSE),'⚪设计'!$B$85:$D$113,2,FALSE))</f>
        <v>ResUnit_XueRen1</v>
      </c>
      <c r="K79" s="71">
        <f t="shared" si="13"/>
        <v>13</v>
      </c>
      <c r="L79" s="71">
        <f>IF(VLOOKUP($A79,'⚪设计'!$A$229:$K$249,7+2,FALSE)="","",VLOOKUP(A79,'⚪设计'!$A$229:$K$249,7+2,FALSE))</f>
        <v>1</v>
      </c>
      <c r="M79" s="71">
        <f>IF(J79="",0,ROUND(VLOOKUP($A79,'⚪设计'!$A$277:$G$296,2,FALSE)*$B79/SUM(IF($E79="",0,VLOOKUP($E79,'⚪设计'!$C$85:$E$113,3,FALSE))*$F79,IF($J79="",0,VLOOKUP($J79,'⚪设计'!$C$85:$E$113,3,FALSE))*$K79,IF($O79="",0,VLOOKUP($O79,'⚪设计'!$C$85:$E$113,3,FALSE))*$P79,IF($T79="",0,VLOOKUP($T79,'⚪设计'!$C$85:$E$113,3,FALSE))*$U79)*VLOOKUP(J79,'⚪设计'!$C$85:$E$113,3,FALSE),0))</f>
        <v>8100</v>
      </c>
      <c r="N79" s="71">
        <f>ROUND(战斗节奏!$B$3/SUM(IF(无限模式!$E79="",0,VLOOKUP(无限模式!$E79,'⚪设计'!$C$85:$I$113,4,FALSE)*无限模式!$F79),IF(无限模式!$J79="",0,VLOOKUP(无限模式!$J79,'⚪设计'!$C$85:$I$113,4,FALSE)*无限模式!$K79),IF(无限模式!$O79="",0,VLOOKUP(无限模式!$O79,'⚪设计'!$C$85:$I$113,4,FALSE)*无限模式!$P79),IF(无限模式!$T79="",0,VLOOKUP(无限模式!$T79,'⚪设计'!$C$85:$I$113,4,FALSE)*无限模式!$U79))*IF(J79="",0,VLOOKUP(J79,'⚪设计'!$C$85:$I$113,4,FALSE)),0)</f>
        <v>9</v>
      </c>
      <c r="O79" s="71" t="str">
        <f>IF(VLOOKUP(A79,'⚪设计'!$A$277:$G$296,6,FALSE)="","",VLOOKUP(VLOOKUP(A79,'⚪设计'!$A$277:$G$296,6,FALSE),'⚪设计'!$B$85:$D$113,2,FALSE))</f>
        <v/>
      </c>
      <c r="P79" s="71">
        <f t="shared" si="14"/>
        <v>0</v>
      </c>
      <c r="Q79" s="71" t="str">
        <f>IF(VLOOKUP($A79,'⚪设计'!$A$229:$K$249,7+3,FALSE)="","",VLOOKUP(A79,'⚪设计'!$A$229:$K$249,7+3,FALSE))</f>
        <v/>
      </c>
      <c r="R79" s="71">
        <f>IF(O79="",0,ROUND(VLOOKUP($A79,'⚪设计'!$A$277:$G$296,2,FALSE)*$B79/SUM(IF($E79="",0,VLOOKUP($E79,'⚪设计'!$C$85:$E$113,3,FALSE))*$F79,IF($J79="",0,VLOOKUP($J79,'⚪设计'!$C$85:$E$113,3,FALSE))*$K79,IF($O79="",0,VLOOKUP($O79,'⚪设计'!$C$85:$E$113,3,FALSE))*$P79,IF($T79="",0,VLOOKUP($T79,'⚪设计'!$C$85:$E$113,3,FALSE))*$U79)*VLOOKUP(O79,'⚪设计'!$C$85:$E$113,3,FALSE),0))</f>
        <v>0</v>
      </c>
      <c r="S79" s="71">
        <f>ROUND(战斗节奏!$B$3/SUM(IF(无限模式!$E79="",0,VLOOKUP(无限模式!$E79,'⚪设计'!$C$85:$I$113,4,FALSE)*无限模式!$F79),IF(无限模式!$J79="",0,VLOOKUP(无限模式!$J79,'⚪设计'!$C$85:$I$113,4,FALSE)*无限模式!$K79),IF(无限模式!$O79="",0,VLOOKUP(无限模式!$O79,'⚪设计'!$C$85:$I$113,4,FALSE)*无限模式!$P79),IF(无限模式!$T79="",0,VLOOKUP(无限模式!$T79,'⚪设计'!$C$85:$I$113,4,FALSE)*无限模式!$U79))*IF(O79="",0,VLOOKUP(O79,'⚪设计'!$C$85:$I$113,4,FALSE)),0)</f>
        <v>0</v>
      </c>
      <c r="T79" s="71" t="str">
        <f>IF(VLOOKUP(A79,'⚪设计'!$A$277:$G$296,7,FALSE)="","",VLOOKUP(VLOOKUP(A79,'⚪设计'!$A$277:$G$296,7,FALSE),'⚪设计'!$B$85:$D$113,2,FALSE))</f>
        <v/>
      </c>
      <c r="U79" s="71">
        <f t="shared" si="15"/>
        <v>0</v>
      </c>
      <c r="V79" s="71" t="str">
        <f>IF(VLOOKUP($A79,'⚪设计'!$A$229:$K$249,7+4,FALSE)="","",VLOOKUP(A79,'⚪设计'!$A$229:$K$249,7+4,FALSE))</f>
        <v/>
      </c>
      <c r="W79" s="71">
        <f>IF(T79="",0,ROUND(VLOOKUP($A79,'⚪设计'!$A$277:$G$296,2,FALSE)*$B79/SUM(IF($E79="",0,VLOOKUP($E79,'⚪设计'!$C$85:$E$113,3,FALSE))*$F79,IF($J79="",0,VLOOKUP($J79,'⚪设计'!$C$85:$E$113,3,FALSE))*$K79,IF($O79="",0,VLOOKUP($O79,'⚪设计'!$C$85:$E$113,3,FALSE))*$P79,IF($T79="",0,VLOOKUP($T79,'⚪设计'!$C$85:$E$113,3,FALSE))*$U79)*VLOOKUP(T79,'⚪设计'!$C$85:$E$113,3,FALSE),0))</f>
        <v>0</v>
      </c>
      <c r="X79" s="71">
        <f>ROUND(战斗节奏!$B$3/SUM(IF(无限模式!$E79="",0,VLOOKUP(无限模式!$E79,'⚪设计'!$C$85:$I$113,4,FALSE)*无限模式!$F79),IF(无限模式!$J79="",0,VLOOKUP(无限模式!$J79,'⚪设计'!$C$85:$I$113,4,FALSE)*无限模式!$K79),IF(无限模式!$O79="",0,VLOOKUP(无限模式!$O79,'⚪设计'!$C$85:$I$113,4,FALSE)*无限模式!$P79),IF(无限模式!$T79="",0,VLOOKUP(无限模式!$T79,'⚪设计'!$C$85:$I$113,4,FALSE)*无限模式!$U79))*IF(T79="",0,VLOOKUP(T79,'⚪设计'!$C$85:$I$113,4,FALSE)),0)</f>
        <v>0</v>
      </c>
    </row>
    <row r="80" spans="1:25" x14ac:dyDescent="0.2">
      <c r="A80" s="94">
        <v>5</v>
      </c>
      <c r="B80" s="71">
        <f>MAX(MIN(战斗节奏!$C$3-INT(A80/'⚪设计'!$C$55),MOD(A80,'⚪设计'!$C$55)),0)*'⚪设计'!$C$79*防御塔!$C$2+MIN(INT(A80/'⚪设计'!$C$55),战斗节奏!$C$3)*'⚪设计'!$C$80*防御塔!$C$2</f>
        <v>2700</v>
      </c>
      <c r="C80" s="173">
        <v>1.2</v>
      </c>
      <c r="D80" s="173">
        <v>14</v>
      </c>
      <c r="E80" s="71" t="str">
        <f>IF(VLOOKUP(A80,'⚪设计'!$A$277:$G$296,4,FALSE)="","",VLOOKUP(VLOOKUP(A80,'⚪设计'!$A$277:$G$296,4,FALSE),'⚪设计'!$B$85:$D$113,2,FALSE))</f>
        <v>ResUnit_XueRen1</v>
      </c>
      <c r="F80" s="71">
        <f t="shared" si="12"/>
        <v>14</v>
      </c>
      <c r="G80" s="71">
        <f>IF(VLOOKUP($A80,'⚪设计'!$A$229:$K$249,7+1,FALSE)="","",VLOOKUP(A80,'⚪设计'!$A$229:$K$249,7+1,FALSE))</f>
        <v>1</v>
      </c>
      <c r="H80" s="71">
        <f>IF(E80="",0,ROUND(VLOOKUP($A80,'⚪设计'!$A$277:$G$296,2,FALSE)*$B80/SUM(IF($E80="",0,VLOOKUP($E80,'⚪设计'!$C$85:$E$113,3,FALSE))*$F80,IF($J80="",0,VLOOKUP($J80,'⚪设计'!$C$85:$E$113,3,FALSE))*$K80,IF($O80="",0,VLOOKUP($O80,'⚪设计'!$C$85:$E$113,3,FALSE))*$P80,IF($T80="",0,VLOOKUP($T80,'⚪设计'!$C$85:$E$113,3,FALSE))*$U80)*VLOOKUP(E80,'⚪设计'!$C$85:$E$113,3,FALSE),0))</f>
        <v>6575</v>
      </c>
      <c r="I80" s="71">
        <f>ROUND(战斗节奏!$B$3/SUM(IF(无限模式!$E80="",0,VLOOKUP(无限模式!$E80,'⚪设计'!$C$85:$I$113,4,FALSE)*无限模式!$F80),IF(无限模式!$J80="",0,VLOOKUP(无限模式!$J80,'⚪设计'!$C$85:$I$113,4,FALSE)*无限模式!$K80),IF(无限模式!$O80="",0,VLOOKUP(无限模式!$O80,'⚪设计'!$C$85:$I$113,4,FALSE)*无限模式!$P80),IF(无限模式!$T80="",0,VLOOKUP(无限模式!$T80,'⚪设计'!$C$85:$I$113,4,FALSE)*无限模式!$U80))*IF(E80="",0,VLOOKUP(E80,'⚪设计'!$C$85:$I$113,4,FALSE)),0)</f>
        <v>14</v>
      </c>
      <c r="J80" s="71" t="str">
        <f>IF(VLOOKUP(A80,'⚪设计'!$A$277:$G$296,5,FALSE)="","",VLOOKUP(VLOOKUP(A80,'⚪设计'!$A$277:$G$296,5,FALSE),'⚪设计'!$B$85:$D$113,2,FALSE))</f>
        <v>ResUnit_ZhiZhu1</v>
      </c>
      <c r="K80" s="71">
        <f t="shared" si="13"/>
        <v>14</v>
      </c>
      <c r="L80" s="71">
        <f>IF(VLOOKUP($A80,'⚪设计'!$A$229:$K$249,7+2,FALSE)="","",VLOOKUP(A80,'⚪设计'!$A$229:$K$249,7+2,FALSE))</f>
        <v>1</v>
      </c>
      <c r="M80" s="71">
        <f>IF(J80="",0,ROUND(VLOOKUP($A80,'⚪设计'!$A$277:$G$296,2,FALSE)*$B80/SUM(IF($E80="",0,VLOOKUP($E80,'⚪设计'!$C$85:$E$113,3,FALSE))*$F80,IF($J80="",0,VLOOKUP($J80,'⚪设计'!$C$85:$E$113,3,FALSE))*$K80,IF($O80="",0,VLOOKUP($O80,'⚪设计'!$C$85:$E$113,3,FALSE))*$P80,IF($T80="",0,VLOOKUP($T80,'⚪设计'!$C$85:$E$113,3,FALSE))*$U80)*VLOOKUP(J80,'⚪设计'!$C$85:$E$113,3,FALSE),0))</f>
        <v>657</v>
      </c>
      <c r="N80" s="71">
        <f>ROUND(战斗节奏!$B$3/SUM(IF(无限模式!$E80="",0,VLOOKUP(无限模式!$E80,'⚪设计'!$C$85:$I$113,4,FALSE)*无限模式!$F80),IF(无限模式!$J80="",0,VLOOKUP(无限模式!$J80,'⚪设计'!$C$85:$I$113,4,FALSE)*无限模式!$K80),IF(无限模式!$O80="",0,VLOOKUP(无限模式!$O80,'⚪设计'!$C$85:$I$113,4,FALSE)*无限模式!$P80),IF(无限模式!$T80="",0,VLOOKUP(无限模式!$T80,'⚪设计'!$C$85:$I$113,4,FALSE)*无限模式!$U80))*IF(J80="",0,VLOOKUP(J80,'⚪设计'!$C$85:$I$113,4,FALSE)),0)</f>
        <v>7</v>
      </c>
      <c r="O80" s="71" t="str">
        <f>IF(VLOOKUP(A80,'⚪设计'!$A$277:$G$296,6,FALSE)="","",VLOOKUP(VLOOKUP(A80,'⚪设计'!$A$277:$G$296,6,FALSE),'⚪设计'!$B$85:$D$113,2,FALSE))</f>
        <v/>
      </c>
      <c r="P80" s="71">
        <f t="shared" si="14"/>
        <v>0</v>
      </c>
      <c r="Q80" s="71" t="str">
        <f>IF(VLOOKUP($A80,'⚪设计'!$A$229:$K$249,7+3,FALSE)="","",VLOOKUP(A80,'⚪设计'!$A$229:$K$249,7+3,FALSE))</f>
        <v/>
      </c>
      <c r="R80" s="71">
        <f>IF(O80="",0,ROUND(VLOOKUP($A80,'⚪设计'!$A$277:$G$296,2,FALSE)*$B80/SUM(IF($E80="",0,VLOOKUP($E80,'⚪设计'!$C$85:$E$113,3,FALSE))*$F80,IF($J80="",0,VLOOKUP($J80,'⚪设计'!$C$85:$E$113,3,FALSE))*$K80,IF($O80="",0,VLOOKUP($O80,'⚪设计'!$C$85:$E$113,3,FALSE))*$P80,IF($T80="",0,VLOOKUP($T80,'⚪设计'!$C$85:$E$113,3,FALSE))*$U80)*VLOOKUP(O80,'⚪设计'!$C$85:$E$113,3,FALSE),0))</f>
        <v>0</v>
      </c>
      <c r="S80" s="71">
        <f>ROUND(战斗节奏!$B$3/SUM(IF(无限模式!$E80="",0,VLOOKUP(无限模式!$E80,'⚪设计'!$C$85:$I$113,4,FALSE)*无限模式!$F80),IF(无限模式!$J80="",0,VLOOKUP(无限模式!$J80,'⚪设计'!$C$85:$I$113,4,FALSE)*无限模式!$K80),IF(无限模式!$O80="",0,VLOOKUP(无限模式!$O80,'⚪设计'!$C$85:$I$113,4,FALSE)*无限模式!$P80),IF(无限模式!$T80="",0,VLOOKUP(无限模式!$T80,'⚪设计'!$C$85:$I$113,4,FALSE)*无限模式!$U80))*IF(O80="",0,VLOOKUP(O80,'⚪设计'!$C$85:$I$113,4,FALSE)),0)</f>
        <v>0</v>
      </c>
      <c r="T80" s="71" t="str">
        <f>IF(VLOOKUP(A80,'⚪设计'!$A$277:$G$296,7,FALSE)="","",VLOOKUP(VLOOKUP(A80,'⚪设计'!$A$277:$G$296,7,FALSE),'⚪设计'!$B$85:$D$113,2,FALSE))</f>
        <v/>
      </c>
      <c r="U80" s="71">
        <f t="shared" si="15"/>
        <v>0</v>
      </c>
      <c r="V80" s="71" t="str">
        <f>IF(VLOOKUP($A80,'⚪设计'!$A$229:$K$249,7+4,FALSE)="","",VLOOKUP(A80,'⚪设计'!$A$229:$K$249,7+4,FALSE))</f>
        <v/>
      </c>
      <c r="W80" s="71">
        <f>IF(T80="",0,ROUND(VLOOKUP($A80,'⚪设计'!$A$277:$G$296,2,FALSE)*$B80/SUM(IF($E80="",0,VLOOKUP($E80,'⚪设计'!$C$85:$E$113,3,FALSE))*$F80,IF($J80="",0,VLOOKUP($J80,'⚪设计'!$C$85:$E$113,3,FALSE))*$K80,IF($O80="",0,VLOOKUP($O80,'⚪设计'!$C$85:$E$113,3,FALSE))*$P80,IF($T80="",0,VLOOKUP($T80,'⚪设计'!$C$85:$E$113,3,FALSE))*$U80)*VLOOKUP(T80,'⚪设计'!$C$85:$E$113,3,FALSE),0))</f>
        <v>0</v>
      </c>
      <c r="X80" s="71">
        <f>ROUND(战斗节奏!$B$3/SUM(IF(无限模式!$E80="",0,VLOOKUP(无限模式!$E80,'⚪设计'!$C$85:$I$113,4,FALSE)*无限模式!$F80),IF(无限模式!$J80="",0,VLOOKUP(无限模式!$J80,'⚪设计'!$C$85:$I$113,4,FALSE)*无限模式!$K80),IF(无限模式!$O80="",0,VLOOKUP(无限模式!$O80,'⚪设计'!$C$85:$I$113,4,FALSE)*无限模式!$P80),IF(无限模式!$T80="",0,VLOOKUP(无限模式!$T80,'⚪设计'!$C$85:$I$113,4,FALSE)*无限模式!$U80))*IF(T80="",0,VLOOKUP(T80,'⚪设计'!$C$85:$I$113,4,FALSE)),0)</f>
        <v>0</v>
      </c>
    </row>
    <row r="81" spans="1:24" x14ac:dyDescent="0.2">
      <c r="A81" s="94">
        <v>6</v>
      </c>
      <c r="B81" s="71">
        <f>MAX(MIN(战斗节奏!$C$3-INT(A81/'⚪设计'!$C$55),MOD(A81,'⚪设计'!$C$55)),0)*'⚪设计'!$C$79*防御塔!$C$2+MIN(INT(A81/'⚪设计'!$C$55),战斗节奏!$C$3)*'⚪设计'!$C$80*防御塔!$C$2</f>
        <v>3240</v>
      </c>
      <c r="C81" s="173">
        <v>1.25</v>
      </c>
      <c r="D81" s="173">
        <v>15</v>
      </c>
      <c r="E81" s="71" t="str">
        <f>IF(VLOOKUP(A81,'⚪设计'!$A$277:$G$296,4,FALSE)="","",VLOOKUP(VLOOKUP(A81,'⚪设计'!$A$277:$G$296,4,FALSE),'⚪设计'!$B$85:$D$113,2,FALSE))</f>
        <v>ResUnit_MiFeng2</v>
      </c>
      <c r="F81" s="71">
        <f t="shared" si="12"/>
        <v>20</v>
      </c>
      <c r="G81" s="71">
        <f>IF(VLOOKUP($A81,'⚪设计'!$A$229:$K$249,7+1,FALSE)="","",VLOOKUP(A81,'⚪设计'!$A$229:$K$249,7+1,FALSE))</f>
        <v>0.75</v>
      </c>
      <c r="H81" s="71">
        <f>IF(E81="",0,ROUND(VLOOKUP($A81,'⚪设计'!$A$277:$G$296,2,FALSE)*$B81/SUM(IF($E81="",0,VLOOKUP($E81,'⚪设计'!$C$85:$E$113,3,FALSE))*$F81,IF($J81="",0,VLOOKUP($J81,'⚪设计'!$C$85:$E$113,3,FALSE))*$K81,IF($O81="",0,VLOOKUP($O81,'⚪设计'!$C$85:$E$113,3,FALSE))*$P81,IF($T81="",0,VLOOKUP($T81,'⚪设计'!$C$85:$E$113,3,FALSE))*$U81)*VLOOKUP(E81,'⚪设计'!$C$85:$E$113,3,FALSE),0))</f>
        <v>2132</v>
      </c>
      <c r="I81" s="71">
        <f>ROUND(战斗节奏!$B$3/SUM(IF(无限模式!$E81="",0,VLOOKUP(无限模式!$E81,'⚪设计'!$C$85:$I$113,4,FALSE)*无限模式!$F81),IF(无限模式!$J81="",0,VLOOKUP(无限模式!$J81,'⚪设计'!$C$85:$I$113,4,FALSE)*无限模式!$K81),IF(无限模式!$O81="",0,VLOOKUP(无限模式!$O81,'⚪设计'!$C$85:$I$113,4,FALSE)*无限模式!$P81),IF(无限模式!$T81="",0,VLOOKUP(无限模式!$T81,'⚪设计'!$C$85:$I$113,4,FALSE)*无限模式!$U81))*IF(E81="",0,VLOOKUP(E81,'⚪设计'!$C$85:$I$113,4,FALSE)),0)</f>
        <v>9</v>
      </c>
      <c r="J81" s="71" t="str">
        <f>IF(VLOOKUP(A81,'⚪设计'!$A$277:$G$296,5,FALSE)="","",VLOOKUP(VLOOKUP(A81,'⚪设计'!$A$277:$G$296,5,FALSE),'⚪设计'!$B$85:$D$113,2,FALSE))</f>
        <v>ResUnit_XueRen1</v>
      </c>
      <c r="K81" s="71">
        <f t="shared" si="13"/>
        <v>15</v>
      </c>
      <c r="L81" s="71">
        <f>IF(VLOOKUP($A81,'⚪设计'!$A$229:$K$249,7+2,FALSE)="","",VLOOKUP(A81,'⚪设计'!$A$229:$K$249,7+2,FALSE))</f>
        <v>1</v>
      </c>
      <c r="M81" s="71">
        <f>IF(J81="",0,ROUND(VLOOKUP($A81,'⚪设计'!$A$277:$G$296,2,FALSE)*$B81/SUM(IF($E81="",0,VLOOKUP($E81,'⚪设计'!$C$85:$E$113,3,FALSE))*$F81,IF($J81="",0,VLOOKUP($J81,'⚪设计'!$C$85:$E$113,3,FALSE))*$K81,IF($O81="",0,VLOOKUP($O81,'⚪设计'!$C$85:$E$113,3,FALSE))*$P81,IF($T81="",0,VLOOKUP($T81,'⚪设计'!$C$85:$E$113,3,FALSE))*$U81)*VLOOKUP(J81,'⚪设计'!$C$85:$E$113,3,FALSE),0))</f>
        <v>10658</v>
      </c>
      <c r="N81" s="71">
        <f>ROUND(战斗节奏!$B$3/SUM(IF(无限模式!$E81="",0,VLOOKUP(无限模式!$E81,'⚪设计'!$C$85:$I$113,4,FALSE)*无限模式!$F81),IF(无限模式!$J81="",0,VLOOKUP(无限模式!$J81,'⚪设计'!$C$85:$I$113,4,FALSE)*无限模式!$K81),IF(无限模式!$O81="",0,VLOOKUP(无限模式!$O81,'⚪设计'!$C$85:$I$113,4,FALSE)*无限模式!$P81),IF(无限模式!$T81="",0,VLOOKUP(无限模式!$T81,'⚪设计'!$C$85:$I$113,4,FALSE)*无限模式!$U81))*IF(J81="",0,VLOOKUP(J81,'⚪设计'!$C$85:$I$113,4,FALSE)),0)</f>
        <v>9</v>
      </c>
      <c r="O81" s="71" t="str">
        <f>IF(VLOOKUP(A81,'⚪设计'!$A$277:$G$296,6,FALSE)="","",VLOOKUP(VLOOKUP(A81,'⚪设计'!$A$277:$G$296,6,FALSE),'⚪设计'!$B$85:$D$113,2,FALSE))</f>
        <v/>
      </c>
      <c r="P81" s="71">
        <f t="shared" si="14"/>
        <v>0</v>
      </c>
      <c r="Q81" s="71" t="str">
        <f>IF(VLOOKUP($A81,'⚪设计'!$A$229:$K$249,7+3,FALSE)="","",VLOOKUP(A81,'⚪设计'!$A$229:$K$249,7+3,FALSE))</f>
        <v/>
      </c>
      <c r="R81" s="71">
        <f>IF(O81="",0,ROUND(VLOOKUP($A81,'⚪设计'!$A$277:$G$296,2,FALSE)*$B81/SUM(IF($E81="",0,VLOOKUP($E81,'⚪设计'!$C$85:$E$113,3,FALSE))*$F81,IF($J81="",0,VLOOKUP($J81,'⚪设计'!$C$85:$E$113,3,FALSE))*$K81,IF($O81="",0,VLOOKUP($O81,'⚪设计'!$C$85:$E$113,3,FALSE))*$P81,IF($T81="",0,VLOOKUP($T81,'⚪设计'!$C$85:$E$113,3,FALSE))*$U81)*VLOOKUP(O81,'⚪设计'!$C$85:$E$113,3,FALSE),0))</f>
        <v>0</v>
      </c>
      <c r="S81" s="71">
        <f>ROUND(战斗节奏!$B$3/SUM(IF(无限模式!$E81="",0,VLOOKUP(无限模式!$E81,'⚪设计'!$C$85:$I$113,4,FALSE)*无限模式!$F81),IF(无限模式!$J81="",0,VLOOKUP(无限模式!$J81,'⚪设计'!$C$85:$I$113,4,FALSE)*无限模式!$K81),IF(无限模式!$O81="",0,VLOOKUP(无限模式!$O81,'⚪设计'!$C$85:$I$113,4,FALSE)*无限模式!$P81),IF(无限模式!$T81="",0,VLOOKUP(无限模式!$T81,'⚪设计'!$C$85:$I$113,4,FALSE)*无限模式!$U81))*IF(O81="",0,VLOOKUP(O81,'⚪设计'!$C$85:$I$113,4,FALSE)),0)</f>
        <v>0</v>
      </c>
      <c r="T81" s="71" t="str">
        <f>IF(VLOOKUP(A81,'⚪设计'!$A$277:$G$296,7,FALSE)="","",VLOOKUP(VLOOKUP(A81,'⚪设计'!$A$277:$G$296,7,FALSE),'⚪设计'!$B$85:$D$113,2,FALSE))</f>
        <v/>
      </c>
      <c r="U81" s="71">
        <f t="shared" si="15"/>
        <v>0</v>
      </c>
      <c r="V81" s="71" t="str">
        <f>IF(VLOOKUP($A81,'⚪设计'!$A$229:$K$249,7+4,FALSE)="","",VLOOKUP(A81,'⚪设计'!$A$229:$K$249,7+4,FALSE))</f>
        <v/>
      </c>
      <c r="W81" s="71">
        <f>IF(T81="",0,ROUND(VLOOKUP($A81,'⚪设计'!$A$277:$G$296,2,FALSE)*$B81/SUM(IF($E81="",0,VLOOKUP($E81,'⚪设计'!$C$85:$E$113,3,FALSE))*$F81,IF($J81="",0,VLOOKUP($J81,'⚪设计'!$C$85:$E$113,3,FALSE))*$K81,IF($O81="",0,VLOOKUP($O81,'⚪设计'!$C$85:$E$113,3,FALSE))*$P81,IF($T81="",0,VLOOKUP($T81,'⚪设计'!$C$85:$E$113,3,FALSE))*$U81)*VLOOKUP(T81,'⚪设计'!$C$85:$E$113,3,FALSE),0))</f>
        <v>0</v>
      </c>
      <c r="X81" s="71">
        <f>ROUND(战斗节奏!$B$3/SUM(IF(无限模式!$E81="",0,VLOOKUP(无限模式!$E81,'⚪设计'!$C$85:$I$113,4,FALSE)*无限模式!$F81),IF(无限模式!$J81="",0,VLOOKUP(无限模式!$J81,'⚪设计'!$C$85:$I$113,4,FALSE)*无限模式!$K81),IF(无限模式!$O81="",0,VLOOKUP(无限模式!$O81,'⚪设计'!$C$85:$I$113,4,FALSE)*无限模式!$P81),IF(无限模式!$T81="",0,VLOOKUP(无限模式!$T81,'⚪设计'!$C$85:$I$113,4,FALSE)*无限模式!$U81))*IF(T81="",0,VLOOKUP(T81,'⚪设计'!$C$85:$I$113,4,FALSE)),0)</f>
        <v>0</v>
      </c>
    </row>
    <row r="82" spans="1:24" x14ac:dyDescent="0.2">
      <c r="A82" s="94">
        <v>7</v>
      </c>
      <c r="B82" s="71">
        <f>MAX(MIN(战斗节奏!$C$3-INT(A82/'⚪设计'!$C$55),MOD(A82,'⚪设计'!$C$55)),0)*'⚪设计'!$C$79*防御塔!$C$2+MIN(INT(A82/'⚪设计'!$C$55),战斗节奏!$C$3)*'⚪设计'!$C$80*防御塔!$C$2</f>
        <v>3780</v>
      </c>
      <c r="C82" s="173">
        <v>1.3</v>
      </c>
      <c r="D82" s="173">
        <v>16</v>
      </c>
      <c r="E82" s="71" t="str">
        <f>IF(VLOOKUP(A82,'⚪设计'!$A$277:$G$296,4,FALSE)="","",VLOOKUP(VLOOKUP(A82,'⚪设计'!$A$277:$G$296,4,FALSE),'⚪设计'!$B$85:$D$113,2,FALSE))</f>
        <v>ResUnit_XueRen1</v>
      </c>
      <c r="F82" s="71">
        <f t="shared" si="12"/>
        <v>16</v>
      </c>
      <c r="G82" s="71">
        <f>IF(VLOOKUP($A82,'⚪设计'!$A$229:$K$249,7+1,FALSE)="","",VLOOKUP(A82,'⚪设计'!$A$229:$K$249,7+1,FALSE))</f>
        <v>1</v>
      </c>
      <c r="H82" s="71">
        <f>IF(E82="",0,ROUND(VLOOKUP($A82,'⚪设计'!$A$277:$G$296,2,FALSE)*$B82/SUM(IF($E82="",0,VLOOKUP($E82,'⚪设计'!$C$85:$E$113,3,FALSE))*$F82,IF($J82="",0,VLOOKUP($J82,'⚪设计'!$C$85:$E$113,3,FALSE))*$K82,IF($O82="",0,VLOOKUP($O82,'⚪设计'!$C$85:$E$113,3,FALSE))*$P82,IF($T82="",0,VLOOKUP($T82,'⚪设计'!$C$85:$E$113,3,FALSE))*$U82)*VLOOKUP(E82,'⚪设计'!$C$85:$E$113,3,FALSE),0))</f>
        <v>14766</v>
      </c>
      <c r="I82" s="71">
        <f>ROUND(战斗节奏!$B$3/SUM(IF(无限模式!$E82="",0,VLOOKUP(无限模式!$E82,'⚪设计'!$C$85:$I$113,4,FALSE)*无限模式!$F82),IF(无限模式!$J82="",0,VLOOKUP(无限模式!$J82,'⚪设计'!$C$85:$I$113,4,FALSE)*无限模式!$K82),IF(无限模式!$O82="",0,VLOOKUP(无限模式!$O82,'⚪设计'!$C$85:$I$113,4,FALSE)*无限模式!$P82),IF(无限模式!$T82="",0,VLOOKUP(无限模式!$T82,'⚪设计'!$C$85:$I$113,4,FALSE)*无限模式!$U82))*IF(E82="",0,VLOOKUP(E82,'⚪设计'!$C$85:$I$113,4,FALSE)),0)</f>
        <v>9</v>
      </c>
      <c r="J82" s="71" t="str">
        <f>IF(VLOOKUP(A82,'⚪设计'!$A$277:$G$296,5,FALSE)="","",VLOOKUP(VLOOKUP(A82,'⚪设计'!$A$277:$G$296,5,FALSE),'⚪设计'!$B$85:$D$113,2,FALSE))</f>
        <v>ResUnit_ZhiZhu1</v>
      </c>
      <c r="K82" s="71">
        <f t="shared" si="13"/>
        <v>32</v>
      </c>
      <c r="L82" s="71">
        <f>IF(VLOOKUP($A82,'⚪设计'!$A$229:$K$249,7+2,FALSE)="","",VLOOKUP(A82,'⚪设计'!$A$229:$K$249,7+2,FALSE))</f>
        <v>0.5</v>
      </c>
      <c r="M82" s="71">
        <f>IF(J82="",0,ROUND(VLOOKUP($A82,'⚪设计'!$A$277:$G$296,2,FALSE)*$B82/SUM(IF($E82="",0,VLOOKUP($E82,'⚪设计'!$C$85:$E$113,3,FALSE))*$F82,IF($J82="",0,VLOOKUP($J82,'⚪设计'!$C$85:$E$113,3,FALSE))*$K82,IF($O82="",0,VLOOKUP($O82,'⚪设计'!$C$85:$E$113,3,FALSE))*$P82,IF($T82="",0,VLOOKUP($T82,'⚪设计'!$C$85:$E$113,3,FALSE))*$U82)*VLOOKUP(J82,'⚪设计'!$C$85:$E$113,3,FALSE),0))</f>
        <v>1477</v>
      </c>
      <c r="N82" s="71">
        <f>ROUND(战斗节奏!$B$3/SUM(IF(无限模式!$E82="",0,VLOOKUP(无限模式!$E82,'⚪设计'!$C$85:$I$113,4,FALSE)*无限模式!$F82),IF(无限模式!$J82="",0,VLOOKUP(无限模式!$J82,'⚪设计'!$C$85:$I$113,4,FALSE)*无限模式!$K82),IF(无限模式!$O82="",0,VLOOKUP(无限模式!$O82,'⚪设计'!$C$85:$I$113,4,FALSE)*无限模式!$P82),IF(无限模式!$T82="",0,VLOOKUP(无限模式!$T82,'⚪设计'!$C$85:$I$113,4,FALSE)*无限模式!$U82))*IF(J82="",0,VLOOKUP(J82,'⚪设计'!$C$85:$I$113,4,FALSE)),0)</f>
        <v>5</v>
      </c>
      <c r="O82" s="71" t="str">
        <f>IF(VLOOKUP(A82,'⚪设计'!$A$277:$G$296,6,FALSE)="","",VLOOKUP(VLOOKUP(A82,'⚪设计'!$A$277:$G$296,6,FALSE),'⚪设计'!$B$85:$D$113,2,FALSE))</f>
        <v/>
      </c>
      <c r="P82" s="71">
        <f t="shared" si="14"/>
        <v>0</v>
      </c>
      <c r="Q82" s="71" t="str">
        <f>IF(VLOOKUP($A82,'⚪设计'!$A$229:$K$249,7+3,FALSE)="","",VLOOKUP(A82,'⚪设计'!$A$229:$K$249,7+3,FALSE))</f>
        <v/>
      </c>
      <c r="R82" s="71">
        <f>IF(O82="",0,ROUND(VLOOKUP($A82,'⚪设计'!$A$277:$G$296,2,FALSE)*$B82/SUM(IF($E82="",0,VLOOKUP($E82,'⚪设计'!$C$85:$E$113,3,FALSE))*$F82,IF($J82="",0,VLOOKUP($J82,'⚪设计'!$C$85:$E$113,3,FALSE))*$K82,IF($O82="",0,VLOOKUP($O82,'⚪设计'!$C$85:$E$113,3,FALSE))*$P82,IF($T82="",0,VLOOKUP($T82,'⚪设计'!$C$85:$E$113,3,FALSE))*$U82)*VLOOKUP(O82,'⚪设计'!$C$85:$E$113,3,FALSE),0))</f>
        <v>0</v>
      </c>
      <c r="S82" s="71">
        <f>ROUND(战斗节奏!$B$3/SUM(IF(无限模式!$E82="",0,VLOOKUP(无限模式!$E82,'⚪设计'!$C$85:$I$113,4,FALSE)*无限模式!$F82),IF(无限模式!$J82="",0,VLOOKUP(无限模式!$J82,'⚪设计'!$C$85:$I$113,4,FALSE)*无限模式!$K82),IF(无限模式!$O82="",0,VLOOKUP(无限模式!$O82,'⚪设计'!$C$85:$I$113,4,FALSE)*无限模式!$P82),IF(无限模式!$T82="",0,VLOOKUP(无限模式!$T82,'⚪设计'!$C$85:$I$113,4,FALSE)*无限模式!$U82))*IF(O82="",0,VLOOKUP(O82,'⚪设计'!$C$85:$I$113,4,FALSE)),0)</f>
        <v>0</v>
      </c>
      <c r="T82" s="71" t="str">
        <f>IF(VLOOKUP(A82,'⚪设计'!$A$277:$G$296,7,FALSE)="","",VLOOKUP(VLOOKUP(A82,'⚪设计'!$A$277:$G$296,7,FALSE),'⚪设计'!$B$85:$D$113,2,FALSE))</f>
        <v/>
      </c>
      <c r="U82" s="71">
        <f t="shared" si="15"/>
        <v>0</v>
      </c>
      <c r="V82" s="71" t="str">
        <f>IF(VLOOKUP($A82,'⚪设计'!$A$229:$K$249,7+4,FALSE)="","",VLOOKUP(A82,'⚪设计'!$A$229:$K$249,7+4,FALSE))</f>
        <v/>
      </c>
      <c r="W82" s="71">
        <f>IF(T82="",0,ROUND(VLOOKUP($A82,'⚪设计'!$A$277:$G$296,2,FALSE)*$B82/SUM(IF($E82="",0,VLOOKUP($E82,'⚪设计'!$C$85:$E$113,3,FALSE))*$F82,IF($J82="",0,VLOOKUP($J82,'⚪设计'!$C$85:$E$113,3,FALSE))*$K82,IF($O82="",0,VLOOKUP($O82,'⚪设计'!$C$85:$E$113,3,FALSE))*$P82,IF($T82="",0,VLOOKUP($T82,'⚪设计'!$C$85:$E$113,3,FALSE))*$U82)*VLOOKUP(T82,'⚪设计'!$C$85:$E$113,3,FALSE),0))</f>
        <v>0</v>
      </c>
      <c r="X82" s="71">
        <f>ROUND(战斗节奏!$B$3/SUM(IF(无限模式!$E82="",0,VLOOKUP(无限模式!$E82,'⚪设计'!$C$85:$I$113,4,FALSE)*无限模式!$F82),IF(无限模式!$J82="",0,VLOOKUP(无限模式!$J82,'⚪设计'!$C$85:$I$113,4,FALSE)*无限模式!$K82),IF(无限模式!$O82="",0,VLOOKUP(无限模式!$O82,'⚪设计'!$C$85:$I$113,4,FALSE)*无限模式!$P82),IF(无限模式!$T82="",0,VLOOKUP(无限模式!$T82,'⚪设计'!$C$85:$I$113,4,FALSE)*无限模式!$U82))*IF(T82="",0,VLOOKUP(T82,'⚪设计'!$C$85:$I$113,4,FALSE)),0)</f>
        <v>0</v>
      </c>
    </row>
    <row r="83" spans="1:24" x14ac:dyDescent="0.2">
      <c r="A83" s="94">
        <v>8</v>
      </c>
      <c r="B83" s="71">
        <f>MAX(MIN(战斗节奏!$C$3-INT(A83/'⚪设计'!$C$55),MOD(A83,'⚪设计'!$C$55)),0)*'⚪设计'!$C$79*防御塔!$C$2+MIN(INT(A83/'⚪设计'!$C$55),战斗节奏!$C$3)*'⚪设计'!$C$80*防御塔!$C$2</f>
        <v>4320</v>
      </c>
      <c r="C83" s="173">
        <v>1.35</v>
      </c>
      <c r="D83" s="173">
        <v>17</v>
      </c>
      <c r="E83" s="71" t="str">
        <f>IF(VLOOKUP(A83,'⚪设计'!$A$277:$G$296,4,FALSE)="","",VLOOKUP(VLOOKUP(A83,'⚪设计'!$A$277:$G$296,4,FALSE),'⚪设计'!$B$85:$D$113,2,FALSE))</f>
        <v>ResUnit_XueRen1</v>
      </c>
      <c r="F83" s="71">
        <f t="shared" si="12"/>
        <v>17</v>
      </c>
      <c r="G83" s="71">
        <f>IF(VLOOKUP($A83,'⚪设计'!$A$229:$K$249,7+1,FALSE)="","",VLOOKUP(A83,'⚪设计'!$A$229:$K$249,7+1,FALSE))</f>
        <v>1</v>
      </c>
      <c r="H83" s="71">
        <f>IF(E83="",0,ROUND(VLOOKUP($A83,'⚪设计'!$A$277:$G$296,2,FALSE)*$B83/SUM(IF($E83="",0,VLOOKUP($E83,'⚪设计'!$C$85:$E$113,3,FALSE))*$F83,IF($J83="",0,VLOOKUP($J83,'⚪设计'!$C$85:$E$113,3,FALSE))*$K83,IF($O83="",0,VLOOKUP($O83,'⚪设计'!$C$85:$E$113,3,FALSE))*$P83,IF($T83="",0,VLOOKUP($T83,'⚪设计'!$C$85:$E$113,3,FALSE))*$U83)*VLOOKUP(E83,'⚪设计'!$C$85:$E$113,3,FALSE),0))</f>
        <v>22737</v>
      </c>
      <c r="I83" s="71">
        <f>ROUND(战斗节奏!$B$3/SUM(IF(无限模式!$E83="",0,VLOOKUP(无限模式!$E83,'⚪设计'!$C$85:$I$113,4,FALSE)*无限模式!$F83),IF(无限模式!$J83="",0,VLOOKUP(无限模式!$J83,'⚪设计'!$C$85:$I$113,4,FALSE)*无限模式!$K83),IF(无限模式!$O83="",0,VLOOKUP(无限模式!$O83,'⚪设计'!$C$85:$I$113,4,FALSE)*无限模式!$P83),IF(无限模式!$T83="",0,VLOOKUP(无限模式!$T83,'⚪设计'!$C$85:$I$113,4,FALSE)*无限模式!$U83))*IF(E83="",0,VLOOKUP(E83,'⚪设计'!$C$85:$I$113,4,FALSE)),0)</f>
        <v>11</v>
      </c>
      <c r="J83" s="71" t="str">
        <f>IF(VLOOKUP(A83,'⚪设计'!$A$277:$G$296,5,FALSE)="","",VLOOKUP(VLOOKUP(A83,'⚪设计'!$A$277:$G$296,5,FALSE),'⚪设计'!$B$85:$D$113,2,FALSE))</f>
        <v>ResUnit_ZhiZhu3</v>
      </c>
      <c r="K83" s="71">
        <f t="shared" si="13"/>
        <v>1</v>
      </c>
      <c r="L83" s="71">
        <f>IF(VLOOKUP($A83,'⚪设计'!$A$229:$K$249,7+2,FALSE)="","",VLOOKUP(A83,'⚪设计'!$A$229:$K$249,7+2,FALSE))</f>
        <v>0</v>
      </c>
      <c r="M83" s="71">
        <f>IF(J83="",0,ROUND(VLOOKUP($A83,'⚪设计'!$A$277:$G$296,2,FALSE)*$B83/SUM(IF($E83="",0,VLOOKUP($E83,'⚪设计'!$C$85:$E$113,3,FALSE))*$F83,IF($J83="",0,VLOOKUP($J83,'⚪设计'!$C$85:$E$113,3,FALSE))*$K83,IF($O83="",0,VLOOKUP($O83,'⚪设计'!$C$85:$E$113,3,FALSE))*$P83,IF($T83="",0,VLOOKUP($T83,'⚪设计'!$C$85:$E$113,3,FALSE))*$U83)*VLOOKUP(J83,'⚪设计'!$C$85:$E$113,3,FALSE),0))</f>
        <v>45474</v>
      </c>
      <c r="N83" s="71">
        <f>ROUND(战斗节奏!$B$3/SUM(IF(无限模式!$E83="",0,VLOOKUP(无限模式!$E83,'⚪设计'!$C$85:$I$113,4,FALSE)*无限模式!$F83),IF(无限模式!$J83="",0,VLOOKUP(无限模式!$J83,'⚪设计'!$C$85:$I$113,4,FALSE)*无限模式!$K83),IF(无限模式!$O83="",0,VLOOKUP(无限模式!$O83,'⚪设计'!$C$85:$I$113,4,FALSE)*无限模式!$P83),IF(无限模式!$T83="",0,VLOOKUP(无限模式!$T83,'⚪设计'!$C$85:$I$113,4,FALSE)*无限模式!$U83))*IF(J83="",0,VLOOKUP(J83,'⚪设计'!$C$85:$I$113,4,FALSE)),0)</f>
        <v>111</v>
      </c>
      <c r="O83" s="71" t="str">
        <f>IF(VLOOKUP(A83,'⚪设计'!$A$277:$G$296,6,FALSE)="","",VLOOKUP(VLOOKUP(A83,'⚪设计'!$A$277:$G$296,6,FALSE),'⚪设计'!$B$85:$D$113,2,FALSE))</f>
        <v/>
      </c>
      <c r="P83" s="71">
        <f t="shared" si="14"/>
        <v>0</v>
      </c>
      <c r="Q83" s="71" t="str">
        <f>IF(VLOOKUP($A83,'⚪设计'!$A$229:$K$249,7+3,FALSE)="","",VLOOKUP(A83,'⚪设计'!$A$229:$K$249,7+3,FALSE))</f>
        <v/>
      </c>
      <c r="R83" s="71">
        <f>IF(O83="",0,ROUND(VLOOKUP($A83,'⚪设计'!$A$277:$G$296,2,FALSE)*$B83/SUM(IF($E83="",0,VLOOKUP($E83,'⚪设计'!$C$85:$E$113,3,FALSE))*$F83,IF($J83="",0,VLOOKUP($J83,'⚪设计'!$C$85:$E$113,3,FALSE))*$K83,IF($O83="",0,VLOOKUP($O83,'⚪设计'!$C$85:$E$113,3,FALSE))*$P83,IF($T83="",0,VLOOKUP($T83,'⚪设计'!$C$85:$E$113,3,FALSE))*$U83)*VLOOKUP(O83,'⚪设计'!$C$85:$E$113,3,FALSE),0))</f>
        <v>0</v>
      </c>
      <c r="S83" s="71">
        <f>ROUND(战斗节奏!$B$3/SUM(IF(无限模式!$E83="",0,VLOOKUP(无限模式!$E83,'⚪设计'!$C$85:$I$113,4,FALSE)*无限模式!$F83),IF(无限模式!$J83="",0,VLOOKUP(无限模式!$J83,'⚪设计'!$C$85:$I$113,4,FALSE)*无限模式!$K83),IF(无限模式!$O83="",0,VLOOKUP(无限模式!$O83,'⚪设计'!$C$85:$I$113,4,FALSE)*无限模式!$P83),IF(无限模式!$T83="",0,VLOOKUP(无限模式!$T83,'⚪设计'!$C$85:$I$113,4,FALSE)*无限模式!$U83))*IF(O83="",0,VLOOKUP(O83,'⚪设计'!$C$85:$I$113,4,FALSE)),0)</f>
        <v>0</v>
      </c>
      <c r="T83" s="71" t="str">
        <f>IF(VLOOKUP(A83,'⚪设计'!$A$277:$G$296,7,FALSE)="","",VLOOKUP(VLOOKUP(A83,'⚪设计'!$A$277:$G$296,7,FALSE),'⚪设计'!$B$85:$D$113,2,FALSE))</f>
        <v/>
      </c>
      <c r="U83" s="71">
        <f t="shared" si="15"/>
        <v>0</v>
      </c>
      <c r="V83" s="71" t="str">
        <f>IF(VLOOKUP($A83,'⚪设计'!$A$229:$K$249,7+4,FALSE)="","",VLOOKUP(A83,'⚪设计'!$A$229:$K$249,7+4,FALSE))</f>
        <v/>
      </c>
      <c r="W83" s="71">
        <f>IF(T83="",0,ROUND(VLOOKUP($A83,'⚪设计'!$A$277:$G$296,2,FALSE)*$B83/SUM(IF($E83="",0,VLOOKUP($E83,'⚪设计'!$C$85:$E$113,3,FALSE))*$F83,IF($J83="",0,VLOOKUP($J83,'⚪设计'!$C$85:$E$113,3,FALSE))*$K83,IF($O83="",0,VLOOKUP($O83,'⚪设计'!$C$85:$E$113,3,FALSE))*$P83,IF($T83="",0,VLOOKUP($T83,'⚪设计'!$C$85:$E$113,3,FALSE))*$U83)*VLOOKUP(T83,'⚪设计'!$C$85:$E$113,3,FALSE),0))</f>
        <v>0</v>
      </c>
      <c r="X83" s="71">
        <f>ROUND(战斗节奏!$B$3/SUM(IF(无限模式!$E83="",0,VLOOKUP(无限模式!$E83,'⚪设计'!$C$85:$I$113,4,FALSE)*无限模式!$F83),IF(无限模式!$J83="",0,VLOOKUP(无限模式!$J83,'⚪设计'!$C$85:$I$113,4,FALSE)*无限模式!$K83),IF(无限模式!$O83="",0,VLOOKUP(无限模式!$O83,'⚪设计'!$C$85:$I$113,4,FALSE)*无限模式!$P83),IF(无限模式!$T83="",0,VLOOKUP(无限模式!$T83,'⚪设计'!$C$85:$I$113,4,FALSE)*无限模式!$U83))*IF(T83="",0,VLOOKUP(T83,'⚪设计'!$C$85:$I$113,4,FALSE)),0)</f>
        <v>0</v>
      </c>
    </row>
    <row r="84" spans="1:24" x14ac:dyDescent="0.2">
      <c r="A84" s="94">
        <v>9</v>
      </c>
      <c r="B84" s="71">
        <f>MAX(MIN(战斗节奏!$C$3-INT(A84/'⚪设计'!$C$55),MOD(A84,'⚪设计'!$C$55)),0)*'⚪设计'!$C$79*防御塔!$C$2+MIN(INT(A84/'⚪设计'!$C$55),战斗节奏!$C$3)*'⚪设计'!$C$80*防御塔!$C$2</f>
        <v>4859.9999999999991</v>
      </c>
      <c r="C84" s="173">
        <v>1.4</v>
      </c>
      <c r="D84" s="173">
        <v>18</v>
      </c>
      <c r="E84" s="71" t="str">
        <f>IF(VLOOKUP(A84,'⚪设计'!$A$277:$G$296,4,FALSE)="","",VLOOKUP(VLOOKUP(A84,'⚪设计'!$A$277:$G$296,4,FALSE),'⚪设计'!$B$85:$D$113,2,FALSE))</f>
        <v>ResUnit_XueRen2</v>
      </c>
      <c r="F84" s="71">
        <f t="shared" si="12"/>
        <v>12</v>
      </c>
      <c r="G84" s="71">
        <f>IF(VLOOKUP($A84,'⚪设计'!$A$229:$K$249,7+1,FALSE)="","",VLOOKUP(A84,'⚪设计'!$A$229:$K$249,7+1,FALSE))</f>
        <v>1.5</v>
      </c>
      <c r="H84" s="71">
        <f>IF(E84="",0,ROUND(VLOOKUP($A84,'⚪设计'!$A$277:$G$296,2,FALSE)*$B84/SUM(IF($E84="",0,VLOOKUP($E84,'⚪设计'!$C$85:$E$113,3,FALSE))*$F84,IF($J84="",0,VLOOKUP($J84,'⚪设计'!$C$85:$E$113,3,FALSE))*$K84,IF($O84="",0,VLOOKUP($O84,'⚪设计'!$C$85:$E$113,3,FALSE))*$P84,IF($T84="",0,VLOOKUP($T84,'⚪设计'!$C$85:$E$113,3,FALSE))*$U84)*VLOOKUP(E84,'⚪设计'!$C$85:$E$113,3,FALSE),0))</f>
        <v>18837</v>
      </c>
      <c r="I84" s="71">
        <f>ROUND(战斗节奏!$B$3/SUM(IF(无限模式!$E84="",0,VLOOKUP(无限模式!$E84,'⚪设计'!$C$85:$I$113,4,FALSE)*无限模式!$F84),IF(无限模式!$J84="",0,VLOOKUP(无限模式!$J84,'⚪设计'!$C$85:$I$113,4,FALSE)*无限模式!$K84),IF(无限模式!$O84="",0,VLOOKUP(无限模式!$O84,'⚪设计'!$C$85:$I$113,4,FALSE)*无限模式!$P84),IF(无限模式!$T84="",0,VLOOKUP(无限模式!$T84,'⚪设计'!$C$85:$I$113,4,FALSE)*无限模式!$U84))*IF(E84="",0,VLOOKUP(E84,'⚪设计'!$C$85:$I$113,4,FALSE)),0)</f>
        <v>17</v>
      </c>
      <c r="J84" s="71" t="str">
        <f>IF(VLOOKUP(A84,'⚪设计'!$A$277:$G$296,5,FALSE)="","",VLOOKUP(VLOOKUP(A84,'⚪设计'!$A$277:$G$296,5,FALSE),'⚪设计'!$B$85:$D$113,2,FALSE))</f>
        <v>ResUnit_ZhongZi1</v>
      </c>
      <c r="K84" s="71">
        <f t="shared" si="13"/>
        <v>6</v>
      </c>
      <c r="L84" s="71">
        <f>IF(VLOOKUP($A84,'⚪设计'!$A$229:$K$249,7+2,FALSE)="","",VLOOKUP(A84,'⚪设计'!$A$229:$K$249,7+2,FALSE))</f>
        <v>3</v>
      </c>
      <c r="M84" s="71">
        <f>IF(J84="",0,ROUND(VLOOKUP($A84,'⚪设计'!$A$277:$G$296,2,FALSE)*$B84/SUM(IF($E84="",0,VLOOKUP($E84,'⚪设计'!$C$85:$E$113,3,FALSE))*$F84,IF($J84="",0,VLOOKUP($J84,'⚪设计'!$C$85:$E$113,3,FALSE))*$K84,IF($O84="",0,VLOOKUP($O84,'⚪设计'!$C$85:$E$113,3,FALSE))*$P84,IF($T84="",0,VLOOKUP($T84,'⚪设计'!$C$85:$E$113,3,FALSE))*$U84)*VLOOKUP(J84,'⚪设计'!$C$85:$E$113,3,FALSE),0))</f>
        <v>2826</v>
      </c>
      <c r="N84" s="71">
        <f>ROUND(战斗节奏!$B$3/SUM(IF(无限模式!$E84="",0,VLOOKUP(无限模式!$E84,'⚪设计'!$C$85:$I$113,4,FALSE)*无限模式!$F84),IF(无限模式!$J84="",0,VLOOKUP(无限模式!$J84,'⚪设计'!$C$85:$I$113,4,FALSE)*无限模式!$K84),IF(无限模式!$O84="",0,VLOOKUP(无限模式!$O84,'⚪设计'!$C$85:$I$113,4,FALSE)*无限模式!$P84),IF(无限模式!$T84="",0,VLOOKUP(无限模式!$T84,'⚪设计'!$C$85:$I$113,4,FALSE)*无限模式!$U84))*IF(J84="",0,VLOOKUP(J84,'⚪设计'!$C$85:$I$113,4,FALSE)),0)</f>
        <v>17</v>
      </c>
      <c r="O84" s="71" t="str">
        <f>IF(VLOOKUP(A84,'⚪设计'!$A$277:$G$296,6,FALSE)="","",VLOOKUP(VLOOKUP(A84,'⚪设计'!$A$277:$G$296,6,FALSE),'⚪设计'!$B$85:$D$113,2,FALSE))</f>
        <v/>
      </c>
      <c r="P84" s="71">
        <f t="shared" si="14"/>
        <v>0</v>
      </c>
      <c r="Q84" s="71" t="str">
        <f>IF(VLOOKUP($A84,'⚪设计'!$A$229:$K$249,7+3,FALSE)="","",VLOOKUP(A84,'⚪设计'!$A$229:$K$249,7+3,FALSE))</f>
        <v/>
      </c>
      <c r="R84" s="71">
        <f>IF(O84="",0,ROUND(VLOOKUP($A84,'⚪设计'!$A$277:$G$296,2,FALSE)*$B84/SUM(IF($E84="",0,VLOOKUP($E84,'⚪设计'!$C$85:$E$113,3,FALSE))*$F84,IF($J84="",0,VLOOKUP($J84,'⚪设计'!$C$85:$E$113,3,FALSE))*$K84,IF($O84="",0,VLOOKUP($O84,'⚪设计'!$C$85:$E$113,3,FALSE))*$P84,IF($T84="",0,VLOOKUP($T84,'⚪设计'!$C$85:$E$113,3,FALSE))*$U84)*VLOOKUP(O84,'⚪设计'!$C$85:$E$113,3,FALSE),0))</f>
        <v>0</v>
      </c>
      <c r="S84" s="71">
        <f>ROUND(战斗节奏!$B$3/SUM(IF(无限模式!$E84="",0,VLOOKUP(无限模式!$E84,'⚪设计'!$C$85:$I$113,4,FALSE)*无限模式!$F84),IF(无限模式!$J84="",0,VLOOKUP(无限模式!$J84,'⚪设计'!$C$85:$I$113,4,FALSE)*无限模式!$K84),IF(无限模式!$O84="",0,VLOOKUP(无限模式!$O84,'⚪设计'!$C$85:$I$113,4,FALSE)*无限模式!$P84),IF(无限模式!$T84="",0,VLOOKUP(无限模式!$T84,'⚪设计'!$C$85:$I$113,4,FALSE)*无限模式!$U84))*IF(O84="",0,VLOOKUP(O84,'⚪设计'!$C$85:$I$113,4,FALSE)),0)</f>
        <v>0</v>
      </c>
      <c r="T84" s="71" t="str">
        <f>IF(VLOOKUP(A84,'⚪设计'!$A$277:$G$296,7,FALSE)="","",VLOOKUP(VLOOKUP(A84,'⚪设计'!$A$277:$G$296,7,FALSE),'⚪设计'!$B$85:$D$113,2,FALSE))</f>
        <v/>
      </c>
      <c r="U84" s="71">
        <f t="shared" si="15"/>
        <v>0</v>
      </c>
      <c r="V84" s="71" t="str">
        <f>IF(VLOOKUP($A84,'⚪设计'!$A$229:$K$249,7+4,FALSE)="","",VLOOKUP(A84,'⚪设计'!$A$229:$K$249,7+4,FALSE))</f>
        <v/>
      </c>
      <c r="W84" s="71">
        <f>IF(T84="",0,ROUND(VLOOKUP($A84,'⚪设计'!$A$277:$G$296,2,FALSE)*$B84/SUM(IF($E84="",0,VLOOKUP($E84,'⚪设计'!$C$85:$E$113,3,FALSE))*$F84,IF($J84="",0,VLOOKUP($J84,'⚪设计'!$C$85:$E$113,3,FALSE))*$K84,IF($O84="",0,VLOOKUP($O84,'⚪设计'!$C$85:$E$113,3,FALSE))*$P84,IF($T84="",0,VLOOKUP($T84,'⚪设计'!$C$85:$E$113,3,FALSE))*$U84)*VLOOKUP(T84,'⚪设计'!$C$85:$E$113,3,FALSE),0))</f>
        <v>0</v>
      </c>
      <c r="X84" s="71">
        <f>ROUND(战斗节奏!$B$3/SUM(IF(无限模式!$E84="",0,VLOOKUP(无限模式!$E84,'⚪设计'!$C$85:$I$113,4,FALSE)*无限模式!$F84),IF(无限模式!$J84="",0,VLOOKUP(无限模式!$J84,'⚪设计'!$C$85:$I$113,4,FALSE)*无限模式!$K84),IF(无限模式!$O84="",0,VLOOKUP(无限模式!$O84,'⚪设计'!$C$85:$I$113,4,FALSE)*无限模式!$P84),IF(无限模式!$T84="",0,VLOOKUP(无限模式!$T84,'⚪设计'!$C$85:$I$113,4,FALSE)*无限模式!$U84))*IF(T84="",0,VLOOKUP(T84,'⚪设计'!$C$85:$I$113,4,FALSE)),0)</f>
        <v>0</v>
      </c>
    </row>
    <row r="85" spans="1:24" x14ac:dyDescent="0.2">
      <c r="A85" s="94">
        <v>10</v>
      </c>
      <c r="B85" s="71">
        <f>MAX(MIN(战斗节奏!$C$3-INT(A85/'⚪设计'!$C$55),MOD(A85,'⚪设计'!$C$55)),0)*'⚪设计'!$C$79*防御塔!$C$2+MIN(INT(A85/'⚪设计'!$C$55),战斗节奏!$C$3)*'⚪设计'!$C$80*防御塔!$C$2</f>
        <v>5399.9999999999991</v>
      </c>
      <c r="C85" s="173">
        <v>1.45</v>
      </c>
      <c r="D85" s="173">
        <v>19</v>
      </c>
      <c r="E85" s="71" t="str">
        <f>IF(VLOOKUP(A85,'⚪设计'!$A$277:$G$296,4,FALSE)="","",VLOOKUP(VLOOKUP(A85,'⚪设计'!$A$277:$G$296,4,FALSE),'⚪设计'!$B$85:$D$113,2,FALSE))</f>
        <v>ResUnit_XueRen2</v>
      </c>
      <c r="F85" s="71">
        <f t="shared" si="12"/>
        <v>19</v>
      </c>
      <c r="G85" s="71">
        <f>IF(VLOOKUP($A85,'⚪设计'!$A$229:$K$249,7+1,FALSE)="","",VLOOKUP(A85,'⚪设计'!$A$229:$K$249,7+1,FALSE))</f>
        <v>1</v>
      </c>
      <c r="H85" s="71">
        <f>IF(E85="",0,ROUND(VLOOKUP($A85,'⚪设计'!$A$277:$G$296,2,FALSE)*$B85/SUM(IF($E85="",0,VLOOKUP($E85,'⚪设计'!$C$85:$E$113,3,FALSE))*$F85,IF($J85="",0,VLOOKUP($J85,'⚪设计'!$C$85:$E$113,3,FALSE))*$K85,IF($O85="",0,VLOOKUP($O85,'⚪设计'!$C$85:$E$113,3,FALSE))*$P85,IF($T85="",0,VLOOKUP($T85,'⚪设计'!$C$85:$E$113,3,FALSE))*$U85)*VLOOKUP(E85,'⚪设计'!$C$85:$E$113,3,FALSE),0))</f>
        <v>25440</v>
      </c>
      <c r="I85" s="71">
        <f>ROUND(战斗节奏!$B$3/SUM(IF(无限模式!$E85="",0,VLOOKUP(无限模式!$E85,'⚪设计'!$C$85:$I$113,4,FALSE)*无限模式!$F85),IF(无限模式!$J85="",0,VLOOKUP(无限模式!$J85,'⚪设计'!$C$85:$I$113,4,FALSE)*无限模式!$K85),IF(无限模式!$O85="",0,VLOOKUP(无限模式!$O85,'⚪设计'!$C$85:$I$113,4,FALSE)*无限模式!$P85),IF(无限模式!$T85="",0,VLOOKUP(无限模式!$T85,'⚪设计'!$C$85:$I$113,4,FALSE)*无限模式!$U85))*IF(E85="",0,VLOOKUP(E85,'⚪设计'!$C$85:$I$113,4,FALSE)),0)</f>
        <v>12</v>
      </c>
      <c r="J85" s="71" t="str">
        <f>IF(VLOOKUP(A85,'⚪设计'!$A$277:$G$296,5,FALSE)="","",VLOOKUP(VLOOKUP(A85,'⚪设计'!$A$277:$G$296,5,FALSE),'⚪设计'!$B$85:$D$113,2,FALSE))</f>
        <v>ResUnit_ZhongZi1</v>
      </c>
      <c r="K85" s="71">
        <f t="shared" si="13"/>
        <v>6</v>
      </c>
      <c r="L85" s="71">
        <f>IF(VLOOKUP($A85,'⚪设计'!$A$229:$K$249,7+2,FALSE)="","",VLOOKUP(A85,'⚪设计'!$A$229:$K$249,7+2,FALSE))</f>
        <v>3</v>
      </c>
      <c r="M85" s="71">
        <f>IF(J85="",0,ROUND(VLOOKUP($A85,'⚪设计'!$A$277:$G$296,2,FALSE)*$B85/SUM(IF($E85="",0,VLOOKUP($E85,'⚪设计'!$C$85:$E$113,3,FALSE))*$F85,IF($J85="",0,VLOOKUP($J85,'⚪设计'!$C$85:$E$113,3,FALSE))*$K85,IF($O85="",0,VLOOKUP($O85,'⚪设计'!$C$85:$E$113,3,FALSE))*$P85,IF($T85="",0,VLOOKUP($T85,'⚪设计'!$C$85:$E$113,3,FALSE))*$U85)*VLOOKUP(J85,'⚪设计'!$C$85:$E$113,3,FALSE),0))</f>
        <v>3816</v>
      </c>
      <c r="N85" s="71">
        <f>ROUND(战斗节奏!$B$3/SUM(IF(无限模式!$E85="",0,VLOOKUP(无限模式!$E85,'⚪设计'!$C$85:$I$113,4,FALSE)*无限模式!$F85),IF(无限模式!$J85="",0,VLOOKUP(无限模式!$J85,'⚪设计'!$C$85:$I$113,4,FALSE)*无限模式!$K85),IF(无限模式!$O85="",0,VLOOKUP(无限模式!$O85,'⚪设计'!$C$85:$I$113,4,FALSE)*无限模式!$P85),IF(无限模式!$T85="",0,VLOOKUP(无限模式!$T85,'⚪设计'!$C$85:$I$113,4,FALSE)*无限模式!$U85))*IF(J85="",0,VLOOKUP(J85,'⚪设计'!$C$85:$I$113,4,FALSE)),0)</f>
        <v>12</v>
      </c>
      <c r="O85" s="71" t="str">
        <f>IF(VLOOKUP(A85,'⚪设计'!$A$277:$G$296,6,FALSE)="","",VLOOKUP(VLOOKUP(A85,'⚪设计'!$A$277:$G$296,6,FALSE),'⚪设计'!$B$85:$D$113,2,FALSE))</f>
        <v/>
      </c>
      <c r="P85" s="71">
        <f t="shared" si="14"/>
        <v>0</v>
      </c>
      <c r="Q85" s="71" t="str">
        <f>IF(VLOOKUP($A85,'⚪设计'!$A$229:$K$249,7+3,FALSE)="","",VLOOKUP(A85,'⚪设计'!$A$229:$K$249,7+3,FALSE))</f>
        <v/>
      </c>
      <c r="R85" s="71">
        <f>IF(O85="",0,ROUND(VLOOKUP($A85,'⚪设计'!$A$277:$G$296,2,FALSE)*$B85/SUM(IF($E85="",0,VLOOKUP($E85,'⚪设计'!$C$85:$E$113,3,FALSE))*$F85,IF($J85="",0,VLOOKUP($J85,'⚪设计'!$C$85:$E$113,3,FALSE))*$K85,IF($O85="",0,VLOOKUP($O85,'⚪设计'!$C$85:$E$113,3,FALSE))*$P85,IF($T85="",0,VLOOKUP($T85,'⚪设计'!$C$85:$E$113,3,FALSE))*$U85)*VLOOKUP(O85,'⚪设计'!$C$85:$E$113,3,FALSE),0))</f>
        <v>0</v>
      </c>
      <c r="S85" s="71">
        <f>ROUND(战斗节奏!$B$3/SUM(IF(无限模式!$E85="",0,VLOOKUP(无限模式!$E85,'⚪设计'!$C$85:$I$113,4,FALSE)*无限模式!$F85),IF(无限模式!$J85="",0,VLOOKUP(无限模式!$J85,'⚪设计'!$C$85:$I$113,4,FALSE)*无限模式!$K85),IF(无限模式!$O85="",0,VLOOKUP(无限模式!$O85,'⚪设计'!$C$85:$I$113,4,FALSE)*无限模式!$P85),IF(无限模式!$T85="",0,VLOOKUP(无限模式!$T85,'⚪设计'!$C$85:$I$113,4,FALSE)*无限模式!$U85))*IF(O85="",0,VLOOKUP(O85,'⚪设计'!$C$85:$I$113,4,FALSE)),0)</f>
        <v>0</v>
      </c>
      <c r="T85" s="71" t="str">
        <f>IF(VLOOKUP(A85,'⚪设计'!$A$277:$G$296,7,FALSE)="","",VLOOKUP(VLOOKUP(A85,'⚪设计'!$A$277:$G$296,7,FALSE),'⚪设计'!$B$85:$D$113,2,FALSE))</f>
        <v/>
      </c>
      <c r="U85" s="71">
        <f t="shared" si="15"/>
        <v>0</v>
      </c>
      <c r="V85" s="71" t="str">
        <f>IF(VLOOKUP($A85,'⚪设计'!$A$229:$K$249,7+4,FALSE)="","",VLOOKUP(A85,'⚪设计'!$A$229:$K$249,7+4,FALSE))</f>
        <v/>
      </c>
      <c r="W85" s="71">
        <f>IF(T85="",0,ROUND(VLOOKUP($A85,'⚪设计'!$A$277:$G$296,2,FALSE)*$B85/SUM(IF($E85="",0,VLOOKUP($E85,'⚪设计'!$C$85:$E$113,3,FALSE))*$F85,IF($J85="",0,VLOOKUP($J85,'⚪设计'!$C$85:$E$113,3,FALSE))*$K85,IF($O85="",0,VLOOKUP($O85,'⚪设计'!$C$85:$E$113,3,FALSE))*$P85,IF($T85="",0,VLOOKUP($T85,'⚪设计'!$C$85:$E$113,3,FALSE))*$U85)*VLOOKUP(T85,'⚪设计'!$C$85:$E$113,3,FALSE),0))</f>
        <v>0</v>
      </c>
      <c r="X85" s="71">
        <f>ROUND(战斗节奏!$B$3/SUM(IF(无限模式!$E85="",0,VLOOKUP(无限模式!$E85,'⚪设计'!$C$85:$I$113,4,FALSE)*无限模式!$F85),IF(无限模式!$J85="",0,VLOOKUP(无限模式!$J85,'⚪设计'!$C$85:$I$113,4,FALSE)*无限模式!$K85),IF(无限模式!$O85="",0,VLOOKUP(无限模式!$O85,'⚪设计'!$C$85:$I$113,4,FALSE)*无限模式!$P85),IF(无限模式!$T85="",0,VLOOKUP(无限模式!$T85,'⚪设计'!$C$85:$I$113,4,FALSE)*无限模式!$U85))*IF(T85="",0,VLOOKUP(T85,'⚪设计'!$C$85:$I$113,4,FALSE)),0)</f>
        <v>0</v>
      </c>
    </row>
    <row r="86" spans="1:24" x14ac:dyDescent="0.2">
      <c r="A86" s="94">
        <v>11</v>
      </c>
      <c r="B86" s="71">
        <f>MAX(MIN(战斗节奏!$C$3-INT(A86/'⚪设计'!$C$55),MOD(A86,'⚪设计'!$C$55)),0)*'⚪设计'!$C$79*防御塔!$C$2+MIN(INT(A86/'⚪设计'!$C$55),战斗节奏!$C$3)*'⚪设计'!$C$80*防御塔!$C$2</f>
        <v>5939.9999999999991</v>
      </c>
      <c r="C86" s="173">
        <v>1.5</v>
      </c>
      <c r="D86" s="173">
        <v>20</v>
      </c>
      <c r="E86" s="71" t="str">
        <f>IF(VLOOKUP(A86,'⚪设计'!$A$277:$G$296,4,FALSE)="","",VLOOKUP(VLOOKUP(A86,'⚪设计'!$A$277:$G$296,4,FALSE),'⚪设计'!$B$85:$D$113,2,FALSE))</f>
        <v>ResUnit_XueRen2</v>
      </c>
      <c r="F86" s="71">
        <f t="shared" si="12"/>
        <v>20</v>
      </c>
      <c r="G86" s="71">
        <f>IF(VLOOKUP($A86,'⚪设计'!$A$229:$K$249,7+1,FALSE)="","",VLOOKUP(A86,'⚪设计'!$A$229:$K$249,7+1,FALSE))</f>
        <v>1</v>
      </c>
      <c r="H86" s="71">
        <f>IF(E86="",0,ROUND(VLOOKUP($A86,'⚪设计'!$A$277:$G$296,2,FALSE)*$B86/SUM(IF($E86="",0,VLOOKUP($E86,'⚪设计'!$C$85:$E$113,3,FALSE))*$F86,IF($J86="",0,VLOOKUP($J86,'⚪设计'!$C$85:$E$113,3,FALSE))*$K86,IF($O86="",0,VLOOKUP($O86,'⚪设计'!$C$85:$E$113,3,FALSE))*$P86,IF($T86="",0,VLOOKUP($T86,'⚪设计'!$C$85:$E$113,3,FALSE))*$U86)*VLOOKUP(E86,'⚪设计'!$C$85:$E$113,3,FALSE),0))</f>
        <v>35357</v>
      </c>
      <c r="I86" s="71">
        <f>ROUND(战斗节奏!$B$3/SUM(IF(无限模式!$E86="",0,VLOOKUP(无限模式!$E86,'⚪设计'!$C$85:$I$113,4,FALSE)*无限模式!$F86),IF(无限模式!$J86="",0,VLOOKUP(无限模式!$J86,'⚪设计'!$C$85:$I$113,4,FALSE)*无限模式!$K86),IF(无限模式!$O86="",0,VLOOKUP(无限模式!$O86,'⚪设计'!$C$85:$I$113,4,FALSE)*无限模式!$P86),IF(无限模式!$T86="",0,VLOOKUP(无限模式!$T86,'⚪设计'!$C$85:$I$113,4,FALSE)*无限模式!$U86))*IF(E86="",0,VLOOKUP(E86,'⚪设计'!$C$85:$I$113,4,FALSE)),0)</f>
        <v>12</v>
      </c>
      <c r="J86" s="71" t="str">
        <f>IF(VLOOKUP(A86,'⚪设计'!$A$277:$G$296,5,FALSE)="","",VLOOKUP(VLOOKUP(A86,'⚪设计'!$A$277:$G$296,5,FALSE),'⚪设计'!$B$85:$D$113,2,FALSE))</f>
        <v>ResUnit_ZhiZhu2</v>
      </c>
      <c r="K86" s="71">
        <f t="shared" si="13"/>
        <v>10</v>
      </c>
      <c r="L86" s="71">
        <f>IF(VLOOKUP($A86,'⚪设计'!$A$229:$K$249,7+2,FALSE)="","",VLOOKUP(A86,'⚪设计'!$A$229:$K$249,7+2,FALSE))</f>
        <v>2</v>
      </c>
      <c r="M86" s="71">
        <f>IF(J86="",0,ROUND(VLOOKUP($A86,'⚪设计'!$A$277:$G$296,2,FALSE)*$B86/SUM(IF($E86="",0,VLOOKUP($E86,'⚪设计'!$C$85:$E$113,3,FALSE))*$F86,IF($J86="",0,VLOOKUP($J86,'⚪设计'!$C$85:$E$113,3,FALSE))*$K86,IF($O86="",0,VLOOKUP($O86,'⚪设计'!$C$85:$E$113,3,FALSE))*$P86,IF($T86="",0,VLOOKUP($T86,'⚪设计'!$C$85:$E$113,3,FALSE))*$U86)*VLOOKUP(J86,'⚪设计'!$C$85:$E$113,3,FALSE),0))</f>
        <v>3536</v>
      </c>
      <c r="N86" s="71">
        <f>ROUND(战斗节奏!$B$3/SUM(IF(无限模式!$E86="",0,VLOOKUP(无限模式!$E86,'⚪设计'!$C$85:$I$113,4,FALSE)*无限模式!$F86),IF(无限模式!$J86="",0,VLOOKUP(无限模式!$J86,'⚪设计'!$C$85:$I$113,4,FALSE)*无限模式!$K86),IF(无限模式!$O86="",0,VLOOKUP(无限模式!$O86,'⚪设计'!$C$85:$I$113,4,FALSE)*无限模式!$P86),IF(无限模式!$T86="",0,VLOOKUP(无限模式!$T86,'⚪设计'!$C$85:$I$113,4,FALSE)*无限模式!$U86))*IF(J86="",0,VLOOKUP(J86,'⚪设计'!$C$85:$I$113,4,FALSE)),0)</f>
        <v>6</v>
      </c>
      <c r="O86" s="71" t="str">
        <f>IF(VLOOKUP(A86,'⚪设计'!$A$277:$G$296,6,FALSE)="","",VLOOKUP(VLOOKUP(A86,'⚪设计'!$A$277:$G$296,6,FALSE),'⚪设计'!$B$85:$D$113,2,FALSE))</f>
        <v/>
      </c>
      <c r="P86" s="71">
        <f t="shared" si="14"/>
        <v>0</v>
      </c>
      <c r="Q86" s="71" t="str">
        <f>IF(VLOOKUP($A86,'⚪设计'!$A$229:$K$249,7+3,FALSE)="","",VLOOKUP(A86,'⚪设计'!$A$229:$K$249,7+3,FALSE))</f>
        <v/>
      </c>
      <c r="R86" s="71">
        <f>IF(O86="",0,ROUND(VLOOKUP($A86,'⚪设计'!$A$277:$G$296,2,FALSE)*$B86/SUM(IF($E86="",0,VLOOKUP($E86,'⚪设计'!$C$85:$E$113,3,FALSE))*$F86,IF($J86="",0,VLOOKUP($J86,'⚪设计'!$C$85:$E$113,3,FALSE))*$K86,IF($O86="",0,VLOOKUP($O86,'⚪设计'!$C$85:$E$113,3,FALSE))*$P86,IF($T86="",0,VLOOKUP($T86,'⚪设计'!$C$85:$E$113,3,FALSE))*$U86)*VLOOKUP(O86,'⚪设计'!$C$85:$E$113,3,FALSE),0))</f>
        <v>0</v>
      </c>
      <c r="S86" s="71">
        <f>ROUND(战斗节奏!$B$3/SUM(IF(无限模式!$E86="",0,VLOOKUP(无限模式!$E86,'⚪设计'!$C$85:$I$113,4,FALSE)*无限模式!$F86),IF(无限模式!$J86="",0,VLOOKUP(无限模式!$J86,'⚪设计'!$C$85:$I$113,4,FALSE)*无限模式!$K86),IF(无限模式!$O86="",0,VLOOKUP(无限模式!$O86,'⚪设计'!$C$85:$I$113,4,FALSE)*无限模式!$P86),IF(无限模式!$T86="",0,VLOOKUP(无限模式!$T86,'⚪设计'!$C$85:$I$113,4,FALSE)*无限模式!$U86))*IF(O86="",0,VLOOKUP(O86,'⚪设计'!$C$85:$I$113,4,FALSE)),0)</f>
        <v>0</v>
      </c>
      <c r="T86" s="71" t="str">
        <f>IF(VLOOKUP(A86,'⚪设计'!$A$277:$G$296,7,FALSE)="","",VLOOKUP(VLOOKUP(A86,'⚪设计'!$A$277:$G$296,7,FALSE),'⚪设计'!$B$85:$D$113,2,FALSE))</f>
        <v/>
      </c>
      <c r="U86" s="71">
        <f t="shared" si="15"/>
        <v>0</v>
      </c>
      <c r="V86" s="71" t="str">
        <f>IF(VLOOKUP($A86,'⚪设计'!$A$229:$K$249,7+4,FALSE)="","",VLOOKUP(A86,'⚪设计'!$A$229:$K$249,7+4,FALSE))</f>
        <v/>
      </c>
      <c r="W86" s="71">
        <f>IF(T86="",0,ROUND(VLOOKUP($A86,'⚪设计'!$A$277:$G$296,2,FALSE)*$B86/SUM(IF($E86="",0,VLOOKUP($E86,'⚪设计'!$C$85:$E$113,3,FALSE))*$F86,IF($J86="",0,VLOOKUP($J86,'⚪设计'!$C$85:$E$113,3,FALSE))*$K86,IF($O86="",0,VLOOKUP($O86,'⚪设计'!$C$85:$E$113,3,FALSE))*$P86,IF($T86="",0,VLOOKUP($T86,'⚪设计'!$C$85:$E$113,3,FALSE))*$U86)*VLOOKUP(T86,'⚪设计'!$C$85:$E$113,3,FALSE),0))</f>
        <v>0</v>
      </c>
      <c r="X86" s="71">
        <f>ROUND(战斗节奏!$B$3/SUM(IF(无限模式!$E86="",0,VLOOKUP(无限模式!$E86,'⚪设计'!$C$85:$I$113,4,FALSE)*无限模式!$F86),IF(无限模式!$J86="",0,VLOOKUP(无限模式!$J86,'⚪设计'!$C$85:$I$113,4,FALSE)*无限模式!$K86),IF(无限模式!$O86="",0,VLOOKUP(无限模式!$O86,'⚪设计'!$C$85:$I$113,4,FALSE)*无限模式!$P86),IF(无限模式!$T86="",0,VLOOKUP(无限模式!$T86,'⚪设计'!$C$85:$I$113,4,FALSE)*无限模式!$U86))*IF(T86="",0,VLOOKUP(T86,'⚪设计'!$C$85:$I$113,4,FALSE)),0)</f>
        <v>0</v>
      </c>
    </row>
    <row r="87" spans="1:24" x14ac:dyDescent="0.2">
      <c r="A87" s="94">
        <v>12</v>
      </c>
      <c r="B87" s="71">
        <f>MAX(MIN(战斗节奏!$C$3-INT(A87/'⚪设计'!$C$55),MOD(A87,'⚪设计'!$C$55)),0)*'⚪设计'!$C$79*防御塔!$C$2+MIN(INT(A87/'⚪设计'!$C$55),战斗节奏!$C$3)*'⚪设计'!$C$80*防御塔!$C$2</f>
        <v>6480</v>
      </c>
      <c r="C87" s="173">
        <v>1.55</v>
      </c>
      <c r="D87" s="173">
        <v>21</v>
      </c>
      <c r="E87" s="71" t="str">
        <f>IF(VLOOKUP(A87,'⚪设计'!$A$277:$G$296,4,FALSE)="","",VLOOKUP(VLOOKUP(A87,'⚪设计'!$A$277:$G$296,4,FALSE),'⚪设计'!$B$85:$D$113,2,FALSE))</f>
        <v>ResUnit_XueRen2</v>
      </c>
      <c r="F87" s="71">
        <f t="shared" si="12"/>
        <v>21</v>
      </c>
      <c r="G87" s="71">
        <f>IF(VLOOKUP($A87,'⚪设计'!$A$229:$K$249,7+1,FALSE)="","",VLOOKUP(A87,'⚪设计'!$A$229:$K$249,7+1,FALSE))</f>
        <v>1</v>
      </c>
      <c r="H87" s="71">
        <f>IF(E87="",0,ROUND(VLOOKUP($A87,'⚪设计'!$A$277:$G$296,2,FALSE)*$B87/SUM(IF($E87="",0,VLOOKUP($E87,'⚪设计'!$C$85:$E$113,3,FALSE))*$F87,IF($J87="",0,VLOOKUP($J87,'⚪设计'!$C$85:$E$113,3,FALSE))*$K87,IF($O87="",0,VLOOKUP($O87,'⚪设计'!$C$85:$E$113,3,FALSE))*$P87,IF($T87="",0,VLOOKUP($T87,'⚪设计'!$C$85:$E$113,3,FALSE))*$U87)*VLOOKUP(E87,'⚪设计'!$C$85:$E$113,3,FALSE),0))</f>
        <v>50520</v>
      </c>
      <c r="I87" s="71">
        <f>ROUND(战斗节奏!$B$3/SUM(IF(无限模式!$E87="",0,VLOOKUP(无限模式!$E87,'⚪设计'!$C$85:$I$113,4,FALSE)*无限模式!$F87),IF(无限模式!$J87="",0,VLOOKUP(无限模式!$J87,'⚪设计'!$C$85:$I$113,4,FALSE)*无限模式!$K87),IF(无限模式!$O87="",0,VLOOKUP(无限模式!$O87,'⚪设计'!$C$85:$I$113,4,FALSE)*无限模式!$P87),IF(无限模式!$T87="",0,VLOOKUP(无限模式!$T87,'⚪设计'!$C$85:$I$113,4,FALSE)*无限模式!$U87))*IF(E87="",0,VLOOKUP(E87,'⚪设计'!$C$85:$I$113,4,FALSE)),0)</f>
        <v>6</v>
      </c>
      <c r="J87" s="71" t="str">
        <f>IF(VLOOKUP(A87,'⚪设计'!$A$277:$G$296,5,FALSE)="","",VLOOKUP(VLOOKUP(A87,'⚪设计'!$A$277:$G$296,5,FALSE),'⚪设计'!$B$85:$D$113,2,FALSE))</f>
        <v>ResUnit_ZhongZi1</v>
      </c>
      <c r="K87" s="71">
        <f t="shared" si="13"/>
        <v>7</v>
      </c>
      <c r="L87" s="71">
        <f>IF(VLOOKUP($A87,'⚪设计'!$A$229:$K$249,7+2,FALSE)="","",VLOOKUP(A87,'⚪设计'!$A$229:$K$249,7+2,FALSE))</f>
        <v>3</v>
      </c>
      <c r="M87" s="71">
        <f>IF(J87="",0,ROUND(VLOOKUP($A87,'⚪设计'!$A$277:$G$296,2,FALSE)*$B87/SUM(IF($E87="",0,VLOOKUP($E87,'⚪设计'!$C$85:$E$113,3,FALSE))*$F87,IF($J87="",0,VLOOKUP($J87,'⚪设计'!$C$85:$E$113,3,FALSE))*$K87,IF($O87="",0,VLOOKUP($O87,'⚪设计'!$C$85:$E$113,3,FALSE))*$P87,IF($T87="",0,VLOOKUP($T87,'⚪设计'!$C$85:$E$113,3,FALSE))*$U87)*VLOOKUP(J87,'⚪设计'!$C$85:$E$113,3,FALSE),0))</f>
        <v>7578</v>
      </c>
      <c r="N87" s="71">
        <f>ROUND(战斗节奏!$B$3/SUM(IF(无限模式!$E87="",0,VLOOKUP(无限模式!$E87,'⚪设计'!$C$85:$I$113,4,FALSE)*无限模式!$F87),IF(无限模式!$J87="",0,VLOOKUP(无限模式!$J87,'⚪设计'!$C$85:$I$113,4,FALSE)*无限模式!$K87),IF(无限模式!$O87="",0,VLOOKUP(无限模式!$O87,'⚪设计'!$C$85:$I$113,4,FALSE)*无限模式!$P87),IF(无限模式!$T87="",0,VLOOKUP(无限模式!$T87,'⚪设计'!$C$85:$I$113,4,FALSE)*无限模式!$U87))*IF(J87="",0,VLOOKUP(J87,'⚪设计'!$C$85:$I$113,4,FALSE)),0)</f>
        <v>6</v>
      </c>
      <c r="O87" s="71" t="str">
        <f>IF(VLOOKUP(A87,'⚪设计'!$A$277:$G$296,6,FALSE)="","",VLOOKUP(VLOOKUP(A87,'⚪设计'!$A$277:$G$296,6,FALSE),'⚪设计'!$B$85:$D$113,2,FALSE))</f>
        <v>ResUnit_ZhongZi3</v>
      </c>
      <c r="P87" s="71">
        <f t="shared" si="14"/>
        <v>1</v>
      </c>
      <c r="Q87" s="71">
        <f>IF(VLOOKUP($A87,'⚪设计'!$A$229:$K$249,7+3,FALSE)="","",VLOOKUP(A87,'⚪设计'!$A$229:$K$249,7+3,FALSE))</f>
        <v>0</v>
      </c>
      <c r="R87" s="71">
        <f>IF(O87="",0,ROUND(VLOOKUP($A87,'⚪设计'!$A$277:$G$296,2,FALSE)*$B87/SUM(IF($E87="",0,VLOOKUP($E87,'⚪设计'!$C$85:$E$113,3,FALSE))*$F87,IF($J87="",0,VLOOKUP($J87,'⚪设计'!$C$85:$E$113,3,FALSE))*$K87,IF($O87="",0,VLOOKUP($O87,'⚪设计'!$C$85:$E$113,3,FALSE))*$P87,IF($T87="",0,VLOOKUP($T87,'⚪设计'!$C$85:$E$113,3,FALSE))*$U87)*VLOOKUP(O87,'⚪设计'!$C$85:$E$113,3,FALSE),0))</f>
        <v>101040</v>
      </c>
      <c r="S87" s="71">
        <f>ROUND(战斗节奏!$B$3/SUM(IF(无限模式!$E87="",0,VLOOKUP(无限模式!$E87,'⚪设计'!$C$85:$I$113,4,FALSE)*无限模式!$F87),IF(无限模式!$J87="",0,VLOOKUP(无限模式!$J87,'⚪设计'!$C$85:$I$113,4,FALSE)*无限模式!$K87),IF(无限模式!$O87="",0,VLOOKUP(无限模式!$O87,'⚪设计'!$C$85:$I$113,4,FALSE)*无限模式!$P87),IF(无限模式!$T87="",0,VLOOKUP(无限模式!$T87,'⚪设计'!$C$85:$I$113,4,FALSE)*无限模式!$U87))*IF(O87="",0,VLOOKUP(O87,'⚪设计'!$C$85:$I$113,4,FALSE)),0)</f>
        <v>125</v>
      </c>
      <c r="T87" s="71" t="str">
        <f>IF(VLOOKUP(A87,'⚪设计'!$A$277:$G$296,7,FALSE)="","",VLOOKUP(VLOOKUP(A87,'⚪设计'!$A$277:$G$296,7,FALSE),'⚪设计'!$B$85:$D$113,2,FALSE))</f>
        <v/>
      </c>
      <c r="U87" s="71">
        <f t="shared" si="15"/>
        <v>0</v>
      </c>
      <c r="V87" s="71" t="str">
        <f>IF(VLOOKUP($A87,'⚪设计'!$A$229:$K$249,7+4,FALSE)="","",VLOOKUP(A87,'⚪设计'!$A$229:$K$249,7+4,FALSE))</f>
        <v/>
      </c>
      <c r="W87" s="71">
        <f>IF(T87="",0,ROUND(VLOOKUP($A87,'⚪设计'!$A$277:$G$296,2,FALSE)*$B87/SUM(IF($E87="",0,VLOOKUP($E87,'⚪设计'!$C$85:$E$113,3,FALSE))*$F87,IF($J87="",0,VLOOKUP($J87,'⚪设计'!$C$85:$E$113,3,FALSE))*$K87,IF($O87="",0,VLOOKUP($O87,'⚪设计'!$C$85:$E$113,3,FALSE))*$P87,IF($T87="",0,VLOOKUP($T87,'⚪设计'!$C$85:$E$113,3,FALSE))*$U87)*VLOOKUP(T87,'⚪设计'!$C$85:$E$113,3,FALSE),0))</f>
        <v>0</v>
      </c>
      <c r="X87" s="71">
        <f>ROUND(战斗节奏!$B$3/SUM(IF(无限模式!$E87="",0,VLOOKUP(无限模式!$E87,'⚪设计'!$C$85:$I$113,4,FALSE)*无限模式!$F87),IF(无限模式!$J87="",0,VLOOKUP(无限模式!$J87,'⚪设计'!$C$85:$I$113,4,FALSE)*无限模式!$K87),IF(无限模式!$O87="",0,VLOOKUP(无限模式!$O87,'⚪设计'!$C$85:$I$113,4,FALSE)*无限模式!$P87),IF(无限模式!$T87="",0,VLOOKUP(无限模式!$T87,'⚪设计'!$C$85:$I$113,4,FALSE)*无限模式!$U87))*IF(T87="",0,VLOOKUP(T87,'⚪设计'!$C$85:$I$113,4,FALSE)),0)</f>
        <v>0</v>
      </c>
    </row>
    <row r="88" spans="1:24" x14ac:dyDescent="0.2">
      <c r="A88" s="94">
        <v>13</v>
      </c>
      <c r="B88" s="71">
        <f>MAX(MIN(战斗节奏!$C$3-INT(A88/'⚪设计'!$C$55),MOD(A88,'⚪设计'!$C$55)),0)*'⚪设计'!$C$79*防御塔!$C$2+MIN(INT(A88/'⚪设计'!$C$55),战斗节奏!$C$3)*'⚪设计'!$C$80*防御塔!$C$2</f>
        <v>7020</v>
      </c>
      <c r="C88" s="173">
        <v>1.6</v>
      </c>
      <c r="D88" s="173">
        <v>22</v>
      </c>
      <c r="E88" s="71" t="str">
        <f>IF(VLOOKUP(A88,'⚪设计'!$A$277:$G$296,4,FALSE)="","",VLOOKUP(VLOOKUP(A88,'⚪设计'!$A$277:$G$296,4,FALSE),'⚪设计'!$B$85:$D$113,2,FALSE))</f>
        <v>ResUnit_Gui1</v>
      </c>
      <c r="F88" s="71">
        <f t="shared" si="12"/>
        <v>15</v>
      </c>
      <c r="G88" s="71">
        <f>IF(VLOOKUP($A88,'⚪设计'!$A$229:$K$249,7+1,FALSE)="","",VLOOKUP(A88,'⚪设计'!$A$229:$K$249,7+1,FALSE))</f>
        <v>1.5</v>
      </c>
      <c r="H88" s="71">
        <f>IF(E88="",0,ROUND(VLOOKUP($A88,'⚪设计'!$A$277:$G$296,2,FALSE)*$B88/SUM(IF($E88="",0,VLOOKUP($E88,'⚪设计'!$C$85:$E$113,3,FALSE))*$F88,IF($J88="",0,VLOOKUP($J88,'⚪设计'!$C$85:$E$113,3,FALSE))*$K88,IF($O88="",0,VLOOKUP($O88,'⚪设计'!$C$85:$E$113,3,FALSE))*$P88,IF($T88="",0,VLOOKUP($T88,'⚪设计'!$C$85:$E$113,3,FALSE))*$U88)*VLOOKUP(E88,'⚪设计'!$C$85:$E$113,3,FALSE),0))</f>
        <v>29250</v>
      </c>
      <c r="I88" s="71">
        <f>ROUND(战斗节奏!$B$3/SUM(IF(无限模式!$E88="",0,VLOOKUP(无限模式!$E88,'⚪设计'!$C$85:$I$113,4,FALSE)*无限模式!$F88),IF(无限模式!$J88="",0,VLOOKUP(无限模式!$J88,'⚪设计'!$C$85:$I$113,4,FALSE)*无限模式!$K88),IF(无限模式!$O88="",0,VLOOKUP(无限模式!$O88,'⚪设计'!$C$85:$I$113,4,FALSE)*无限模式!$P88),IF(无限模式!$T88="",0,VLOOKUP(无限模式!$T88,'⚪设计'!$C$85:$I$113,4,FALSE)*无限模式!$U88))*IF(E88="",0,VLOOKUP(E88,'⚪设计'!$C$85:$I$113,4,FALSE)),0)</f>
        <v>20</v>
      </c>
      <c r="J88" s="71" t="str">
        <f>IF(VLOOKUP(A88,'⚪设计'!$A$277:$G$296,5,FALSE)="","",VLOOKUP(VLOOKUP(A88,'⚪设计'!$A$277:$G$296,5,FALSE),'⚪设计'!$B$85:$D$113,2,FALSE))</f>
        <v/>
      </c>
      <c r="K88" s="71">
        <f t="shared" si="13"/>
        <v>0</v>
      </c>
      <c r="L88" s="71" t="str">
        <f>IF(VLOOKUP($A88,'⚪设计'!$A$229:$K$249,7+2,FALSE)="","",VLOOKUP(A88,'⚪设计'!$A$229:$K$249,7+2,FALSE))</f>
        <v/>
      </c>
      <c r="M88" s="71">
        <f>IF(J88="",0,ROUND(VLOOKUP($A88,'⚪设计'!$A$277:$G$296,2,FALSE)*$B88/SUM(IF($E88="",0,VLOOKUP($E88,'⚪设计'!$C$85:$E$113,3,FALSE))*$F88,IF($J88="",0,VLOOKUP($J88,'⚪设计'!$C$85:$E$113,3,FALSE))*$K88,IF($O88="",0,VLOOKUP($O88,'⚪设计'!$C$85:$E$113,3,FALSE))*$P88,IF($T88="",0,VLOOKUP($T88,'⚪设计'!$C$85:$E$113,3,FALSE))*$U88)*VLOOKUP(J88,'⚪设计'!$C$85:$E$113,3,FALSE),0))</f>
        <v>0</v>
      </c>
      <c r="N88" s="71">
        <f>ROUND(战斗节奏!$B$3/SUM(IF(无限模式!$E88="",0,VLOOKUP(无限模式!$E88,'⚪设计'!$C$85:$I$113,4,FALSE)*无限模式!$F88),IF(无限模式!$J88="",0,VLOOKUP(无限模式!$J88,'⚪设计'!$C$85:$I$113,4,FALSE)*无限模式!$K88),IF(无限模式!$O88="",0,VLOOKUP(无限模式!$O88,'⚪设计'!$C$85:$I$113,4,FALSE)*无限模式!$P88),IF(无限模式!$T88="",0,VLOOKUP(无限模式!$T88,'⚪设计'!$C$85:$I$113,4,FALSE)*无限模式!$U88))*IF(J88="",0,VLOOKUP(J88,'⚪设计'!$C$85:$I$113,4,FALSE)),0)</f>
        <v>0</v>
      </c>
      <c r="O88" s="71" t="str">
        <f>IF(VLOOKUP(A88,'⚪设计'!$A$277:$G$296,6,FALSE)="","",VLOOKUP(VLOOKUP(A88,'⚪设计'!$A$277:$G$296,6,FALSE),'⚪设计'!$B$85:$D$113,2,FALSE))</f>
        <v/>
      </c>
      <c r="P88" s="71">
        <f t="shared" si="14"/>
        <v>0</v>
      </c>
      <c r="Q88" s="71" t="str">
        <f>IF(VLOOKUP($A88,'⚪设计'!$A$229:$K$249,7+3,FALSE)="","",VLOOKUP(A88,'⚪设计'!$A$229:$K$249,7+3,FALSE))</f>
        <v/>
      </c>
      <c r="R88" s="71">
        <f>IF(O88="",0,ROUND(VLOOKUP($A88,'⚪设计'!$A$277:$G$296,2,FALSE)*$B88/SUM(IF($E88="",0,VLOOKUP($E88,'⚪设计'!$C$85:$E$113,3,FALSE))*$F88,IF($J88="",0,VLOOKUP($J88,'⚪设计'!$C$85:$E$113,3,FALSE))*$K88,IF($O88="",0,VLOOKUP($O88,'⚪设计'!$C$85:$E$113,3,FALSE))*$P88,IF($T88="",0,VLOOKUP($T88,'⚪设计'!$C$85:$E$113,3,FALSE))*$U88)*VLOOKUP(O88,'⚪设计'!$C$85:$E$113,3,FALSE),0))</f>
        <v>0</v>
      </c>
      <c r="S88" s="71">
        <f>ROUND(战斗节奏!$B$3/SUM(IF(无限模式!$E88="",0,VLOOKUP(无限模式!$E88,'⚪设计'!$C$85:$I$113,4,FALSE)*无限模式!$F88),IF(无限模式!$J88="",0,VLOOKUP(无限模式!$J88,'⚪设计'!$C$85:$I$113,4,FALSE)*无限模式!$K88),IF(无限模式!$O88="",0,VLOOKUP(无限模式!$O88,'⚪设计'!$C$85:$I$113,4,FALSE)*无限模式!$P88),IF(无限模式!$T88="",0,VLOOKUP(无限模式!$T88,'⚪设计'!$C$85:$I$113,4,FALSE)*无限模式!$U88))*IF(O88="",0,VLOOKUP(O88,'⚪设计'!$C$85:$I$113,4,FALSE)),0)</f>
        <v>0</v>
      </c>
      <c r="T88" s="71" t="str">
        <f>IF(VLOOKUP(A88,'⚪设计'!$A$277:$G$296,7,FALSE)="","",VLOOKUP(VLOOKUP(A88,'⚪设计'!$A$277:$G$296,7,FALSE),'⚪设计'!$B$85:$D$113,2,FALSE))</f>
        <v/>
      </c>
      <c r="U88" s="71">
        <f t="shared" si="15"/>
        <v>0</v>
      </c>
      <c r="V88" s="71" t="str">
        <f>IF(VLOOKUP($A88,'⚪设计'!$A$229:$K$249,7+4,FALSE)="","",VLOOKUP(A88,'⚪设计'!$A$229:$K$249,7+4,FALSE))</f>
        <v/>
      </c>
      <c r="W88" s="71">
        <f>IF(T88="",0,ROUND(VLOOKUP($A88,'⚪设计'!$A$277:$G$296,2,FALSE)*$B88/SUM(IF($E88="",0,VLOOKUP($E88,'⚪设计'!$C$85:$E$113,3,FALSE))*$F88,IF($J88="",0,VLOOKUP($J88,'⚪设计'!$C$85:$E$113,3,FALSE))*$K88,IF($O88="",0,VLOOKUP($O88,'⚪设计'!$C$85:$E$113,3,FALSE))*$P88,IF($T88="",0,VLOOKUP($T88,'⚪设计'!$C$85:$E$113,3,FALSE))*$U88)*VLOOKUP(T88,'⚪设计'!$C$85:$E$113,3,FALSE),0))</f>
        <v>0</v>
      </c>
      <c r="X88" s="71">
        <f>ROUND(战斗节奏!$B$3/SUM(IF(无限模式!$E88="",0,VLOOKUP(无限模式!$E88,'⚪设计'!$C$85:$I$113,4,FALSE)*无限模式!$F88),IF(无限模式!$J88="",0,VLOOKUP(无限模式!$J88,'⚪设计'!$C$85:$I$113,4,FALSE)*无限模式!$K88),IF(无限模式!$O88="",0,VLOOKUP(无限模式!$O88,'⚪设计'!$C$85:$I$113,4,FALSE)*无限模式!$P88),IF(无限模式!$T88="",0,VLOOKUP(无限模式!$T88,'⚪设计'!$C$85:$I$113,4,FALSE)*无限模式!$U88))*IF(T88="",0,VLOOKUP(T88,'⚪设计'!$C$85:$I$113,4,FALSE)),0)</f>
        <v>0</v>
      </c>
    </row>
    <row r="89" spans="1:24" x14ac:dyDescent="0.2">
      <c r="A89" s="94">
        <v>14</v>
      </c>
      <c r="B89" s="71">
        <f>MAX(MIN(战斗节奏!$C$3-INT(A89/'⚪设计'!$C$55),MOD(A89,'⚪设计'!$C$55)),0)*'⚪设计'!$C$79*防御塔!$C$2+MIN(INT(A89/'⚪设计'!$C$55),战斗节奏!$C$3)*'⚪设计'!$C$80*防御塔!$C$2</f>
        <v>7560</v>
      </c>
      <c r="C89" s="173">
        <v>1.65</v>
      </c>
      <c r="D89" s="173">
        <v>23</v>
      </c>
      <c r="E89" s="71" t="str">
        <f>IF(VLOOKUP(A89,'⚪设计'!$A$277:$G$296,4,FALSE)="","",VLOOKUP(VLOOKUP(A89,'⚪设计'!$A$277:$G$296,4,FALSE),'⚪设计'!$B$85:$D$113,2,FALSE))</f>
        <v>ResUnit_Gui1</v>
      </c>
      <c r="F89" s="71">
        <f t="shared" si="12"/>
        <v>15</v>
      </c>
      <c r="G89" s="71">
        <f>IF(VLOOKUP($A89,'⚪设计'!$A$229:$K$249,7+1,FALSE)="","",VLOOKUP(A89,'⚪设计'!$A$229:$K$249,7+1,FALSE))</f>
        <v>1.5</v>
      </c>
      <c r="H89" s="71">
        <f>IF(E89="",0,ROUND(VLOOKUP($A89,'⚪设计'!$A$277:$G$296,2,FALSE)*$B89/SUM(IF($E89="",0,VLOOKUP($E89,'⚪设计'!$C$85:$E$113,3,FALSE))*$F89,IF($J89="",0,VLOOKUP($J89,'⚪设计'!$C$85:$E$113,3,FALSE))*$K89,IF($O89="",0,VLOOKUP($O89,'⚪设计'!$C$85:$E$113,3,FALSE))*$P89,IF($T89="",0,VLOOKUP($T89,'⚪设计'!$C$85:$E$113,3,FALSE))*$U89)*VLOOKUP(E89,'⚪设计'!$C$85:$E$113,3,FALSE),0))</f>
        <v>3600</v>
      </c>
      <c r="I89" s="71">
        <f>ROUND(战斗节奏!$B$3/SUM(IF(无限模式!$E89="",0,VLOOKUP(无限模式!$E89,'⚪设计'!$C$85:$I$113,4,FALSE)*无限模式!$F89),IF(无限模式!$J89="",0,VLOOKUP(无限模式!$J89,'⚪设计'!$C$85:$I$113,4,FALSE)*无限模式!$K89),IF(无限模式!$O89="",0,VLOOKUP(无限模式!$O89,'⚪设计'!$C$85:$I$113,4,FALSE)*无限模式!$P89),IF(无限模式!$T89="",0,VLOOKUP(无限模式!$T89,'⚪设计'!$C$85:$I$113,4,FALSE)*无限模式!$U89))*IF(E89="",0,VLOOKUP(E89,'⚪设计'!$C$85:$I$113,4,FALSE)),0)</f>
        <v>7</v>
      </c>
      <c r="J89" s="71" t="str">
        <f>IF(VLOOKUP(A89,'⚪设计'!$A$277:$G$296,5,FALSE)="","",VLOOKUP(VLOOKUP(A89,'⚪设计'!$A$277:$G$296,5,FALSE),'⚪设计'!$B$85:$D$113,2,FALSE))</f>
        <v>ResUnit_XueRen2</v>
      </c>
      <c r="K89" s="71">
        <f t="shared" si="13"/>
        <v>15</v>
      </c>
      <c r="L89" s="71">
        <f>IF(VLOOKUP($A89,'⚪设计'!$A$229:$K$249,7+2,FALSE)="","",VLOOKUP(A89,'⚪设计'!$A$229:$K$249,7+2,FALSE))</f>
        <v>1.5</v>
      </c>
      <c r="M89" s="71">
        <f>IF(J89="",0,ROUND(VLOOKUP($A89,'⚪设计'!$A$277:$G$296,2,FALSE)*$B89/SUM(IF($E89="",0,VLOOKUP($E89,'⚪设计'!$C$85:$E$113,3,FALSE))*$F89,IF($J89="",0,VLOOKUP($J89,'⚪设计'!$C$85:$E$113,3,FALSE))*$K89,IF($O89="",0,VLOOKUP($O89,'⚪设计'!$C$85:$E$113,3,FALSE))*$P89,IF($T89="",0,VLOOKUP($T89,'⚪设计'!$C$85:$E$113,3,FALSE))*$U89)*VLOOKUP(J89,'⚪设计'!$C$85:$E$113,3,FALSE),0))</f>
        <v>72000</v>
      </c>
      <c r="N89" s="71">
        <f>ROUND(战斗节奏!$B$3/SUM(IF(无限模式!$E89="",0,VLOOKUP(无限模式!$E89,'⚪设计'!$C$85:$I$113,4,FALSE)*无限模式!$F89),IF(无限模式!$J89="",0,VLOOKUP(无限模式!$J89,'⚪设计'!$C$85:$I$113,4,FALSE)*无限模式!$K89),IF(无限模式!$O89="",0,VLOOKUP(无限模式!$O89,'⚪设计'!$C$85:$I$113,4,FALSE)*无限模式!$P89),IF(无限模式!$T89="",0,VLOOKUP(无限模式!$T89,'⚪设计'!$C$85:$I$113,4,FALSE)*无限模式!$U89))*IF(J89="",0,VLOOKUP(J89,'⚪设计'!$C$85:$I$113,4,FALSE)),0)</f>
        <v>13</v>
      </c>
      <c r="O89" s="71" t="str">
        <f>IF(VLOOKUP(A89,'⚪设计'!$A$277:$G$296,6,FALSE)="","",VLOOKUP(VLOOKUP(A89,'⚪设计'!$A$277:$G$296,6,FALSE),'⚪设计'!$B$85:$D$113,2,FALSE))</f>
        <v/>
      </c>
      <c r="P89" s="71">
        <f t="shared" si="14"/>
        <v>0</v>
      </c>
      <c r="Q89" s="71" t="str">
        <f>IF(VLOOKUP($A89,'⚪设计'!$A$229:$K$249,7+3,FALSE)="","",VLOOKUP(A89,'⚪设计'!$A$229:$K$249,7+3,FALSE))</f>
        <v/>
      </c>
      <c r="R89" s="71">
        <f>IF(O89="",0,ROUND(VLOOKUP($A89,'⚪设计'!$A$277:$G$296,2,FALSE)*$B89/SUM(IF($E89="",0,VLOOKUP($E89,'⚪设计'!$C$85:$E$113,3,FALSE))*$F89,IF($J89="",0,VLOOKUP($J89,'⚪设计'!$C$85:$E$113,3,FALSE))*$K89,IF($O89="",0,VLOOKUP($O89,'⚪设计'!$C$85:$E$113,3,FALSE))*$P89,IF($T89="",0,VLOOKUP($T89,'⚪设计'!$C$85:$E$113,3,FALSE))*$U89)*VLOOKUP(O89,'⚪设计'!$C$85:$E$113,3,FALSE),0))</f>
        <v>0</v>
      </c>
      <c r="S89" s="71">
        <f>ROUND(战斗节奏!$B$3/SUM(IF(无限模式!$E89="",0,VLOOKUP(无限模式!$E89,'⚪设计'!$C$85:$I$113,4,FALSE)*无限模式!$F89),IF(无限模式!$J89="",0,VLOOKUP(无限模式!$J89,'⚪设计'!$C$85:$I$113,4,FALSE)*无限模式!$K89),IF(无限模式!$O89="",0,VLOOKUP(无限模式!$O89,'⚪设计'!$C$85:$I$113,4,FALSE)*无限模式!$P89),IF(无限模式!$T89="",0,VLOOKUP(无限模式!$T89,'⚪设计'!$C$85:$I$113,4,FALSE)*无限模式!$U89))*IF(O89="",0,VLOOKUP(O89,'⚪设计'!$C$85:$I$113,4,FALSE)),0)</f>
        <v>0</v>
      </c>
      <c r="T89" s="71" t="str">
        <f>IF(VLOOKUP(A89,'⚪设计'!$A$277:$G$296,7,FALSE)="","",VLOOKUP(VLOOKUP(A89,'⚪设计'!$A$277:$G$296,7,FALSE),'⚪设计'!$B$85:$D$113,2,FALSE))</f>
        <v/>
      </c>
      <c r="U89" s="71">
        <f t="shared" si="15"/>
        <v>0</v>
      </c>
      <c r="V89" s="71" t="str">
        <f>IF(VLOOKUP($A89,'⚪设计'!$A$229:$K$249,7+4,FALSE)="","",VLOOKUP(A89,'⚪设计'!$A$229:$K$249,7+4,FALSE))</f>
        <v/>
      </c>
      <c r="W89" s="71">
        <f>IF(T89="",0,ROUND(VLOOKUP($A89,'⚪设计'!$A$277:$G$296,2,FALSE)*$B89/SUM(IF($E89="",0,VLOOKUP($E89,'⚪设计'!$C$85:$E$113,3,FALSE))*$F89,IF($J89="",0,VLOOKUP($J89,'⚪设计'!$C$85:$E$113,3,FALSE))*$K89,IF($O89="",0,VLOOKUP($O89,'⚪设计'!$C$85:$E$113,3,FALSE))*$P89,IF($T89="",0,VLOOKUP($T89,'⚪设计'!$C$85:$E$113,3,FALSE))*$U89)*VLOOKUP(T89,'⚪设计'!$C$85:$E$113,3,FALSE),0))</f>
        <v>0</v>
      </c>
      <c r="X89" s="71">
        <f>ROUND(战斗节奏!$B$3/SUM(IF(无限模式!$E89="",0,VLOOKUP(无限模式!$E89,'⚪设计'!$C$85:$I$113,4,FALSE)*无限模式!$F89),IF(无限模式!$J89="",0,VLOOKUP(无限模式!$J89,'⚪设计'!$C$85:$I$113,4,FALSE)*无限模式!$K89),IF(无限模式!$O89="",0,VLOOKUP(无限模式!$O89,'⚪设计'!$C$85:$I$113,4,FALSE)*无限模式!$P89),IF(无限模式!$T89="",0,VLOOKUP(无限模式!$T89,'⚪设计'!$C$85:$I$113,4,FALSE)*无限模式!$U89))*IF(T89="",0,VLOOKUP(T89,'⚪设计'!$C$85:$I$113,4,FALSE)),0)</f>
        <v>0</v>
      </c>
    </row>
    <row r="90" spans="1:24" x14ac:dyDescent="0.2">
      <c r="A90" s="94">
        <v>15</v>
      </c>
      <c r="B90" s="71">
        <f>MAX(MIN(战斗节奏!$C$3-INT(A90/'⚪设计'!$C$55),MOD(A90,'⚪设计'!$C$55)),0)*'⚪设计'!$C$79*防御塔!$C$2+MIN(INT(A90/'⚪设计'!$C$55),战斗节奏!$C$3)*'⚪设计'!$C$80*防御塔!$C$2</f>
        <v>8100</v>
      </c>
      <c r="C90" s="173">
        <v>1.7</v>
      </c>
      <c r="D90" s="173">
        <v>24</v>
      </c>
      <c r="E90" s="71" t="str">
        <f>IF(VLOOKUP(A90,'⚪设计'!$A$277:$G$296,4,FALSE)="","",VLOOKUP(VLOOKUP(A90,'⚪设计'!$A$277:$G$296,4,FALSE),'⚪设计'!$B$85:$D$113,2,FALSE))</f>
        <v>ResUnit_Gui1</v>
      </c>
      <c r="F90" s="71">
        <f t="shared" si="12"/>
        <v>48</v>
      </c>
      <c r="G90" s="71">
        <f>IF(VLOOKUP($A90,'⚪设计'!$A$229:$K$249,7+1,FALSE)="","",VLOOKUP(A90,'⚪设计'!$A$229:$K$249,7+1,FALSE))</f>
        <v>0.5</v>
      </c>
      <c r="H90" s="71">
        <f>IF(E90="",0,ROUND(VLOOKUP($A90,'⚪设计'!$A$277:$G$296,2,FALSE)*$B90/SUM(IF($E90="",0,VLOOKUP($E90,'⚪设计'!$C$85:$E$113,3,FALSE))*$F90,IF($J90="",0,VLOOKUP($J90,'⚪设计'!$C$85:$E$113,3,FALSE))*$K90,IF($O90="",0,VLOOKUP($O90,'⚪设计'!$C$85:$E$113,3,FALSE))*$P90,IF($T90="",0,VLOOKUP($T90,'⚪设计'!$C$85:$E$113,3,FALSE))*$U90)*VLOOKUP(E90,'⚪设计'!$C$85:$E$113,3,FALSE),0))</f>
        <v>15188</v>
      </c>
      <c r="I90" s="71">
        <f>ROUND(战斗节奏!$B$3/SUM(IF(无限模式!$E90="",0,VLOOKUP(无限模式!$E90,'⚪设计'!$C$85:$I$113,4,FALSE)*无限模式!$F90),IF(无限模式!$J90="",0,VLOOKUP(无限模式!$J90,'⚪设计'!$C$85:$I$113,4,FALSE)*无限模式!$K90),IF(无限模式!$O90="",0,VLOOKUP(无限模式!$O90,'⚪设计'!$C$85:$I$113,4,FALSE)*无限模式!$P90),IF(无限模式!$T90="",0,VLOOKUP(无限模式!$T90,'⚪设计'!$C$85:$I$113,4,FALSE)*无限模式!$U90))*IF(E90="",0,VLOOKUP(E90,'⚪设计'!$C$85:$I$113,4,FALSE)),0)</f>
        <v>4</v>
      </c>
      <c r="J90" s="71" t="str">
        <f>IF(VLOOKUP(A90,'⚪设计'!$A$277:$G$296,5,FALSE)="","",VLOOKUP(VLOOKUP(A90,'⚪设计'!$A$277:$G$296,5,FALSE),'⚪设计'!$B$85:$D$113,2,FALSE))</f>
        <v>ResUnit_ZhongZi2</v>
      </c>
      <c r="K90" s="71">
        <f t="shared" si="13"/>
        <v>12</v>
      </c>
      <c r="L90" s="71">
        <f>IF(VLOOKUP($A90,'⚪设计'!$A$229:$K$249,7+2,FALSE)="","",VLOOKUP(A90,'⚪设计'!$A$229:$K$249,7+2,FALSE))</f>
        <v>2</v>
      </c>
      <c r="M90" s="71">
        <f>IF(J90="",0,ROUND(VLOOKUP($A90,'⚪设计'!$A$277:$G$296,2,FALSE)*$B90/SUM(IF($E90="",0,VLOOKUP($E90,'⚪设计'!$C$85:$E$113,3,FALSE))*$F90,IF($J90="",0,VLOOKUP($J90,'⚪设计'!$C$85:$E$113,3,FALSE))*$K90,IF($O90="",0,VLOOKUP($O90,'⚪设计'!$C$85:$E$113,3,FALSE))*$P90,IF($T90="",0,VLOOKUP($T90,'⚪设计'!$C$85:$E$113,3,FALSE))*$U90)*VLOOKUP(J90,'⚪设计'!$C$85:$E$113,3,FALSE),0))</f>
        <v>91125</v>
      </c>
      <c r="N90" s="71">
        <f>ROUND(战斗节奏!$B$3/SUM(IF(无限模式!$E90="",0,VLOOKUP(无限模式!$E90,'⚪设计'!$C$85:$I$113,4,FALSE)*无限模式!$F90),IF(无限模式!$J90="",0,VLOOKUP(无限模式!$J90,'⚪设计'!$C$85:$I$113,4,FALSE)*无限模式!$K90),IF(无限模式!$O90="",0,VLOOKUP(无限模式!$O90,'⚪设计'!$C$85:$I$113,4,FALSE)*无限模式!$P90),IF(无限模式!$T90="",0,VLOOKUP(无限模式!$T90,'⚪设计'!$C$85:$I$113,4,FALSE)*无限模式!$U90))*IF(J90="",0,VLOOKUP(J90,'⚪设计'!$C$85:$I$113,4,FALSE)),0)</f>
        <v>8</v>
      </c>
      <c r="O90" s="71" t="str">
        <f>IF(VLOOKUP(A90,'⚪设计'!$A$277:$G$296,6,FALSE)="","",VLOOKUP(VLOOKUP(A90,'⚪设计'!$A$277:$G$296,6,FALSE),'⚪设计'!$B$85:$D$113,2,FALSE))</f>
        <v/>
      </c>
      <c r="P90" s="71">
        <f t="shared" si="14"/>
        <v>0</v>
      </c>
      <c r="Q90" s="71" t="str">
        <f>IF(VLOOKUP($A90,'⚪设计'!$A$229:$K$249,7+3,FALSE)="","",VLOOKUP(A90,'⚪设计'!$A$229:$K$249,7+3,FALSE))</f>
        <v/>
      </c>
      <c r="R90" s="71">
        <f>IF(O90="",0,ROUND(VLOOKUP($A90,'⚪设计'!$A$277:$G$296,2,FALSE)*$B90/SUM(IF($E90="",0,VLOOKUP($E90,'⚪设计'!$C$85:$E$113,3,FALSE))*$F90,IF($J90="",0,VLOOKUP($J90,'⚪设计'!$C$85:$E$113,3,FALSE))*$K90,IF($O90="",0,VLOOKUP($O90,'⚪设计'!$C$85:$E$113,3,FALSE))*$P90,IF($T90="",0,VLOOKUP($T90,'⚪设计'!$C$85:$E$113,3,FALSE))*$U90)*VLOOKUP(O90,'⚪设计'!$C$85:$E$113,3,FALSE),0))</f>
        <v>0</v>
      </c>
      <c r="S90" s="71">
        <f>ROUND(战斗节奏!$B$3/SUM(IF(无限模式!$E90="",0,VLOOKUP(无限模式!$E90,'⚪设计'!$C$85:$I$113,4,FALSE)*无限模式!$F90),IF(无限模式!$J90="",0,VLOOKUP(无限模式!$J90,'⚪设计'!$C$85:$I$113,4,FALSE)*无限模式!$K90),IF(无限模式!$O90="",0,VLOOKUP(无限模式!$O90,'⚪设计'!$C$85:$I$113,4,FALSE)*无限模式!$P90),IF(无限模式!$T90="",0,VLOOKUP(无限模式!$T90,'⚪设计'!$C$85:$I$113,4,FALSE)*无限模式!$U90))*IF(O90="",0,VLOOKUP(O90,'⚪设计'!$C$85:$I$113,4,FALSE)),0)</f>
        <v>0</v>
      </c>
      <c r="T90" s="71" t="str">
        <f>IF(VLOOKUP(A90,'⚪设计'!$A$277:$G$296,7,FALSE)="","",VLOOKUP(VLOOKUP(A90,'⚪设计'!$A$277:$G$296,7,FALSE),'⚪设计'!$B$85:$D$113,2,FALSE))</f>
        <v/>
      </c>
      <c r="U90" s="71">
        <f t="shared" si="15"/>
        <v>0</v>
      </c>
      <c r="V90" s="71" t="str">
        <f>IF(VLOOKUP($A90,'⚪设计'!$A$229:$K$249,7+4,FALSE)="","",VLOOKUP(A90,'⚪设计'!$A$229:$K$249,7+4,FALSE))</f>
        <v/>
      </c>
      <c r="W90" s="71">
        <f>IF(T90="",0,ROUND(VLOOKUP($A90,'⚪设计'!$A$277:$G$296,2,FALSE)*$B90/SUM(IF($E90="",0,VLOOKUP($E90,'⚪设计'!$C$85:$E$113,3,FALSE))*$F90,IF($J90="",0,VLOOKUP($J90,'⚪设计'!$C$85:$E$113,3,FALSE))*$K90,IF($O90="",0,VLOOKUP($O90,'⚪设计'!$C$85:$E$113,3,FALSE))*$P90,IF($T90="",0,VLOOKUP($T90,'⚪设计'!$C$85:$E$113,3,FALSE))*$U90)*VLOOKUP(T90,'⚪设计'!$C$85:$E$113,3,FALSE),0))</f>
        <v>0</v>
      </c>
      <c r="X90" s="71">
        <f>ROUND(战斗节奏!$B$3/SUM(IF(无限模式!$E90="",0,VLOOKUP(无限模式!$E90,'⚪设计'!$C$85:$I$113,4,FALSE)*无限模式!$F90),IF(无限模式!$J90="",0,VLOOKUP(无限模式!$J90,'⚪设计'!$C$85:$I$113,4,FALSE)*无限模式!$K90),IF(无限模式!$O90="",0,VLOOKUP(无限模式!$O90,'⚪设计'!$C$85:$I$113,4,FALSE)*无限模式!$P90),IF(无限模式!$T90="",0,VLOOKUP(无限模式!$T90,'⚪设计'!$C$85:$I$113,4,FALSE)*无限模式!$U90))*IF(T90="",0,VLOOKUP(T90,'⚪设计'!$C$85:$I$113,4,FALSE)),0)</f>
        <v>0</v>
      </c>
    </row>
    <row r="91" spans="1:24" x14ac:dyDescent="0.2">
      <c r="A91" s="94">
        <v>16</v>
      </c>
      <c r="B91" s="71">
        <f>MAX(MIN(战斗节奏!$C$3-INT(A91/'⚪设计'!$C$55),MOD(A91,'⚪设计'!$C$55)),0)*'⚪设计'!$C$79*防御塔!$C$2+MIN(INT(A91/'⚪设计'!$C$55),战斗节奏!$C$3)*'⚪设计'!$C$80*防御塔!$C$2</f>
        <v>8640</v>
      </c>
      <c r="C91" s="173">
        <v>1.75</v>
      </c>
      <c r="D91" s="173">
        <v>25</v>
      </c>
      <c r="E91" s="71" t="str">
        <f>IF(VLOOKUP(A91,'⚪设计'!$A$277:$G$296,4,FALSE)="","",VLOOKUP(VLOOKUP(A91,'⚪设计'!$A$277:$G$296,4,FALSE),'⚪设计'!$B$85:$D$113,2,FALSE))</f>
        <v>ResUnit_XueRen2</v>
      </c>
      <c r="F91" s="71">
        <f t="shared" si="12"/>
        <v>25</v>
      </c>
      <c r="G91" s="71">
        <f>IF(VLOOKUP($A91,'⚪设计'!$A$229:$K$249,7+1,FALSE)="","",VLOOKUP(A91,'⚪设计'!$A$229:$K$249,7+1,FALSE))</f>
        <v>1</v>
      </c>
      <c r="H91" s="71">
        <f>IF(E91="",0,ROUND(VLOOKUP($A91,'⚪设计'!$A$277:$G$296,2,FALSE)*$B91/SUM(IF($E91="",0,VLOOKUP($E91,'⚪设计'!$C$85:$E$113,3,FALSE))*$F91,IF($J91="",0,VLOOKUP($J91,'⚪设计'!$C$85:$E$113,3,FALSE))*$K91,IF($O91="",0,VLOOKUP($O91,'⚪设计'!$C$85:$E$113,3,FALSE))*$P91,IF($T91="",0,VLOOKUP($T91,'⚪设计'!$C$85:$E$113,3,FALSE))*$U91)*VLOOKUP(E91,'⚪设计'!$C$85:$E$113,3,FALSE),0))</f>
        <v>96000</v>
      </c>
      <c r="I91" s="71">
        <f>ROUND(战斗节奏!$B$3/SUM(IF(无限模式!$E91="",0,VLOOKUP(无限模式!$E91,'⚪设计'!$C$85:$I$113,4,FALSE)*无限模式!$F91),IF(无限模式!$J91="",0,VLOOKUP(无限模式!$J91,'⚪设计'!$C$85:$I$113,4,FALSE)*无限模式!$K91),IF(无限模式!$O91="",0,VLOOKUP(无限模式!$O91,'⚪设计'!$C$85:$I$113,4,FALSE)*无限模式!$P91),IF(无限模式!$T91="",0,VLOOKUP(无限模式!$T91,'⚪设计'!$C$85:$I$113,4,FALSE)*无限模式!$U91))*IF(E91="",0,VLOOKUP(E91,'⚪设计'!$C$85:$I$113,4,FALSE)),0)</f>
        <v>9</v>
      </c>
      <c r="J91" s="71" t="str">
        <f>IF(VLOOKUP(A91,'⚪设计'!$A$277:$G$296,5,FALSE)="","",VLOOKUP(VLOOKUP(A91,'⚪设计'!$A$277:$G$296,5,FALSE),'⚪设计'!$B$85:$D$113,2,FALSE))</f>
        <v>ResUnit_Gui3</v>
      </c>
      <c r="K91" s="71">
        <f t="shared" si="13"/>
        <v>1</v>
      </c>
      <c r="L91" s="71">
        <f>IF(VLOOKUP($A91,'⚪设计'!$A$229:$K$249,7+2,FALSE)="","",VLOOKUP(A91,'⚪设计'!$A$229:$K$249,7+2,FALSE))</f>
        <v>0</v>
      </c>
      <c r="M91" s="71">
        <f>IF(J91="",0,ROUND(VLOOKUP($A91,'⚪设计'!$A$277:$G$296,2,FALSE)*$B91/SUM(IF($E91="",0,VLOOKUP($E91,'⚪设计'!$C$85:$E$113,3,FALSE))*$F91,IF($J91="",0,VLOOKUP($J91,'⚪设计'!$C$85:$E$113,3,FALSE))*$K91,IF($O91="",0,VLOOKUP($O91,'⚪设计'!$C$85:$E$113,3,FALSE))*$P91,IF($T91="",0,VLOOKUP($T91,'⚪设计'!$C$85:$E$113,3,FALSE))*$U91)*VLOOKUP(J91,'⚪设计'!$C$85:$E$113,3,FALSE),0))</f>
        <v>192000</v>
      </c>
      <c r="N91" s="71">
        <f>ROUND(战斗节奏!$B$3/SUM(IF(无限模式!$E91="",0,VLOOKUP(无限模式!$E91,'⚪设计'!$C$85:$I$113,4,FALSE)*无限模式!$F91),IF(无限模式!$J91="",0,VLOOKUP(无限模式!$J91,'⚪设计'!$C$85:$I$113,4,FALSE)*无限模式!$K91),IF(无限模式!$O91="",0,VLOOKUP(无限模式!$O91,'⚪设计'!$C$85:$I$113,4,FALSE)*无限模式!$P91),IF(无限模式!$T91="",0,VLOOKUP(无限模式!$T91,'⚪设计'!$C$85:$I$113,4,FALSE)*无限模式!$U91))*IF(J91="",0,VLOOKUP(J91,'⚪设计'!$C$85:$I$113,4,FALSE)),0)</f>
        <v>86</v>
      </c>
      <c r="O91" s="71" t="str">
        <f>IF(VLOOKUP(A91,'⚪设计'!$A$277:$G$296,6,FALSE)="","",VLOOKUP(VLOOKUP(A91,'⚪设计'!$A$277:$G$296,6,FALSE),'⚪设计'!$B$85:$D$113,2,FALSE))</f>
        <v/>
      </c>
      <c r="P91" s="71">
        <f t="shared" si="14"/>
        <v>0</v>
      </c>
      <c r="Q91" s="71" t="str">
        <f>IF(VLOOKUP($A91,'⚪设计'!$A$229:$K$249,7+3,FALSE)="","",VLOOKUP(A91,'⚪设计'!$A$229:$K$249,7+3,FALSE))</f>
        <v/>
      </c>
      <c r="R91" s="71">
        <f>IF(O91="",0,ROUND(VLOOKUP($A91,'⚪设计'!$A$277:$G$296,2,FALSE)*$B91/SUM(IF($E91="",0,VLOOKUP($E91,'⚪设计'!$C$85:$E$113,3,FALSE))*$F91,IF($J91="",0,VLOOKUP($J91,'⚪设计'!$C$85:$E$113,3,FALSE))*$K91,IF($O91="",0,VLOOKUP($O91,'⚪设计'!$C$85:$E$113,3,FALSE))*$P91,IF($T91="",0,VLOOKUP($T91,'⚪设计'!$C$85:$E$113,3,FALSE))*$U91)*VLOOKUP(O91,'⚪设计'!$C$85:$E$113,3,FALSE),0))</f>
        <v>0</v>
      </c>
      <c r="S91" s="71">
        <f>ROUND(战斗节奏!$B$3/SUM(IF(无限模式!$E91="",0,VLOOKUP(无限模式!$E91,'⚪设计'!$C$85:$I$113,4,FALSE)*无限模式!$F91),IF(无限模式!$J91="",0,VLOOKUP(无限模式!$J91,'⚪设计'!$C$85:$I$113,4,FALSE)*无限模式!$K91),IF(无限模式!$O91="",0,VLOOKUP(无限模式!$O91,'⚪设计'!$C$85:$I$113,4,FALSE)*无限模式!$P91),IF(无限模式!$T91="",0,VLOOKUP(无限模式!$T91,'⚪设计'!$C$85:$I$113,4,FALSE)*无限模式!$U91))*IF(O91="",0,VLOOKUP(O91,'⚪设计'!$C$85:$I$113,4,FALSE)),0)</f>
        <v>0</v>
      </c>
      <c r="T91" s="71" t="str">
        <f>IF(VLOOKUP(A91,'⚪设计'!$A$277:$G$296,7,FALSE)="","",VLOOKUP(VLOOKUP(A91,'⚪设计'!$A$277:$G$296,7,FALSE),'⚪设计'!$B$85:$D$113,2,FALSE))</f>
        <v/>
      </c>
      <c r="U91" s="71">
        <f t="shared" si="15"/>
        <v>0</v>
      </c>
      <c r="V91" s="71" t="str">
        <f>IF(VLOOKUP($A91,'⚪设计'!$A$229:$K$249,7+4,FALSE)="","",VLOOKUP(A91,'⚪设计'!$A$229:$K$249,7+4,FALSE))</f>
        <v/>
      </c>
      <c r="W91" s="71">
        <f>IF(T91="",0,ROUND(VLOOKUP($A91,'⚪设计'!$A$277:$G$296,2,FALSE)*$B91/SUM(IF($E91="",0,VLOOKUP($E91,'⚪设计'!$C$85:$E$113,3,FALSE))*$F91,IF($J91="",0,VLOOKUP($J91,'⚪设计'!$C$85:$E$113,3,FALSE))*$K91,IF($O91="",0,VLOOKUP($O91,'⚪设计'!$C$85:$E$113,3,FALSE))*$P91,IF($T91="",0,VLOOKUP($T91,'⚪设计'!$C$85:$E$113,3,FALSE))*$U91)*VLOOKUP(T91,'⚪设计'!$C$85:$E$113,3,FALSE),0))</f>
        <v>0</v>
      </c>
      <c r="X91" s="71">
        <f>ROUND(战斗节奏!$B$3/SUM(IF(无限模式!$E91="",0,VLOOKUP(无限模式!$E91,'⚪设计'!$C$85:$I$113,4,FALSE)*无限模式!$F91),IF(无限模式!$J91="",0,VLOOKUP(无限模式!$J91,'⚪设计'!$C$85:$I$113,4,FALSE)*无限模式!$K91),IF(无限模式!$O91="",0,VLOOKUP(无限模式!$O91,'⚪设计'!$C$85:$I$113,4,FALSE)*无限模式!$P91),IF(无限模式!$T91="",0,VLOOKUP(无限模式!$T91,'⚪设计'!$C$85:$I$113,4,FALSE)*无限模式!$U91))*IF(T91="",0,VLOOKUP(T91,'⚪设计'!$C$85:$I$113,4,FALSE)),0)</f>
        <v>0</v>
      </c>
    </row>
    <row r="92" spans="1:24" x14ac:dyDescent="0.2">
      <c r="A92" s="94">
        <v>17</v>
      </c>
      <c r="B92" s="71">
        <f>MAX(MIN(战斗节奏!$C$3-INT(A92/'⚪设计'!$C$55),MOD(A92,'⚪设计'!$C$55)),0)*'⚪设计'!$C$79*防御塔!$C$2+MIN(INT(A92/'⚪设计'!$C$55),战斗节奏!$C$3)*'⚪设计'!$C$80*防御塔!$C$2</f>
        <v>9180</v>
      </c>
      <c r="C92" s="173">
        <v>1.8</v>
      </c>
      <c r="D92" s="173">
        <v>26</v>
      </c>
      <c r="E92" s="71" t="str">
        <f>IF(VLOOKUP(A92,'⚪设计'!$A$277:$G$296,4,FALSE)="","",VLOOKUP(VLOOKUP(A92,'⚪设计'!$A$277:$G$296,4,FALSE),'⚪设计'!$B$85:$D$113,2,FALSE))</f>
        <v>ResUnit_XueRen3</v>
      </c>
      <c r="F92" s="71">
        <f t="shared" si="12"/>
        <v>26</v>
      </c>
      <c r="G92" s="71">
        <f>IF(VLOOKUP($A92,'⚪设计'!$A$229:$K$249,7+1,FALSE)="","",VLOOKUP(A92,'⚪设计'!$A$229:$K$249,7+1,FALSE))</f>
        <v>1</v>
      </c>
      <c r="H92" s="71">
        <f>IF(E92="",0,ROUND(VLOOKUP($A92,'⚪设计'!$A$277:$G$296,2,FALSE)*$B92/SUM(IF($E92="",0,VLOOKUP($E92,'⚪设计'!$C$85:$E$113,3,FALSE))*$F92,IF($J92="",0,VLOOKUP($J92,'⚪设计'!$C$85:$E$113,3,FALSE))*$K92,IF($O92="",0,VLOOKUP($O92,'⚪设计'!$C$85:$E$113,3,FALSE))*$P92,IF($T92="",0,VLOOKUP($T92,'⚪设计'!$C$85:$E$113,3,FALSE))*$U92)*VLOOKUP(E92,'⚪设计'!$C$85:$E$113,3,FALSE),0))</f>
        <v>85316</v>
      </c>
      <c r="I92" s="71">
        <f>ROUND(战斗节奏!$B$3/SUM(IF(无限模式!$E92="",0,VLOOKUP(无限模式!$E92,'⚪设计'!$C$85:$I$113,4,FALSE)*无限模式!$F92),IF(无限模式!$J92="",0,VLOOKUP(无限模式!$J92,'⚪设计'!$C$85:$I$113,4,FALSE)*无限模式!$K92),IF(无限模式!$O92="",0,VLOOKUP(无限模式!$O92,'⚪设计'!$C$85:$I$113,4,FALSE)*无限模式!$P92),IF(无限模式!$T92="",0,VLOOKUP(无限模式!$T92,'⚪设计'!$C$85:$I$113,4,FALSE)*无限模式!$U92))*IF(E92="",0,VLOOKUP(E92,'⚪设计'!$C$85:$I$113,4,FALSE)),0)</f>
        <v>9</v>
      </c>
      <c r="J92" s="71" t="str">
        <f>IF(VLOOKUP(A92,'⚪设计'!$A$277:$G$296,5,FALSE)="","",VLOOKUP(VLOOKUP(A92,'⚪设计'!$A$277:$G$296,5,FALSE),'⚪设计'!$B$85:$D$113,2,FALSE))</f>
        <v>ResUnit_Dan2</v>
      </c>
      <c r="K92" s="71">
        <f t="shared" si="13"/>
        <v>9</v>
      </c>
      <c r="L92" s="71">
        <f>IF(VLOOKUP($A92,'⚪设计'!$A$229:$K$249,7+2,FALSE)="","",VLOOKUP(A92,'⚪设计'!$A$229:$K$249,7+2,FALSE))</f>
        <v>3</v>
      </c>
      <c r="M92" s="71">
        <f>IF(J92="",0,ROUND(VLOOKUP($A92,'⚪设计'!$A$277:$G$296,2,FALSE)*$B92/SUM(IF($E92="",0,VLOOKUP($E92,'⚪设计'!$C$85:$E$113,3,FALSE))*$F92,IF($J92="",0,VLOOKUP($J92,'⚪设计'!$C$85:$E$113,3,FALSE))*$K92,IF($O92="",0,VLOOKUP($O92,'⚪设计'!$C$85:$E$113,3,FALSE))*$P92,IF($T92="",0,VLOOKUP($T92,'⚪设计'!$C$85:$E$113,3,FALSE))*$U92)*VLOOKUP(J92,'⚪设计'!$C$85:$E$113,3,FALSE),0))</f>
        <v>8532</v>
      </c>
      <c r="N92" s="71">
        <f>ROUND(战斗节奏!$B$3/SUM(IF(无限模式!$E92="",0,VLOOKUP(无限模式!$E92,'⚪设计'!$C$85:$I$113,4,FALSE)*无限模式!$F92),IF(无限模式!$J92="",0,VLOOKUP(无限模式!$J92,'⚪设计'!$C$85:$I$113,4,FALSE)*无限模式!$K92),IF(无限模式!$O92="",0,VLOOKUP(无限模式!$O92,'⚪设计'!$C$85:$I$113,4,FALSE)*无限模式!$P92),IF(无限模式!$T92="",0,VLOOKUP(无限模式!$T92,'⚪设计'!$C$85:$I$113,4,FALSE)*无限模式!$U92))*IF(J92="",0,VLOOKUP(J92,'⚪设计'!$C$85:$I$113,4,FALSE)),0)</f>
        <v>9</v>
      </c>
      <c r="O92" s="71" t="str">
        <f>IF(VLOOKUP(A92,'⚪设计'!$A$277:$G$296,6,FALSE)="","",VLOOKUP(VLOOKUP(A92,'⚪设计'!$A$277:$G$296,6,FALSE),'⚪设计'!$B$85:$D$113,2,FALSE))</f>
        <v/>
      </c>
      <c r="P92" s="71">
        <f t="shared" si="14"/>
        <v>0</v>
      </c>
      <c r="Q92" s="71" t="str">
        <f>IF(VLOOKUP($A92,'⚪设计'!$A$229:$K$249,7+3,FALSE)="","",VLOOKUP(A92,'⚪设计'!$A$229:$K$249,7+3,FALSE))</f>
        <v/>
      </c>
      <c r="R92" s="71">
        <f>IF(O92="",0,ROUND(VLOOKUP($A92,'⚪设计'!$A$277:$G$296,2,FALSE)*$B92/SUM(IF($E92="",0,VLOOKUP($E92,'⚪设计'!$C$85:$E$113,3,FALSE))*$F92,IF($J92="",0,VLOOKUP($J92,'⚪设计'!$C$85:$E$113,3,FALSE))*$K92,IF($O92="",0,VLOOKUP($O92,'⚪设计'!$C$85:$E$113,3,FALSE))*$P92,IF($T92="",0,VLOOKUP($T92,'⚪设计'!$C$85:$E$113,3,FALSE))*$U92)*VLOOKUP(O92,'⚪设计'!$C$85:$E$113,3,FALSE),0))</f>
        <v>0</v>
      </c>
      <c r="S92" s="71">
        <f>ROUND(战斗节奏!$B$3/SUM(IF(无限模式!$E92="",0,VLOOKUP(无限模式!$E92,'⚪设计'!$C$85:$I$113,4,FALSE)*无限模式!$F92),IF(无限模式!$J92="",0,VLOOKUP(无限模式!$J92,'⚪设计'!$C$85:$I$113,4,FALSE)*无限模式!$K92),IF(无限模式!$O92="",0,VLOOKUP(无限模式!$O92,'⚪设计'!$C$85:$I$113,4,FALSE)*无限模式!$P92),IF(无限模式!$T92="",0,VLOOKUP(无限模式!$T92,'⚪设计'!$C$85:$I$113,4,FALSE)*无限模式!$U92))*IF(O92="",0,VLOOKUP(O92,'⚪设计'!$C$85:$I$113,4,FALSE)),0)</f>
        <v>0</v>
      </c>
      <c r="T92" s="71" t="str">
        <f>IF(VLOOKUP(A92,'⚪设计'!$A$277:$G$296,7,FALSE)="","",VLOOKUP(VLOOKUP(A92,'⚪设计'!$A$277:$G$296,7,FALSE),'⚪设计'!$B$85:$D$113,2,FALSE))</f>
        <v/>
      </c>
      <c r="U92" s="71">
        <f t="shared" si="15"/>
        <v>0</v>
      </c>
      <c r="V92" s="71" t="str">
        <f>IF(VLOOKUP($A92,'⚪设计'!$A$229:$K$249,7+4,FALSE)="","",VLOOKUP(A92,'⚪设计'!$A$229:$K$249,7+4,FALSE))</f>
        <v/>
      </c>
      <c r="W92" s="71">
        <f>IF(T92="",0,ROUND(VLOOKUP($A92,'⚪设计'!$A$277:$G$296,2,FALSE)*$B92/SUM(IF($E92="",0,VLOOKUP($E92,'⚪设计'!$C$85:$E$113,3,FALSE))*$F92,IF($J92="",0,VLOOKUP($J92,'⚪设计'!$C$85:$E$113,3,FALSE))*$K92,IF($O92="",0,VLOOKUP($O92,'⚪设计'!$C$85:$E$113,3,FALSE))*$P92,IF($T92="",0,VLOOKUP($T92,'⚪设计'!$C$85:$E$113,3,FALSE))*$U92)*VLOOKUP(T92,'⚪设计'!$C$85:$E$113,3,FALSE),0))</f>
        <v>0</v>
      </c>
      <c r="X92" s="71">
        <f>ROUND(战斗节奏!$B$3/SUM(IF(无限模式!$E92="",0,VLOOKUP(无限模式!$E92,'⚪设计'!$C$85:$I$113,4,FALSE)*无限模式!$F92),IF(无限模式!$J92="",0,VLOOKUP(无限模式!$J92,'⚪设计'!$C$85:$I$113,4,FALSE)*无限模式!$K92),IF(无限模式!$O92="",0,VLOOKUP(无限模式!$O92,'⚪设计'!$C$85:$I$113,4,FALSE)*无限模式!$P92),IF(无限模式!$T92="",0,VLOOKUP(无限模式!$T92,'⚪设计'!$C$85:$I$113,4,FALSE)*无限模式!$U92))*IF(T92="",0,VLOOKUP(T92,'⚪设计'!$C$85:$I$113,4,FALSE)),0)</f>
        <v>0</v>
      </c>
    </row>
    <row r="93" spans="1:24" x14ac:dyDescent="0.2">
      <c r="A93" s="94">
        <v>18</v>
      </c>
      <c r="B93" s="71">
        <f>MAX(MIN(战斗节奏!$C$3-INT(A93/'⚪设计'!$C$55),MOD(A93,'⚪设计'!$C$55)),0)*'⚪设计'!$C$79*防御塔!$C$2+MIN(INT(A93/'⚪设计'!$C$55),战斗节奏!$C$3)*'⚪设计'!$C$80*防御塔!$C$2</f>
        <v>9719.9999999999982</v>
      </c>
      <c r="C93" s="173">
        <v>1.85</v>
      </c>
      <c r="D93" s="173">
        <v>27</v>
      </c>
      <c r="E93" s="71" t="str">
        <f>IF(VLOOKUP(A93,'⚪设计'!$A$277:$G$296,4,FALSE)="","",VLOOKUP(VLOOKUP(A93,'⚪设计'!$A$277:$G$296,4,FALSE),'⚪设计'!$B$85:$D$113,2,FALSE))</f>
        <v>ResUnit_Dan2</v>
      </c>
      <c r="F93" s="71">
        <f t="shared" si="12"/>
        <v>18</v>
      </c>
      <c r="G93" s="71">
        <f>IF(VLOOKUP($A93,'⚪设计'!$A$229:$K$249,7+1,FALSE)="","",VLOOKUP(A93,'⚪设计'!$A$229:$K$249,7+1,FALSE))</f>
        <v>1.5</v>
      </c>
      <c r="H93" s="71">
        <f>IF(E93="",0,ROUND(VLOOKUP($A93,'⚪设计'!$A$277:$G$296,2,FALSE)*$B93/SUM(IF($E93="",0,VLOOKUP($E93,'⚪设计'!$C$85:$E$113,3,FALSE))*$F93,IF($J93="",0,VLOOKUP($J93,'⚪设计'!$C$85:$E$113,3,FALSE))*$K93,IF($O93="",0,VLOOKUP($O93,'⚪设计'!$C$85:$E$113,3,FALSE))*$P93,IF($T93="",0,VLOOKUP($T93,'⚪设计'!$C$85:$E$113,3,FALSE))*$U93)*VLOOKUP(E93,'⚪设计'!$C$85:$E$113,3,FALSE),0))</f>
        <v>74250</v>
      </c>
      <c r="I93" s="71">
        <f>ROUND(战斗节奏!$B$3/SUM(IF(无限模式!$E93="",0,VLOOKUP(无限模式!$E93,'⚪设计'!$C$85:$I$113,4,FALSE)*无限模式!$F93),IF(无限模式!$J93="",0,VLOOKUP(无限模式!$J93,'⚪设计'!$C$85:$I$113,4,FALSE)*无限模式!$K93),IF(无限模式!$O93="",0,VLOOKUP(无限模式!$O93,'⚪设计'!$C$85:$I$113,4,FALSE)*无限模式!$P93),IF(无限模式!$T93="",0,VLOOKUP(无限模式!$T93,'⚪设计'!$C$85:$I$113,4,FALSE)*无限模式!$U93))*IF(E93="",0,VLOOKUP(E93,'⚪设计'!$C$85:$I$113,4,FALSE)),0)</f>
        <v>8</v>
      </c>
      <c r="J93" s="71" t="str">
        <f>IF(VLOOKUP(A93,'⚪设计'!$A$277:$G$296,5,FALSE)="","",VLOOKUP(VLOOKUP(A93,'⚪设计'!$A$277:$G$296,5,FALSE),'⚪设计'!$B$85:$D$113,2,FALSE))</f>
        <v>ResUnit_ZhiZhu2</v>
      </c>
      <c r="K93" s="71">
        <f t="shared" si="13"/>
        <v>36</v>
      </c>
      <c r="L93" s="71">
        <f>IF(VLOOKUP($A93,'⚪设计'!$A$229:$K$249,7+2,FALSE)="","",VLOOKUP(A93,'⚪设计'!$A$229:$K$249,7+2,FALSE))</f>
        <v>0.75</v>
      </c>
      <c r="M93" s="71">
        <f>IF(J93="",0,ROUND(VLOOKUP($A93,'⚪设计'!$A$277:$G$296,2,FALSE)*$B93/SUM(IF($E93="",0,VLOOKUP($E93,'⚪设计'!$C$85:$E$113,3,FALSE))*$F93,IF($J93="",0,VLOOKUP($J93,'⚪设计'!$C$85:$E$113,3,FALSE))*$K93,IF($O93="",0,VLOOKUP($O93,'⚪设计'!$C$85:$E$113,3,FALSE))*$P93,IF($T93="",0,VLOOKUP($T93,'⚪设计'!$C$85:$E$113,3,FALSE))*$U93)*VLOOKUP(J93,'⚪设计'!$C$85:$E$113,3,FALSE),0))</f>
        <v>37125</v>
      </c>
      <c r="N93" s="71">
        <f>ROUND(战斗节奏!$B$3/SUM(IF(无限模式!$E93="",0,VLOOKUP(无限模式!$E93,'⚪设计'!$C$85:$I$113,4,FALSE)*无限模式!$F93),IF(无限模式!$J93="",0,VLOOKUP(无限模式!$J93,'⚪设计'!$C$85:$I$113,4,FALSE)*无限模式!$K93),IF(无限模式!$O93="",0,VLOOKUP(无限模式!$O93,'⚪设计'!$C$85:$I$113,4,FALSE)*无限模式!$P93),IF(无限模式!$T93="",0,VLOOKUP(无限模式!$T93,'⚪设计'!$C$85:$I$113,4,FALSE)*无限模式!$U93))*IF(J93="",0,VLOOKUP(J93,'⚪设计'!$C$85:$I$113,4,FALSE)),0)</f>
        <v>4</v>
      </c>
      <c r="O93" s="71" t="str">
        <f>IF(VLOOKUP(A93,'⚪设计'!$A$277:$G$296,6,FALSE)="","",VLOOKUP(VLOOKUP(A93,'⚪设计'!$A$277:$G$296,6,FALSE),'⚪设计'!$B$85:$D$113,2,FALSE))</f>
        <v/>
      </c>
      <c r="P93" s="71">
        <f t="shared" si="14"/>
        <v>0</v>
      </c>
      <c r="Q93" s="71" t="str">
        <f>IF(VLOOKUP($A93,'⚪设计'!$A$229:$K$249,7+3,FALSE)="","",VLOOKUP(A93,'⚪设计'!$A$229:$K$249,7+3,FALSE))</f>
        <v/>
      </c>
      <c r="R93" s="71">
        <f>IF(O93="",0,ROUND(VLOOKUP($A93,'⚪设计'!$A$277:$G$296,2,FALSE)*$B93/SUM(IF($E93="",0,VLOOKUP($E93,'⚪设计'!$C$85:$E$113,3,FALSE))*$F93,IF($J93="",0,VLOOKUP($J93,'⚪设计'!$C$85:$E$113,3,FALSE))*$K93,IF($O93="",0,VLOOKUP($O93,'⚪设计'!$C$85:$E$113,3,FALSE))*$P93,IF($T93="",0,VLOOKUP($T93,'⚪设计'!$C$85:$E$113,3,FALSE))*$U93)*VLOOKUP(O93,'⚪设计'!$C$85:$E$113,3,FALSE),0))</f>
        <v>0</v>
      </c>
      <c r="S93" s="71">
        <f>ROUND(战斗节奏!$B$3/SUM(IF(无限模式!$E93="",0,VLOOKUP(无限模式!$E93,'⚪设计'!$C$85:$I$113,4,FALSE)*无限模式!$F93),IF(无限模式!$J93="",0,VLOOKUP(无限模式!$J93,'⚪设计'!$C$85:$I$113,4,FALSE)*无限模式!$K93),IF(无限模式!$O93="",0,VLOOKUP(无限模式!$O93,'⚪设计'!$C$85:$I$113,4,FALSE)*无限模式!$P93),IF(无限模式!$T93="",0,VLOOKUP(无限模式!$T93,'⚪设计'!$C$85:$I$113,4,FALSE)*无限模式!$U93))*IF(O93="",0,VLOOKUP(O93,'⚪设计'!$C$85:$I$113,4,FALSE)),0)</f>
        <v>0</v>
      </c>
      <c r="T93" s="71" t="str">
        <f>IF(VLOOKUP(A93,'⚪设计'!$A$277:$G$296,7,FALSE)="","",VLOOKUP(VLOOKUP(A93,'⚪设计'!$A$277:$G$296,7,FALSE),'⚪设计'!$B$85:$D$113,2,FALSE))</f>
        <v/>
      </c>
      <c r="U93" s="71">
        <f t="shared" si="15"/>
        <v>0</v>
      </c>
      <c r="V93" s="71" t="str">
        <f>IF(VLOOKUP($A93,'⚪设计'!$A$229:$K$249,7+4,FALSE)="","",VLOOKUP(A93,'⚪设计'!$A$229:$K$249,7+4,FALSE))</f>
        <v/>
      </c>
      <c r="W93" s="71">
        <f>IF(T93="",0,ROUND(VLOOKUP($A93,'⚪设计'!$A$277:$G$296,2,FALSE)*$B93/SUM(IF($E93="",0,VLOOKUP($E93,'⚪设计'!$C$85:$E$113,3,FALSE))*$F93,IF($J93="",0,VLOOKUP($J93,'⚪设计'!$C$85:$E$113,3,FALSE))*$K93,IF($O93="",0,VLOOKUP($O93,'⚪设计'!$C$85:$E$113,3,FALSE))*$P93,IF($T93="",0,VLOOKUP($T93,'⚪设计'!$C$85:$E$113,3,FALSE))*$U93)*VLOOKUP(T93,'⚪设计'!$C$85:$E$113,3,FALSE),0))</f>
        <v>0</v>
      </c>
      <c r="X93" s="71">
        <f>ROUND(战斗节奏!$B$3/SUM(IF(无限模式!$E93="",0,VLOOKUP(无限模式!$E93,'⚪设计'!$C$85:$I$113,4,FALSE)*无限模式!$F93),IF(无限模式!$J93="",0,VLOOKUP(无限模式!$J93,'⚪设计'!$C$85:$I$113,4,FALSE)*无限模式!$K93),IF(无限模式!$O93="",0,VLOOKUP(无限模式!$O93,'⚪设计'!$C$85:$I$113,4,FALSE)*无限模式!$P93),IF(无限模式!$T93="",0,VLOOKUP(无限模式!$T93,'⚪设计'!$C$85:$I$113,4,FALSE)*无限模式!$U93))*IF(T93="",0,VLOOKUP(T93,'⚪设计'!$C$85:$I$113,4,FALSE)),0)</f>
        <v>0</v>
      </c>
    </row>
    <row r="94" spans="1:24" x14ac:dyDescent="0.2">
      <c r="A94" s="94">
        <v>19</v>
      </c>
      <c r="B94" s="71">
        <f>MAX(MIN(战斗节奏!$C$3-INT(A94/'⚪设计'!$C$55),MOD(A94,'⚪设计'!$C$55)),0)*'⚪设计'!$C$79*防御塔!$C$2+MIN(INT(A94/'⚪设计'!$C$55),战斗节奏!$C$3)*'⚪设计'!$C$80*防御塔!$C$2</f>
        <v>10259.999999999998</v>
      </c>
      <c r="C94" s="173">
        <v>1.9</v>
      </c>
      <c r="D94" s="173">
        <v>28</v>
      </c>
      <c r="E94" s="71" t="str">
        <f>IF(VLOOKUP(A94,'⚪设计'!$A$277:$G$296,4,FALSE)="","",VLOOKUP(VLOOKUP(A94,'⚪设计'!$A$277:$G$296,4,FALSE),'⚪设计'!$B$85:$D$113,2,FALSE))</f>
        <v>ResUnit_Dan2</v>
      </c>
      <c r="F94" s="71">
        <f t="shared" si="12"/>
        <v>19</v>
      </c>
      <c r="G94" s="71">
        <f>IF(VLOOKUP($A94,'⚪设计'!$A$229:$K$249,7+1,FALSE)="","",VLOOKUP(A94,'⚪设计'!$A$229:$K$249,7+1,FALSE))</f>
        <v>1.5</v>
      </c>
      <c r="H94" s="71">
        <f>IF(E94="",0,ROUND(VLOOKUP($A94,'⚪设计'!$A$277:$G$296,2,FALSE)*$B94/SUM(IF($E94="",0,VLOOKUP($E94,'⚪设计'!$C$85:$E$113,3,FALSE))*$F94,IF($J94="",0,VLOOKUP($J94,'⚪设计'!$C$85:$E$113,3,FALSE))*$K94,IF($O94="",0,VLOOKUP($O94,'⚪设计'!$C$85:$E$113,3,FALSE))*$P94,IF($T94="",0,VLOOKUP($T94,'⚪设计'!$C$85:$E$113,3,FALSE))*$U94)*VLOOKUP(E94,'⚪设计'!$C$85:$E$113,3,FALSE),0))</f>
        <v>14428</v>
      </c>
      <c r="I94" s="71">
        <f>ROUND(战斗节奏!$B$3/SUM(IF(无限模式!$E94="",0,VLOOKUP(无限模式!$E94,'⚪设计'!$C$85:$I$113,4,FALSE)*无限模式!$F94),IF(无限模式!$J94="",0,VLOOKUP(无限模式!$J94,'⚪设计'!$C$85:$I$113,4,FALSE)*无限模式!$K94),IF(无限模式!$O94="",0,VLOOKUP(无限模式!$O94,'⚪设计'!$C$85:$I$113,4,FALSE)*无限模式!$P94),IF(无限模式!$T94="",0,VLOOKUP(无限模式!$T94,'⚪设计'!$C$85:$I$113,4,FALSE)*无限模式!$U94))*IF(E94="",0,VLOOKUP(E94,'⚪设计'!$C$85:$I$113,4,FALSE)),0)</f>
        <v>5</v>
      </c>
      <c r="J94" s="71" t="str">
        <f>IF(VLOOKUP(A94,'⚪设计'!$A$277:$G$296,5,FALSE)="","",VLOOKUP(VLOOKUP(A94,'⚪设计'!$A$277:$G$296,5,FALSE),'⚪设计'!$B$85:$D$113,2,FALSE))</f>
        <v>ResUnit_XueRen3</v>
      </c>
      <c r="K94" s="71">
        <f t="shared" si="13"/>
        <v>28</v>
      </c>
      <c r="L94" s="71">
        <f>IF(VLOOKUP($A94,'⚪设计'!$A$229:$K$249,7+2,FALSE)="","",VLOOKUP(A94,'⚪设计'!$A$229:$K$249,7+2,FALSE))</f>
        <v>1</v>
      </c>
      <c r="M94" s="71">
        <f>IF(J94="",0,ROUND(VLOOKUP($A94,'⚪设计'!$A$277:$G$296,2,FALSE)*$B94/SUM(IF($E94="",0,VLOOKUP($E94,'⚪设计'!$C$85:$E$113,3,FALSE))*$F94,IF($J94="",0,VLOOKUP($J94,'⚪设计'!$C$85:$E$113,3,FALSE))*$K94,IF($O94="",0,VLOOKUP($O94,'⚪设计'!$C$85:$E$113,3,FALSE))*$P94,IF($T94="",0,VLOOKUP($T94,'⚪设计'!$C$85:$E$113,3,FALSE))*$U94)*VLOOKUP(J94,'⚪设计'!$C$85:$E$113,3,FALSE),0))</f>
        <v>144281</v>
      </c>
      <c r="N94" s="71">
        <f>ROUND(战斗节奏!$B$3/SUM(IF(无限模式!$E94="",0,VLOOKUP(无限模式!$E94,'⚪设计'!$C$85:$I$113,4,FALSE)*无限模式!$F94),IF(无限模式!$J94="",0,VLOOKUP(无限模式!$J94,'⚪设计'!$C$85:$I$113,4,FALSE)*无限模式!$K94),IF(无限模式!$O94="",0,VLOOKUP(无限模式!$O94,'⚪设计'!$C$85:$I$113,4,FALSE)*无限模式!$P94),IF(无限模式!$T94="",0,VLOOKUP(无限模式!$T94,'⚪设计'!$C$85:$I$113,4,FALSE)*无限模式!$U94))*IF(J94="",0,VLOOKUP(J94,'⚪设计'!$C$85:$I$113,4,FALSE)),0)</f>
        <v>5</v>
      </c>
      <c r="O94" s="71" t="str">
        <f>IF(VLOOKUP(A94,'⚪设计'!$A$277:$G$296,6,FALSE)="","",VLOOKUP(VLOOKUP(A94,'⚪设计'!$A$277:$G$296,6,FALSE),'⚪设计'!$B$85:$D$113,2,FALSE))</f>
        <v>ResUnit_ZhongZi2</v>
      </c>
      <c r="P94" s="71">
        <f t="shared" si="14"/>
        <v>14</v>
      </c>
      <c r="Q94" s="71">
        <f>IF(VLOOKUP($A94,'⚪设计'!$A$229:$K$249,7+3,FALSE)="","",VLOOKUP(A94,'⚪设计'!$A$229:$K$249,7+3,FALSE))</f>
        <v>2</v>
      </c>
      <c r="R94" s="71">
        <f>IF(O94="",0,ROUND(VLOOKUP($A94,'⚪设计'!$A$277:$G$296,2,FALSE)*$B94/SUM(IF($E94="",0,VLOOKUP($E94,'⚪设计'!$C$85:$E$113,3,FALSE))*$F94,IF($J94="",0,VLOOKUP($J94,'⚪设计'!$C$85:$E$113,3,FALSE))*$K94,IF($O94="",0,VLOOKUP($O94,'⚪设计'!$C$85:$E$113,3,FALSE))*$P94,IF($T94="",0,VLOOKUP($T94,'⚪设计'!$C$85:$E$113,3,FALSE))*$U94)*VLOOKUP(O94,'⚪设计'!$C$85:$E$113,3,FALSE),0))</f>
        <v>21642</v>
      </c>
      <c r="S94" s="71">
        <f>ROUND(战斗节奏!$B$3/SUM(IF(无限模式!$E94="",0,VLOOKUP(无限模式!$E94,'⚪设计'!$C$85:$I$113,4,FALSE)*无限模式!$F94),IF(无限模式!$J94="",0,VLOOKUP(无限模式!$J94,'⚪设计'!$C$85:$I$113,4,FALSE)*无限模式!$K94),IF(无限模式!$O94="",0,VLOOKUP(无限模式!$O94,'⚪设计'!$C$85:$I$113,4,FALSE)*无限模式!$P94),IF(无限模式!$T94="",0,VLOOKUP(无限模式!$T94,'⚪设计'!$C$85:$I$113,4,FALSE)*无限模式!$U94))*IF(O94="",0,VLOOKUP(O94,'⚪设计'!$C$85:$I$113,4,FALSE)),0)</f>
        <v>5</v>
      </c>
      <c r="T94" s="71" t="str">
        <f>IF(VLOOKUP(A94,'⚪设计'!$A$277:$G$296,7,FALSE)="","",VLOOKUP(VLOOKUP(A94,'⚪设计'!$A$277:$G$296,7,FALSE),'⚪设计'!$B$85:$D$113,2,FALSE))</f>
        <v/>
      </c>
      <c r="U94" s="71">
        <f t="shared" si="15"/>
        <v>0</v>
      </c>
      <c r="V94" s="71" t="str">
        <f>IF(VLOOKUP($A94,'⚪设计'!$A$229:$K$249,7+4,FALSE)="","",VLOOKUP(A94,'⚪设计'!$A$229:$K$249,7+4,FALSE))</f>
        <v/>
      </c>
      <c r="W94" s="71">
        <f>IF(T94="",0,ROUND(VLOOKUP($A94,'⚪设计'!$A$277:$G$296,2,FALSE)*$B94/SUM(IF($E94="",0,VLOOKUP($E94,'⚪设计'!$C$85:$E$113,3,FALSE))*$F94,IF($J94="",0,VLOOKUP($J94,'⚪设计'!$C$85:$E$113,3,FALSE))*$K94,IF($O94="",0,VLOOKUP($O94,'⚪设计'!$C$85:$E$113,3,FALSE))*$P94,IF($T94="",0,VLOOKUP($T94,'⚪设计'!$C$85:$E$113,3,FALSE))*$U94)*VLOOKUP(T94,'⚪设计'!$C$85:$E$113,3,FALSE),0))</f>
        <v>0</v>
      </c>
      <c r="X94" s="71">
        <f>ROUND(战斗节奏!$B$3/SUM(IF(无限模式!$E94="",0,VLOOKUP(无限模式!$E94,'⚪设计'!$C$85:$I$113,4,FALSE)*无限模式!$F94),IF(无限模式!$J94="",0,VLOOKUP(无限模式!$J94,'⚪设计'!$C$85:$I$113,4,FALSE)*无限模式!$K94),IF(无限模式!$O94="",0,VLOOKUP(无限模式!$O94,'⚪设计'!$C$85:$I$113,4,FALSE)*无限模式!$P94),IF(无限模式!$T94="",0,VLOOKUP(无限模式!$T94,'⚪设计'!$C$85:$I$113,4,FALSE)*无限模式!$U94))*IF(T94="",0,VLOOKUP(T94,'⚪设计'!$C$85:$I$113,4,FALSE)),0)</f>
        <v>0</v>
      </c>
    </row>
    <row r="95" spans="1:24" x14ac:dyDescent="0.2">
      <c r="A95" s="94">
        <v>20</v>
      </c>
      <c r="B95" s="71">
        <f>MAX(MIN(战斗节奏!$C$3-INT(A95/'⚪设计'!$C$55),MOD(A95,'⚪设计'!$C$55)),0)*'⚪设计'!$C$79*防御塔!$C$2+MIN(INT(A95/'⚪设计'!$C$55),战斗节奏!$C$3)*'⚪设计'!$C$80*防御塔!$C$2</f>
        <v>10799.999999999998</v>
      </c>
      <c r="C95" s="173">
        <v>1.95</v>
      </c>
      <c r="D95" s="173">
        <v>29</v>
      </c>
      <c r="E95" s="71" t="str">
        <f>IF(VLOOKUP(A95,'⚪设计'!$A$277:$G$296,4,FALSE)="","",VLOOKUP(VLOOKUP(A95,'⚪设计'!$A$277:$G$296,4,FALSE),'⚪设计'!$B$85:$D$113,2,FALSE))</f>
        <v>ResUnit_Dan3</v>
      </c>
      <c r="F95" s="71">
        <f t="shared" si="12"/>
        <v>1</v>
      </c>
      <c r="G95" s="71">
        <f>IF(VLOOKUP($A95,'⚪设计'!$A$229:$K$249,7+1,FALSE)="","",VLOOKUP(A95,'⚪设计'!$A$229:$K$249,7+1,FALSE))</f>
        <v>0</v>
      </c>
      <c r="H95" s="71">
        <f>IF(E95="",0,ROUND(VLOOKUP($A95,'⚪设计'!$A$277:$G$296,2,FALSE)*$B95/SUM(IF($E95="",0,VLOOKUP($E95,'⚪设计'!$C$85:$E$113,3,FALSE))*$F95,IF($J95="",0,VLOOKUP($J95,'⚪设计'!$C$85:$E$113,3,FALSE))*$K95,IF($O95="",0,VLOOKUP($O95,'⚪设计'!$C$85:$E$113,3,FALSE))*$P95,IF($T95="",0,VLOOKUP($T95,'⚪设计'!$C$85:$E$113,3,FALSE))*$U95)*VLOOKUP(E95,'⚪设计'!$C$85:$E$113,3,FALSE),0))</f>
        <v>223140</v>
      </c>
      <c r="I95" s="71">
        <f>ROUND(战斗节奏!$B$3/SUM(IF(无限模式!$E95="",0,VLOOKUP(无限模式!$E95,'⚪设计'!$C$85:$I$113,4,FALSE)*无限模式!$F95),IF(无限模式!$J95="",0,VLOOKUP(无限模式!$J95,'⚪设计'!$C$85:$I$113,4,FALSE)*无限模式!$K95),IF(无限模式!$O95="",0,VLOOKUP(无限模式!$O95,'⚪设计'!$C$85:$I$113,4,FALSE)*无限模式!$P95),IF(无限模式!$T95="",0,VLOOKUP(无限模式!$T95,'⚪设计'!$C$85:$I$113,4,FALSE)*无限模式!$U95))*IF(E95="",0,VLOOKUP(E95,'⚪设计'!$C$85:$I$113,4,FALSE)),0)</f>
        <v>62</v>
      </c>
      <c r="J95" s="71" t="str">
        <f>IF(VLOOKUP(A95,'⚪设计'!$A$277:$G$296,5,FALSE)="","",VLOOKUP(VLOOKUP(A95,'⚪设计'!$A$277:$G$296,5,FALSE),'⚪设计'!$B$85:$D$113,2,FALSE))</f>
        <v>ResUnit_Gui2</v>
      </c>
      <c r="K95" s="71">
        <f t="shared" si="13"/>
        <v>39</v>
      </c>
      <c r="L95" s="71">
        <f>IF(VLOOKUP($A95,'⚪设计'!$A$229:$K$249,7+2,FALSE)="","",VLOOKUP(A95,'⚪设计'!$A$229:$K$249,7+2,FALSE))</f>
        <v>0.75</v>
      </c>
      <c r="M95" s="71">
        <f>IF(J95="",0,ROUND(VLOOKUP($A95,'⚪设计'!$A$277:$G$296,2,FALSE)*$B95/SUM(IF($E95="",0,VLOOKUP($E95,'⚪设计'!$C$85:$E$113,3,FALSE))*$F95,IF($J95="",0,VLOOKUP($J95,'⚪设计'!$C$85:$E$113,3,FALSE))*$K95,IF($O95="",0,VLOOKUP($O95,'⚪设计'!$C$85:$E$113,3,FALSE))*$P95,IF($T95="",0,VLOOKUP($T95,'⚪设计'!$C$85:$E$113,3,FALSE))*$U95)*VLOOKUP(J95,'⚪设计'!$C$85:$E$113,3,FALSE),0))</f>
        <v>11157</v>
      </c>
      <c r="N95" s="71">
        <f>ROUND(战斗节奏!$B$3/SUM(IF(无限模式!$E95="",0,VLOOKUP(无限模式!$E95,'⚪设计'!$C$85:$I$113,4,FALSE)*无限模式!$F95),IF(无限模式!$J95="",0,VLOOKUP(无限模式!$J95,'⚪设计'!$C$85:$I$113,4,FALSE)*无限模式!$K95),IF(无限模式!$O95="",0,VLOOKUP(无限模式!$O95,'⚪设计'!$C$85:$I$113,4,FALSE)*无限模式!$P95),IF(无限模式!$T95="",0,VLOOKUP(无限模式!$T95,'⚪设计'!$C$85:$I$113,4,FALSE)*无限模式!$U95))*IF(J95="",0,VLOOKUP(J95,'⚪设计'!$C$85:$I$113,4,FALSE)),0)</f>
        <v>2</v>
      </c>
      <c r="O95" s="71" t="str">
        <f>IF(VLOOKUP(A95,'⚪设计'!$A$277:$G$296,6,FALSE)="","",VLOOKUP(VLOOKUP(A95,'⚪设计'!$A$277:$G$296,6,FALSE),'⚪设计'!$B$85:$D$113,2,FALSE))</f>
        <v>ResUnit_ZhongZi2</v>
      </c>
      <c r="P95" s="71">
        <f t="shared" si="14"/>
        <v>29</v>
      </c>
      <c r="Q95" s="71">
        <f>IF(VLOOKUP($A95,'⚪设计'!$A$229:$K$249,7+3,FALSE)="","",VLOOKUP(A95,'⚪设计'!$A$229:$K$249,7+3,FALSE))</f>
        <v>1</v>
      </c>
      <c r="R95" s="71">
        <f>IF(O95="",0,ROUND(VLOOKUP($A95,'⚪设计'!$A$277:$G$296,2,FALSE)*$B95/SUM(IF($E95="",0,VLOOKUP($E95,'⚪设计'!$C$85:$E$113,3,FALSE))*$F95,IF($J95="",0,VLOOKUP($J95,'⚪设计'!$C$85:$E$113,3,FALSE))*$K95,IF($O95="",0,VLOOKUP($O95,'⚪设计'!$C$85:$E$113,3,FALSE))*$P95,IF($T95="",0,VLOOKUP($T95,'⚪设计'!$C$85:$E$113,3,FALSE))*$U95)*VLOOKUP(O95,'⚪设计'!$C$85:$E$113,3,FALSE),0))</f>
        <v>33471</v>
      </c>
      <c r="S95" s="71">
        <f>ROUND(战斗节奏!$B$3/SUM(IF(无限模式!$E95="",0,VLOOKUP(无限模式!$E95,'⚪设计'!$C$85:$I$113,4,FALSE)*无限模式!$F95),IF(无限模式!$J95="",0,VLOOKUP(无限模式!$J95,'⚪设计'!$C$85:$I$113,4,FALSE)*无限模式!$K95),IF(无限模式!$O95="",0,VLOOKUP(无限模式!$O95,'⚪设计'!$C$85:$I$113,4,FALSE)*无限模式!$P95),IF(无限模式!$T95="",0,VLOOKUP(无限模式!$T95,'⚪设计'!$C$85:$I$113,4,FALSE)*无限模式!$U95))*IF(O95="",0,VLOOKUP(O95,'⚪设计'!$C$85:$I$113,4,FALSE)),0)</f>
        <v>3</v>
      </c>
      <c r="T95" s="71" t="str">
        <f>IF(VLOOKUP(A95,'⚪设计'!$A$277:$G$296,7,FALSE)="","",VLOOKUP(VLOOKUP(A95,'⚪设计'!$A$277:$G$296,7,FALSE),'⚪设计'!$B$85:$D$113,2,FALSE))</f>
        <v>ResUnit_XueRen3</v>
      </c>
      <c r="U95" s="71">
        <f t="shared" si="15"/>
        <v>29</v>
      </c>
      <c r="V95" s="71">
        <f>IF(VLOOKUP($A95,'⚪设计'!$A$229:$K$249,7+4,FALSE)="","",VLOOKUP(A95,'⚪设计'!$A$229:$K$249,7+4,FALSE))</f>
        <v>1</v>
      </c>
      <c r="W95" s="71">
        <f>IF(T95="",0,ROUND(VLOOKUP($A95,'⚪设计'!$A$277:$G$296,2,FALSE)*$B95/SUM(IF($E95="",0,VLOOKUP($E95,'⚪设计'!$C$85:$E$113,3,FALSE))*$F95,IF($J95="",0,VLOOKUP($J95,'⚪设计'!$C$85:$E$113,3,FALSE))*$K95,IF($O95="",0,VLOOKUP($O95,'⚪设计'!$C$85:$E$113,3,FALSE))*$P95,IF($T95="",0,VLOOKUP($T95,'⚪设计'!$C$85:$E$113,3,FALSE))*$U95)*VLOOKUP(T95,'⚪设计'!$C$85:$E$113,3,FALSE),0))</f>
        <v>223140</v>
      </c>
      <c r="X95" s="71">
        <f>ROUND(战斗节奏!$B$3/SUM(IF(无限模式!$E95="",0,VLOOKUP(无限模式!$E95,'⚪设计'!$C$85:$I$113,4,FALSE)*无限模式!$F95),IF(无限模式!$J95="",0,VLOOKUP(无限模式!$J95,'⚪设计'!$C$85:$I$113,4,FALSE)*无限模式!$K95),IF(无限模式!$O95="",0,VLOOKUP(无限模式!$O95,'⚪设计'!$C$85:$I$113,4,FALSE)*无限模式!$P95),IF(无限模式!$T95="",0,VLOOKUP(无限模式!$T95,'⚪设计'!$C$85:$I$113,4,FALSE)*无限模式!$U95))*IF(T95="",0,VLOOKUP(T95,'⚪设计'!$C$85:$I$113,4,FALSE)),0)</f>
        <v>3</v>
      </c>
    </row>
    <row r="97" spans="1:24" x14ac:dyDescent="0.2">
      <c r="A97" s="94" t="s">
        <v>1976</v>
      </c>
    </row>
    <row r="98" spans="1:24" x14ac:dyDescent="0.2">
      <c r="A98" s="195" t="s">
        <v>380</v>
      </c>
      <c r="B98" s="195" t="s">
        <v>428</v>
      </c>
      <c r="C98" s="197" t="s">
        <v>430</v>
      </c>
      <c r="D98" s="197" t="s">
        <v>396</v>
      </c>
      <c r="E98" s="195" t="s">
        <v>400</v>
      </c>
      <c r="F98" s="196"/>
      <c r="G98" s="196"/>
      <c r="H98" s="196"/>
      <c r="I98" s="196"/>
      <c r="J98" s="195" t="s">
        <v>401</v>
      </c>
      <c r="K98" s="196"/>
      <c r="L98" s="196"/>
      <c r="M98" s="196"/>
      <c r="N98" s="196"/>
      <c r="O98" s="195" t="s">
        <v>402</v>
      </c>
      <c r="P98" s="196"/>
      <c r="Q98" s="196"/>
      <c r="R98" s="196"/>
      <c r="S98" s="196"/>
      <c r="T98" s="195" t="s">
        <v>403</v>
      </c>
      <c r="U98" s="196"/>
      <c r="V98" s="196"/>
      <c r="W98" s="196"/>
      <c r="X98" s="197"/>
    </row>
    <row r="99" spans="1:24" x14ac:dyDescent="0.2">
      <c r="A99" s="198"/>
      <c r="B99" s="198"/>
      <c r="C99" s="199"/>
      <c r="D99" s="199"/>
      <c r="E99" s="93" t="s">
        <v>397</v>
      </c>
      <c r="F99" s="172" t="s">
        <v>283</v>
      </c>
      <c r="G99" s="172" t="s">
        <v>404</v>
      </c>
      <c r="H99" s="172" t="s">
        <v>398</v>
      </c>
      <c r="I99" s="172" t="s">
        <v>399</v>
      </c>
      <c r="J99" s="93" t="s">
        <v>397</v>
      </c>
      <c r="K99" s="172" t="s">
        <v>283</v>
      </c>
      <c r="L99" s="172" t="s">
        <v>404</v>
      </c>
      <c r="M99" s="172" t="s">
        <v>398</v>
      </c>
      <c r="N99" s="172" t="s">
        <v>399</v>
      </c>
      <c r="O99" s="93" t="s">
        <v>397</v>
      </c>
      <c r="P99" s="172" t="s">
        <v>283</v>
      </c>
      <c r="Q99" s="172" t="s">
        <v>404</v>
      </c>
      <c r="R99" s="172" t="s">
        <v>398</v>
      </c>
      <c r="S99" s="172" t="s">
        <v>399</v>
      </c>
      <c r="T99" s="93" t="s">
        <v>397</v>
      </c>
      <c r="U99" s="172" t="s">
        <v>283</v>
      </c>
      <c r="V99" s="172" t="s">
        <v>404</v>
      </c>
      <c r="W99" s="172" t="s">
        <v>398</v>
      </c>
      <c r="X99" s="171" t="s">
        <v>399</v>
      </c>
    </row>
    <row r="100" spans="1:24" x14ac:dyDescent="0.2">
      <c r="A100" s="94">
        <v>1</v>
      </c>
      <c r="B100" s="71">
        <f>MAX(MIN(战斗节奏!$C$3-INT(A100/'⚪设计'!$C$55),MOD(A100,'⚪设计'!$C$55)),0)*'⚪设计'!$C$79*防御塔!$C$2+MIN(INT(A100/'⚪设计'!$C$55),战斗节奏!$C$3)*'⚪设计'!$C$80*防御塔!$C$2</f>
        <v>540</v>
      </c>
      <c r="C100" s="173">
        <v>1</v>
      </c>
      <c r="D100" s="173">
        <v>10</v>
      </c>
      <c r="E100" s="71" t="str">
        <f>IF(VLOOKUP(A100,'⚪设计'!$A$301:$G$320,4,FALSE)="","",VLOOKUP(VLOOKUP(A100,'⚪设计'!$A$301:$G$320,4,FALSE),'⚪设计'!$B$85:$D$113,2,FALSE))</f>
        <v>ResUnit_WuGui1</v>
      </c>
      <c r="F100" s="71">
        <f>IF(E100="",0,IF(G100=0,1,ROUND($D100/G100,0)))</f>
        <v>7</v>
      </c>
      <c r="G100" s="71">
        <f>IF(VLOOKUP($A100,'⚪设计'!$A$229:$K$249,7+1,FALSE)="","",VLOOKUP(A100,'⚪设计'!$A$229:$K$249,7+1,FALSE))</f>
        <v>1.5</v>
      </c>
      <c r="H100" s="71">
        <f>IF(E100="",0,ROUND(VLOOKUP($A100,'⚪设计'!$A$301:$G$320,2,FALSE)*$B100/SUM(IF($E100="",0,VLOOKUP($E100,'⚪设计'!$C$85:$E$113,3,FALSE))*$F100,IF($J100="",0,VLOOKUP($J100,'⚪设计'!$C$85:$E$113,3,FALSE))*$K100,IF($O100="",0,VLOOKUP($O100,'⚪设计'!$C$85:$E$113,3,FALSE))*$P100,IF($T100="",0,VLOOKUP($T100,'⚪设计'!$C$85:$E$113,3,FALSE))*$U100)*VLOOKUP(E100,'⚪设计'!$C$85:$E$113,3,FALSE),0))</f>
        <v>193</v>
      </c>
      <c r="I100" s="71">
        <f>ROUND(战斗节奏!$B$3/SUM(IF(无限模式!$E100="",0,VLOOKUP(无限模式!$E100,'⚪设计'!$C$85:$I$113,4,FALSE)*无限模式!$F100),IF(无限模式!$J100="",0,VLOOKUP(无限模式!$J100,'⚪设计'!$C$85:$I$113,4,FALSE)*无限模式!$K100),IF(无限模式!$O100="",0,VLOOKUP(无限模式!$O100,'⚪设计'!$C$85:$I$113,4,FALSE)*无限模式!$P100),IF(无限模式!$T100="",0,VLOOKUP(无限模式!$T100,'⚪设计'!$C$85:$I$113,4,FALSE)*无限模式!$U100))*IF(E100="",0,VLOOKUP(E100,'⚪设计'!$C$85:$I$113,4,FALSE)),0)</f>
        <v>43</v>
      </c>
      <c r="J100" s="71" t="str">
        <f>IF(VLOOKUP(A100,'⚪设计'!$A$301:$G$320,5,FALSE)="","",VLOOKUP(VLOOKUP(A100,'⚪设计'!$A$301:$G$320,5,FALSE),'⚪设计'!$B$85:$D$113,2,FALSE))</f>
        <v/>
      </c>
      <c r="K100" s="71">
        <f>IF(J100="",0,IF(L100=0,1,ROUND($D100/L100,0)))</f>
        <v>0</v>
      </c>
      <c r="L100" s="71" t="str">
        <f>IF(VLOOKUP($A100,'⚪设计'!$A$229:$K$249,7+2,FALSE)="","",VLOOKUP(A100,'⚪设计'!$A$229:$K$249,7+2,FALSE))</f>
        <v/>
      </c>
      <c r="M100" s="71">
        <f>IF(J100="",0,ROUND(VLOOKUP($A100,'⚪设计'!$A$301:$G$320,2,FALSE)*$B100/SUM(IF($E100="",0,VLOOKUP($E100,'⚪设计'!$C$85:$E$113,3,FALSE))*$F100,IF($J100="",0,VLOOKUP($J100,'⚪设计'!$C$85:$E$113,3,FALSE))*$K100,IF($O100="",0,VLOOKUP($O100,'⚪设计'!$C$85:$E$113,3,FALSE))*$P100,IF($T100="",0,VLOOKUP($T100,'⚪设计'!$C$85:$E$113,3,FALSE))*$U100)*VLOOKUP(J100,'⚪设计'!$C$85:$E$113,3,FALSE),0))</f>
        <v>0</v>
      </c>
      <c r="N100" s="71">
        <f>ROUND(战斗节奏!$B$3/SUM(IF(无限模式!$E100="",0,VLOOKUP(无限模式!$E100,'⚪设计'!$C$85:$I$113,4,FALSE)*无限模式!$F100),IF(无限模式!$J100="",0,VLOOKUP(无限模式!$J100,'⚪设计'!$C$85:$I$113,4,FALSE)*无限模式!$K100),IF(无限模式!$O100="",0,VLOOKUP(无限模式!$O100,'⚪设计'!$C$85:$I$113,4,FALSE)*无限模式!$P100),IF(无限模式!$T100="",0,VLOOKUP(无限模式!$T100,'⚪设计'!$C$85:$I$113,4,FALSE)*无限模式!$U100))*IF(J100="",0,VLOOKUP(J100,'⚪设计'!$C$85:$I$113,4,FALSE)),0)</f>
        <v>0</v>
      </c>
      <c r="O100" s="71" t="str">
        <f>IF(VLOOKUP(A100,'⚪设计'!$A$301:$G$320,6,FALSE)="","",VLOOKUP(VLOOKUP(A100,'⚪设计'!$A$301:$G$320,6,FALSE),'⚪设计'!$B$85:$D$113,2,FALSE))</f>
        <v/>
      </c>
      <c r="P100" s="71">
        <f>IF(O100="",0,IF(Q100=0,1,ROUND($D100/Q100,0)))</f>
        <v>0</v>
      </c>
      <c r="Q100" s="71" t="str">
        <f>IF(VLOOKUP($A100,'⚪设计'!$A$229:$K$249,7+3,FALSE)="","",VLOOKUP(A100,'⚪设计'!$A$229:$K$249,7+3,FALSE))</f>
        <v/>
      </c>
      <c r="R100" s="71">
        <f>IF(O100="",0,ROUND(VLOOKUP($A100,'⚪设计'!$A$301:$G$320,2,FALSE)*$B100/SUM(IF($E100="",0,VLOOKUP($E100,'⚪设计'!$C$85:$E$113,3,FALSE))*$F100,IF($J100="",0,VLOOKUP($J100,'⚪设计'!$C$85:$E$113,3,FALSE))*$K100,IF($O100="",0,VLOOKUP($O100,'⚪设计'!$C$85:$E$113,3,FALSE))*$P100,IF($T100="",0,VLOOKUP($T100,'⚪设计'!$C$85:$E$113,3,FALSE))*$U100)*VLOOKUP(O100,'⚪设计'!$C$85:$E$113,3,FALSE),0))</f>
        <v>0</v>
      </c>
      <c r="S100" s="71">
        <f>ROUND(战斗节奏!$B$3/SUM(IF(无限模式!$E100="",0,VLOOKUP(无限模式!$E100,'⚪设计'!$C$85:$I$113,4,FALSE)*无限模式!$F100),IF(无限模式!$J100="",0,VLOOKUP(无限模式!$J100,'⚪设计'!$C$85:$I$113,4,FALSE)*无限模式!$K100),IF(无限模式!$O100="",0,VLOOKUP(无限模式!$O100,'⚪设计'!$C$85:$I$113,4,FALSE)*无限模式!$P100),IF(无限模式!$T100="",0,VLOOKUP(无限模式!$T100,'⚪设计'!$C$85:$I$113,4,FALSE)*无限模式!$U100))*IF(O100="",0,VLOOKUP(O100,'⚪设计'!$C$85:$I$113,4,FALSE)),0)</f>
        <v>0</v>
      </c>
      <c r="T100" s="71" t="str">
        <f>IF(VLOOKUP(A100,'⚪设计'!$A$301:$G$320,7,FALSE)="","",VLOOKUP(VLOOKUP(A100,'⚪设计'!$A$301:$G$320,7,FALSE),'⚪设计'!$B$85:$D$113,2,FALSE))</f>
        <v/>
      </c>
      <c r="U100" s="71">
        <f>IF(T100="",0,IF(V100=0,1,ROUND($D100/V100,0)))</f>
        <v>0</v>
      </c>
      <c r="V100" s="71" t="str">
        <f>IF(VLOOKUP($A100,'⚪设计'!$A$229:$K$249,7+4,FALSE)="","",VLOOKUP(A100,'⚪设计'!$A$229:$K$249,7+4,FALSE))</f>
        <v/>
      </c>
      <c r="W100" s="71">
        <f>IF(T100="",0,ROUND(VLOOKUP($A100,'⚪设计'!$A$301:$G$320,2,FALSE)*$B100/SUM(IF($E100="",0,VLOOKUP($E100,'⚪设计'!$C$85:$E$113,3,FALSE))*$F100,IF($J100="",0,VLOOKUP($J100,'⚪设计'!$C$85:$E$113,3,FALSE))*$K100,IF($O100="",0,VLOOKUP($O100,'⚪设计'!$C$85:$E$113,3,FALSE))*$P100,IF($T100="",0,VLOOKUP($T100,'⚪设计'!$C$85:$E$113,3,FALSE))*$U100)*VLOOKUP(T100,'⚪设计'!$C$85:$E$113,3,FALSE),0))</f>
        <v>0</v>
      </c>
      <c r="X100" s="71">
        <f>ROUND(战斗节奏!$B$3/SUM(IF(无限模式!$E100="",0,VLOOKUP(无限模式!$E100,'⚪设计'!$C$85:$I$113,4,FALSE)*无限模式!$F100),IF(无限模式!$J100="",0,VLOOKUP(无限模式!$J100,'⚪设计'!$C$85:$I$113,4,FALSE)*无限模式!$K100),IF(无限模式!$O100="",0,VLOOKUP(无限模式!$O100,'⚪设计'!$C$85:$I$113,4,FALSE)*无限模式!$P100),IF(无限模式!$T100="",0,VLOOKUP(无限模式!$T100,'⚪设计'!$C$85:$I$113,4,FALSE)*无限模式!$U100))*IF(T100="",0,VLOOKUP(T100,'⚪设计'!$C$85:$I$113,4,FALSE)),0)</f>
        <v>0</v>
      </c>
    </row>
    <row r="101" spans="1:24" x14ac:dyDescent="0.2">
      <c r="A101" s="94">
        <v>2</v>
      </c>
      <c r="B101" s="71">
        <f>MAX(MIN(战斗节奏!$C$3-INT(A101/'⚪设计'!$C$55),MOD(A101,'⚪设计'!$C$55)),0)*'⚪设计'!$C$79*防御塔!$C$2+MIN(INT(A101/'⚪设计'!$C$55),战斗节奏!$C$3)*'⚪设计'!$C$80*防御塔!$C$2</f>
        <v>1080</v>
      </c>
      <c r="C101" s="173">
        <v>1.05</v>
      </c>
      <c r="D101" s="173">
        <v>11</v>
      </c>
      <c r="E101" s="71" t="str">
        <f>IF(VLOOKUP(A101,'⚪设计'!$A$301:$G$320,4,FALSE)="","",VLOOKUP(VLOOKUP(A101,'⚪设计'!$A$301:$G$320,4,FALSE),'⚪设计'!$B$85:$D$113,2,FALSE))</f>
        <v>ResUnit_MiFeng1</v>
      </c>
      <c r="F101" s="71">
        <f t="shared" ref="F101:F119" si="16">IF(E101="",0,IF(G101=0,1,ROUND($D101/G101,0)))</f>
        <v>15</v>
      </c>
      <c r="G101" s="71">
        <f>IF(VLOOKUP($A101,'⚪设计'!$A$229:$K$249,7+1,FALSE)="","",VLOOKUP(A101,'⚪设计'!$A$229:$K$249,7+1,FALSE))</f>
        <v>0.75</v>
      </c>
      <c r="H101" s="71">
        <f>IF(E101="",0,ROUND(VLOOKUP($A101,'⚪设计'!$A$301:$G$320,2,FALSE)*$B101/SUM(IF($E101="",0,VLOOKUP($E101,'⚪设计'!$C$85:$E$113,3,FALSE))*$F101,IF($J101="",0,VLOOKUP($J101,'⚪设计'!$C$85:$E$113,3,FALSE))*$K101,IF($O101="",0,VLOOKUP($O101,'⚪设计'!$C$85:$E$113,3,FALSE))*$P101,IF($T101="",0,VLOOKUP($T101,'⚪设计'!$C$85:$E$113,3,FALSE))*$U101)*VLOOKUP(E101,'⚪设计'!$C$85:$E$113,3,FALSE),0))</f>
        <v>163</v>
      </c>
      <c r="I101" s="71">
        <f>ROUND(战斗节奏!$B$3/SUM(IF(无限模式!$E101="",0,VLOOKUP(无限模式!$E101,'⚪设计'!$C$85:$I$113,4,FALSE)*无限模式!$F101),IF(无限模式!$J101="",0,VLOOKUP(无限模式!$J101,'⚪设计'!$C$85:$I$113,4,FALSE)*无限模式!$K101),IF(无限模式!$O101="",0,VLOOKUP(无限模式!$O101,'⚪设计'!$C$85:$I$113,4,FALSE)*无限模式!$P101),IF(无限模式!$T101="",0,VLOOKUP(无限模式!$T101,'⚪设计'!$C$85:$I$113,4,FALSE)*无限模式!$U101))*IF(E101="",0,VLOOKUP(E101,'⚪设计'!$C$85:$I$113,4,FALSE)),0)</f>
        <v>7</v>
      </c>
      <c r="J101" s="71" t="str">
        <f>IF(VLOOKUP(A101,'⚪设计'!$A$301:$G$320,5,FALSE)="","",VLOOKUP(VLOOKUP(A101,'⚪设计'!$A$301:$G$320,5,FALSE),'⚪设计'!$B$85:$D$113,2,FALSE))</f>
        <v>ResUnit_WuGui1</v>
      </c>
      <c r="K101" s="71">
        <f t="shared" ref="K101:K119" si="17">IF(J101="",0,IF(L101=0,1,ROUND($D101/L101,0)))</f>
        <v>7</v>
      </c>
      <c r="L101" s="71">
        <f>IF(VLOOKUP($A101,'⚪设计'!$A$229:$K$249,7+2,FALSE)="","",VLOOKUP(A101,'⚪设计'!$A$229:$K$249,7+2,FALSE))</f>
        <v>1.5</v>
      </c>
      <c r="M101" s="71">
        <f>IF(J101="",0,ROUND(VLOOKUP($A101,'⚪设计'!$A$301:$G$320,2,FALSE)*$B101/SUM(IF($E101="",0,VLOOKUP($E101,'⚪设计'!$C$85:$E$113,3,FALSE))*$F101,IF($J101="",0,VLOOKUP($J101,'⚪设计'!$C$85:$E$113,3,FALSE))*$K101,IF($O101="",0,VLOOKUP($O101,'⚪设计'!$C$85:$E$113,3,FALSE))*$P101,IF($T101="",0,VLOOKUP($T101,'⚪设计'!$C$85:$E$113,3,FALSE))*$U101)*VLOOKUP(J101,'⚪设计'!$C$85:$E$113,3,FALSE),0))</f>
        <v>653</v>
      </c>
      <c r="N101" s="71">
        <f>ROUND(战斗节奏!$B$3/SUM(IF(无限模式!$E101="",0,VLOOKUP(无限模式!$E101,'⚪设计'!$C$85:$I$113,4,FALSE)*无限模式!$F101),IF(无限模式!$J101="",0,VLOOKUP(无限模式!$J101,'⚪设计'!$C$85:$I$113,4,FALSE)*无限模式!$K101),IF(无限模式!$O101="",0,VLOOKUP(无限模式!$O101,'⚪设计'!$C$85:$I$113,4,FALSE)*无限模式!$P101),IF(无限模式!$T101="",0,VLOOKUP(无限模式!$T101,'⚪设计'!$C$85:$I$113,4,FALSE)*无限模式!$U101))*IF(J101="",0,VLOOKUP(J101,'⚪设计'!$C$85:$I$113,4,FALSE)),0)</f>
        <v>28</v>
      </c>
      <c r="O101" s="71" t="str">
        <f>IF(VLOOKUP(A101,'⚪设计'!$A$301:$G$320,6,FALSE)="","",VLOOKUP(VLOOKUP(A101,'⚪设计'!$A$301:$G$320,6,FALSE),'⚪设计'!$B$85:$D$113,2,FALSE))</f>
        <v/>
      </c>
      <c r="P101" s="71">
        <f t="shared" ref="P101:P119" si="18">IF(O101="",0,IF(Q101=0,1,ROUND($D101/Q101,0)))</f>
        <v>0</v>
      </c>
      <c r="Q101" s="71" t="str">
        <f>IF(VLOOKUP($A101,'⚪设计'!$A$229:$K$249,7+3,FALSE)="","",VLOOKUP(A101,'⚪设计'!$A$229:$K$249,7+3,FALSE))</f>
        <v/>
      </c>
      <c r="R101" s="71">
        <f>IF(O101="",0,ROUND(VLOOKUP($A101,'⚪设计'!$A$301:$G$320,2,FALSE)*$B101/SUM(IF($E101="",0,VLOOKUP($E101,'⚪设计'!$C$85:$E$113,3,FALSE))*$F101,IF($J101="",0,VLOOKUP($J101,'⚪设计'!$C$85:$E$113,3,FALSE))*$K101,IF($O101="",0,VLOOKUP($O101,'⚪设计'!$C$85:$E$113,3,FALSE))*$P101,IF($T101="",0,VLOOKUP($T101,'⚪设计'!$C$85:$E$113,3,FALSE))*$U101)*VLOOKUP(O101,'⚪设计'!$C$85:$E$113,3,FALSE),0))</f>
        <v>0</v>
      </c>
      <c r="S101" s="71">
        <f>ROUND(战斗节奏!$B$3/SUM(IF(无限模式!$E101="",0,VLOOKUP(无限模式!$E101,'⚪设计'!$C$85:$I$113,4,FALSE)*无限模式!$F101),IF(无限模式!$J101="",0,VLOOKUP(无限模式!$J101,'⚪设计'!$C$85:$I$113,4,FALSE)*无限模式!$K101),IF(无限模式!$O101="",0,VLOOKUP(无限模式!$O101,'⚪设计'!$C$85:$I$113,4,FALSE)*无限模式!$P101),IF(无限模式!$T101="",0,VLOOKUP(无限模式!$T101,'⚪设计'!$C$85:$I$113,4,FALSE)*无限模式!$U101))*IF(O101="",0,VLOOKUP(O101,'⚪设计'!$C$85:$I$113,4,FALSE)),0)</f>
        <v>0</v>
      </c>
      <c r="T101" s="71" t="str">
        <f>IF(VLOOKUP(A101,'⚪设计'!$A$301:$G$320,7,FALSE)="","",VLOOKUP(VLOOKUP(A101,'⚪设计'!$A$301:$G$320,7,FALSE),'⚪设计'!$B$85:$D$113,2,FALSE))</f>
        <v/>
      </c>
      <c r="U101" s="71">
        <f t="shared" ref="U101:U119" si="19">IF(T101="",0,IF(V101=0,1,ROUND($D101/V101,0)))</f>
        <v>0</v>
      </c>
      <c r="V101" s="71" t="str">
        <f>IF(VLOOKUP($A101,'⚪设计'!$A$229:$K$249,7+4,FALSE)="","",VLOOKUP(A101,'⚪设计'!$A$229:$K$249,7+4,FALSE))</f>
        <v/>
      </c>
      <c r="W101" s="71">
        <f>IF(T101="",0,ROUND(VLOOKUP($A101,'⚪设计'!$A$301:$G$320,2,FALSE)*$B101/SUM(IF($E101="",0,VLOOKUP($E101,'⚪设计'!$C$85:$E$113,3,FALSE))*$F101,IF($J101="",0,VLOOKUP($J101,'⚪设计'!$C$85:$E$113,3,FALSE))*$K101,IF($O101="",0,VLOOKUP($O101,'⚪设计'!$C$85:$E$113,3,FALSE))*$P101,IF($T101="",0,VLOOKUP($T101,'⚪设计'!$C$85:$E$113,3,FALSE))*$U101)*VLOOKUP(T101,'⚪设计'!$C$85:$E$113,3,FALSE),0))</f>
        <v>0</v>
      </c>
      <c r="X101" s="71">
        <f>ROUND(战斗节奏!$B$3/SUM(IF(无限模式!$E101="",0,VLOOKUP(无限模式!$E101,'⚪设计'!$C$85:$I$113,4,FALSE)*无限模式!$F101),IF(无限模式!$J101="",0,VLOOKUP(无限模式!$J101,'⚪设计'!$C$85:$I$113,4,FALSE)*无限模式!$K101),IF(无限模式!$O101="",0,VLOOKUP(无限模式!$O101,'⚪设计'!$C$85:$I$113,4,FALSE)*无限模式!$P101),IF(无限模式!$T101="",0,VLOOKUP(无限模式!$T101,'⚪设计'!$C$85:$I$113,4,FALSE)*无限模式!$U101))*IF(T101="",0,VLOOKUP(T101,'⚪设计'!$C$85:$I$113,4,FALSE)),0)</f>
        <v>0</v>
      </c>
    </row>
    <row r="102" spans="1:24" x14ac:dyDescent="0.2">
      <c r="A102" s="94">
        <v>3</v>
      </c>
      <c r="B102" s="71">
        <f>MAX(MIN(战斗节奏!$C$3-INT(A102/'⚪设计'!$C$55),MOD(A102,'⚪设计'!$C$55)),0)*'⚪设计'!$C$79*防御塔!$C$2+MIN(INT(A102/'⚪设计'!$C$55),战斗节奏!$C$3)*'⚪设计'!$C$80*防御塔!$C$2</f>
        <v>1620</v>
      </c>
      <c r="C102" s="173">
        <v>1.1000000000000001</v>
      </c>
      <c r="D102" s="173">
        <v>12</v>
      </c>
      <c r="E102" s="71" t="str">
        <f>IF(VLOOKUP(A102,'⚪设计'!$A$301:$G$320,4,FALSE)="","",VLOOKUP(VLOOKUP(A102,'⚪设计'!$A$301:$G$320,4,FALSE),'⚪设计'!$B$85:$D$113,2,FALSE))</f>
        <v>ResUnit_WuGui1</v>
      </c>
      <c r="F102" s="71">
        <f t="shared" si="16"/>
        <v>8</v>
      </c>
      <c r="G102" s="71">
        <f>IF(VLOOKUP($A102,'⚪设计'!$A$229:$K$249,7+1,FALSE)="","",VLOOKUP(A102,'⚪设计'!$A$229:$K$249,7+1,FALSE))</f>
        <v>1.5</v>
      </c>
      <c r="H102" s="71">
        <f>IF(E102="",0,ROUND(VLOOKUP($A102,'⚪设计'!$A$301:$G$320,2,FALSE)*$B102/SUM(IF($E102="",0,VLOOKUP($E102,'⚪设计'!$C$85:$E$113,3,FALSE))*$F102,IF($J102="",0,VLOOKUP($J102,'⚪设计'!$C$85:$E$113,3,FALSE))*$K102,IF($O102="",0,VLOOKUP($O102,'⚪设计'!$C$85:$E$113,3,FALSE))*$P102,IF($T102="",0,VLOOKUP($T102,'⚪设计'!$C$85:$E$113,3,FALSE))*$U102)*VLOOKUP(E102,'⚪设计'!$C$85:$E$113,3,FALSE),0))</f>
        <v>740</v>
      </c>
      <c r="I102" s="71">
        <f>ROUND(战斗节奏!$B$3/SUM(IF(无限模式!$E102="",0,VLOOKUP(无限模式!$E102,'⚪设计'!$C$85:$I$113,4,FALSE)*无限模式!$F102),IF(无限模式!$J102="",0,VLOOKUP(无限模式!$J102,'⚪设计'!$C$85:$I$113,4,FALSE)*无限模式!$K102),IF(无限模式!$O102="",0,VLOOKUP(无限模式!$O102,'⚪设计'!$C$85:$I$113,4,FALSE)*无限模式!$P102),IF(无限模式!$T102="",0,VLOOKUP(无限模式!$T102,'⚪设计'!$C$85:$I$113,4,FALSE)*无限模式!$U102))*IF(E102="",0,VLOOKUP(E102,'⚪设计'!$C$85:$I$113,4,FALSE)),0)</f>
        <v>13</v>
      </c>
      <c r="J102" s="71" t="str">
        <f>IF(VLOOKUP(A102,'⚪设计'!$A$301:$G$320,5,FALSE)="","",VLOOKUP(VLOOKUP(A102,'⚪设计'!$A$301:$G$320,5,FALSE),'⚪设计'!$B$85:$D$113,2,FALSE))</f>
        <v>ResUnit_BianFu1</v>
      </c>
      <c r="K102" s="71">
        <f t="shared" si="17"/>
        <v>60</v>
      </c>
      <c r="L102" s="71">
        <f>IF(VLOOKUP($A102,'⚪设计'!$A$229:$K$249,7+2,FALSE)="","",VLOOKUP(A102,'⚪设计'!$A$229:$K$249,7+2,FALSE))</f>
        <v>0.2</v>
      </c>
      <c r="M102" s="71">
        <f>IF(J102="",0,ROUND(VLOOKUP($A102,'⚪设计'!$A$301:$G$320,2,FALSE)*$B102/SUM(IF($E102="",0,VLOOKUP($E102,'⚪设计'!$C$85:$E$113,3,FALSE))*$F102,IF($J102="",0,VLOOKUP($J102,'⚪设计'!$C$85:$E$113,3,FALSE))*$K102,IF($O102="",0,VLOOKUP($O102,'⚪设计'!$C$85:$E$113,3,FALSE))*$P102,IF($T102="",0,VLOOKUP($T102,'⚪设计'!$C$85:$E$113,3,FALSE))*$U102)*VLOOKUP(J102,'⚪设计'!$C$85:$E$113,3,FALSE),0))</f>
        <v>185</v>
      </c>
      <c r="N102" s="71">
        <f>ROUND(战斗节奏!$B$3/SUM(IF(无限模式!$E102="",0,VLOOKUP(无限模式!$E102,'⚪设计'!$C$85:$I$113,4,FALSE)*无限模式!$F102),IF(无限模式!$J102="",0,VLOOKUP(无限模式!$J102,'⚪设计'!$C$85:$I$113,4,FALSE)*无限模式!$K102),IF(无限模式!$O102="",0,VLOOKUP(无限模式!$O102,'⚪设计'!$C$85:$I$113,4,FALSE)*无限模式!$P102),IF(无限模式!$T102="",0,VLOOKUP(无限模式!$T102,'⚪设计'!$C$85:$I$113,4,FALSE)*无限模式!$U102))*IF(J102="",0,VLOOKUP(J102,'⚪设计'!$C$85:$I$113,4,FALSE)),0)</f>
        <v>3</v>
      </c>
      <c r="O102" s="71" t="str">
        <f>IF(VLOOKUP(A102,'⚪设计'!$A$301:$G$320,6,FALSE)="","",VLOOKUP(VLOOKUP(A102,'⚪设计'!$A$301:$G$320,6,FALSE),'⚪设计'!$B$85:$D$113,2,FALSE))</f>
        <v/>
      </c>
      <c r="P102" s="71">
        <f t="shared" si="18"/>
        <v>0</v>
      </c>
      <c r="Q102" s="71" t="str">
        <f>IF(VLOOKUP($A102,'⚪设计'!$A$229:$K$249,7+3,FALSE)="","",VLOOKUP(A102,'⚪设计'!$A$229:$K$249,7+3,FALSE))</f>
        <v/>
      </c>
      <c r="R102" s="71">
        <f>IF(O102="",0,ROUND(VLOOKUP($A102,'⚪设计'!$A$301:$G$320,2,FALSE)*$B102/SUM(IF($E102="",0,VLOOKUP($E102,'⚪设计'!$C$85:$E$113,3,FALSE))*$F102,IF($J102="",0,VLOOKUP($J102,'⚪设计'!$C$85:$E$113,3,FALSE))*$K102,IF($O102="",0,VLOOKUP($O102,'⚪设计'!$C$85:$E$113,3,FALSE))*$P102,IF($T102="",0,VLOOKUP($T102,'⚪设计'!$C$85:$E$113,3,FALSE))*$U102)*VLOOKUP(O102,'⚪设计'!$C$85:$E$113,3,FALSE),0))</f>
        <v>0</v>
      </c>
      <c r="S102" s="71">
        <f>ROUND(战斗节奏!$B$3/SUM(IF(无限模式!$E102="",0,VLOOKUP(无限模式!$E102,'⚪设计'!$C$85:$I$113,4,FALSE)*无限模式!$F102),IF(无限模式!$J102="",0,VLOOKUP(无限模式!$J102,'⚪设计'!$C$85:$I$113,4,FALSE)*无限模式!$K102),IF(无限模式!$O102="",0,VLOOKUP(无限模式!$O102,'⚪设计'!$C$85:$I$113,4,FALSE)*无限模式!$P102),IF(无限模式!$T102="",0,VLOOKUP(无限模式!$T102,'⚪设计'!$C$85:$I$113,4,FALSE)*无限模式!$U102))*IF(O102="",0,VLOOKUP(O102,'⚪设计'!$C$85:$I$113,4,FALSE)),0)</f>
        <v>0</v>
      </c>
      <c r="T102" s="71" t="str">
        <f>IF(VLOOKUP(A102,'⚪设计'!$A$301:$G$320,7,FALSE)="","",VLOOKUP(VLOOKUP(A102,'⚪设计'!$A$301:$G$320,7,FALSE),'⚪设计'!$B$85:$D$113,2,FALSE))</f>
        <v/>
      </c>
      <c r="U102" s="71">
        <f t="shared" si="19"/>
        <v>0</v>
      </c>
      <c r="V102" s="71" t="str">
        <f>IF(VLOOKUP($A102,'⚪设计'!$A$229:$K$249,7+4,FALSE)="","",VLOOKUP(A102,'⚪设计'!$A$229:$K$249,7+4,FALSE))</f>
        <v/>
      </c>
      <c r="W102" s="71">
        <f>IF(T102="",0,ROUND(VLOOKUP($A102,'⚪设计'!$A$301:$G$320,2,FALSE)*$B102/SUM(IF($E102="",0,VLOOKUP($E102,'⚪设计'!$C$85:$E$113,3,FALSE))*$F102,IF($J102="",0,VLOOKUP($J102,'⚪设计'!$C$85:$E$113,3,FALSE))*$K102,IF($O102="",0,VLOOKUP($O102,'⚪设计'!$C$85:$E$113,3,FALSE))*$P102,IF($T102="",0,VLOOKUP($T102,'⚪设计'!$C$85:$E$113,3,FALSE))*$U102)*VLOOKUP(T102,'⚪设计'!$C$85:$E$113,3,FALSE),0))</f>
        <v>0</v>
      </c>
      <c r="X102" s="71">
        <f>ROUND(战斗节奏!$B$3/SUM(IF(无限模式!$E102="",0,VLOOKUP(无限模式!$E102,'⚪设计'!$C$85:$I$113,4,FALSE)*无限模式!$F102),IF(无限模式!$J102="",0,VLOOKUP(无限模式!$J102,'⚪设计'!$C$85:$I$113,4,FALSE)*无限模式!$K102),IF(无限模式!$O102="",0,VLOOKUP(无限模式!$O102,'⚪设计'!$C$85:$I$113,4,FALSE)*无限模式!$P102),IF(无限模式!$T102="",0,VLOOKUP(无限模式!$T102,'⚪设计'!$C$85:$I$113,4,FALSE)*无限模式!$U102))*IF(T102="",0,VLOOKUP(T102,'⚪设计'!$C$85:$I$113,4,FALSE)),0)</f>
        <v>0</v>
      </c>
    </row>
    <row r="103" spans="1:24" x14ac:dyDescent="0.2">
      <c r="A103" s="94">
        <v>4</v>
      </c>
      <c r="B103" s="71">
        <f>MAX(MIN(战斗节奏!$C$3-INT(A103/'⚪设计'!$C$55),MOD(A103,'⚪设计'!$C$55)),0)*'⚪设计'!$C$79*防御塔!$C$2+MIN(INT(A103/'⚪设计'!$C$55),战斗节奏!$C$3)*'⚪设计'!$C$80*防御塔!$C$2</f>
        <v>2160</v>
      </c>
      <c r="C103" s="173">
        <v>1.1499999999999999</v>
      </c>
      <c r="D103" s="173">
        <v>13</v>
      </c>
      <c r="E103" s="71" t="str">
        <f>IF(VLOOKUP(A103,'⚪设计'!$A$301:$G$320,4,FALSE)="","",VLOOKUP(VLOOKUP(A103,'⚪设计'!$A$301:$G$320,4,FALSE),'⚪设计'!$B$85:$D$113,2,FALSE))</f>
        <v>ResUnit_MiFeng3</v>
      </c>
      <c r="F103" s="71">
        <f t="shared" si="16"/>
        <v>1</v>
      </c>
      <c r="G103" s="71">
        <f>IF(VLOOKUP($A103,'⚪设计'!$A$229:$K$249,7+1,FALSE)="","",VLOOKUP(A103,'⚪设计'!$A$229:$K$249,7+1,FALSE))</f>
        <v>0</v>
      </c>
      <c r="H103" s="71">
        <f>IF(E103="",0,ROUND(VLOOKUP($A103,'⚪设计'!$A$301:$G$320,2,FALSE)*$B103/SUM(IF($E103="",0,VLOOKUP($E103,'⚪设计'!$C$85:$E$113,3,FALSE))*$F103,IF($J103="",0,VLOOKUP($J103,'⚪设计'!$C$85:$E$113,3,FALSE))*$K103,IF($O103="",0,VLOOKUP($O103,'⚪设计'!$C$85:$E$113,3,FALSE))*$P103,IF($T103="",0,VLOOKUP($T103,'⚪设计'!$C$85:$E$113,3,FALSE))*$U103)*VLOOKUP(E103,'⚪设计'!$C$85:$E$113,3,FALSE),0))</f>
        <v>33382</v>
      </c>
      <c r="I103" s="71">
        <f>ROUND(战斗节奏!$B$3/SUM(IF(无限模式!$E103="",0,VLOOKUP(无限模式!$E103,'⚪设计'!$C$85:$I$113,4,FALSE)*无限模式!$F103),IF(无限模式!$J103="",0,VLOOKUP(无限模式!$J103,'⚪设计'!$C$85:$I$113,4,FALSE)*无限模式!$K103),IF(无限模式!$O103="",0,VLOOKUP(无限模式!$O103,'⚪设计'!$C$85:$I$113,4,FALSE)*无限模式!$P103),IF(无限模式!$T103="",0,VLOOKUP(无限模式!$T103,'⚪设计'!$C$85:$I$113,4,FALSE)*无限模式!$U103))*IF(E103="",0,VLOOKUP(E103,'⚪设计'!$C$85:$I$113,4,FALSE)),0)</f>
        <v>182</v>
      </c>
      <c r="J103" s="71" t="str">
        <f>IF(VLOOKUP(A103,'⚪设计'!$A$301:$G$320,5,FALSE)="","",VLOOKUP(VLOOKUP(A103,'⚪设计'!$A$301:$G$320,5,FALSE),'⚪设计'!$B$85:$D$113,2,FALSE))</f>
        <v>ResUnit_WuGui1</v>
      </c>
      <c r="K103" s="71">
        <f t="shared" si="17"/>
        <v>13</v>
      </c>
      <c r="L103" s="71">
        <f>IF(VLOOKUP($A103,'⚪设计'!$A$229:$K$249,7+2,FALSE)="","",VLOOKUP(A103,'⚪设计'!$A$229:$K$249,7+2,FALSE))</f>
        <v>1</v>
      </c>
      <c r="M103" s="71">
        <f>IF(J103="",0,ROUND(VLOOKUP($A103,'⚪设计'!$A$301:$G$320,2,FALSE)*$B103/SUM(IF($E103="",0,VLOOKUP($E103,'⚪设计'!$C$85:$E$113,3,FALSE))*$F103,IF($J103="",0,VLOOKUP($J103,'⚪设计'!$C$85:$E$113,3,FALSE))*$K103,IF($O103="",0,VLOOKUP($O103,'⚪设计'!$C$85:$E$113,3,FALSE))*$P103,IF($T103="",0,VLOOKUP($T103,'⚪设计'!$C$85:$E$113,3,FALSE))*$U103)*VLOOKUP(J103,'⚪设计'!$C$85:$E$113,3,FALSE),0))</f>
        <v>1669</v>
      </c>
      <c r="N103" s="71">
        <f>ROUND(战斗节奏!$B$3/SUM(IF(无限模式!$E103="",0,VLOOKUP(无限模式!$E103,'⚪设计'!$C$85:$I$113,4,FALSE)*无限模式!$F103),IF(无限模式!$J103="",0,VLOOKUP(无限模式!$J103,'⚪设计'!$C$85:$I$113,4,FALSE)*无限模式!$K103),IF(无限模式!$O103="",0,VLOOKUP(无限模式!$O103,'⚪设计'!$C$85:$I$113,4,FALSE)*无限模式!$P103),IF(无限模式!$T103="",0,VLOOKUP(无限模式!$T103,'⚪设计'!$C$85:$I$113,4,FALSE)*无限模式!$U103))*IF(J103="",0,VLOOKUP(J103,'⚪设计'!$C$85:$I$113,4,FALSE)),0)</f>
        <v>9</v>
      </c>
      <c r="O103" s="71" t="str">
        <f>IF(VLOOKUP(A103,'⚪设计'!$A$301:$G$320,6,FALSE)="","",VLOOKUP(VLOOKUP(A103,'⚪设计'!$A$301:$G$320,6,FALSE),'⚪设计'!$B$85:$D$113,2,FALSE))</f>
        <v/>
      </c>
      <c r="P103" s="71">
        <f t="shared" si="18"/>
        <v>0</v>
      </c>
      <c r="Q103" s="71" t="str">
        <f>IF(VLOOKUP($A103,'⚪设计'!$A$229:$K$249,7+3,FALSE)="","",VLOOKUP(A103,'⚪设计'!$A$229:$K$249,7+3,FALSE))</f>
        <v/>
      </c>
      <c r="R103" s="71">
        <f>IF(O103="",0,ROUND(VLOOKUP($A103,'⚪设计'!$A$301:$G$320,2,FALSE)*$B103/SUM(IF($E103="",0,VLOOKUP($E103,'⚪设计'!$C$85:$E$113,3,FALSE))*$F103,IF($J103="",0,VLOOKUP($J103,'⚪设计'!$C$85:$E$113,3,FALSE))*$K103,IF($O103="",0,VLOOKUP($O103,'⚪设计'!$C$85:$E$113,3,FALSE))*$P103,IF($T103="",0,VLOOKUP($T103,'⚪设计'!$C$85:$E$113,3,FALSE))*$U103)*VLOOKUP(O103,'⚪设计'!$C$85:$E$113,3,FALSE),0))</f>
        <v>0</v>
      </c>
      <c r="S103" s="71">
        <f>ROUND(战斗节奏!$B$3/SUM(IF(无限模式!$E103="",0,VLOOKUP(无限模式!$E103,'⚪设计'!$C$85:$I$113,4,FALSE)*无限模式!$F103),IF(无限模式!$J103="",0,VLOOKUP(无限模式!$J103,'⚪设计'!$C$85:$I$113,4,FALSE)*无限模式!$K103),IF(无限模式!$O103="",0,VLOOKUP(无限模式!$O103,'⚪设计'!$C$85:$I$113,4,FALSE)*无限模式!$P103),IF(无限模式!$T103="",0,VLOOKUP(无限模式!$T103,'⚪设计'!$C$85:$I$113,4,FALSE)*无限模式!$U103))*IF(O103="",0,VLOOKUP(O103,'⚪设计'!$C$85:$I$113,4,FALSE)),0)</f>
        <v>0</v>
      </c>
      <c r="T103" s="71" t="str">
        <f>IF(VLOOKUP(A103,'⚪设计'!$A$301:$G$320,7,FALSE)="","",VLOOKUP(VLOOKUP(A103,'⚪设计'!$A$301:$G$320,7,FALSE),'⚪设计'!$B$85:$D$113,2,FALSE))</f>
        <v/>
      </c>
      <c r="U103" s="71">
        <f t="shared" si="19"/>
        <v>0</v>
      </c>
      <c r="V103" s="71" t="str">
        <f>IF(VLOOKUP($A103,'⚪设计'!$A$229:$K$249,7+4,FALSE)="","",VLOOKUP(A103,'⚪设计'!$A$229:$K$249,7+4,FALSE))</f>
        <v/>
      </c>
      <c r="W103" s="71">
        <f>IF(T103="",0,ROUND(VLOOKUP($A103,'⚪设计'!$A$301:$G$320,2,FALSE)*$B103/SUM(IF($E103="",0,VLOOKUP($E103,'⚪设计'!$C$85:$E$113,3,FALSE))*$F103,IF($J103="",0,VLOOKUP($J103,'⚪设计'!$C$85:$E$113,3,FALSE))*$K103,IF($O103="",0,VLOOKUP($O103,'⚪设计'!$C$85:$E$113,3,FALSE))*$P103,IF($T103="",0,VLOOKUP($T103,'⚪设计'!$C$85:$E$113,3,FALSE))*$U103)*VLOOKUP(T103,'⚪设计'!$C$85:$E$113,3,FALSE),0))</f>
        <v>0</v>
      </c>
      <c r="X103" s="71">
        <f>ROUND(战斗节奏!$B$3/SUM(IF(无限模式!$E103="",0,VLOOKUP(无限模式!$E103,'⚪设计'!$C$85:$I$113,4,FALSE)*无限模式!$F103),IF(无限模式!$J103="",0,VLOOKUP(无限模式!$J103,'⚪设计'!$C$85:$I$113,4,FALSE)*无限模式!$K103),IF(无限模式!$O103="",0,VLOOKUP(无限模式!$O103,'⚪设计'!$C$85:$I$113,4,FALSE)*无限模式!$P103),IF(无限模式!$T103="",0,VLOOKUP(无限模式!$T103,'⚪设计'!$C$85:$I$113,4,FALSE)*无限模式!$U103))*IF(T103="",0,VLOOKUP(T103,'⚪设计'!$C$85:$I$113,4,FALSE)),0)</f>
        <v>0</v>
      </c>
    </row>
    <row r="104" spans="1:24" x14ac:dyDescent="0.2">
      <c r="A104" s="94">
        <v>5</v>
      </c>
      <c r="B104" s="71">
        <f>MAX(MIN(战斗节奏!$C$3-INT(A104/'⚪设计'!$C$55),MOD(A104,'⚪设计'!$C$55)),0)*'⚪设计'!$C$79*防御塔!$C$2+MIN(INT(A104/'⚪设计'!$C$55),战斗节奏!$C$3)*'⚪设计'!$C$80*防御塔!$C$2</f>
        <v>2700</v>
      </c>
      <c r="C104" s="173">
        <v>1.2</v>
      </c>
      <c r="D104" s="173">
        <v>14</v>
      </c>
      <c r="E104" s="71" t="str">
        <f>IF(VLOOKUP(A104,'⚪设计'!$A$301:$G$320,4,FALSE)="","",VLOOKUP(VLOOKUP(A104,'⚪设计'!$A$301:$G$320,4,FALSE),'⚪设计'!$B$85:$D$113,2,FALSE))</f>
        <v>ResUnit_WuGui1</v>
      </c>
      <c r="F104" s="71">
        <f t="shared" si="16"/>
        <v>14</v>
      </c>
      <c r="G104" s="71">
        <f>IF(VLOOKUP($A104,'⚪设计'!$A$229:$K$249,7+1,FALSE)="","",VLOOKUP(A104,'⚪设计'!$A$229:$K$249,7+1,FALSE))</f>
        <v>1</v>
      </c>
      <c r="H104" s="71">
        <f>IF(E104="",0,ROUND(VLOOKUP($A104,'⚪设计'!$A$301:$G$320,2,FALSE)*$B104/SUM(IF($E104="",0,VLOOKUP($E104,'⚪设计'!$C$85:$E$113,3,FALSE))*$F104,IF($J104="",0,VLOOKUP($J104,'⚪设计'!$C$85:$E$113,3,FALSE))*$K104,IF($O104="",0,VLOOKUP($O104,'⚪设计'!$C$85:$E$113,3,FALSE))*$P104,IF($T104="",0,VLOOKUP($T104,'⚪设计'!$C$85:$E$113,3,FALSE))*$U104)*VLOOKUP(E104,'⚪设计'!$C$85:$E$113,3,FALSE),0))</f>
        <v>1929</v>
      </c>
      <c r="I104" s="71">
        <f>ROUND(战斗节奏!$B$3/SUM(IF(无限模式!$E104="",0,VLOOKUP(无限模式!$E104,'⚪设计'!$C$85:$I$113,4,FALSE)*无限模式!$F104),IF(无限模式!$J104="",0,VLOOKUP(无限模式!$J104,'⚪设计'!$C$85:$I$113,4,FALSE)*无限模式!$K104),IF(无限模式!$O104="",0,VLOOKUP(无限模式!$O104,'⚪设计'!$C$85:$I$113,4,FALSE)*无限模式!$P104),IF(无限模式!$T104="",0,VLOOKUP(无限模式!$T104,'⚪设计'!$C$85:$I$113,4,FALSE)*无限模式!$U104))*IF(E104="",0,VLOOKUP(E104,'⚪设计'!$C$85:$I$113,4,FALSE)),0)</f>
        <v>14</v>
      </c>
      <c r="J104" s="71" t="str">
        <f>IF(VLOOKUP(A104,'⚪设计'!$A$301:$G$320,5,FALSE)="","",VLOOKUP(VLOOKUP(A104,'⚪设计'!$A$301:$G$320,5,FALSE),'⚪设计'!$B$85:$D$113,2,FALSE))</f>
        <v>ResUnit_ZhiZhu1</v>
      </c>
      <c r="K104" s="71">
        <f t="shared" si="17"/>
        <v>14</v>
      </c>
      <c r="L104" s="71">
        <f>IF(VLOOKUP($A104,'⚪设计'!$A$229:$K$249,7+2,FALSE)="","",VLOOKUP(A104,'⚪设计'!$A$229:$K$249,7+2,FALSE))</f>
        <v>1</v>
      </c>
      <c r="M104" s="71">
        <f>IF(J104="",0,ROUND(VLOOKUP($A104,'⚪设计'!$A$301:$G$320,2,FALSE)*$B104/SUM(IF($E104="",0,VLOOKUP($E104,'⚪设计'!$C$85:$E$113,3,FALSE))*$F104,IF($J104="",0,VLOOKUP($J104,'⚪设计'!$C$85:$E$113,3,FALSE))*$K104,IF($O104="",0,VLOOKUP($O104,'⚪设计'!$C$85:$E$113,3,FALSE))*$P104,IF($T104="",0,VLOOKUP($T104,'⚪设计'!$C$85:$E$113,3,FALSE))*$U104)*VLOOKUP(J104,'⚪设计'!$C$85:$E$113,3,FALSE),0))</f>
        <v>964</v>
      </c>
      <c r="N104" s="71">
        <f>ROUND(战斗节奏!$B$3/SUM(IF(无限模式!$E104="",0,VLOOKUP(无限模式!$E104,'⚪设计'!$C$85:$I$113,4,FALSE)*无限模式!$F104),IF(无限模式!$J104="",0,VLOOKUP(无限模式!$J104,'⚪设计'!$C$85:$I$113,4,FALSE)*无限模式!$K104),IF(无限模式!$O104="",0,VLOOKUP(无限模式!$O104,'⚪设计'!$C$85:$I$113,4,FALSE)*无限模式!$P104),IF(无限模式!$T104="",0,VLOOKUP(无限模式!$T104,'⚪设计'!$C$85:$I$113,4,FALSE)*无限模式!$U104))*IF(J104="",0,VLOOKUP(J104,'⚪设计'!$C$85:$I$113,4,FALSE)),0)</f>
        <v>7</v>
      </c>
      <c r="O104" s="71" t="str">
        <f>IF(VLOOKUP(A104,'⚪设计'!$A$301:$G$320,6,FALSE)="","",VLOOKUP(VLOOKUP(A104,'⚪设计'!$A$301:$G$320,6,FALSE),'⚪设计'!$B$85:$D$113,2,FALSE))</f>
        <v/>
      </c>
      <c r="P104" s="71">
        <f t="shared" si="18"/>
        <v>0</v>
      </c>
      <c r="Q104" s="71" t="str">
        <f>IF(VLOOKUP($A104,'⚪设计'!$A$229:$K$249,7+3,FALSE)="","",VLOOKUP(A104,'⚪设计'!$A$229:$K$249,7+3,FALSE))</f>
        <v/>
      </c>
      <c r="R104" s="71">
        <f>IF(O104="",0,ROUND(VLOOKUP($A104,'⚪设计'!$A$301:$G$320,2,FALSE)*$B104/SUM(IF($E104="",0,VLOOKUP($E104,'⚪设计'!$C$85:$E$113,3,FALSE))*$F104,IF($J104="",0,VLOOKUP($J104,'⚪设计'!$C$85:$E$113,3,FALSE))*$K104,IF($O104="",0,VLOOKUP($O104,'⚪设计'!$C$85:$E$113,3,FALSE))*$P104,IF($T104="",0,VLOOKUP($T104,'⚪设计'!$C$85:$E$113,3,FALSE))*$U104)*VLOOKUP(O104,'⚪设计'!$C$85:$E$113,3,FALSE),0))</f>
        <v>0</v>
      </c>
      <c r="S104" s="71">
        <f>ROUND(战斗节奏!$B$3/SUM(IF(无限模式!$E104="",0,VLOOKUP(无限模式!$E104,'⚪设计'!$C$85:$I$113,4,FALSE)*无限模式!$F104),IF(无限模式!$J104="",0,VLOOKUP(无限模式!$J104,'⚪设计'!$C$85:$I$113,4,FALSE)*无限模式!$K104),IF(无限模式!$O104="",0,VLOOKUP(无限模式!$O104,'⚪设计'!$C$85:$I$113,4,FALSE)*无限模式!$P104),IF(无限模式!$T104="",0,VLOOKUP(无限模式!$T104,'⚪设计'!$C$85:$I$113,4,FALSE)*无限模式!$U104))*IF(O104="",0,VLOOKUP(O104,'⚪设计'!$C$85:$I$113,4,FALSE)),0)</f>
        <v>0</v>
      </c>
      <c r="T104" s="71" t="str">
        <f>IF(VLOOKUP(A104,'⚪设计'!$A$301:$G$320,7,FALSE)="","",VLOOKUP(VLOOKUP(A104,'⚪设计'!$A$301:$G$320,7,FALSE),'⚪设计'!$B$85:$D$113,2,FALSE))</f>
        <v/>
      </c>
      <c r="U104" s="71">
        <f t="shared" si="19"/>
        <v>0</v>
      </c>
      <c r="V104" s="71" t="str">
        <f>IF(VLOOKUP($A104,'⚪设计'!$A$229:$K$249,7+4,FALSE)="","",VLOOKUP(A104,'⚪设计'!$A$229:$K$249,7+4,FALSE))</f>
        <v/>
      </c>
      <c r="W104" s="71">
        <f>IF(T104="",0,ROUND(VLOOKUP($A104,'⚪设计'!$A$301:$G$320,2,FALSE)*$B104/SUM(IF($E104="",0,VLOOKUP($E104,'⚪设计'!$C$85:$E$113,3,FALSE))*$F104,IF($J104="",0,VLOOKUP($J104,'⚪设计'!$C$85:$E$113,3,FALSE))*$K104,IF($O104="",0,VLOOKUP($O104,'⚪设计'!$C$85:$E$113,3,FALSE))*$P104,IF($T104="",0,VLOOKUP($T104,'⚪设计'!$C$85:$E$113,3,FALSE))*$U104)*VLOOKUP(T104,'⚪设计'!$C$85:$E$113,3,FALSE),0))</f>
        <v>0</v>
      </c>
      <c r="X104" s="71">
        <f>ROUND(战斗节奏!$B$3/SUM(IF(无限模式!$E104="",0,VLOOKUP(无限模式!$E104,'⚪设计'!$C$85:$I$113,4,FALSE)*无限模式!$F104),IF(无限模式!$J104="",0,VLOOKUP(无限模式!$J104,'⚪设计'!$C$85:$I$113,4,FALSE)*无限模式!$K104),IF(无限模式!$O104="",0,VLOOKUP(无限模式!$O104,'⚪设计'!$C$85:$I$113,4,FALSE)*无限模式!$P104),IF(无限模式!$T104="",0,VLOOKUP(无限模式!$T104,'⚪设计'!$C$85:$I$113,4,FALSE)*无限模式!$U104))*IF(T104="",0,VLOOKUP(T104,'⚪设计'!$C$85:$I$113,4,FALSE)),0)</f>
        <v>0</v>
      </c>
    </row>
    <row r="105" spans="1:24" x14ac:dyDescent="0.2">
      <c r="A105" s="94">
        <v>6</v>
      </c>
      <c r="B105" s="71">
        <f>MAX(MIN(战斗节奏!$C$3-INT(A105/'⚪设计'!$C$55),MOD(A105,'⚪设计'!$C$55)),0)*'⚪设计'!$C$79*防御塔!$C$2+MIN(INT(A105/'⚪设计'!$C$55),战斗节奏!$C$3)*'⚪设计'!$C$80*防御塔!$C$2</f>
        <v>3240</v>
      </c>
      <c r="C105" s="173">
        <v>1.25</v>
      </c>
      <c r="D105" s="173">
        <v>15</v>
      </c>
      <c r="E105" s="71" t="str">
        <f>IF(VLOOKUP(A105,'⚪设计'!$A$301:$G$320,4,FALSE)="","",VLOOKUP(VLOOKUP(A105,'⚪设计'!$A$301:$G$320,4,FALSE),'⚪设计'!$B$85:$D$113,2,FALSE))</f>
        <v>ResUnit_MiFeng2</v>
      </c>
      <c r="F105" s="71">
        <f t="shared" si="16"/>
        <v>20</v>
      </c>
      <c r="G105" s="71">
        <f>IF(VLOOKUP($A105,'⚪设计'!$A$229:$K$249,7+1,FALSE)="","",VLOOKUP(A105,'⚪设计'!$A$229:$K$249,7+1,FALSE))</f>
        <v>0.75</v>
      </c>
      <c r="H105" s="71">
        <f>IF(E105="",0,ROUND(VLOOKUP($A105,'⚪设计'!$A$301:$G$320,2,FALSE)*$B105/SUM(IF($E105="",0,VLOOKUP($E105,'⚪设计'!$C$85:$E$113,3,FALSE))*$F105,IF($J105="",0,VLOOKUP($J105,'⚪设计'!$C$85:$E$113,3,FALSE))*$K105,IF($O105="",0,VLOOKUP($O105,'⚪设计'!$C$85:$E$113,3,FALSE))*$P105,IF($T105="",0,VLOOKUP($T105,'⚪设计'!$C$85:$E$113,3,FALSE))*$U105)*VLOOKUP(E105,'⚪设计'!$C$85:$E$113,3,FALSE),0))</f>
        <v>2314</v>
      </c>
      <c r="I105" s="71">
        <f>ROUND(战斗节奏!$B$3/SUM(IF(无限模式!$E105="",0,VLOOKUP(无限模式!$E105,'⚪设计'!$C$85:$I$113,4,FALSE)*无限模式!$F105),IF(无限模式!$J105="",0,VLOOKUP(无限模式!$J105,'⚪设计'!$C$85:$I$113,4,FALSE)*无限模式!$K105),IF(无限模式!$O105="",0,VLOOKUP(无限模式!$O105,'⚪设计'!$C$85:$I$113,4,FALSE)*无限模式!$P105),IF(无限模式!$T105="",0,VLOOKUP(无限模式!$T105,'⚪设计'!$C$85:$I$113,4,FALSE)*无限模式!$U105))*IF(E105="",0,VLOOKUP(E105,'⚪设计'!$C$85:$I$113,4,FALSE)),0)</f>
        <v>9</v>
      </c>
      <c r="J105" s="71" t="str">
        <f>IF(VLOOKUP(A105,'⚪设计'!$A$301:$G$320,5,FALSE)="","",VLOOKUP(VLOOKUP(A105,'⚪设计'!$A$301:$G$320,5,FALSE),'⚪设计'!$B$85:$D$113,2,FALSE))</f>
        <v>ResUnit_WuGui1</v>
      </c>
      <c r="K105" s="71">
        <f t="shared" si="17"/>
        <v>15</v>
      </c>
      <c r="L105" s="71">
        <f>IF(VLOOKUP($A105,'⚪设计'!$A$229:$K$249,7+2,FALSE)="","",VLOOKUP(A105,'⚪设计'!$A$229:$K$249,7+2,FALSE))</f>
        <v>1</v>
      </c>
      <c r="M105" s="71">
        <f>IF(J105="",0,ROUND(VLOOKUP($A105,'⚪设计'!$A$301:$G$320,2,FALSE)*$B105/SUM(IF($E105="",0,VLOOKUP($E105,'⚪设计'!$C$85:$E$113,3,FALSE))*$F105,IF($J105="",0,VLOOKUP($J105,'⚪设计'!$C$85:$E$113,3,FALSE))*$K105,IF($O105="",0,VLOOKUP($O105,'⚪设计'!$C$85:$E$113,3,FALSE))*$P105,IF($T105="",0,VLOOKUP($T105,'⚪设计'!$C$85:$E$113,3,FALSE))*$U105)*VLOOKUP(J105,'⚪设计'!$C$85:$E$113,3,FALSE),0))</f>
        <v>2314</v>
      </c>
      <c r="N105" s="71">
        <f>ROUND(战斗节奏!$B$3/SUM(IF(无限模式!$E105="",0,VLOOKUP(无限模式!$E105,'⚪设计'!$C$85:$I$113,4,FALSE)*无限模式!$F105),IF(无限模式!$J105="",0,VLOOKUP(无限模式!$J105,'⚪设计'!$C$85:$I$113,4,FALSE)*无限模式!$K105),IF(无限模式!$O105="",0,VLOOKUP(无限模式!$O105,'⚪设计'!$C$85:$I$113,4,FALSE)*无限模式!$P105),IF(无限模式!$T105="",0,VLOOKUP(无限模式!$T105,'⚪设计'!$C$85:$I$113,4,FALSE)*无限模式!$U105))*IF(J105="",0,VLOOKUP(J105,'⚪设计'!$C$85:$I$113,4,FALSE)),0)</f>
        <v>9</v>
      </c>
      <c r="O105" s="71" t="str">
        <f>IF(VLOOKUP(A105,'⚪设计'!$A$301:$G$320,6,FALSE)="","",VLOOKUP(VLOOKUP(A105,'⚪设计'!$A$301:$G$320,6,FALSE),'⚪设计'!$B$85:$D$113,2,FALSE))</f>
        <v/>
      </c>
      <c r="P105" s="71">
        <f t="shared" si="18"/>
        <v>0</v>
      </c>
      <c r="Q105" s="71" t="str">
        <f>IF(VLOOKUP($A105,'⚪设计'!$A$229:$K$249,7+3,FALSE)="","",VLOOKUP(A105,'⚪设计'!$A$229:$K$249,7+3,FALSE))</f>
        <v/>
      </c>
      <c r="R105" s="71">
        <f>IF(O105="",0,ROUND(VLOOKUP($A105,'⚪设计'!$A$301:$G$320,2,FALSE)*$B105/SUM(IF($E105="",0,VLOOKUP($E105,'⚪设计'!$C$85:$E$113,3,FALSE))*$F105,IF($J105="",0,VLOOKUP($J105,'⚪设计'!$C$85:$E$113,3,FALSE))*$K105,IF($O105="",0,VLOOKUP($O105,'⚪设计'!$C$85:$E$113,3,FALSE))*$P105,IF($T105="",0,VLOOKUP($T105,'⚪设计'!$C$85:$E$113,3,FALSE))*$U105)*VLOOKUP(O105,'⚪设计'!$C$85:$E$113,3,FALSE),0))</f>
        <v>0</v>
      </c>
      <c r="S105" s="71">
        <f>ROUND(战斗节奏!$B$3/SUM(IF(无限模式!$E105="",0,VLOOKUP(无限模式!$E105,'⚪设计'!$C$85:$I$113,4,FALSE)*无限模式!$F105),IF(无限模式!$J105="",0,VLOOKUP(无限模式!$J105,'⚪设计'!$C$85:$I$113,4,FALSE)*无限模式!$K105),IF(无限模式!$O105="",0,VLOOKUP(无限模式!$O105,'⚪设计'!$C$85:$I$113,4,FALSE)*无限模式!$P105),IF(无限模式!$T105="",0,VLOOKUP(无限模式!$T105,'⚪设计'!$C$85:$I$113,4,FALSE)*无限模式!$U105))*IF(O105="",0,VLOOKUP(O105,'⚪设计'!$C$85:$I$113,4,FALSE)),0)</f>
        <v>0</v>
      </c>
      <c r="T105" s="71" t="str">
        <f>IF(VLOOKUP(A105,'⚪设计'!$A$301:$G$320,7,FALSE)="","",VLOOKUP(VLOOKUP(A105,'⚪设计'!$A$301:$G$320,7,FALSE),'⚪设计'!$B$85:$D$113,2,FALSE))</f>
        <v/>
      </c>
      <c r="U105" s="71">
        <f t="shared" si="19"/>
        <v>0</v>
      </c>
      <c r="V105" s="71" t="str">
        <f>IF(VLOOKUP($A105,'⚪设计'!$A$229:$K$249,7+4,FALSE)="","",VLOOKUP(A105,'⚪设计'!$A$229:$K$249,7+4,FALSE))</f>
        <v/>
      </c>
      <c r="W105" s="71">
        <f>IF(T105="",0,ROUND(VLOOKUP($A105,'⚪设计'!$A$301:$G$320,2,FALSE)*$B105/SUM(IF($E105="",0,VLOOKUP($E105,'⚪设计'!$C$85:$E$113,3,FALSE))*$F105,IF($J105="",0,VLOOKUP($J105,'⚪设计'!$C$85:$E$113,3,FALSE))*$K105,IF($O105="",0,VLOOKUP($O105,'⚪设计'!$C$85:$E$113,3,FALSE))*$P105,IF($T105="",0,VLOOKUP($T105,'⚪设计'!$C$85:$E$113,3,FALSE))*$U105)*VLOOKUP(T105,'⚪设计'!$C$85:$E$113,3,FALSE),0))</f>
        <v>0</v>
      </c>
      <c r="X105" s="71">
        <f>ROUND(战斗节奏!$B$3/SUM(IF(无限模式!$E105="",0,VLOOKUP(无限模式!$E105,'⚪设计'!$C$85:$I$113,4,FALSE)*无限模式!$F105),IF(无限模式!$J105="",0,VLOOKUP(无限模式!$J105,'⚪设计'!$C$85:$I$113,4,FALSE)*无限模式!$K105),IF(无限模式!$O105="",0,VLOOKUP(无限模式!$O105,'⚪设计'!$C$85:$I$113,4,FALSE)*无限模式!$P105),IF(无限模式!$T105="",0,VLOOKUP(无限模式!$T105,'⚪设计'!$C$85:$I$113,4,FALSE)*无限模式!$U105))*IF(T105="",0,VLOOKUP(T105,'⚪设计'!$C$85:$I$113,4,FALSE)),0)</f>
        <v>0</v>
      </c>
    </row>
    <row r="106" spans="1:24" x14ac:dyDescent="0.2">
      <c r="A106" s="94">
        <v>7</v>
      </c>
      <c r="B106" s="71">
        <f>MAX(MIN(战斗节奏!$C$3-INT(A106/'⚪设计'!$C$55),MOD(A106,'⚪设计'!$C$55)),0)*'⚪设计'!$C$79*防御塔!$C$2+MIN(INT(A106/'⚪设计'!$C$55),战斗节奏!$C$3)*'⚪设计'!$C$80*防御塔!$C$2</f>
        <v>3780</v>
      </c>
      <c r="C106" s="173">
        <v>1.3</v>
      </c>
      <c r="D106" s="173">
        <v>16</v>
      </c>
      <c r="E106" s="71" t="str">
        <f>IF(VLOOKUP(A106,'⚪设计'!$A$301:$G$320,4,FALSE)="","",VLOOKUP(VLOOKUP(A106,'⚪设计'!$A$301:$G$320,4,FALSE),'⚪设计'!$B$85:$D$113,2,FALSE))</f>
        <v>ResUnit_WuGui1</v>
      </c>
      <c r="F106" s="71">
        <f t="shared" si="16"/>
        <v>16</v>
      </c>
      <c r="G106" s="71">
        <f>IF(VLOOKUP($A106,'⚪设计'!$A$229:$K$249,7+1,FALSE)="","",VLOOKUP(A106,'⚪设计'!$A$229:$K$249,7+1,FALSE))</f>
        <v>1</v>
      </c>
      <c r="H106" s="71">
        <f>IF(E106="",0,ROUND(VLOOKUP($A106,'⚪设计'!$A$301:$G$320,2,FALSE)*$B106/SUM(IF($E106="",0,VLOOKUP($E106,'⚪设计'!$C$85:$E$113,3,FALSE))*$F106,IF($J106="",0,VLOOKUP($J106,'⚪设计'!$C$85:$E$113,3,FALSE))*$K106,IF($O106="",0,VLOOKUP($O106,'⚪设计'!$C$85:$E$113,3,FALSE))*$P106,IF($T106="",0,VLOOKUP($T106,'⚪设计'!$C$85:$E$113,3,FALSE))*$U106)*VLOOKUP(E106,'⚪设计'!$C$85:$E$113,3,FALSE),0))</f>
        <v>3544</v>
      </c>
      <c r="I106" s="71">
        <f>ROUND(战斗节奏!$B$3/SUM(IF(无限模式!$E106="",0,VLOOKUP(无限模式!$E106,'⚪设计'!$C$85:$I$113,4,FALSE)*无限模式!$F106),IF(无限模式!$J106="",0,VLOOKUP(无限模式!$J106,'⚪设计'!$C$85:$I$113,4,FALSE)*无限模式!$K106),IF(无限模式!$O106="",0,VLOOKUP(无限模式!$O106,'⚪设计'!$C$85:$I$113,4,FALSE)*无限模式!$P106),IF(无限模式!$T106="",0,VLOOKUP(无限模式!$T106,'⚪设计'!$C$85:$I$113,4,FALSE)*无限模式!$U106))*IF(E106="",0,VLOOKUP(E106,'⚪设计'!$C$85:$I$113,4,FALSE)),0)</f>
        <v>9</v>
      </c>
      <c r="J106" s="71" t="str">
        <f>IF(VLOOKUP(A106,'⚪设计'!$A$301:$G$320,5,FALSE)="","",VLOOKUP(VLOOKUP(A106,'⚪设计'!$A$301:$G$320,5,FALSE),'⚪设计'!$B$85:$D$113,2,FALSE))</f>
        <v>ResUnit_ZhiZhu1</v>
      </c>
      <c r="K106" s="71">
        <f t="shared" si="17"/>
        <v>32</v>
      </c>
      <c r="L106" s="71">
        <f>IF(VLOOKUP($A106,'⚪设计'!$A$229:$K$249,7+2,FALSE)="","",VLOOKUP(A106,'⚪设计'!$A$229:$K$249,7+2,FALSE))</f>
        <v>0.5</v>
      </c>
      <c r="M106" s="71">
        <f>IF(J106="",0,ROUND(VLOOKUP($A106,'⚪设计'!$A$301:$G$320,2,FALSE)*$B106/SUM(IF($E106="",0,VLOOKUP($E106,'⚪设计'!$C$85:$E$113,3,FALSE))*$F106,IF($J106="",0,VLOOKUP($J106,'⚪设计'!$C$85:$E$113,3,FALSE))*$K106,IF($O106="",0,VLOOKUP($O106,'⚪设计'!$C$85:$E$113,3,FALSE))*$P106,IF($T106="",0,VLOOKUP($T106,'⚪设计'!$C$85:$E$113,3,FALSE))*$U106)*VLOOKUP(J106,'⚪设计'!$C$85:$E$113,3,FALSE),0))</f>
        <v>1772</v>
      </c>
      <c r="N106" s="71">
        <f>ROUND(战斗节奏!$B$3/SUM(IF(无限模式!$E106="",0,VLOOKUP(无限模式!$E106,'⚪设计'!$C$85:$I$113,4,FALSE)*无限模式!$F106),IF(无限模式!$J106="",0,VLOOKUP(无限模式!$J106,'⚪设计'!$C$85:$I$113,4,FALSE)*无限模式!$K106),IF(无限模式!$O106="",0,VLOOKUP(无限模式!$O106,'⚪设计'!$C$85:$I$113,4,FALSE)*无限模式!$P106),IF(无限模式!$T106="",0,VLOOKUP(无限模式!$T106,'⚪设计'!$C$85:$I$113,4,FALSE)*无限模式!$U106))*IF(J106="",0,VLOOKUP(J106,'⚪设计'!$C$85:$I$113,4,FALSE)),0)</f>
        <v>5</v>
      </c>
      <c r="O106" s="71" t="str">
        <f>IF(VLOOKUP(A106,'⚪设计'!$A$301:$G$320,6,FALSE)="","",VLOOKUP(VLOOKUP(A106,'⚪设计'!$A$301:$G$320,6,FALSE),'⚪设计'!$B$85:$D$113,2,FALSE))</f>
        <v/>
      </c>
      <c r="P106" s="71">
        <f t="shared" si="18"/>
        <v>0</v>
      </c>
      <c r="Q106" s="71" t="str">
        <f>IF(VLOOKUP($A106,'⚪设计'!$A$229:$K$249,7+3,FALSE)="","",VLOOKUP(A106,'⚪设计'!$A$229:$K$249,7+3,FALSE))</f>
        <v/>
      </c>
      <c r="R106" s="71">
        <f>IF(O106="",0,ROUND(VLOOKUP($A106,'⚪设计'!$A$301:$G$320,2,FALSE)*$B106/SUM(IF($E106="",0,VLOOKUP($E106,'⚪设计'!$C$85:$E$113,3,FALSE))*$F106,IF($J106="",0,VLOOKUP($J106,'⚪设计'!$C$85:$E$113,3,FALSE))*$K106,IF($O106="",0,VLOOKUP($O106,'⚪设计'!$C$85:$E$113,3,FALSE))*$P106,IF($T106="",0,VLOOKUP($T106,'⚪设计'!$C$85:$E$113,3,FALSE))*$U106)*VLOOKUP(O106,'⚪设计'!$C$85:$E$113,3,FALSE),0))</f>
        <v>0</v>
      </c>
      <c r="S106" s="71">
        <f>ROUND(战斗节奏!$B$3/SUM(IF(无限模式!$E106="",0,VLOOKUP(无限模式!$E106,'⚪设计'!$C$85:$I$113,4,FALSE)*无限模式!$F106),IF(无限模式!$J106="",0,VLOOKUP(无限模式!$J106,'⚪设计'!$C$85:$I$113,4,FALSE)*无限模式!$K106),IF(无限模式!$O106="",0,VLOOKUP(无限模式!$O106,'⚪设计'!$C$85:$I$113,4,FALSE)*无限模式!$P106),IF(无限模式!$T106="",0,VLOOKUP(无限模式!$T106,'⚪设计'!$C$85:$I$113,4,FALSE)*无限模式!$U106))*IF(O106="",0,VLOOKUP(O106,'⚪设计'!$C$85:$I$113,4,FALSE)),0)</f>
        <v>0</v>
      </c>
      <c r="T106" s="71" t="str">
        <f>IF(VLOOKUP(A106,'⚪设计'!$A$301:$G$320,7,FALSE)="","",VLOOKUP(VLOOKUP(A106,'⚪设计'!$A$301:$G$320,7,FALSE),'⚪设计'!$B$85:$D$113,2,FALSE))</f>
        <v/>
      </c>
      <c r="U106" s="71">
        <f t="shared" si="19"/>
        <v>0</v>
      </c>
      <c r="V106" s="71" t="str">
        <f>IF(VLOOKUP($A106,'⚪设计'!$A$229:$K$249,7+4,FALSE)="","",VLOOKUP(A106,'⚪设计'!$A$229:$K$249,7+4,FALSE))</f>
        <v/>
      </c>
      <c r="W106" s="71">
        <f>IF(T106="",0,ROUND(VLOOKUP($A106,'⚪设计'!$A$301:$G$320,2,FALSE)*$B106/SUM(IF($E106="",0,VLOOKUP($E106,'⚪设计'!$C$85:$E$113,3,FALSE))*$F106,IF($J106="",0,VLOOKUP($J106,'⚪设计'!$C$85:$E$113,3,FALSE))*$K106,IF($O106="",0,VLOOKUP($O106,'⚪设计'!$C$85:$E$113,3,FALSE))*$P106,IF($T106="",0,VLOOKUP($T106,'⚪设计'!$C$85:$E$113,3,FALSE))*$U106)*VLOOKUP(T106,'⚪设计'!$C$85:$E$113,3,FALSE),0))</f>
        <v>0</v>
      </c>
      <c r="X106" s="71">
        <f>ROUND(战斗节奏!$B$3/SUM(IF(无限模式!$E106="",0,VLOOKUP(无限模式!$E106,'⚪设计'!$C$85:$I$113,4,FALSE)*无限模式!$F106),IF(无限模式!$J106="",0,VLOOKUP(无限模式!$J106,'⚪设计'!$C$85:$I$113,4,FALSE)*无限模式!$K106),IF(无限模式!$O106="",0,VLOOKUP(无限模式!$O106,'⚪设计'!$C$85:$I$113,4,FALSE)*无限模式!$P106),IF(无限模式!$T106="",0,VLOOKUP(无限模式!$T106,'⚪设计'!$C$85:$I$113,4,FALSE)*无限模式!$U106))*IF(T106="",0,VLOOKUP(T106,'⚪设计'!$C$85:$I$113,4,FALSE)),0)</f>
        <v>0</v>
      </c>
    </row>
    <row r="107" spans="1:24" x14ac:dyDescent="0.2">
      <c r="A107" s="94">
        <v>8</v>
      </c>
      <c r="B107" s="71">
        <f>MAX(MIN(战斗节奏!$C$3-INT(A107/'⚪设计'!$C$55),MOD(A107,'⚪设计'!$C$55)),0)*'⚪设计'!$C$79*防御塔!$C$2+MIN(INT(A107/'⚪设计'!$C$55),战斗节奏!$C$3)*'⚪设计'!$C$80*防御塔!$C$2</f>
        <v>4320</v>
      </c>
      <c r="C107" s="173">
        <v>1.35</v>
      </c>
      <c r="D107" s="173">
        <v>17</v>
      </c>
      <c r="E107" s="71" t="str">
        <f>IF(VLOOKUP(A107,'⚪设计'!$A$301:$G$320,4,FALSE)="","",VLOOKUP(VLOOKUP(A107,'⚪设计'!$A$301:$G$320,4,FALSE),'⚪设计'!$B$85:$D$113,2,FALSE))</f>
        <v>ResUnit_WuGui1</v>
      </c>
      <c r="F107" s="71">
        <f t="shared" si="16"/>
        <v>17</v>
      </c>
      <c r="G107" s="71">
        <f>IF(VLOOKUP($A107,'⚪设计'!$A$229:$K$249,7+1,FALSE)="","",VLOOKUP(A107,'⚪设计'!$A$229:$K$249,7+1,FALSE))</f>
        <v>1</v>
      </c>
      <c r="H107" s="71">
        <f>IF(E107="",0,ROUND(VLOOKUP($A107,'⚪设计'!$A$301:$G$320,2,FALSE)*$B107/SUM(IF($E107="",0,VLOOKUP($E107,'⚪设计'!$C$85:$E$113,3,FALSE))*$F107,IF($J107="",0,VLOOKUP($J107,'⚪设计'!$C$85:$E$113,3,FALSE))*$K107,IF($O107="",0,VLOOKUP($O107,'⚪设计'!$C$85:$E$113,3,FALSE))*$P107,IF($T107="",0,VLOOKUP($T107,'⚪设计'!$C$85:$E$113,3,FALSE))*$U107)*VLOOKUP(E107,'⚪设计'!$C$85:$E$113,3,FALSE),0))</f>
        <v>6400</v>
      </c>
      <c r="I107" s="71">
        <f>ROUND(战斗节奏!$B$3/SUM(IF(无限模式!$E107="",0,VLOOKUP(无限模式!$E107,'⚪设计'!$C$85:$I$113,4,FALSE)*无限模式!$F107),IF(无限模式!$J107="",0,VLOOKUP(无限模式!$J107,'⚪设计'!$C$85:$I$113,4,FALSE)*无限模式!$K107),IF(无限模式!$O107="",0,VLOOKUP(无限模式!$O107,'⚪设计'!$C$85:$I$113,4,FALSE)*无限模式!$P107),IF(无限模式!$T107="",0,VLOOKUP(无限模式!$T107,'⚪设计'!$C$85:$I$113,4,FALSE)*无限模式!$U107))*IF(E107="",0,VLOOKUP(E107,'⚪设计'!$C$85:$I$113,4,FALSE)),0)</f>
        <v>11</v>
      </c>
      <c r="J107" s="71" t="str">
        <f>IF(VLOOKUP(A107,'⚪设计'!$A$301:$G$320,5,FALSE)="","",VLOOKUP(VLOOKUP(A107,'⚪设计'!$A$301:$G$320,5,FALSE),'⚪设计'!$B$85:$D$113,2,FALSE))</f>
        <v>ResUnit_ZhiZhu3</v>
      </c>
      <c r="K107" s="71">
        <f t="shared" si="17"/>
        <v>1</v>
      </c>
      <c r="L107" s="71">
        <f>IF(VLOOKUP($A107,'⚪设计'!$A$229:$K$249,7+2,FALSE)="","",VLOOKUP(A107,'⚪设计'!$A$229:$K$249,7+2,FALSE))</f>
        <v>0</v>
      </c>
      <c r="M107" s="71">
        <f>IF(J107="",0,ROUND(VLOOKUP($A107,'⚪设计'!$A$301:$G$320,2,FALSE)*$B107/SUM(IF($E107="",0,VLOOKUP($E107,'⚪设计'!$C$85:$E$113,3,FALSE))*$F107,IF($J107="",0,VLOOKUP($J107,'⚪设计'!$C$85:$E$113,3,FALSE))*$K107,IF($O107="",0,VLOOKUP($O107,'⚪设计'!$C$85:$E$113,3,FALSE))*$P107,IF($T107="",0,VLOOKUP($T107,'⚪设计'!$C$85:$E$113,3,FALSE))*$U107)*VLOOKUP(J107,'⚪设计'!$C$85:$E$113,3,FALSE),0))</f>
        <v>64000</v>
      </c>
      <c r="N107" s="71">
        <f>ROUND(战斗节奏!$B$3/SUM(IF(无限模式!$E107="",0,VLOOKUP(无限模式!$E107,'⚪设计'!$C$85:$I$113,4,FALSE)*无限模式!$F107),IF(无限模式!$J107="",0,VLOOKUP(无限模式!$J107,'⚪设计'!$C$85:$I$113,4,FALSE)*无限模式!$K107),IF(无限模式!$O107="",0,VLOOKUP(无限模式!$O107,'⚪设计'!$C$85:$I$113,4,FALSE)*无限模式!$P107),IF(无限模式!$T107="",0,VLOOKUP(无限模式!$T107,'⚪设计'!$C$85:$I$113,4,FALSE)*无限模式!$U107))*IF(J107="",0,VLOOKUP(J107,'⚪设计'!$C$85:$I$113,4,FALSE)),0)</f>
        <v>111</v>
      </c>
      <c r="O107" s="71" t="str">
        <f>IF(VLOOKUP(A107,'⚪设计'!$A$301:$G$320,6,FALSE)="","",VLOOKUP(VLOOKUP(A107,'⚪设计'!$A$301:$G$320,6,FALSE),'⚪设计'!$B$85:$D$113,2,FALSE))</f>
        <v/>
      </c>
      <c r="P107" s="71">
        <f t="shared" si="18"/>
        <v>0</v>
      </c>
      <c r="Q107" s="71" t="str">
        <f>IF(VLOOKUP($A107,'⚪设计'!$A$229:$K$249,7+3,FALSE)="","",VLOOKUP(A107,'⚪设计'!$A$229:$K$249,7+3,FALSE))</f>
        <v/>
      </c>
      <c r="R107" s="71">
        <f>IF(O107="",0,ROUND(VLOOKUP($A107,'⚪设计'!$A$301:$G$320,2,FALSE)*$B107/SUM(IF($E107="",0,VLOOKUP($E107,'⚪设计'!$C$85:$E$113,3,FALSE))*$F107,IF($J107="",0,VLOOKUP($J107,'⚪设计'!$C$85:$E$113,3,FALSE))*$K107,IF($O107="",0,VLOOKUP($O107,'⚪设计'!$C$85:$E$113,3,FALSE))*$P107,IF($T107="",0,VLOOKUP($T107,'⚪设计'!$C$85:$E$113,3,FALSE))*$U107)*VLOOKUP(O107,'⚪设计'!$C$85:$E$113,3,FALSE),0))</f>
        <v>0</v>
      </c>
      <c r="S107" s="71">
        <f>ROUND(战斗节奏!$B$3/SUM(IF(无限模式!$E107="",0,VLOOKUP(无限模式!$E107,'⚪设计'!$C$85:$I$113,4,FALSE)*无限模式!$F107),IF(无限模式!$J107="",0,VLOOKUP(无限模式!$J107,'⚪设计'!$C$85:$I$113,4,FALSE)*无限模式!$K107),IF(无限模式!$O107="",0,VLOOKUP(无限模式!$O107,'⚪设计'!$C$85:$I$113,4,FALSE)*无限模式!$P107),IF(无限模式!$T107="",0,VLOOKUP(无限模式!$T107,'⚪设计'!$C$85:$I$113,4,FALSE)*无限模式!$U107))*IF(O107="",0,VLOOKUP(O107,'⚪设计'!$C$85:$I$113,4,FALSE)),0)</f>
        <v>0</v>
      </c>
      <c r="T107" s="71" t="str">
        <f>IF(VLOOKUP(A107,'⚪设计'!$A$301:$G$320,7,FALSE)="","",VLOOKUP(VLOOKUP(A107,'⚪设计'!$A$301:$G$320,7,FALSE),'⚪设计'!$B$85:$D$113,2,FALSE))</f>
        <v/>
      </c>
      <c r="U107" s="71">
        <f t="shared" si="19"/>
        <v>0</v>
      </c>
      <c r="V107" s="71" t="str">
        <f>IF(VLOOKUP($A107,'⚪设计'!$A$229:$K$249,7+4,FALSE)="","",VLOOKUP(A107,'⚪设计'!$A$229:$K$249,7+4,FALSE))</f>
        <v/>
      </c>
      <c r="W107" s="71">
        <f>IF(T107="",0,ROUND(VLOOKUP($A107,'⚪设计'!$A$301:$G$320,2,FALSE)*$B107/SUM(IF($E107="",0,VLOOKUP($E107,'⚪设计'!$C$85:$E$113,3,FALSE))*$F107,IF($J107="",0,VLOOKUP($J107,'⚪设计'!$C$85:$E$113,3,FALSE))*$K107,IF($O107="",0,VLOOKUP($O107,'⚪设计'!$C$85:$E$113,3,FALSE))*$P107,IF($T107="",0,VLOOKUP($T107,'⚪设计'!$C$85:$E$113,3,FALSE))*$U107)*VLOOKUP(T107,'⚪设计'!$C$85:$E$113,3,FALSE),0))</f>
        <v>0</v>
      </c>
      <c r="X107" s="71">
        <f>ROUND(战斗节奏!$B$3/SUM(IF(无限模式!$E107="",0,VLOOKUP(无限模式!$E107,'⚪设计'!$C$85:$I$113,4,FALSE)*无限模式!$F107),IF(无限模式!$J107="",0,VLOOKUP(无限模式!$J107,'⚪设计'!$C$85:$I$113,4,FALSE)*无限模式!$K107),IF(无限模式!$O107="",0,VLOOKUP(无限模式!$O107,'⚪设计'!$C$85:$I$113,4,FALSE)*无限模式!$P107),IF(无限模式!$T107="",0,VLOOKUP(无限模式!$T107,'⚪设计'!$C$85:$I$113,4,FALSE)*无限模式!$U107))*IF(T107="",0,VLOOKUP(T107,'⚪设计'!$C$85:$I$113,4,FALSE)),0)</f>
        <v>0</v>
      </c>
    </row>
    <row r="108" spans="1:24" x14ac:dyDescent="0.2">
      <c r="A108" s="94">
        <v>9</v>
      </c>
      <c r="B108" s="71">
        <f>MAX(MIN(战斗节奏!$C$3-INT(A108/'⚪设计'!$C$55),MOD(A108,'⚪设计'!$C$55)),0)*'⚪设计'!$C$79*防御塔!$C$2+MIN(INT(A108/'⚪设计'!$C$55),战斗节奏!$C$3)*'⚪设计'!$C$80*防御塔!$C$2</f>
        <v>4859.9999999999991</v>
      </c>
      <c r="C108" s="173">
        <v>1.4</v>
      </c>
      <c r="D108" s="173">
        <v>18</v>
      </c>
      <c r="E108" s="71" t="str">
        <f>IF(VLOOKUP(A108,'⚪设计'!$A$301:$G$320,4,FALSE)="","",VLOOKUP(VLOOKUP(A108,'⚪设计'!$A$301:$G$320,4,FALSE),'⚪设计'!$B$85:$D$113,2,FALSE))</f>
        <v>ResUnit_WuGui2</v>
      </c>
      <c r="F108" s="71">
        <f t="shared" si="16"/>
        <v>12</v>
      </c>
      <c r="G108" s="71">
        <f>IF(VLOOKUP($A108,'⚪设计'!$A$229:$K$249,7+1,FALSE)="","",VLOOKUP(A108,'⚪设计'!$A$229:$K$249,7+1,FALSE))</f>
        <v>1.5</v>
      </c>
      <c r="H108" s="71">
        <f>IF(E108="",0,ROUND(VLOOKUP($A108,'⚪设计'!$A$301:$G$320,2,FALSE)*$B108/SUM(IF($E108="",0,VLOOKUP($E108,'⚪设计'!$C$85:$E$113,3,FALSE))*$F108,IF($J108="",0,VLOOKUP($J108,'⚪设计'!$C$85:$E$113,3,FALSE))*$K108,IF($O108="",0,VLOOKUP($O108,'⚪设计'!$C$85:$E$113,3,FALSE))*$P108,IF($T108="",0,VLOOKUP($T108,'⚪设计'!$C$85:$E$113,3,FALSE))*$U108)*VLOOKUP(E108,'⚪设计'!$C$85:$E$113,3,FALSE),0))</f>
        <v>5891</v>
      </c>
      <c r="I108" s="71">
        <f>ROUND(战斗节奏!$B$3/SUM(IF(无限模式!$E108="",0,VLOOKUP(无限模式!$E108,'⚪设计'!$C$85:$I$113,4,FALSE)*无限模式!$F108),IF(无限模式!$J108="",0,VLOOKUP(无限模式!$J108,'⚪设计'!$C$85:$I$113,4,FALSE)*无限模式!$K108),IF(无限模式!$O108="",0,VLOOKUP(无限模式!$O108,'⚪设计'!$C$85:$I$113,4,FALSE)*无限模式!$P108),IF(无限模式!$T108="",0,VLOOKUP(无限模式!$T108,'⚪设计'!$C$85:$I$113,4,FALSE)*无限模式!$U108))*IF(E108="",0,VLOOKUP(E108,'⚪设计'!$C$85:$I$113,4,FALSE)),0)</f>
        <v>17</v>
      </c>
      <c r="J108" s="71" t="str">
        <f>IF(VLOOKUP(A108,'⚪设计'!$A$301:$G$320,5,FALSE)="","",VLOOKUP(VLOOKUP(A108,'⚪设计'!$A$301:$G$320,5,FALSE),'⚪设计'!$B$85:$D$113,2,FALSE))</f>
        <v>ResUnit_ZhongZi1</v>
      </c>
      <c r="K108" s="71">
        <f t="shared" si="17"/>
        <v>6</v>
      </c>
      <c r="L108" s="71">
        <f>IF(VLOOKUP($A108,'⚪设计'!$A$229:$K$249,7+2,FALSE)="","",VLOOKUP(A108,'⚪设计'!$A$229:$K$249,7+2,FALSE))</f>
        <v>3</v>
      </c>
      <c r="M108" s="71">
        <f>IF(J108="",0,ROUND(VLOOKUP($A108,'⚪设计'!$A$301:$G$320,2,FALSE)*$B108/SUM(IF($E108="",0,VLOOKUP($E108,'⚪设计'!$C$85:$E$113,3,FALSE))*$F108,IF($J108="",0,VLOOKUP($J108,'⚪设计'!$C$85:$E$113,3,FALSE))*$K108,IF($O108="",0,VLOOKUP($O108,'⚪设计'!$C$85:$E$113,3,FALSE))*$P108,IF($T108="",0,VLOOKUP($T108,'⚪设计'!$C$85:$E$113,3,FALSE))*$U108)*VLOOKUP(J108,'⚪设计'!$C$85:$E$113,3,FALSE),0))</f>
        <v>4418</v>
      </c>
      <c r="N108" s="71">
        <f>ROUND(战斗节奏!$B$3/SUM(IF(无限模式!$E108="",0,VLOOKUP(无限模式!$E108,'⚪设计'!$C$85:$I$113,4,FALSE)*无限模式!$F108),IF(无限模式!$J108="",0,VLOOKUP(无限模式!$J108,'⚪设计'!$C$85:$I$113,4,FALSE)*无限模式!$K108),IF(无限模式!$O108="",0,VLOOKUP(无限模式!$O108,'⚪设计'!$C$85:$I$113,4,FALSE)*无限模式!$P108),IF(无限模式!$T108="",0,VLOOKUP(无限模式!$T108,'⚪设计'!$C$85:$I$113,4,FALSE)*无限模式!$U108))*IF(J108="",0,VLOOKUP(J108,'⚪设计'!$C$85:$I$113,4,FALSE)),0)</f>
        <v>17</v>
      </c>
      <c r="O108" s="71" t="str">
        <f>IF(VLOOKUP(A108,'⚪设计'!$A$301:$G$320,6,FALSE)="","",VLOOKUP(VLOOKUP(A108,'⚪设计'!$A$301:$G$320,6,FALSE),'⚪设计'!$B$85:$D$113,2,FALSE))</f>
        <v/>
      </c>
      <c r="P108" s="71">
        <f t="shared" si="18"/>
        <v>0</v>
      </c>
      <c r="Q108" s="71" t="str">
        <f>IF(VLOOKUP($A108,'⚪设计'!$A$229:$K$249,7+3,FALSE)="","",VLOOKUP(A108,'⚪设计'!$A$229:$K$249,7+3,FALSE))</f>
        <v/>
      </c>
      <c r="R108" s="71">
        <f>IF(O108="",0,ROUND(VLOOKUP($A108,'⚪设计'!$A$301:$G$320,2,FALSE)*$B108/SUM(IF($E108="",0,VLOOKUP($E108,'⚪设计'!$C$85:$E$113,3,FALSE))*$F108,IF($J108="",0,VLOOKUP($J108,'⚪设计'!$C$85:$E$113,3,FALSE))*$K108,IF($O108="",0,VLOOKUP($O108,'⚪设计'!$C$85:$E$113,3,FALSE))*$P108,IF($T108="",0,VLOOKUP($T108,'⚪设计'!$C$85:$E$113,3,FALSE))*$U108)*VLOOKUP(O108,'⚪设计'!$C$85:$E$113,3,FALSE),0))</f>
        <v>0</v>
      </c>
      <c r="S108" s="71">
        <f>ROUND(战斗节奏!$B$3/SUM(IF(无限模式!$E108="",0,VLOOKUP(无限模式!$E108,'⚪设计'!$C$85:$I$113,4,FALSE)*无限模式!$F108),IF(无限模式!$J108="",0,VLOOKUP(无限模式!$J108,'⚪设计'!$C$85:$I$113,4,FALSE)*无限模式!$K108),IF(无限模式!$O108="",0,VLOOKUP(无限模式!$O108,'⚪设计'!$C$85:$I$113,4,FALSE)*无限模式!$P108),IF(无限模式!$T108="",0,VLOOKUP(无限模式!$T108,'⚪设计'!$C$85:$I$113,4,FALSE)*无限模式!$U108))*IF(O108="",0,VLOOKUP(O108,'⚪设计'!$C$85:$I$113,4,FALSE)),0)</f>
        <v>0</v>
      </c>
      <c r="T108" s="71" t="str">
        <f>IF(VLOOKUP(A108,'⚪设计'!$A$301:$G$320,7,FALSE)="","",VLOOKUP(VLOOKUP(A108,'⚪设计'!$A$301:$G$320,7,FALSE),'⚪设计'!$B$85:$D$113,2,FALSE))</f>
        <v/>
      </c>
      <c r="U108" s="71">
        <f t="shared" si="19"/>
        <v>0</v>
      </c>
      <c r="V108" s="71" t="str">
        <f>IF(VLOOKUP($A108,'⚪设计'!$A$229:$K$249,7+4,FALSE)="","",VLOOKUP(A108,'⚪设计'!$A$229:$K$249,7+4,FALSE))</f>
        <v/>
      </c>
      <c r="W108" s="71">
        <f>IF(T108="",0,ROUND(VLOOKUP($A108,'⚪设计'!$A$301:$G$320,2,FALSE)*$B108/SUM(IF($E108="",0,VLOOKUP($E108,'⚪设计'!$C$85:$E$113,3,FALSE))*$F108,IF($J108="",0,VLOOKUP($J108,'⚪设计'!$C$85:$E$113,3,FALSE))*$K108,IF($O108="",0,VLOOKUP($O108,'⚪设计'!$C$85:$E$113,3,FALSE))*$P108,IF($T108="",0,VLOOKUP($T108,'⚪设计'!$C$85:$E$113,3,FALSE))*$U108)*VLOOKUP(T108,'⚪设计'!$C$85:$E$113,3,FALSE),0))</f>
        <v>0</v>
      </c>
      <c r="X108" s="71">
        <f>ROUND(战斗节奏!$B$3/SUM(IF(无限模式!$E108="",0,VLOOKUP(无限模式!$E108,'⚪设计'!$C$85:$I$113,4,FALSE)*无限模式!$F108),IF(无限模式!$J108="",0,VLOOKUP(无限模式!$J108,'⚪设计'!$C$85:$I$113,4,FALSE)*无限模式!$K108),IF(无限模式!$O108="",0,VLOOKUP(无限模式!$O108,'⚪设计'!$C$85:$I$113,4,FALSE)*无限模式!$P108),IF(无限模式!$T108="",0,VLOOKUP(无限模式!$T108,'⚪设计'!$C$85:$I$113,4,FALSE)*无限模式!$U108))*IF(T108="",0,VLOOKUP(T108,'⚪设计'!$C$85:$I$113,4,FALSE)),0)</f>
        <v>0</v>
      </c>
    </row>
    <row r="109" spans="1:24" x14ac:dyDescent="0.2">
      <c r="A109" s="94">
        <v>10</v>
      </c>
      <c r="B109" s="71">
        <f>MAX(MIN(战斗节奏!$C$3-INT(A109/'⚪设计'!$C$55),MOD(A109,'⚪设计'!$C$55)),0)*'⚪设计'!$C$79*防御塔!$C$2+MIN(INT(A109/'⚪设计'!$C$55),战斗节奏!$C$3)*'⚪设计'!$C$80*防御塔!$C$2</f>
        <v>5399.9999999999991</v>
      </c>
      <c r="C109" s="173">
        <v>1.45</v>
      </c>
      <c r="D109" s="173">
        <v>19</v>
      </c>
      <c r="E109" s="71" t="str">
        <f>IF(VLOOKUP(A109,'⚪设计'!$A$301:$G$320,4,FALSE)="","",VLOOKUP(VLOOKUP(A109,'⚪设计'!$A$301:$G$320,4,FALSE),'⚪设计'!$B$85:$D$113,2,FALSE))</f>
        <v>ResUnit_WuGui2</v>
      </c>
      <c r="F109" s="71">
        <f t="shared" si="16"/>
        <v>19</v>
      </c>
      <c r="G109" s="71">
        <f>IF(VLOOKUP($A109,'⚪设计'!$A$229:$K$249,7+1,FALSE)="","",VLOOKUP(A109,'⚪设计'!$A$229:$K$249,7+1,FALSE))</f>
        <v>1</v>
      </c>
      <c r="H109" s="71">
        <f>IF(E109="",0,ROUND(VLOOKUP($A109,'⚪设计'!$A$301:$G$320,2,FALSE)*$B109/SUM(IF($E109="",0,VLOOKUP($E109,'⚪设计'!$C$85:$E$113,3,FALSE))*$F109,IF($J109="",0,VLOOKUP($J109,'⚪设计'!$C$85:$E$113,3,FALSE))*$K109,IF($O109="",0,VLOOKUP($O109,'⚪设计'!$C$85:$E$113,3,FALSE))*$P109,IF($T109="",0,VLOOKUP($T109,'⚪设计'!$C$85:$E$113,3,FALSE))*$U109)*VLOOKUP(E109,'⚪设计'!$C$85:$E$113,3,FALSE),0))</f>
        <v>8617</v>
      </c>
      <c r="I109" s="71">
        <f>ROUND(战斗节奏!$B$3/SUM(IF(无限模式!$E109="",0,VLOOKUP(无限模式!$E109,'⚪设计'!$C$85:$I$113,4,FALSE)*无限模式!$F109),IF(无限模式!$J109="",0,VLOOKUP(无限模式!$J109,'⚪设计'!$C$85:$I$113,4,FALSE)*无限模式!$K109),IF(无限模式!$O109="",0,VLOOKUP(无限模式!$O109,'⚪设计'!$C$85:$I$113,4,FALSE)*无限模式!$P109),IF(无限模式!$T109="",0,VLOOKUP(无限模式!$T109,'⚪设计'!$C$85:$I$113,4,FALSE)*无限模式!$U109))*IF(E109="",0,VLOOKUP(E109,'⚪设计'!$C$85:$I$113,4,FALSE)),0)</f>
        <v>12</v>
      </c>
      <c r="J109" s="71" t="str">
        <f>IF(VLOOKUP(A109,'⚪设计'!$A$301:$G$320,5,FALSE)="","",VLOOKUP(VLOOKUP(A109,'⚪设计'!$A$301:$G$320,5,FALSE),'⚪设计'!$B$85:$D$113,2,FALSE))</f>
        <v>ResUnit_ZhongZi1</v>
      </c>
      <c r="K109" s="71">
        <f t="shared" si="17"/>
        <v>6</v>
      </c>
      <c r="L109" s="71">
        <f>IF(VLOOKUP($A109,'⚪设计'!$A$229:$K$249,7+2,FALSE)="","",VLOOKUP(A109,'⚪设计'!$A$229:$K$249,7+2,FALSE))</f>
        <v>3</v>
      </c>
      <c r="M109" s="71">
        <f>IF(J109="",0,ROUND(VLOOKUP($A109,'⚪设计'!$A$301:$G$320,2,FALSE)*$B109/SUM(IF($E109="",0,VLOOKUP($E109,'⚪设计'!$C$85:$E$113,3,FALSE))*$F109,IF($J109="",0,VLOOKUP($J109,'⚪设计'!$C$85:$E$113,3,FALSE))*$K109,IF($O109="",0,VLOOKUP($O109,'⚪设计'!$C$85:$E$113,3,FALSE))*$P109,IF($T109="",0,VLOOKUP($T109,'⚪设计'!$C$85:$E$113,3,FALSE))*$U109)*VLOOKUP(J109,'⚪设计'!$C$85:$E$113,3,FALSE),0))</f>
        <v>6463</v>
      </c>
      <c r="N109" s="71">
        <f>ROUND(战斗节奏!$B$3/SUM(IF(无限模式!$E109="",0,VLOOKUP(无限模式!$E109,'⚪设计'!$C$85:$I$113,4,FALSE)*无限模式!$F109),IF(无限模式!$J109="",0,VLOOKUP(无限模式!$J109,'⚪设计'!$C$85:$I$113,4,FALSE)*无限模式!$K109),IF(无限模式!$O109="",0,VLOOKUP(无限模式!$O109,'⚪设计'!$C$85:$I$113,4,FALSE)*无限模式!$P109),IF(无限模式!$T109="",0,VLOOKUP(无限模式!$T109,'⚪设计'!$C$85:$I$113,4,FALSE)*无限模式!$U109))*IF(J109="",0,VLOOKUP(J109,'⚪设计'!$C$85:$I$113,4,FALSE)),0)</f>
        <v>12</v>
      </c>
      <c r="O109" s="71" t="str">
        <f>IF(VLOOKUP(A109,'⚪设计'!$A$301:$G$320,6,FALSE)="","",VLOOKUP(VLOOKUP(A109,'⚪设计'!$A$301:$G$320,6,FALSE),'⚪设计'!$B$85:$D$113,2,FALSE))</f>
        <v/>
      </c>
      <c r="P109" s="71">
        <f t="shared" si="18"/>
        <v>0</v>
      </c>
      <c r="Q109" s="71" t="str">
        <f>IF(VLOOKUP($A109,'⚪设计'!$A$229:$K$249,7+3,FALSE)="","",VLOOKUP(A109,'⚪设计'!$A$229:$K$249,7+3,FALSE))</f>
        <v/>
      </c>
      <c r="R109" s="71">
        <f>IF(O109="",0,ROUND(VLOOKUP($A109,'⚪设计'!$A$301:$G$320,2,FALSE)*$B109/SUM(IF($E109="",0,VLOOKUP($E109,'⚪设计'!$C$85:$E$113,3,FALSE))*$F109,IF($J109="",0,VLOOKUP($J109,'⚪设计'!$C$85:$E$113,3,FALSE))*$K109,IF($O109="",0,VLOOKUP($O109,'⚪设计'!$C$85:$E$113,3,FALSE))*$P109,IF($T109="",0,VLOOKUP($T109,'⚪设计'!$C$85:$E$113,3,FALSE))*$U109)*VLOOKUP(O109,'⚪设计'!$C$85:$E$113,3,FALSE),0))</f>
        <v>0</v>
      </c>
      <c r="S109" s="71">
        <f>ROUND(战斗节奏!$B$3/SUM(IF(无限模式!$E109="",0,VLOOKUP(无限模式!$E109,'⚪设计'!$C$85:$I$113,4,FALSE)*无限模式!$F109),IF(无限模式!$J109="",0,VLOOKUP(无限模式!$J109,'⚪设计'!$C$85:$I$113,4,FALSE)*无限模式!$K109),IF(无限模式!$O109="",0,VLOOKUP(无限模式!$O109,'⚪设计'!$C$85:$I$113,4,FALSE)*无限模式!$P109),IF(无限模式!$T109="",0,VLOOKUP(无限模式!$T109,'⚪设计'!$C$85:$I$113,4,FALSE)*无限模式!$U109))*IF(O109="",0,VLOOKUP(O109,'⚪设计'!$C$85:$I$113,4,FALSE)),0)</f>
        <v>0</v>
      </c>
      <c r="T109" s="71" t="str">
        <f>IF(VLOOKUP(A109,'⚪设计'!$A$301:$G$320,7,FALSE)="","",VLOOKUP(VLOOKUP(A109,'⚪设计'!$A$301:$G$320,7,FALSE),'⚪设计'!$B$85:$D$113,2,FALSE))</f>
        <v/>
      </c>
      <c r="U109" s="71">
        <f t="shared" si="19"/>
        <v>0</v>
      </c>
      <c r="V109" s="71" t="str">
        <f>IF(VLOOKUP($A109,'⚪设计'!$A$229:$K$249,7+4,FALSE)="","",VLOOKUP(A109,'⚪设计'!$A$229:$K$249,7+4,FALSE))</f>
        <v/>
      </c>
      <c r="W109" s="71">
        <f>IF(T109="",0,ROUND(VLOOKUP($A109,'⚪设计'!$A$301:$G$320,2,FALSE)*$B109/SUM(IF($E109="",0,VLOOKUP($E109,'⚪设计'!$C$85:$E$113,3,FALSE))*$F109,IF($J109="",0,VLOOKUP($J109,'⚪设计'!$C$85:$E$113,3,FALSE))*$K109,IF($O109="",0,VLOOKUP($O109,'⚪设计'!$C$85:$E$113,3,FALSE))*$P109,IF($T109="",0,VLOOKUP($T109,'⚪设计'!$C$85:$E$113,3,FALSE))*$U109)*VLOOKUP(T109,'⚪设计'!$C$85:$E$113,3,FALSE),0))</f>
        <v>0</v>
      </c>
      <c r="X109" s="71">
        <f>ROUND(战斗节奏!$B$3/SUM(IF(无限模式!$E109="",0,VLOOKUP(无限模式!$E109,'⚪设计'!$C$85:$I$113,4,FALSE)*无限模式!$F109),IF(无限模式!$J109="",0,VLOOKUP(无限模式!$J109,'⚪设计'!$C$85:$I$113,4,FALSE)*无限模式!$K109),IF(无限模式!$O109="",0,VLOOKUP(无限模式!$O109,'⚪设计'!$C$85:$I$113,4,FALSE)*无限模式!$P109),IF(无限模式!$T109="",0,VLOOKUP(无限模式!$T109,'⚪设计'!$C$85:$I$113,4,FALSE)*无限模式!$U109))*IF(T109="",0,VLOOKUP(T109,'⚪设计'!$C$85:$I$113,4,FALSE)),0)</f>
        <v>0</v>
      </c>
    </row>
    <row r="110" spans="1:24" x14ac:dyDescent="0.2">
      <c r="A110" s="94">
        <v>11</v>
      </c>
      <c r="B110" s="71">
        <f>MAX(MIN(战斗节奏!$C$3-INT(A110/'⚪设计'!$C$55),MOD(A110,'⚪设计'!$C$55)),0)*'⚪设计'!$C$79*防御塔!$C$2+MIN(INT(A110/'⚪设计'!$C$55),战斗节奏!$C$3)*'⚪设计'!$C$80*防御塔!$C$2</f>
        <v>5939.9999999999991</v>
      </c>
      <c r="C110" s="173">
        <v>1.5</v>
      </c>
      <c r="D110" s="173">
        <v>20</v>
      </c>
      <c r="E110" s="71" t="str">
        <f>IF(VLOOKUP(A110,'⚪设计'!$A$301:$G$320,4,FALSE)="","",VLOOKUP(VLOOKUP(A110,'⚪设计'!$A$301:$G$320,4,FALSE),'⚪设计'!$B$85:$D$113,2,FALSE))</f>
        <v>ResUnit_WuGui2</v>
      </c>
      <c r="F110" s="71">
        <f t="shared" si="16"/>
        <v>20</v>
      </c>
      <c r="G110" s="71">
        <f>IF(VLOOKUP($A110,'⚪设计'!$A$229:$K$249,7+1,FALSE)="","",VLOOKUP(A110,'⚪设计'!$A$229:$K$249,7+1,FALSE))</f>
        <v>1</v>
      </c>
      <c r="H110" s="71">
        <f>IF(E110="",0,ROUND(VLOOKUP($A110,'⚪设计'!$A$301:$G$320,2,FALSE)*$B110/SUM(IF($E110="",0,VLOOKUP($E110,'⚪设计'!$C$85:$E$113,3,FALSE))*$F110,IF($J110="",0,VLOOKUP($J110,'⚪设计'!$C$85:$E$113,3,FALSE))*$K110,IF($O110="",0,VLOOKUP($O110,'⚪设计'!$C$85:$E$113,3,FALSE))*$P110,IF($T110="",0,VLOOKUP($T110,'⚪设计'!$C$85:$E$113,3,FALSE))*$U110)*VLOOKUP(E110,'⚪设计'!$C$85:$E$113,3,FALSE),0))</f>
        <v>11880</v>
      </c>
      <c r="I110" s="71">
        <f>ROUND(战斗节奏!$B$3/SUM(IF(无限模式!$E110="",0,VLOOKUP(无限模式!$E110,'⚪设计'!$C$85:$I$113,4,FALSE)*无限模式!$F110),IF(无限模式!$J110="",0,VLOOKUP(无限模式!$J110,'⚪设计'!$C$85:$I$113,4,FALSE)*无限模式!$K110),IF(无限模式!$O110="",0,VLOOKUP(无限模式!$O110,'⚪设计'!$C$85:$I$113,4,FALSE)*无限模式!$P110),IF(无限模式!$T110="",0,VLOOKUP(无限模式!$T110,'⚪设计'!$C$85:$I$113,4,FALSE)*无限模式!$U110))*IF(E110="",0,VLOOKUP(E110,'⚪设计'!$C$85:$I$113,4,FALSE)),0)</f>
        <v>12</v>
      </c>
      <c r="J110" s="71" t="str">
        <f>IF(VLOOKUP(A110,'⚪设计'!$A$301:$G$320,5,FALSE)="","",VLOOKUP(VLOOKUP(A110,'⚪设计'!$A$301:$G$320,5,FALSE),'⚪设计'!$B$85:$D$113,2,FALSE))</f>
        <v>ResUnit_ZhiZhu2</v>
      </c>
      <c r="K110" s="71">
        <f t="shared" si="17"/>
        <v>10</v>
      </c>
      <c r="L110" s="71">
        <f>IF(VLOOKUP($A110,'⚪设计'!$A$229:$K$249,7+2,FALSE)="","",VLOOKUP(A110,'⚪设计'!$A$229:$K$249,7+2,FALSE))</f>
        <v>2</v>
      </c>
      <c r="M110" s="71">
        <f>IF(J110="",0,ROUND(VLOOKUP($A110,'⚪设计'!$A$301:$G$320,2,FALSE)*$B110/SUM(IF($E110="",0,VLOOKUP($E110,'⚪设计'!$C$85:$E$113,3,FALSE))*$F110,IF($J110="",0,VLOOKUP($J110,'⚪设计'!$C$85:$E$113,3,FALSE))*$K110,IF($O110="",0,VLOOKUP($O110,'⚪设计'!$C$85:$E$113,3,FALSE))*$P110,IF($T110="",0,VLOOKUP($T110,'⚪设计'!$C$85:$E$113,3,FALSE))*$U110)*VLOOKUP(J110,'⚪设计'!$C$85:$E$113,3,FALSE),0))</f>
        <v>5940</v>
      </c>
      <c r="N110" s="71">
        <f>ROUND(战斗节奏!$B$3/SUM(IF(无限模式!$E110="",0,VLOOKUP(无限模式!$E110,'⚪设计'!$C$85:$I$113,4,FALSE)*无限模式!$F110),IF(无限模式!$J110="",0,VLOOKUP(无限模式!$J110,'⚪设计'!$C$85:$I$113,4,FALSE)*无限模式!$K110),IF(无限模式!$O110="",0,VLOOKUP(无限模式!$O110,'⚪设计'!$C$85:$I$113,4,FALSE)*无限模式!$P110),IF(无限模式!$T110="",0,VLOOKUP(无限模式!$T110,'⚪设计'!$C$85:$I$113,4,FALSE)*无限模式!$U110))*IF(J110="",0,VLOOKUP(J110,'⚪设计'!$C$85:$I$113,4,FALSE)),0)</f>
        <v>6</v>
      </c>
      <c r="O110" s="71" t="str">
        <f>IF(VLOOKUP(A110,'⚪设计'!$A$301:$G$320,6,FALSE)="","",VLOOKUP(VLOOKUP(A110,'⚪设计'!$A$301:$G$320,6,FALSE),'⚪设计'!$B$85:$D$113,2,FALSE))</f>
        <v/>
      </c>
      <c r="P110" s="71">
        <f t="shared" si="18"/>
        <v>0</v>
      </c>
      <c r="Q110" s="71" t="str">
        <f>IF(VLOOKUP($A110,'⚪设计'!$A$229:$K$249,7+3,FALSE)="","",VLOOKUP(A110,'⚪设计'!$A$229:$K$249,7+3,FALSE))</f>
        <v/>
      </c>
      <c r="R110" s="71">
        <f>IF(O110="",0,ROUND(VLOOKUP($A110,'⚪设计'!$A$301:$G$320,2,FALSE)*$B110/SUM(IF($E110="",0,VLOOKUP($E110,'⚪设计'!$C$85:$E$113,3,FALSE))*$F110,IF($J110="",0,VLOOKUP($J110,'⚪设计'!$C$85:$E$113,3,FALSE))*$K110,IF($O110="",0,VLOOKUP($O110,'⚪设计'!$C$85:$E$113,3,FALSE))*$P110,IF($T110="",0,VLOOKUP($T110,'⚪设计'!$C$85:$E$113,3,FALSE))*$U110)*VLOOKUP(O110,'⚪设计'!$C$85:$E$113,3,FALSE),0))</f>
        <v>0</v>
      </c>
      <c r="S110" s="71">
        <f>ROUND(战斗节奏!$B$3/SUM(IF(无限模式!$E110="",0,VLOOKUP(无限模式!$E110,'⚪设计'!$C$85:$I$113,4,FALSE)*无限模式!$F110),IF(无限模式!$J110="",0,VLOOKUP(无限模式!$J110,'⚪设计'!$C$85:$I$113,4,FALSE)*无限模式!$K110),IF(无限模式!$O110="",0,VLOOKUP(无限模式!$O110,'⚪设计'!$C$85:$I$113,4,FALSE)*无限模式!$P110),IF(无限模式!$T110="",0,VLOOKUP(无限模式!$T110,'⚪设计'!$C$85:$I$113,4,FALSE)*无限模式!$U110))*IF(O110="",0,VLOOKUP(O110,'⚪设计'!$C$85:$I$113,4,FALSE)),0)</f>
        <v>0</v>
      </c>
      <c r="T110" s="71" t="str">
        <f>IF(VLOOKUP(A110,'⚪设计'!$A$301:$G$320,7,FALSE)="","",VLOOKUP(VLOOKUP(A110,'⚪设计'!$A$301:$G$320,7,FALSE),'⚪设计'!$B$85:$D$113,2,FALSE))</f>
        <v/>
      </c>
      <c r="U110" s="71">
        <f t="shared" si="19"/>
        <v>0</v>
      </c>
      <c r="V110" s="71" t="str">
        <f>IF(VLOOKUP($A110,'⚪设计'!$A$229:$K$249,7+4,FALSE)="","",VLOOKUP(A110,'⚪设计'!$A$229:$K$249,7+4,FALSE))</f>
        <v/>
      </c>
      <c r="W110" s="71">
        <f>IF(T110="",0,ROUND(VLOOKUP($A110,'⚪设计'!$A$301:$G$320,2,FALSE)*$B110/SUM(IF($E110="",0,VLOOKUP($E110,'⚪设计'!$C$85:$E$113,3,FALSE))*$F110,IF($J110="",0,VLOOKUP($J110,'⚪设计'!$C$85:$E$113,3,FALSE))*$K110,IF($O110="",0,VLOOKUP($O110,'⚪设计'!$C$85:$E$113,3,FALSE))*$P110,IF($T110="",0,VLOOKUP($T110,'⚪设计'!$C$85:$E$113,3,FALSE))*$U110)*VLOOKUP(T110,'⚪设计'!$C$85:$E$113,3,FALSE),0))</f>
        <v>0</v>
      </c>
      <c r="X110" s="71">
        <f>ROUND(战斗节奏!$B$3/SUM(IF(无限模式!$E110="",0,VLOOKUP(无限模式!$E110,'⚪设计'!$C$85:$I$113,4,FALSE)*无限模式!$F110),IF(无限模式!$J110="",0,VLOOKUP(无限模式!$J110,'⚪设计'!$C$85:$I$113,4,FALSE)*无限模式!$K110),IF(无限模式!$O110="",0,VLOOKUP(无限模式!$O110,'⚪设计'!$C$85:$I$113,4,FALSE)*无限模式!$P110),IF(无限模式!$T110="",0,VLOOKUP(无限模式!$T110,'⚪设计'!$C$85:$I$113,4,FALSE)*无限模式!$U110))*IF(T110="",0,VLOOKUP(T110,'⚪设计'!$C$85:$I$113,4,FALSE)),0)</f>
        <v>0</v>
      </c>
    </row>
    <row r="111" spans="1:24" x14ac:dyDescent="0.2">
      <c r="A111" s="94">
        <v>12</v>
      </c>
      <c r="B111" s="71">
        <f>MAX(MIN(战斗节奏!$C$3-INT(A111/'⚪设计'!$C$55),MOD(A111,'⚪设计'!$C$55)),0)*'⚪设计'!$C$79*防御塔!$C$2+MIN(INT(A111/'⚪设计'!$C$55),战斗节奏!$C$3)*'⚪设计'!$C$80*防御塔!$C$2</f>
        <v>6480</v>
      </c>
      <c r="C111" s="173">
        <v>1.55</v>
      </c>
      <c r="D111" s="173">
        <v>21</v>
      </c>
      <c r="E111" s="71" t="str">
        <f>IF(VLOOKUP(A111,'⚪设计'!$A$301:$G$320,4,FALSE)="","",VLOOKUP(VLOOKUP(A111,'⚪设计'!$A$301:$G$320,4,FALSE),'⚪设计'!$B$85:$D$113,2,FALSE))</f>
        <v>ResUnit_WuGui2</v>
      </c>
      <c r="F111" s="71">
        <f t="shared" si="16"/>
        <v>21</v>
      </c>
      <c r="G111" s="71">
        <f>IF(VLOOKUP($A111,'⚪设计'!$A$229:$K$249,7+1,FALSE)="","",VLOOKUP(A111,'⚪设计'!$A$229:$K$249,7+1,FALSE))</f>
        <v>1</v>
      </c>
      <c r="H111" s="71">
        <f>IF(E111="",0,ROUND(VLOOKUP($A111,'⚪设计'!$A$301:$G$320,2,FALSE)*$B111/SUM(IF($E111="",0,VLOOKUP($E111,'⚪设计'!$C$85:$E$113,3,FALSE))*$F111,IF($J111="",0,VLOOKUP($J111,'⚪设计'!$C$85:$E$113,3,FALSE))*$K111,IF($O111="",0,VLOOKUP($O111,'⚪设计'!$C$85:$E$113,3,FALSE))*$P111,IF($T111="",0,VLOOKUP($T111,'⚪设计'!$C$85:$E$113,3,FALSE))*$U111)*VLOOKUP(E111,'⚪设计'!$C$85:$E$113,3,FALSE),0))</f>
        <v>13407</v>
      </c>
      <c r="I111" s="71">
        <f>ROUND(战斗节奏!$B$3/SUM(IF(无限模式!$E111="",0,VLOOKUP(无限模式!$E111,'⚪设计'!$C$85:$I$113,4,FALSE)*无限模式!$F111),IF(无限模式!$J111="",0,VLOOKUP(无限模式!$J111,'⚪设计'!$C$85:$I$113,4,FALSE)*无限模式!$K111),IF(无限模式!$O111="",0,VLOOKUP(无限模式!$O111,'⚪设计'!$C$85:$I$113,4,FALSE)*无限模式!$P111),IF(无限模式!$T111="",0,VLOOKUP(无限模式!$T111,'⚪设计'!$C$85:$I$113,4,FALSE)*无限模式!$U111))*IF(E111="",0,VLOOKUP(E111,'⚪设计'!$C$85:$I$113,4,FALSE)),0)</f>
        <v>6</v>
      </c>
      <c r="J111" s="71" t="str">
        <f>IF(VLOOKUP(A111,'⚪设计'!$A$301:$G$320,5,FALSE)="","",VLOOKUP(VLOOKUP(A111,'⚪设计'!$A$301:$G$320,5,FALSE),'⚪设计'!$B$85:$D$113,2,FALSE))</f>
        <v>ResUnit_ZhongZi1</v>
      </c>
      <c r="K111" s="71">
        <f t="shared" si="17"/>
        <v>7</v>
      </c>
      <c r="L111" s="71">
        <f>IF(VLOOKUP($A111,'⚪设计'!$A$229:$K$249,7+2,FALSE)="","",VLOOKUP(A111,'⚪设计'!$A$229:$K$249,7+2,FALSE))</f>
        <v>3</v>
      </c>
      <c r="M111" s="71">
        <f>IF(J111="",0,ROUND(VLOOKUP($A111,'⚪设计'!$A$301:$G$320,2,FALSE)*$B111/SUM(IF($E111="",0,VLOOKUP($E111,'⚪设计'!$C$85:$E$113,3,FALSE))*$F111,IF($J111="",0,VLOOKUP($J111,'⚪设计'!$C$85:$E$113,3,FALSE))*$K111,IF($O111="",0,VLOOKUP($O111,'⚪设计'!$C$85:$E$113,3,FALSE))*$P111,IF($T111="",0,VLOOKUP($T111,'⚪设计'!$C$85:$E$113,3,FALSE))*$U111)*VLOOKUP(J111,'⚪设计'!$C$85:$E$113,3,FALSE),0))</f>
        <v>10055</v>
      </c>
      <c r="N111" s="71">
        <f>ROUND(战斗节奏!$B$3/SUM(IF(无限模式!$E111="",0,VLOOKUP(无限模式!$E111,'⚪设计'!$C$85:$I$113,4,FALSE)*无限模式!$F111),IF(无限模式!$J111="",0,VLOOKUP(无限模式!$J111,'⚪设计'!$C$85:$I$113,4,FALSE)*无限模式!$K111),IF(无限模式!$O111="",0,VLOOKUP(无限模式!$O111,'⚪设计'!$C$85:$I$113,4,FALSE)*无限模式!$P111),IF(无限模式!$T111="",0,VLOOKUP(无限模式!$T111,'⚪设计'!$C$85:$I$113,4,FALSE)*无限模式!$U111))*IF(J111="",0,VLOOKUP(J111,'⚪设计'!$C$85:$I$113,4,FALSE)),0)</f>
        <v>6</v>
      </c>
      <c r="O111" s="71" t="str">
        <f>IF(VLOOKUP(A111,'⚪设计'!$A$301:$G$320,6,FALSE)="","",VLOOKUP(VLOOKUP(A111,'⚪设计'!$A$301:$G$320,6,FALSE),'⚪设计'!$B$85:$D$113,2,FALSE))</f>
        <v>ResUnit_ZhongZi3</v>
      </c>
      <c r="P111" s="71">
        <f t="shared" si="18"/>
        <v>1</v>
      </c>
      <c r="Q111" s="71">
        <f>IF(VLOOKUP($A111,'⚪设计'!$A$229:$K$249,7+3,FALSE)="","",VLOOKUP(A111,'⚪设计'!$A$229:$K$249,7+3,FALSE))</f>
        <v>0</v>
      </c>
      <c r="R111" s="71">
        <f>IF(O111="",0,ROUND(VLOOKUP($A111,'⚪设计'!$A$301:$G$320,2,FALSE)*$B111/SUM(IF($E111="",0,VLOOKUP($E111,'⚪设计'!$C$85:$E$113,3,FALSE))*$F111,IF($J111="",0,VLOOKUP($J111,'⚪设计'!$C$85:$E$113,3,FALSE))*$K111,IF($O111="",0,VLOOKUP($O111,'⚪设计'!$C$85:$E$113,3,FALSE))*$P111,IF($T111="",0,VLOOKUP($T111,'⚪设计'!$C$85:$E$113,3,FALSE))*$U111)*VLOOKUP(O111,'⚪设计'!$C$85:$E$113,3,FALSE),0))</f>
        <v>134069</v>
      </c>
      <c r="S111" s="71">
        <f>ROUND(战斗节奏!$B$3/SUM(IF(无限模式!$E111="",0,VLOOKUP(无限模式!$E111,'⚪设计'!$C$85:$I$113,4,FALSE)*无限模式!$F111),IF(无限模式!$J111="",0,VLOOKUP(无限模式!$J111,'⚪设计'!$C$85:$I$113,4,FALSE)*无限模式!$K111),IF(无限模式!$O111="",0,VLOOKUP(无限模式!$O111,'⚪设计'!$C$85:$I$113,4,FALSE)*无限模式!$P111),IF(无限模式!$T111="",0,VLOOKUP(无限模式!$T111,'⚪设计'!$C$85:$I$113,4,FALSE)*无限模式!$U111))*IF(O111="",0,VLOOKUP(O111,'⚪设计'!$C$85:$I$113,4,FALSE)),0)</f>
        <v>125</v>
      </c>
      <c r="T111" s="71" t="str">
        <f>IF(VLOOKUP(A111,'⚪设计'!$A$301:$G$320,7,FALSE)="","",VLOOKUP(VLOOKUP(A111,'⚪设计'!$A$301:$G$320,7,FALSE),'⚪设计'!$B$85:$D$113,2,FALSE))</f>
        <v/>
      </c>
      <c r="U111" s="71">
        <f t="shared" si="19"/>
        <v>0</v>
      </c>
      <c r="V111" s="71" t="str">
        <f>IF(VLOOKUP($A111,'⚪设计'!$A$229:$K$249,7+4,FALSE)="","",VLOOKUP(A111,'⚪设计'!$A$229:$K$249,7+4,FALSE))</f>
        <v/>
      </c>
      <c r="W111" s="71">
        <f>IF(T111="",0,ROUND(VLOOKUP($A111,'⚪设计'!$A$301:$G$320,2,FALSE)*$B111/SUM(IF($E111="",0,VLOOKUP($E111,'⚪设计'!$C$85:$E$113,3,FALSE))*$F111,IF($J111="",0,VLOOKUP($J111,'⚪设计'!$C$85:$E$113,3,FALSE))*$K111,IF($O111="",0,VLOOKUP($O111,'⚪设计'!$C$85:$E$113,3,FALSE))*$P111,IF($T111="",0,VLOOKUP($T111,'⚪设计'!$C$85:$E$113,3,FALSE))*$U111)*VLOOKUP(T111,'⚪设计'!$C$85:$E$113,3,FALSE),0))</f>
        <v>0</v>
      </c>
      <c r="X111" s="71">
        <f>ROUND(战斗节奏!$B$3/SUM(IF(无限模式!$E111="",0,VLOOKUP(无限模式!$E111,'⚪设计'!$C$85:$I$113,4,FALSE)*无限模式!$F111),IF(无限模式!$J111="",0,VLOOKUP(无限模式!$J111,'⚪设计'!$C$85:$I$113,4,FALSE)*无限模式!$K111),IF(无限模式!$O111="",0,VLOOKUP(无限模式!$O111,'⚪设计'!$C$85:$I$113,4,FALSE)*无限模式!$P111),IF(无限模式!$T111="",0,VLOOKUP(无限模式!$T111,'⚪设计'!$C$85:$I$113,4,FALSE)*无限模式!$U111))*IF(T111="",0,VLOOKUP(T111,'⚪设计'!$C$85:$I$113,4,FALSE)),0)</f>
        <v>0</v>
      </c>
    </row>
    <row r="112" spans="1:24" x14ac:dyDescent="0.2">
      <c r="A112" s="94">
        <v>13</v>
      </c>
      <c r="B112" s="71">
        <f>MAX(MIN(战斗节奏!$C$3-INT(A112/'⚪设计'!$C$55),MOD(A112,'⚪设计'!$C$55)),0)*'⚪设计'!$C$79*防御塔!$C$2+MIN(INT(A112/'⚪设计'!$C$55),战斗节奏!$C$3)*'⚪设计'!$C$80*防御塔!$C$2</f>
        <v>7020</v>
      </c>
      <c r="C112" s="173">
        <v>1.6</v>
      </c>
      <c r="D112" s="173">
        <v>22</v>
      </c>
      <c r="E112" s="71" t="str">
        <f>IF(VLOOKUP(A112,'⚪设计'!$A$301:$G$320,4,FALSE)="","",VLOOKUP(VLOOKUP(A112,'⚪设计'!$A$301:$G$320,4,FALSE),'⚪设计'!$B$85:$D$113,2,FALSE))</f>
        <v>ResUnit_Gui1</v>
      </c>
      <c r="F112" s="71">
        <f t="shared" si="16"/>
        <v>15</v>
      </c>
      <c r="G112" s="71">
        <f>IF(VLOOKUP($A112,'⚪设计'!$A$229:$K$249,7+1,FALSE)="","",VLOOKUP(A112,'⚪设计'!$A$229:$K$249,7+1,FALSE))</f>
        <v>1.5</v>
      </c>
      <c r="H112" s="71">
        <f>IF(E112="",0,ROUND(VLOOKUP($A112,'⚪设计'!$A$301:$G$320,2,FALSE)*$B112/SUM(IF($E112="",0,VLOOKUP($E112,'⚪设计'!$C$85:$E$113,3,FALSE))*$F112,IF($J112="",0,VLOOKUP($J112,'⚪设计'!$C$85:$E$113,3,FALSE))*$K112,IF($O112="",0,VLOOKUP($O112,'⚪设计'!$C$85:$E$113,3,FALSE))*$P112,IF($T112="",0,VLOOKUP($T112,'⚪设计'!$C$85:$E$113,3,FALSE))*$U112)*VLOOKUP(E112,'⚪设计'!$C$85:$E$113,3,FALSE),0))</f>
        <v>11700</v>
      </c>
      <c r="I112" s="71">
        <f>ROUND(战斗节奏!$B$3/SUM(IF(无限模式!$E112="",0,VLOOKUP(无限模式!$E112,'⚪设计'!$C$85:$I$113,4,FALSE)*无限模式!$F112),IF(无限模式!$J112="",0,VLOOKUP(无限模式!$J112,'⚪设计'!$C$85:$I$113,4,FALSE)*无限模式!$K112),IF(无限模式!$O112="",0,VLOOKUP(无限模式!$O112,'⚪设计'!$C$85:$I$113,4,FALSE)*无限模式!$P112),IF(无限模式!$T112="",0,VLOOKUP(无限模式!$T112,'⚪设计'!$C$85:$I$113,4,FALSE)*无限模式!$U112))*IF(E112="",0,VLOOKUP(E112,'⚪设计'!$C$85:$I$113,4,FALSE)),0)</f>
        <v>20</v>
      </c>
      <c r="J112" s="71" t="str">
        <f>IF(VLOOKUP(A112,'⚪设计'!$A$301:$G$320,5,FALSE)="","",VLOOKUP(VLOOKUP(A112,'⚪设计'!$A$301:$G$320,5,FALSE),'⚪设计'!$B$85:$D$113,2,FALSE))</f>
        <v/>
      </c>
      <c r="K112" s="71">
        <f t="shared" si="17"/>
        <v>0</v>
      </c>
      <c r="L112" s="71" t="str">
        <f>IF(VLOOKUP($A112,'⚪设计'!$A$229:$K$249,7+2,FALSE)="","",VLOOKUP(A112,'⚪设计'!$A$229:$K$249,7+2,FALSE))</f>
        <v/>
      </c>
      <c r="M112" s="71">
        <f>IF(J112="",0,ROUND(VLOOKUP($A112,'⚪设计'!$A$301:$G$320,2,FALSE)*$B112/SUM(IF($E112="",0,VLOOKUP($E112,'⚪设计'!$C$85:$E$113,3,FALSE))*$F112,IF($J112="",0,VLOOKUP($J112,'⚪设计'!$C$85:$E$113,3,FALSE))*$K112,IF($O112="",0,VLOOKUP($O112,'⚪设计'!$C$85:$E$113,3,FALSE))*$P112,IF($T112="",0,VLOOKUP($T112,'⚪设计'!$C$85:$E$113,3,FALSE))*$U112)*VLOOKUP(J112,'⚪设计'!$C$85:$E$113,3,FALSE),0))</f>
        <v>0</v>
      </c>
      <c r="N112" s="71">
        <f>ROUND(战斗节奏!$B$3/SUM(IF(无限模式!$E112="",0,VLOOKUP(无限模式!$E112,'⚪设计'!$C$85:$I$113,4,FALSE)*无限模式!$F112),IF(无限模式!$J112="",0,VLOOKUP(无限模式!$J112,'⚪设计'!$C$85:$I$113,4,FALSE)*无限模式!$K112),IF(无限模式!$O112="",0,VLOOKUP(无限模式!$O112,'⚪设计'!$C$85:$I$113,4,FALSE)*无限模式!$P112),IF(无限模式!$T112="",0,VLOOKUP(无限模式!$T112,'⚪设计'!$C$85:$I$113,4,FALSE)*无限模式!$U112))*IF(J112="",0,VLOOKUP(J112,'⚪设计'!$C$85:$I$113,4,FALSE)),0)</f>
        <v>0</v>
      </c>
      <c r="O112" s="71" t="str">
        <f>IF(VLOOKUP(A112,'⚪设计'!$A$301:$G$320,6,FALSE)="","",VLOOKUP(VLOOKUP(A112,'⚪设计'!$A$301:$G$320,6,FALSE),'⚪设计'!$B$85:$D$113,2,FALSE))</f>
        <v/>
      </c>
      <c r="P112" s="71">
        <f t="shared" si="18"/>
        <v>0</v>
      </c>
      <c r="Q112" s="71" t="str">
        <f>IF(VLOOKUP($A112,'⚪设计'!$A$229:$K$249,7+3,FALSE)="","",VLOOKUP(A112,'⚪设计'!$A$229:$K$249,7+3,FALSE))</f>
        <v/>
      </c>
      <c r="R112" s="71">
        <f>IF(O112="",0,ROUND(VLOOKUP($A112,'⚪设计'!$A$301:$G$320,2,FALSE)*$B112/SUM(IF($E112="",0,VLOOKUP($E112,'⚪设计'!$C$85:$E$113,3,FALSE))*$F112,IF($J112="",0,VLOOKUP($J112,'⚪设计'!$C$85:$E$113,3,FALSE))*$K112,IF($O112="",0,VLOOKUP($O112,'⚪设计'!$C$85:$E$113,3,FALSE))*$P112,IF($T112="",0,VLOOKUP($T112,'⚪设计'!$C$85:$E$113,3,FALSE))*$U112)*VLOOKUP(O112,'⚪设计'!$C$85:$E$113,3,FALSE),0))</f>
        <v>0</v>
      </c>
      <c r="S112" s="71">
        <f>ROUND(战斗节奏!$B$3/SUM(IF(无限模式!$E112="",0,VLOOKUP(无限模式!$E112,'⚪设计'!$C$85:$I$113,4,FALSE)*无限模式!$F112),IF(无限模式!$J112="",0,VLOOKUP(无限模式!$J112,'⚪设计'!$C$85:$I$113,4,FALSE)*无限模式!$K112),IF(无限模式!$O112="",0,VLOOKUP(无限模式!$O112,'⚪设计'!$C$85:$I$113,4,FALSE)*无限模式!$P112),IF(无限模式!$T112="",0,VLOOKUP(无限模式!$T112,'⚪设计'!$C$85:$I$113,4,FALSE)*无限模式!$U112))*IF(O112="",0,VLOOKUP(O112,'⚪设计'!$C$85:$I$113,4,FALSE)),0)</f>
        <v>0</v>
      </c>
      <c r="T112" s="71" t="str">
        <f>IF(VLOOKUP(A112,'⚪设计'!$A$301:$G$320,7,FALSE)="","",VLOOKUP(VLOOKUP(A112,'⚪设计'!$A$301:$G$320,7,FALSE),'⚪设计'!$B$85:$D$113,2,FALSE))</f>
        <v/>
      </c>
      <c r="U112" s="71">
        <f t="shared" si="19"/>
        <v>0</v>
      </c>
      <c r="V112" s="71" t="str">
        <f>IF(VLOOKUP($A112,'⚪设计'!$A$229:$K$249,7+4,FALSE)="","",VLOOKUP(A112,'⚪设计'!$A$229:$K$249,7+4,FALSE))</f>
        <v/>
      </c>
      <c r="W112" s="71">
        <f>IF(T112="",0,ROUND(VLOOKUP($A112,'⚪设计'!$A$301:$G$320,2,FALSE)*$B112/SUM(IF($E112="",0,VLOOKUP($E112,'⚪设计'!$C$85:$E$113,3,FALSE))*$F112,IF($J112="",0,VLOOKUP($J112,'⚪设计'!$C$85:$E$113,3,FALSE))*$K112,IF($O112="",0,VLOOKUP($O112,'⚪设计'!$C$85:$E$113,3,FALSE))*$P112,IF($T112="",0,VLOOKUP($T112,'⚪设计'!$C$85:$E$113,3,FALSE))*$U112)*VLOOKUP(T112,'⚪设计'!$C$85:$E$113,3,FALSE),0))</f>
        <v>0</v>
      </c>
      <c r="X112" s="71">
        <f>ROUND(战斗节奏!$B$3/SUM(IF(无限模式!$E112="",0,VLOOKUP(无限模式!$E112,'⚪设计'!$C$85:$I$113,4,FALSE)*无限模式!$F112),IF(无限模式!$J112="",0,VLOOKUP(无限模式!$J112,'⚪设计'!$C$85:$I$113,4,FALSE)*无限模式!$K112),IF(无限模式!$O112="",0,VLOOKUP(无限模式!$O112,'⚪设计'!$C$85:$I$113,4,FALSE)*无限模式!$P112),IF(无限模式!$T112="",0,VLOOKUP(无限模式!$T112,'⚪设计'!$C$85:$I$113,4,FALSE)*无限模式!$U112))*IF(T112="",0,VLOOKUP(T112,'⚪设计'!$C$85:$I$113,4,FALSE)),0)</f>
        <v>0</v>
      </c>
    </row>
    <row r="113" spans="1:24" x14ac:dyDescent="0.2">
      <c r="A113" s="94">
        <v>14</v>
      </c>
      <c r="B113" s="71">
        <f>MAX(MIN(战斗节奏!$C$3-INT(A113/'⚪设计'!$C$55),MOD(A113,'⚪设计'!$C$55)),0)*'⚪设计'!$C$79*防御塔!$C$2+MIN(INT(A113/'⚪设计'!$C$55),战斗节奏!$C$3)*'⚪设计'!$C$80*防御塔!$C$2</f>
        <v>7560</v>
      </c>
      <c r="C113" s="173">
        <v>1.65</v>
      </c>
      <c r="D113" s="173">
        <v>23</v>
      </c>
      <c r="E113" s="71" t="str">
        <f>IF(VLOOKUP(A113,'⚪设计'!$A$301:$G$320,4,FALSE)="","",VLOOKUP(VLOOKUP(A113,'⚪设计'!$A$301:$G$320,4,FALSE),'⚪设计'!$B$85:$D$113,2,FALSE))</f>
        <v>ResUnit_Gui1</v>
      </c>
      <c r="F113" s="71">
        <f t="shared" si="16"/>
        <v>15</v>
      </c>
      <c r="G113" s="71">
        <f>IF(VLOOKUP($A113,'⚪设计'!$A$229:$K$249,7+1,FALSE)="","",VLOOKUP(A113,'⚪设计'!$A$229:$K$249,7+1,FALSE))</f>
        <v>1.5</v>
      </c>
      <c r="H113" s="71">
        <f>IF(E113="",0,ROUND(VLOOKUP($A113,'⚪设计'!$A$301:$G$320,2,FALSE)*$B113/SUM(IF($E113="",0,VLOOKUP($E113,'⚪设计'!$C$85:$E$113,3,FALSE))*$F113,IF($J113="",0,VLOOKUP($J113,'⚪设计'!$C$85:$E$113,3,FALSE))*$K113,IF($O113="",0,VLOOKUP($O113,'⚪设计'!$C$85:$E$113,3,FALSE))*$P113,IF($T113="",0,VLOOKUP($T113,'⚪设计'!$C$85:$E$113,3,FALSE))*$U113)*VLOOKUP(E113,'⚪设计'!$C$85:$E$113,3,FALSE),0))</f>
        <v>6048</v>
      </c>
      <c r="I113" s="71">
        <f>ROUND(战斗节奏!$B$3/SUM(IF(无限模式!$E113="",0,VLOOKUP(无限模式!$E113,'⚪设计'!$C$85:$I$113,4,FALSE)*无限模式!$F113),IF(无限模式!$J113="",0,VLOOKUP(无限模式!$J113,'⚪设计'!$C$85:$I$113,4,FALSE)*无限模式!$K113),IF(无限模式!$O113="",0,VLOOKUP(无限模式!$O113,'⚪设计'!$C$85:$I$113,4,FALSE)*无限模式!$P113),IF(无限模式!$T113="",0,VLOOKUP(无限模式!$T113,'⚪设计'!$C$85:$I$113,4,FALSE)*无限模式!$U113))*IF(E113="",0,VLOOKUP(E113,'⚪设计'!$C$85:$I$113,4,FALSE)),0)</f>
        <v>7</v>
      </c>
      <c r="J113" s="71" t="str">
        <f>IF(VLOOKUP(A113,'⚪设计'!$A$301:$G$320,5,FALSE)="","",VLOOKUP(VLOOKUP(A113,'⚪设计'!$A$301:$G$320,5,FALSE),'⚪设计'!$B$85:$D$113,2,FALSE))</f>
        <v>ResUnit_WuGui2</v>
      </c>
      <c r="K113" s="71">
        <f t="shared" si="17"/>
        <v>15</v>
      </c>
      <c r="L113" s="71">
        <f>IF(VLOOKUP($A113,'⚪设计'!$A$229:$K$249,7+2,FALSE)="","",VLOOKUP(A113,'⚪设计'!$A$229:$K$249,7+2,FALSE))</f>
        <v>1.5</v>
      </c>
      <c r="M113" s="71">
        <f>IF(J113="",0,ROUND(VLOOKUP($A113,'⚪设计'!$A$301:$G$320,2,FALSE)*$B113/SUM(IF($E113="",0,VLOOKUP($E113,'⚪设计'!$C$85:$E$113,3,FALSE))*$F113,IF($J113="",0,VLOOKUP($J113,'⚪设计'!$C$85:$E$113,3,FALSE))*$K113,IF($O113="",0,VLOOKUP($O113,'⚪设计'!$C$85:$E$113,3,FALSE))*$P113,IF($T113="",0,VLOOKUP($T113,'⚪设计'!$C$85:$E$113,3,FALSE))*$U113)*VLOOKUP(J113,'⚪设计'!$C$85:$E$113,3,FALSE),0))</f>
        <v>24192</v>
      </c>
      <c r="N113" s="71">
        <f>ROUND(战斗节奏!$B$3/SUM(IF(无限模式!$E113="",0,VLOOKUP(无限模式!$E113,'⚪设计'!$C$85:$I$113,4,FALSE)*无限模式!$F113),IF(无限模式!$J113="",0,VLOOKUP(无限模式!$J113,'⚪设计'!$C$85:$I$113,4,FALSE)*无限模式!$K113),IF(无限模式!$O113="",0,VLOOKUP(无限模式!$O113,'⚪设计'!$C$85:$I$113,4,FALSE)*无限模式!$P113),IF(无限模式!$T113="",0,VLOOKUP(无限模式!$T113,'⚪设计'!$C$85:$I$113,4,FALSE)*无限模式!$U113))*IF(J113="",0,VLOOKUP(J113,'⚪设计'!$C$85:$I$113,4,FALSE)),0)</f>
        <v>13</v>
      </c>
      <c r="O113" s="71" t="str">
        <f>IF(VLOOKUP(A113,'⚪设计'!$A$301:$G$320,6,FALSE)="","",VLOOKUP(VLOOKUP(A113,'⚪设计'!$A$301:$G$320,6,FALSE),'⚪设计'!$B$85:$D$113,2,FALSE))</f>
        <v/>
      </c>
      <c r="P113" s="71">
        <f t="shared" si="18"/>
        <v>0</v>
      </c>
      <c r="Q113" s="71" t="str">
        <f>IF(VLOOKUP($A113,'⚪设计'!$A$229:$K$249,7+3,FALSE)="","",VLOOKUP(A113,'⚪设计'!$A$229:$K$249,7+3,FALSE))</f>
        <v/>
      </c>
      <c r="R113" s="71">
        <f>IF(O113="",0,ROUND(VLOOKUP($A113,'⚪设计'!$A$301:$G$320,2,FALSE)*$B113/SUM(IF($E113="",0,VLOOKUP($E113,'⚪设计'!$C$85:$E$113,3,FALSE))*$F113,IF($J113="",0,VLOOKUP($J113,'⚪设计'!$C$85:$E$113,3,FALSE))*$K113,IF($O113="",0,VLOOKUP($O113,'⚪设计'!$C$85:$E$113,3,FALSE))*$P113,IF($T113="",0,VLOOKUP($T113,'⚪设计'!$C$85:$E$113,3,FALSE))*$U113)*VLOOKUP(O113,'⚪设计'!$C$85:$E$113,3,FALSE),0))</f>
        <v>0</v>
      </c>
      <c r="S113" s="71">
        <f>ROUND(战斗节奏!$B$3/SUM(IF(无限模式!$E113="",0,VLOOKUP(无限模式!$E113,'⚪设计'!$C$85:$I$113,4,FALSE)*无限模式!$F113),IF(无限模式!$J113="",0,VLOOKUP(无限模式!$J113,'⚪设计'!$C$85:$I$113,4,FALSE)*无限模式!$K113),IF(无限模式!$O113="",0,VLOOKUP(无限模式!$O113,'⚪设计'!$C$85:$I$113,4,FALSE)*无限模式!$P113),IF(无限模式!$T113="",0,VLOOKUP(无限模式!$T113,'⚪设计'!$C$85:$I$113,4,FALSE)*无限模式!$U113))*IF(O113="",0,VLOOKUP(O113,'⚪设计'!$C$85:$I$113,4,FALSE)),0)</f>
        <v>0</v>
      </c>
      <c r="T113" s="71" t="str">
        <f>IF(VLOOKUP(A113,'⚪设计'!$A$301:$G$320,7,FALSE)="","",VLOOKUP(VLOOKUP(A113,'⚪设计'!$A$301:$G$320,7,FALSE),'⚪设计'!$B$85:$D$113,2,FALSE))</f>
        <v/>
      </c>
      <c r="U113" s="71">
        <f t="shared" si="19"/>
        <v>0</v>
      </c>
      <c r="V113" s="71" t="str">
        <f>IF(VLOOKUP($A113,'⚪设计'!$A$229:$K$249,7+4,FALSE)="","",VLOOKUP(A113,'⚪设计'!$A$229:$K$249,7+4,FALSE))</f>
        <v/>
      </c>
      <c r="W113" s="71">
        <f>IF(T113="",0,ROUND(VLOOKUP($A113,'⚪设计'!$A$301:$G$320,2,FALSE)*$B113/SUM(IF($E113="",0,VLOOKUP($E113,'⚪设计'!$C$85:$E$113,3,FALSE))*$F113,IF($J113="",0,VLOOKUP($J113,'⚪设计'!$C$85:$E$113,3,FALSE))*$K113,IF($O113="",0,VLOOKUP($O113,'⚪设计'!$C$85:$E$113,3,FALSE))*$P113,IF($T113="",0,VLOOKUP($T113,'⚪设计'!$C$85:$E$113,3,FALSE))*$U113)*VLOOKUP(T113,'⚪设计'!$C$85:$E$113,3,FALSE),0))</f>
        <v>0</v>
      </c>
      <c r="X113" s="71">
        <f>ROUND(战斗节奏!$B$3/SUM(IF(无限模式!$E113="",0,VLOOKUP(无限模式!$E113,'⚪设计'!$C$85:$I$113,4,FALSE)*无限模式!$F113),IF(无限模式!$J113="",0,VLOOKUP(无限模式!$J113,'⚪设计'!$C$85:$I$113,4,FALSE)*无限模式!$K113),IF(无限模式!$O113="",0,VLOOKUP(无限模式!$O113,'⚪设计'!$C$85:$I$113,4,FALSE)*无限模式!$P113),IF(无限模式!$T113="",0,VLOOKUP(无限模式!$T113,'⚪设计'!$C$85:$I$113,4,FALSE)*无限模式!$U113))*IF(T113="",0,VLOOKUP(T113,'⚪设计'!$C$85:$I$113,4,FALSE)),0)</f>
        <v>0</v>
      </c>
    </row>
    <row r="114" spans="1:24" x14ac:dyDescent="0.2">
      <c r="A114" s="94">
        <v>15</v>
      </c>
      <c r="B114" s="71">
        <f>MAX(MIN(战斗节奏!$C$3-INT(A114/'⚪设计'!$C$55),MOD(A114,'⚪设计'!$C$55)),0)*'⚪设计'!$C$79*防御塔!$C$2+MIN(INT(A114/'⚪设计'!$C$55),战斗节奏!$C$3)*'⚪设计'!$C$80*防御塔!$C$2</f>
        <v>8100</v>
      </c>
      <c r="C114" s="173">
        <v>1.7</v>
      </c>
      <c r="D114" s="173">
        <v>24</v>
      </c>
      <c r="E114" s="71" t="str">
        <f>IF(VLOOKUP(A114,'⚪设计'!$A$301:$G$320,4,FALSE)="","",VLOOKUP(VLOOKUP(A114,'⚪设计'!$A$301:$G$320,4,FALSE),'⚪设计'!$B$85:$D$113,2,FALSE))</f>
        <v>ResUnit_Gui1</v>
      </c>
      <c r="F114" s="71">
        <f t="shared" si="16"/>
        <v>48</v>
      </c>
      <c r="G114" s="71">
        <f>IF(VLOOKUP($A114,'⚪设计'!$A$229:$K$249,7+1,FALSE)="","",VLOOKUP(A114,'⚪设计'!$A$229:$K$249,7+1,FALSE))</f>
        <v>0.5</v>
      </c>
      <c r="H114" s="71">
        <f>IF(E114="",0,ROUND(VLOOKUP($A114,'⚪设计'!$A$301:$G$320,2,FALSE)*$B114/SUM(IF($E114="",0,VLOOKUP($E114,'⚪设计'!$C$85:$E$113,3,FALSE))*$F114,IF($J114="",0,VLOOKUP($J114,'⚪设计'!$C$85:$E$113,3,FALSE))*$K114,IF($O114="",0,VLOOKUP($O114,'⚪设计'!$C$85:$E$113,3,FALSE))*$P114,IF($T114="",0,VLOOKUP($T114,'⚪设计'!$C$85:$E$113,3,FALSE))*$U114)*VLOOKUP(E114,'⚪设计'!$C$85:$E$113,3,FALSE),0))</f>
        <v>6075</v>
      </c>
      <c r="I114" s="71">
        <f>ROUND(战斗节奏!$B$3/SUM(IF(无限模式!$E114="",0,VLOOKUP(无限模式!$E114,'⚪设计'!$C$85:$I$113,4,FALSE)*无限模式!$F114),IF(无限模式!$J114="",0,VLOOKUP(无限模式!$J114,'⚪设计'!$C$85:$I$113,4,FALSE)*无限模式!$K114),IF(无限模式!$O114="",0,VLOOKUP(无限模式!$O114,'⚪设计'!$C$85:$I$113,4,FALSE)*无限模式!$P114),IF(无限模式!$T114="",0,VLOOKUP(无限模式!$T114,'⚪设计'!$C$85:$I$113,4,FALSE)*无限模式!$U114))*IF(E114="",0,VLOOKUP(E114,'⚪设计'!$C$85:$I$113,4,FALSE)),0)</f>
        <v>4</v>
      </c>
      <c r="J114" s="71" t="str">
        <f>IF(VLOOKUP(A114,'⚪设计'!$A$301:$G$320,5,FALSE)="","",VLOOKUP(VLOOKUP(A114,'⚪设计'!$A$301:$G$320,5,FALSE),'⚪设计'!$B$85:$D$113,2,FALSE))</f>
        <v>ResUnit_ZhongZi2</v>
      </c>
      <c r="K114" s="71">
        <f t="shared" si="17"/>
        <v>12</v>
      </c>
      <c r="L114" s="71">
        <f>IF(VLOOKUP($A114,'⚪设计'!$A$229:$K$249,7+2,FALSE)="","",VLOOKUP(A114,'⚪设计'!$A$229:$K$249,7+2,FALSE))</f>
        <v>2</v>
      </c>
      <c r="M114" s="71">
        <f>IF(J114="",0,ROUND(VLOOKUP($A114,'⚪设计'!$A$301:$G$320,2,FALSE)*$B114/SUM(IF($E114="",0,VLOOKUP($E114,'⚪设计'!$C$85:$E$113,3,FALSE))*$F114,IF($J114="",0,VLOOKUP($J114,'⚪设计'!$C$85:$E$113,3,FALSE))*$K114,IF($O114="",0,VLOOKUP($O114,'⚪设计'!$C$85:$E$113,3,FALSE))*$P114,IF($T114="",0,VLOOKUP($T114,'⚪设计'!$C$85:$E$113,3,FALSE))*$U114)*VLOOKUP(J114,'⚪设计'!$C$85:$E$113,3,FALSE),0))</f>
        <v>36450</v>
      </c>
      <c r="N114" s="71">
        <f>ROUND(战斗节奏!$B$3/SUM(IF(无限模式!$E114="",0,VLOOKUP(无限模式!$E114,'⚪设计'!$C$85:$I$113,4,FALSE)*无限模式!$F114),IF(无限模式!$J114="",0,VLOOKUP(无限模式!$J114,'⚪设计'!$C$85:$I$113,4,FALSE)*无限模式!$K114),IF(无限模式!$O114="",0,VLOOKUP(无限模式!$O114,'⚪设计'!$C$85:$I$113,4,FALSE)*无限模式!$P114),IF(无限模式!$T114="",0,VLOOKUP(无限模式!$T114,'⚪设计'!$C$85:$I$113,4,FALSE)*无限模式!$U114))*IF(J114="",0,VLOOKUP(J114,'⚪设计'!$C$85:$I$113,4,FALSE)),0)</f>
        <v>8</v>
      </c>
      <c r="O114" s="71" t="str">
        <f>IF(VLOOKUP(A114,'⚪设计'!$A$301:$G$320,6,FALSE)="","",VLOOKUP(VLOOKUP(A114,'⚪设计'!$A$301:$G$320,6,FALSE),'⚪设计'!$B$85:$D$113,2,FALSE))</f>
        <v/>
      </c>
      <c r="P114" s="71">
        <f t="shared" si="18"/>
        <v>0</v>
      </c>
      <c r="Q114" s="71" t="str">
        <f>IF(VLOOKUP($A114,'⚪设计'!$A$229:$K$249,7+3,FALSE)="","",VLOOKUP(A114,'⚪设计'!$A$229:$K$249,7+3,FALSE))</f>
        <v/>
      </c>
      <c r="R114" s="71">
        <f>IF(O114="",0,ROUND(VLOOKUP($A114,'⚪设计'!$A$301:$G$320,2,FALSE)*$B114/SUM(IF($E114="",0,VLOOKUP($E114,'⚪设计'!$C$85:$E$113,3,FALSE))*$F114,IF($J114="",0,VLOOKUP($J114,'⚪设计'!$C$85:$E$113,3,FALSE))*$K114,IF($O114="",0,VLOOKUP($O114,'⚪设计'!$C$85:$E$113,3,FALSE))*$P114,IF($T114="",0,VLOOKUP($T114,'⚪设计'!$C$85:$E$113,3,FALSE))*$U114)*VLOOKUP(O114,'⚪设计'!$C$85:$E$113,3,FALSE),0))</f>
        <v>0</v>
      </c>
      <c r="S114" s="71">
        <f>ROUND(战斗节奏!$B$3/SUM(IF(无限模式!$E114="",0,VLOOKUP(无限模式!$E114,'⚪设计'!$C$85:$I$113,4,FALSE)*无限模式!$F114),IF(无限模式!$J114="",0,VLOOKUP(无限模式!$J114,'⚪设计'!$C$85:$I$113,4,FALSE)*无限模式!$K114),IF(无限模式!$O114="",0,VLOOKUP(无限模式!$O114,'⚪设计'!$C$85:$I$113,4,FALSE)*无限模式!$P114),IF(无限模式!$T114="",0,VLOOKUP(无限模式!$T114,'⚪设计'!$C$85:$I$113,4,FALSE)*无限模式!$U114))*IF(O114="",0,VLOOKUP(O114,'⚪设计'!$C$85:$I$113,4,FALSE)),0)</f>
        <v>0</v>
      </c>
      <c r="T114" s="71" t="str">
        <f>IF(VLOOKUP(A114,'⚪设计'!$A$301:$G$320,7,FALSE)="","",VLOOKUP(VLOOKUP(A114,'⚪设计'!$A$301:$G$320,7,FALSE),'⚪设计'!$B$85:$D$113,2,FALSE))</f>
        <v/>
      </c>
      <c r="U114" s="71">
        <f t="shared" si="19"/>
        <v>0</v>
      </c>
      <c r="V114" s="71" t="str">
        <f>IF(VLOOKUP($A114,'⚪设计'!$A$229:$K$249,7+4,FALSE)="","",VLOOKUP(A114,'⚪设计'!$A$229:$K$249,7+4,FALSE))</f>
        <v/>
      </c>
      <c r="W114" s="71">
        <f>IF(T114="",0,ROUND(VLOOKUP($A114,'⚪设计'!$A$301:$G$320,2,FALSE)*$B114/SUM(IF($E114="",0,VLOOKUP($E114,'⚪设计'!$C$85:$E$113,3,FALSE))*$F114,IF($J114="",0,VLOOKUP($J114,'⚪设计'!$C$85:$E$113,3,FALSE))*$K114,IF($O114="",0,VLOOKUP($O114,'⚪设计'!$C$85:$E$113,3,FALSE))*$P114,IF($T114="",0,VLOOKUP($T114,'⚪设计'!$C$85:$E$113,3,FALSE))*$U114)*VLOOKUP(T114,'⚪设计'!$C$85:$E$113,3,FALSE),0))</f>
        <v>0</v>
      </c>
      <c r="X114" s="71">
        <f>ROUND(战斗节奏!$B$3/SUM(IF(无限模式!$E114="",0,VLOOKUP(无限模式!$E114,'⚪设计'!$C$85:$I$113,4,FALSE)*无限模式!$F114),IF(无限模式!$J114="",0,VLOOKUP(无限模式!$J114,'⚪设计'!$C$85:$I$113,4,FALSE)*无限模式!$K114),IF(无限模式!$O114="",0,VLOOKUP(无限模式!$O114,'⚪设计'!$C$85:$I$113,4,FALSE)*无限模式!$P114),IF(无限模式!$T114="",0,VLOOKUP(无限模式!$T114,'⚪设计'!$C$85:$I$113,4,FALSE)*无限模式!$U114))*IF(T114="",0,VLOOKUP(T114,'⚪设计'!$C$85:$I$113,4,FALSE)),0)</f>
        <v>0</v>
      </c>
    </row>
    <row r="115" spans="1:24" x14ac:dyDescent="0.2">
      <c r="A115" s="94">
        <v>16</v>
      </c>
      <c r="B115" s="71">
        <f>MAX(MIN(战斗节奏!$C$3-INT(A115/'⚪设计'!$C$55),MOD(A115,'⚪设计'!$C$55)),0)*'⚪设计'!$C$79*防御塔!$C$2+MIN(INT(A115/'⚪设计'!$C$55),战斗节奏!$C$3)*'⚪设计'!$C$80*防御塔!$C$2</f>
        <v>8640</v>
      </c>
      <c r="C115" s="173">
        <v>1.75</v>
      </c>
      <c r="D115" s="173">
        <v>25</v>
      </c>
      <c r="E115" s="71" t="str">
        <f>IF(VLOOKUP(A115,'⚪设计'!$A$301:$G$320,4,FALSE)="","",VLOOKUP(VLOOKUP(A115,'⚪设计'!$A$301:$G$320,4,FALSE),'⚪设计'!$B$85:$D$113,2,FALSE))</f>
        <v>ResUnit_WuGui2</v>
      </c>
      <c r="F115" s="71">
        <f t="shared" si="16"/>
        <v>25</v>
      </c>
      <c r="G115" s="71">
        <f>IF(VLOOKUP($A115,'⚪设计'!$A$229:$K$249,7+1,FALSE)="","",VLOOKUP(A115,'⚪设计'!$A$229:$K$249,7+1,FALSE))</f>
        <v>1</v>
      </c>
      <c r="H115" s="71">
        <f>IF(E115="",0,ROUND(VLOOKUP($A115,'⚪设计'!$A$301:$G$320,2,FALSE)*$B115/SUM(IF($E115="",0,VLOOKUP($E115,'⚪设计'!$C$85:$E$113,3,FALSE))*$F115,IF($J115="",0,VLOOKUP($J115,'⚪设计'!$C$85:$E$113,3,FALSE))*$K115,IF($O115="",0,VLOOKUP($O115,'⚪设计'!$C$85:$E$113,3,FALSE))*$P115,IF($T115="",0,VLOOKUP($T115,'⚪设计'!$C$85:$E$113,3,FALSE))*$U115)*VLOOKUP(E115,'⚪设计'!$C$85:$E$113,3,FALSE),0))</f>
        <v>29623</v>
      </c>
      <c r="I115" s="71">
        <f>ROUND(战斗节奏!$B$3/SUM(IF(无限模式!$E115="",0,VLOOKUP(无限模式!$E115,'⚪设计'!$C$85:$I$113,4,FALSE)*无限模式!$F115),IF(无限模式!$J115="",0,VLOOKUP(无限模式!$J115,'⚪设计'!$C$85:$I$113,4,FALSE)*无限模式!$K115),IF(无限模式!$O115="",0,VLOOKUP(无限模式!$O115,'⚪设计'!$C$85:$I$113,4,FALSE)*无限模式!$P115),IF(无限模式!$T115="",0,VLOOKUP(无限模式!$T115,'⚪设计'!$C$85:$I$113,4,FALSE)*无限模式!$U115))*IF(E115="",0,VLOOKUP(E115,'⚪设计'!$C$85:$I$113,4,FALSE)),0)</f>
        <v>9</v>
      </c>
      <c r="J115" s="71" t="str">
        <f>IF(VLOOKUP(A115,'⚪设计'!$A$301:$G$320,5,FALSE)="","",VLOOKUP(VLOOKUP(A115,'⚪设计'!$A$301:$G$320,5,FALSE),'⚪设计'!$B$85:$D$113,2,FALSE))</f>
        <v>ResUnit_Gui3</v>
      </c>
      <c r="K115" s="71">
        <f t="shared" si="17"/>
        <v>1</v>
      </c>
      <c r="L115" s="71">
        <f>IF(VLOOKUP($A115,'⚪设计'!$A$229:$K$249,7+2,FALSE)="","",VLOOKUP(A115,'⚪设计'!$A$229:$K$249,7+2,FALSE))</f>
        <v>0</v>
      </c>
      <c r="M115" s="71">
        <f>IF(J115="",0,ROUND(VLOOKUP($A115,'⚪设计'!$A$301:$G$320,2,FALSE)*$B115/SUM(IF($E115="",0,VLOOKUP($E115,'⚪设计'!$C$85:$E$113,3,FALSE))*$F115,IF($J115="",0,VLOOKUP($J115,'⚪设计'!$C$85:$E$113,3,FALSE))*$K115,IF($O115="",0,VLOOKUP($O115,'⚪设计'!$C$85:$E$113,3,FALSE))*$P115,IF($T115="",0,VLOOKUP($T115,'⚪设计'!$C$85:$E$113,3,FALSE))*$U115)*VLOOKUP(J115,'⚪设计'!$C$85:$E$113,3,FALSE),0))</f>
        <v>296229</v>
      </c>
      <c r="N115" s="71">
        <f>ROUND(战斗节奏!$B$3/SUM(IF(无限模式!$E115="",0,VLOOKUP(无限模式!$E115,'⚪设计'!$C$85:$I$113,4,FALSE)*无限模式!$F115),IF(无限模式!$J115="",0,VLOOKUP(无限模式!$J115,'⚪设计'!$C$85:$I$113,4,FALSE)*无限模式!$K115),IF(无限模式!$O115="",0,VLOOKUP(无限模式!$O115,'⚪设计'!$C$85:$I$113,4,FALSE)*无限模式!$P115),IF(无限模式!$T115="",0,VLOOKUP(无限模式!$T115,'⚪设计'!$C$85:$I$113,4,FALSE)*无限模式!$U115))*IF(J115="",0,VLOOKUP(J115,'⚪设计'!$C$85:$I$113,4,FALSE)),0)</f>
        <v>86</v>
      </c>
      <c r="O115" s="71" t="str">
        <f>IF(VLOOKUP(A115,'⚪设计'!$A$301:$G$320,6,FALSE)="","",VLOOKUP(VLOOKUP(A115,'⚪设计'!$A$301:$G$320,6,FALSE),'⚪设计'!$B$85:$D$113,2,FALSE))</f>
        <v/>
      </c>
      <c r="P115" s="71">
        <f t="shared" si="18"/>
        <v>0</v>
      </c>
      <c r="Q115" s="71" t="str">
        <f>IF(VLOOKUP($A115,'⚪设计'!$A$229:$K$249,7+3,FALSE)="","",VLOOKUP(A115,'⚪设计'!$A$229:$K$249,7+3,FALSE))</f>
        <v/>
      </c>
      <c r="R115" s="71">
        <f>IF(O115="",0,ROUND(VLOOKUP($A115,'⚪设计'!$A$301:$G$320,2,FALSE)*$B115/SUM(IF($E115="",0,VLOOKUP($E115,'⚪设计'!$C$85:$E$113,3,FALSE))*$F115,IF($J115="",0,VLOOKUP($J115,'⚪设计'!$C$85:$E$113,3,FALSE))*$K115,IF($O115="",0,VLOOKUP($O115,'⚪设计'!$C$85:$E$113,3,FALSE))*$P115,IF($T115="",0,VLOOKUP($T115,'⚪设计'!$C$85:$E$113,3,FALSE))*$U115)*VLOOKUP(O115,'⚪设计'!$C$85:$E$113,3,FALSE),0))</f>
        <v>0</v>
      </c>
      <c r="S115" s="71">
        <f>ROUND(战斗节奏!$B$3/SUM(IF(无限模式!$E115="",0,VLOOKUP(无限模式!$E115,'⚪设计'!$C$85:$I$113,4,FALSE)*无限模式!$F115),IF(无限模式!$J115="",0,VLOOKUP(无限模式!$J115,'⚪设计'!$C$85:$I$113,4,FALSE)*无限模式!$K115),IF(无限模式!$O115="",0,VLOOKUP(无限模式!$O115,'⚪设计'!$C$85:$I$113,4,FALSE)*无限模式!$P115),IF(无限模式!$T115="",0,VLOOKUP(无限模式!$T115,'⚪设计'!$C$85:$I$113,4,FALSE)*无限模式!$U115))*IF(O115="",0,VLOOKUP(O115,'⚪设计'!$C$85:$I$113,4,FALSE)),0)</f>
        <v>0</v>
      </c>
      <c r="T115" s="71" t="str">
        <f>IF(VLOOKUP(A115,'⚪设计'!$A$301:$G$320,7,FALSE)="","",VLOOKUP(VLOOKUP(A115,'⚪设计'!$A$301:$G$320,7,FALSE),'⚪设计'!$B$85:$D$113,2,FALSE))</f>
        <v/>
      </c>
      <c r="U115" s="71">
        <f t="shared" si="19"/>
        <v>0</v>
      </c>
      <c r="V115" s="71" t="str">
        <f>IF(VLOOKUP($A115,'⚪设计'!$A$229:$K$249,7+4,FALSE)="","",VLOOKUP(A115,'⚪设计'!$A$229:$K$249,7+4,FALSE))</f>
        <v/>
      </c>
      <c r="W115" s="71">
        <f>IF(T115="",0,ROUND(VLOOKUP($A115,'⚪设计'!$A$301:$G$320,2,FALSE)*$B115/SUM(IF($E115="",0,VLOOKUP($E115,'⚪设计'!$C$85:$E$113,3,FALSE))*$F115,IF($J115="",0,VLOOKUP($J115,'⚪设计'!$C$85:$E$113,3,FALSE))*$K115,IF($O115="",0,VLOOKUP($O115,'⚪设计'!$C$85:$E$113,3,FALSE))*$P115,IF($T115="",0,VLOOKUP($T115,'⚪设计'!$C$85:$E$113,3,FALSE))*$U115)*VLOOKUP(T115,'⚪设计'!$C$85:$E$113,3,FALSE),0))</f>
        <v>0</v>
      </c>
      <c r="X115" s="71">
        <f>ROUND(战斗节奏!$B$3/SUM(IF(无限模式!$E115="",0,VLOOKUP(无限模式!$E115,'⚪设计'!$C$85:$I$113,4,FALSE)*无限模式!$F115),IF(无限模式!$J115="",0,VLOOKUP(无限模式!$J115,'⚪设计'!$C$85:$I$113,4,FALSE)*无限模式!$K115),IF(无限模式!$O115="",0,VLOOKUP(无限模式!$O115,'⚪设计'!$C$85:$I$113,4,FALSE)*无限模式!$P115),IF(无限模式!$T115="",0,VLOOKUP(无限模式!$T115,'⚪设计'!$C$85:$I$113,4,FALSE)*无限模式!$U115))*IF(T115="",0,VLOOKUP(T115,'⚪设计'!$C$85:$I$113,4,FALSE)),0)</f>
        <v>0</v>
      </c>
    </row>
    <row r="116" spans="1:24" x14ac:dyDescent="0.2">
      <c r="A116" s="94">
        <v>17</v>
      </c>
      <c r="B116" s="71">
        <f>MAX(MIN(战斗节奏!$C$3-INT(A116/'⚪设计'!$C$55),MOD(A116,'⚪设计'!$C$55)),0)*'⚪设计'!$C$79*防御塔!$C$2+MIN(INT(A116/'⚪设计'!$C$55),战斗节奏!$C$3)*'⚪设计'!$C$80*防御塔!$C$2</f>
        <v>9180</v>
      </c>
      <c r="C116" s="173">
        <v>1.8</v>
      </c>
      <c r="D116" s="173">
        <v>26</v>
      </c>
      <c r="E116" s="71" t="str">
        <f>IF(VLOOKUP(A116,'⚪设计'!$A$301:$G$320,4,FALSE)="","",VLOOKUP(VLOOKUP(A116,'⚪设计'!$A$301:$G$320,4,FALSE),'⚪设计'!$B$85:$D$113,2,FALSE))</f>
        <v>ResUnit_WuGui3</v>
      </c>
      <c r="F116" s="71">
        <f t="shared" si="16"/>
        <v>26</v>
      </c>
      <c r="G116" s="71">
        <f>IF(VLOOKUP($A116,'⚪设计'!$A$229:$K$249,7+1,FALSE)="","",VLOOKUP(A116,'⚪设计'!$A$229:$K$249,7+1,FALSE))</f>
        <v>1</v>
      </c>
      <c r="H116" s="71">
        <f>IF(E116="",0,ROUND(VLOOKUP($A116,'⚪设计'!$A$301:$G$320,2,FALSE)*$B116/SUM(IF($E116="",0,VLOOKUP($E116,'⚪设计'!$C$85:$E$113,3,FALSE))*$F116,IF($J116="",0,VLOOKUP($J116,'⚪设计'!$C$85:$E$113,3,FALSE))*$K116,IF($O116="",0,VLOOKUP($O116,'⚪设计'!$C$85:$E$113,3,FALSE))*$P116,IF($T116="",0,VLOOKUP($T116,'⚪设计'!$C$85:$E$113,3,FALSE))*$U116)*VLOOKUP(E116,'⚪设计'!$C$85:$E$113,3,FALSE),0))</f>
        <v>30098</v>
      </c>
      <c r="I116" s="71">
        <f>ROUND(战斗节奏!$B$3/SUM(IF(无限模式!$E116="",0,VLOOKUP(无限模式!$E116,'⚪设计'!$C$85:$I$113,4,FALSE)*无限模式!$F116),IF(无限模式!$J116="",0,VLOOKUP(无限模式!$J116,'⚪设计'!$C$85:$I$113,4,FALSE)*无限模式!$K116),IF(无限模式!$O116="",0,VLOOKUP(无限模式!$O116,'⚪设计'!$C$85:$I$113,4,FALSE)*无限模式!$P116),IF(无限模式!$T116="",0,VLOOKUP(无限模式!$T116,'⚪设计'!$C$85:$I$113,4,FALSE)*无限模式!$U116))*IF(E116="",0,VLOOKUP(E116,'⚪设计'!$C$85:$I$113,4,FALSE)),0)</f>
        <v>9</v>
      </c>
      <c r="J116" s="71" t="str">
        <f>IF(VLOOKUP(A116,'⚪设计'!$A$301:$G$320,5,FALSE)="","",VLOOKUP(VLOOKUP(A116,'⚪设计'!$A$301:$G$320,5,FALSE),'⚪设计'!$B$85:$D$113,2,FALSE))</f>
        <v>ResUnit_Dan2</v>
      </c>
      <c r="K116" s="71">
        <f t="shared" si="17"/>
        <v>9</v>
      </c>
      <c r="L116" s="71">
        <f>IF(VLOOKUP($A116,'⚪设计'!$A$229:$K$249,7+2,FALSE)="","",VLOOKUP(A116,'⚪设计'!$A$229:$K$249,7+2,FALSE))</f>
        <v>3</v>
      </c>
      <c r="M116" s="71">
        <f>IF(J116="",0,ROUND(VLOOKUP($A116,'⚪设计'!$A$301:$G$320,2,FALSE)*$B116/SUM(IF($E116="",0,VLOOKUP($E116,'⚪设计'!$C$85:$E$113,3,FALSE))*$F116,IF($J116="",0,VLOOKUP($J116,'⚪设计'!$C$85:$E$113,3,FALSE))*$K116,IF($O116="",0,VLOOKUP($O116,'⚪设计'!$C$85:$E$113,3,FALSE))*$P116,IF($T116="",0,VLOOKUP($T116,'⚪设计'!$C$85:$E$113,3,FALSE))*$U116)*VLOOKUP(J116,'⚪设计'!$C$85:$E$113,3,FALSE),0))</f>
        <v>15049</v>
      </c>
      <c r="N116" s="71">
        <f>ROUND(战斗节奏!$B$3/SUM(IF(无限模式!$E116="",0,VLOOKUP(无限模式!$E116,'⚪设计'!$C$85:$I$113,4,FALSE)*无限模式!$F116),IF(无限模式!$J116="",0,VLOOKUP(无限模式!$J116,'⚪设计'!$C$85:$I$113,4,FALSE)*无限模式!$K116),IF(无限模式!$O116="",0,VLOOKUP(无限模式!$O116,'⚪设计'!$C$85:$I$113,4,FALSE)*无限模式!$P116),IF(无限模式!$T116="",0,VLOOKUP(无限模式!$T116,'⚪设计'!$C$85:$I$113,4,FALSE)*无限模式!$U116))*IF(J116="",0,VLOOKUP(J116,'⚪设计'!$C$85:$I$113,4,FALSE)),0)</f>
        <v>9</v>
      </c>
      <c r="O116" s="71" t="str">
        <f>IF(VLOOKUP(A116,'⚪设计'!$A$301:$G$320,6,FALSE)="","",VLOOKUP(VLOOKUP(A116,'⚪设计'!$A$301:$G$320,6,FALSE),'⚪设计'!$B$85:$D$113,2,FALSE))</f>
        <v/>
      </c>
      <c r="P116" s="71">
        <f t="shared" si="18"/>
        <v>0</v>
      </c>
      <c r="Q116" s="71" t="str">
        <f>IF(VLOOKUP($A116,'⚪设计'!$A$229:$K$249,7+3,FALSE)="","",VLOOKUP(A116,'⚪设计'!$A$229:$K$249,7+3,FALSE))</f>
        <v/>
      </c>
      <c r="R116" s="71">
        <f>IF(O116="",0,ROUND(VLOOKUP($A116,'⚪设计'!$A$301:$G$320,2,FALSE)*$B116/SUM(IF($E116="",0,VLOOKUP($E116,'⚪设计'!$C$85:$E$113,3,FALSE))*$F116,IF($J116="",0,VLOOKUP($J116,'⚪设计'!$C$85:$E$113,3,FALSE))*$K116,IF($O116="",0,VLOOKUP($O116,'⚪设计'!$C$85:$E$113,3,FALSE))*$P116,IF($T116="",0,VLOOKUP($T116,'⚪设计'!$C$85:$E$113,3,FALSE))*$U116)*VLOOKUP(O116,'⚪设计'!$C$85:$E$113,3,FALSE),0))</f>
        <v>0</v>
      </c>
      <c r="S116" s="71">
        <f>ROUND(战斗节奏!$B$3/SUM(IF(无限模式!$E116="",0,VLOOKUP(无限模式!$E116,'⚪设计'!$C$85:$I$113,4,FALSE)*无限模式!$F116),IF(无限模式!$J116="",0,VLOOKUP(无限模式!$J116,'⚪设计'!$C$85:$I$113,4,FALSE)*无限模式!$K116),IF(无限模式!$O116="",0,VLOOKUP(无限模式!$O116,'⚪设计'!$C$85:$I$113,4,FALSE)*无限模式!$P116),IF(无限模式!$T116="",0,VLOOKUP(无限模式!$T116,'⚪设计'!$C$85:$I$113,4,FALSE)*无限模式!$U116))*IF(O116="",0,VLOOKUP(O116,'⚪设计'!$C$85:$I$113,4,FALSE)),0)</f>
        <v>0</v>
      </c>
      <c r="T116" s="71" t="str">
        <f>IF(VLOOKUP(A116,'⚪设计'!$A$301:$G$320,7,FALSE)="","",VLOOKUP(VLOOKUP(A116,'⚪设计'!$A$301:$G$320,7,FALSE),'⚪设计'!$B$85:$D$113,2,FALSE))</f>
        <v/>
      </c>
      <c r="U116" s="71">
        <f t="shared" si="19"/>
        <v>0</v>
      </c>
      <c r="V116" s="71" t="str">
        <f>IF(VLOOKUP($A116,'⚪设计'!$A$229:$K$249,7+4,FALSE)="","",VLOOKUP(A116,'⚪设计'!$A$229:$K$249,7+4,FALSE))</f>
        <v/>
      </c>
      <c r="W116" s="71">
        <f>IF(T116="",0,ROUND(VLOOKUP($A116,'⚪设计'!$A$301:$G$320,2,FALSE)*$B116/SUM(IF($E116="",0,VLOOKUP($E116,'⚪设计'!$C$85:$E$113,3,FALSE))*$F116,IF($J116="",0,VLOOKUP($J116,'⚪设计'!$C$85:$E$113,3,FALSE))*$K116,IF($O116="",0,VLOOKUP($O116,'⚪设计'!$C$85:$E$113,3,FALSE))*$P116,IF($T116="",0,VLOOKUP($T116,'⚪设计'!$C$85:$E$113,3,FALSE))*$U116)*VLOOKUP(T116,'⚪设计'!$C$85:$E$113,3,FALSE),0))</f>
        <v>0</v>
      </c>
      <c r="X116" s="71">
        <f>ROUND(战斗节奏!$B$3/SUM(IF(无限模式!$E116="",0,VLOOKUP(无限模式!$E116,'⚪设计'!$C$85:$I$113,4,FALSE)*无限模式!$F116),IF(无限模式!$J116="",0,VLOOKUP(无限模式!$J116,'⚪设计'!$C$85:$I$113,4,FALSE)*无限模式!$K116),IF(无限模式!$O116="",0,VLOOKUP(无限模式!$O116,'⚪设计'!$C$85:$I$113,4,FALSE)*无限模式!$P116),IF(无限模式!$T116="",0,VLOOKUP(无限模式!$T116,'⚪设计'!$C$85:$I$113,4,FALSE)*无限模式!$U116))*IF(T116="",0,VLOOKUP(T116,'⚪设计'!$C$85:$I$113,4,FALSE)),0)</f>
        <v>0</v>
      </c>
    </row>
    <row r="117" spans="1:24" x14ac:dyDescent="0.2">
      <c r="A117" s="94">
        <v>18</v>
      </c>
      <c r="B117" s="71">
        <f>MAX(MIN(战斗节奏!$C$3-INT(A117/'⚪设计'!$C$55),MOD(A117,'⚪设计'!$C$55)),0)*'⚪设计'!$C$79*防御塔!$C$2+MIN(INT(A117/'⚪设计'!$C$55),战斗节奏!$C$3)*'⚪设计'!$C$80*防御塔!$C$2</f>
        <v>9719.9999999999982</v>
      </c>
      <c r="C117" s="173">
        <v>1.85</v>
      </c>
      <c r="D117" s="173">
        <v>27</v>
      </c>
      <c r="E117" s="71" t="str">
        <f>IF(VLOOKUP(A117,'⚪设计'!$A$301:$G$320,4,FALSE)="","",VLOOKUP(VLOOKUP(A117,'⚪设计'!$A$301:$G$320,4,FALSE),'⚪设计'!$B$85:$D$113,2,FALSE))</f>
        <v>ResUnit_Dan2</v>
      </c>
      <c r="F117" s="71">
        <f t="shared" si="16"/>
        <v>18</v>
      </c>
      <c r="G117" s="71">
        <f>IF(VLOOKUP($A117,'⚪设计'!$A$229:$K$249,7+1,FALSE)="","",VLOOKUP(A117,'⚪设计'!$A$229:$K$249,7+1,FALSE))</f>
        <v>1.5</v>
      </c>
      <c r="H117" s="71">
        <f>IF(E117="",0,ROUND(VLOOKUP($A117,'⚪设计'!$A$301:$G$320,2,FALSE)*$B117/SUM(IF($E117="",0,VLOOKUP($E117,'⚪设计'!$C$85:$E$113,3,FALSE))*$F117,IF($J117="",0,VLOOKUP($J117,'⚪设计'!$C$85:$E$113,3,FALSE))*$K117,IF($O117="",0,VLOOKUP($O117,'⚪设计'!$C$85:$E$113,3,FALSE))*$P117,IF($T117="",0,VLOOKUP($T117,'⚪设计'!$C$85:$E$113,3,FALSE))*$U117)*VLOOKUP(E117,'⚪设计'!$C$85:$E$113,3,FALSE),0))</f>
        <v>29700</v>
      </c>
      <c r="I117" s="71">
        <f>ROUND(战斗节奏!$B$3/SUM(IF(无限模式!$E117="",0,VLOOKUP(无限模式!$E117,'⚪设计'!$C$85:$I$113,4,FALSE)*无限模式!$F117),IF(无限模式!$J117="",0,VLOOKUP(无限模式!$J117,'⚪设计'!$C$85:$I$113,4,FALSE)*无限模式!$K117),IF(无限模式!$O117="",0,VLOOKUP(无限模式!$O117,'⚪设计'!$C$85:$I$113,4,FALSE)*无限模式!$P117),IF(无限模式!$T117="",0,VLOOKUP(无限模式!$T117,'⚪设计'!$C$85:$I$113,4,FALSE)*无限模式!$U117))*IF(E117="",0,VLOOKUP(E117,'⚪设计'!$C$85:$I$113,4,FALSE)),0)</f>
        <v>8</v>
      </c>
      <c r="J117" s="71" t="str">
        <f>IF(VLOOKUP(A117,'⚪设计'!$A$301:$G$320,5,FALSE)="","",VLOOKUP(VLOOKUP(A117,'⚪设计'!$A$301:$G$320,5,FALSE),'⚪设计'!$B$85:$D$113,2,FALSE))</f>
        <v>ResUnit_ZhiZhu2</v>
      </c>
      <c r="K117" s="71">
        <f t="shared" si="17"/>
        <v>36</v>
      </c>
      <c r="L117" s="71">
        <f>IF(VLOOKUP($A117,'⚪设计'!$A$229:$K$249,7+2,FALSE)="","",VLOOKUP(A117,'⚪设计'!$A$229:$K$249,7+2,FALSE))</f>
        <v>0.75</v>
      </c>
      <c r="M117" s="71">
        <f>IF(J117="",0,ROUND(VLOOKUP($A117,'⚪设计'!$A$301:$G$320,2,FALSE)*$B117/SUM(IF($E117="",0,VLOOKUP($E117,'⚪设计'!$C$85:$E$113,3,FALSE))*$F117,IF($J117="",0,VLOOKUP($J117,'⚪设计'!$C$85:$E$113,3,FALSE))*$K117,IF($O117="",0,VLOOKUP($O117,'⚪设计'!$C$85:$E$113,3,FALSE))*$P117,IF($T117="",0,VLOOKUP($T117,'⚪设计'!$C$85:$E$113,3,FALSE))*$U117)*VLOOKUP(J117,'⚪设计'!$C$85:$E$113,3,FALSE),0))</f>
        <v>14850</v>
      </c>
      <c r="N117" s="71">
        <f>ROUND(战斗节奏!$B$3/SUM(IF(无限模式!$E117="",0,VLOOKUP(无限模式!$E117,'⚪设计'!$C$85:$I$113,4,FALSE)*无限模式!$F117),IF(无限模式!$J117="",0,VLOOKUP(无限模式!$J117,'⚪设计'!$C$85:$I$113,4,FALSE)*无限模式!$K117),IF(无限模式!$O117="",0,VLOOKUP(无限模式!$O117,'⚪设计'!$C$85:$I$113,4,FALSE)*无限模式!$P117),IF(无限模式!$T117="",0,VLOOKUP(无限模式!$T117,'⚪设计'!$C$85:$I$113,4,FALSE)*无限模式!$U117))*IF(J117="",0,VLOOKUP(J117,'⚪设计'!$C$85:$I$113,4,FALSE)),0)</f>
        <v>4</v>
      </c>
      <c r="O117" s="71" t="str">
        <f>IF(VLOOKUP(A117,'⚪设计'!$A$301:$G$320,6,FALSE)="","",VLOOKUP(VLOOKUP(A117,'⚪设计'!$A$301:$G$320,6,FALSE),'⚪设计'!$B$85:$D$113,2,FALSE))</f>
        <v/>
      </c>
      <c r="P117" s="71">
        <f t="shared" si="18"/>
        <v>0</v>
      </c>
      <c r="Q117" s="71" t="str">
        <f>IF(VLOOKUP($A117,'⚪设计'!$A$229:$K$249,7+3,FALSE)="","",VLOOKUP(A117,'⚪设计'!$A$229:$K$249,7+3,FALSE))</f>
        <v/>
      </c>
      <c r="R117" s="71">
        <f>IF(O117="",0,ROUND(VLOOKUP($A117,'⚪设计'!$A$301:$G$320,2,FALSE)*$B117/SUM(IF($E117="",0,VLOOKUP($E117,'⚪设计'!$C$85:$E$113,3,FALSE))*$F117,IF($J117="",0,VLOOKUP($J117,'⚪设计'!$C$85:$E$113,3,FALSE))*$K117,IF($O117="",0,VLOOKUP($O117,'⚪设计'!$C$85:$E$113,3,FALSE))*$P117,IF($T117="",0,VLOOKUP($T117,'⚪设计'!$C$85:$E$113,3,FALSE))*$U117)*VLOOKUP(O117,'⚪设计'!$C$85:$E$113,3,FALSE),0))</f>
        <v>0</v>
      </c>
      <c r="S117" s="71">
        <f>ROUND(战斗节奏!$B$3/SUM(IF(无限模式!$E117="",0,VLOOKUP(无限模式!$E117,'⚪设计'!$C$85:$I$113,4,FALSE)*无限模式!$F117),IF(无限模式!$J117="",0,VLOOKUP(无限模式!$J117,'⚪设计'!$C$85:$I$113,4,FALSE)*无限模式!$K117),IF(无限模式!$O117="",0,VLOOKUP(无限模式!$O117,'⚪设计'!$C$85:$I$113,4,FALSE)*无限模式!$P117),IF(无限模式!$T117="",0,VLOOKUP(无限模式!$T117,'⚪设计'!$C$85:$I$113,4,FALSE)*无限模式!$U117))*IF(O117="",0,VLOOKUP(O117,'⚪设计'!$C$85:$I$113,4,FALSE)),0)</f>
        <v>0</v>
      </c>
      <c r="T117" s="71" t="str">
        <f>IF(VLOOKUP(A117,'⚪设计'!$A$301:$G$320,7,FALSE)="","",VLOOKUP(VLOOKUP(A117,'⚪设计'!$A$301:$G$320,7,FALSE),'⚪设计'!$B$85:$D$113,2,FALSE))</f>
        <v/>
      </c>
      <c r="U117" s="71">
        <f t="shared" si="19"/>
        <v>0</v>
      </c>
      <c r="V117" s="71" t="str">
        <f>IF(VLOOKUP($A117,'⚪设计'!$A$229:$K$249,7+4,FALSE)="","",VLOOKUP(A117,'⚪设计'!$A$229:$K$249,7+4,FALSE))</f>
        <v/>
      </c>
      <c r="W117" s="71">
        <f>IF(T117="",0,ROUND(VLOOKUP($A117,'⚪设计'!$A$301:$G$320,2,FALSE)*$B117/SUM(IF($E117="",0,VLOOKUP($E117,'⚪设计'!$C$85:$E$113,3,FALSE))*$F117,IF($J117="",0,VLOOKUP($J117,'⚪设计'!$C$85:$E$113,3,FALSE))*$K117,IF($O117="",0,VLOOKUP($O117,'⚪设计'!$C$85:$E$113,3,FALSE))*$P117,IF($T117="",0,VLOOKUP($T117,'⚪设计'!$C$85:$E$113,3,FALSE))*$U117)*VLOOKUP(T117,'⚪设计'!$C$85:$E$113,3,FALSE),0))</f>
        <v>0</v>
      </c>
      <c r="X117" s="71">
        <f>ROUND(战斗节奏!$B$3/SUM(IF(无限模式!$E117="",0,VLOOKUP(无限模式!$E117,'⚪设计'!$C$85:$I$113,4,FALSE)*无限模式!$F117),IF(无限模式!$J117="",0,VLOOKUP(无限模式!$J117,'⚪设计'!$C$85:$I$113,4,FALSE)*无限模式!$K117),IF(无限模式!$O117="",0,VLOOKUP(无限模式!$O117,'⚪设计'!$C$85:$I$113,4,FALSE)*无限模式!$P117),IF(无限模式!$T117="",0,VLOOKUP(无限模式!$T117,'⚪设计'!$C$85:$I$113,4,FALSE)*无限模式!$U117))*IF(T117="",0,VLOOKUP(T117,'⚪设计'!$C$85:$I$113,4,FALSE)),0)</f>
        <v>0</v>
      </c>
    </row>
    <row r="118" spans="1:24" x14ac:dyDescent="0.2">
      <c r="A118" s="94">
        <v>19</v>
      </c>
      <c r="B118" s="71">
        <f>MAX(MIN(战斗节奏!$C$3-INT(A118/'⚪设计'!$C$55),MOD(A118,'⚪设计'!$C$55)),0)*'⚪设计'!$C$79*防御塔!$C$2+MIN(INT(A118/'⚪设计'!$C$55),战斗节奏!$C$3)*'⚪设计'!$C$80*防御塔!$C$2</f>
        <v>10259.999999999998</v>
      </c>
      <c r="C118" s="173">
        <v>1.9</v>
      </c>
      <c r="D118" s="173">
        <v>28</v>
      </c>
      <c r="E118" s="71" t="str">
        <f>IF(VLOOKUP(A118,'⚪设计'!$A$301:$G$320,4,FALSE)="","",VLOOKUP(VLOOKUP(A118,'⚪设计'!$A$301:$G$320,4,FALSE),'⚪设计'!$B$85:$D$113,2,FALSE))</f>
        <v>ResUnit_Dan2</v>
      </c>
      <c r="F118" s="71">
        <f t="shared" si="16"/>
        <v>19</v>
      </c>
      <c r="G118" s="71">
        <f>IF(VLOOKUP($A118,'⚪设计'!$A$229:$K$249,7+1,FALSE)="","",VLOOKUP(A118,'⚪设计'!$A$229:$K$249,7+1,FALSE))</f>
        <v>1.5</v>
      </c>
      <c r="H118" s="71">
        <f>IF(E118="",0,ROUND(VLOOKUP($A118,'⚪设计'!$A$301:$G$320,2,FALSE)*$B118/SUM(IF($E118="",0,VLOOKUP($E118,'⚪设计'!$C$85:$E$113,3,FALSE))*$F118,IF($J118="",0,VLOOKUP($J118,'⚪设计'!$C$85:$E$113,3,FALSE))*$K118,IF($O118="",0,VLOOKUP($O118,'⚪设计'!$C$85:$E$113,3,FALSE))*$P118,IF($T118="",0,VLOOKUP($T118,'⚪设计'!$C$85:$E$113,3,FALSE))*$U118)*VLOOKUP(E118,'⚪设计'!$C$85:$E$113,3,FALSE),0))</f>
        <v>19238</v>
      </c>
      <c r="I118" s="71">
        <f>ROUND(战斗节奏!$B$3/SUM(IF(无限模式!$E118="",0,VLOOKUP(无限模式!$E118,'⚪设计'!$C$85:$I$113,4,FALSE)*无限模式!$F118),IF(无限模式!$J118="",0,VLOOKUP(无限模式!$J118,'⚪设计'!$C$85:$I$113,4,FALSE)*无限模式!$K118),IF(无限模式!$O118="",0,VLOOKUP(无限模式!$O118,'⚪设计'!$C$85:$I$113,4,FALSE)*无限模式!$P118),IF(无限模式!$T118="",0,VLOOKUP(无限模式!$T118,'⚪设计'!$C$85:$I$113,4,FALSE)*无限模式!$U118))*IF(E118="",0,VLOOKUP(E118,'⚪设计'!$C$85:$I$113,4,FALSE)),0)</f>
        <v>5</v>
      </c>
      <c r="J118" s="71" t="str">
        <f>IF(VLOOKUP(A118,'⚪设计'!$A$301:$G$320,5,FALSE)="","",VLOOKUP(VLOOKUP(A118,'⚪设计'!$A$301:$G$320,5,FALSE),'⚪设计'!$B$85:$D$113,2,FALSE))</f>
        <v>ResUnit_WuGui3</v>
      </c>
      <c r="K118" s="71">
        <f t="shared" si="17"/>
        <v>28</v>
      </c>
      <c r="L118" s="71">
        <f>IF(VLOOKUP($A118,'⚪设计'!$A$229:$K$249,7+2,FALSE)="","",VLOOKUP(A118,'⚪设计'!$A$229:$K$249,7+2,FALSE))</f>
        <v>1</v>
      </c>
      <c r="M118" s="71">
        <f>IF(J118="",0,ROUND(VLOOKUP($A118,'⚪设计'!$A$301:$G$320,2,FALSE)*$B118/SUM(IF($E118="",0,VLOOKUP($E118,'⚪设计'!$C$85:$E$113,3,FALSE))*$F118,IF($J118="",0,VLOOKUP($J118,'⚪设计'!$C$85:$E$113,3,FALSE))*$K118,IF($O118="",0,VLOOKUP($O118,'⚪设计'!$C$85:$E$113,3,FALSE))*$P118,IF($T118="",0,VLOOKUP($T118,'⚪设计'!$C$85:$E$113,3,FALSE))*$U118)*VLOOKUP(J118,'⚪设计'!$C$85:$E$113,3,FALSE),0))</f>
        <v>38475</v>
      </c>
      <c r="N118" s="71">
        <f>ROUND(战斗节奏!$B$3/SUM(IF(无限模式!$E118="",0,VLOOKUP(无限模式!$E118,'⚪设计'!$C$85:$I$113,4,FALSE)*无限模式!$F118),IF(无限模式!$J118="",0,VLOOKUP(无限模式!$J118,'⚪设计'!$C$85:$I$113,4,FALSE)*无限模式!$K118),IF(无限模式!$O118="",0,VLOOKUP(无限模式!$O118,'⚪设计'!$C$85:$I$113,4,FALSE)*无限模式!$P118),IF(无限模式!$T118="",0,VLOOKUP(无限模式!$T118,'⚪设计'!$C$85:$I$113,4,FALSE)*无限模式!$U118))*IF(J118="",0,VLOOKUP(J118,'⚪设计'!$C$85:$I$113,4,FALSE)),0)</f>
        <v>5</v>
      </c>
      <c r="O118" s="71" t="str">
        <f>IF(VLOOKUP(A118,'⚪设计'!$A$301:$G$320,6,FALSE)="","",VLOOKUP(VLOOKUP(A118,'⚪设计'!$A$301:$G$320,6,FALSE),'⚪设计'!$B$85:$D$113,2,FALSE))</f>
        <v>ResUnit_ZhongZi2</v>
      </c>
      <c r="P118" s="71">
        <f t="shared" si="18"/>
        <v>14</v>
      </c>
      <c r="Q118" s="71">
        <f>IF(VLOOKUP($A118,'⚪设计'!$A$229:$K$249,7+3,FALSE)="","",VLOOKUP(A118,'⚪设计'!$A$229:$K$249,7+3,FALSE))</f>
        <v>2</v>
      </c>
      <c r="R118" s="71">
        <f>IF(O118="",0,ROUND(VLOOKUP($A118,'⚪设计'!$A$301:$G$320,2,FALSE)*$B118/SUM(IF($E118="",0,VLOOKUP($E118,'⚪设计'!$C$85:$E$113,3,FALSE))*$F118,IF($J118="",0,VLOOKUP($J118,'⚪设计'!$C$85:$E$113,3,FALSE))*$K118,IF($O118="",0,VLOOKUP($O118,'⚪设计'!$C$85:$E$113,3,FALSE))*$P118,IF($T118="",0,VLOOKUP($T118,'⚪设计'!$C$85:$E$113,3,FALSE))*$U118)*VLOOKUP(O118,'⚪设计'!$C$85:$E$113,3,FALSE),0))</f>
        <v>28856</v>
      </c>
      <c r="S118" s="71">
        <f>ROUND(战斗节奏!$B$3/SUM(IF(无限模式!$E118="",0,VLOOKUP(无限模式!$E118,'⚪设计'!$C$85:$I$113,4,FALSE)*无限模式!$F118),IF(无限模式!$J118="",0,VLOOKUP(无限模式!$J118,'⚪设计'!$C$85:$I$113,4,FALSE)*无限模式!$K118),IF(无限模式!$O118="",0,VLOOKUP(无限模式!$O118,'⚪设计'!$C$85:$I$113,4,FALSE)*无限模式!$P118),IF(无限模式!$T118="",0,VLOOKUP(无限模式!$T118,'⚪设计'!$C$85:$I$113,4,FALSE)*无限模式!$U118))*IF(O118="",0,VLOOKUP(O118,'⚪设计'!$C$85:$I$113,4,FALSE)),0)</f>
        <v>5</v>
      </c>
      <c r="T118" s="71" t="str">
        <f>IF(VLOOKUP(A118,'⚪设计'!$A$301:$G$320,7,FALSE)="","",VLOOKUP(VLOOKUP(A118,'⚪设计'!$A$301:$G$320,7,FALSE),'⚪设计'!$B$85:$D$113,2,FALSE))</f>
        <v/>
      </c>
      <c r="U118" s="71">
        <f t="shared" si="19"/>
        <v>0</v>
      </c>
      <c r="V118" s="71" t="str">
        <f>IF(VLOOKUP($A118,'⚪设计'!$A$229:$K$249,7+4,FALSE)="","",VLOOKUP(A118,'⚪设计'!$A$229:$K$249,7+4,FALSE))</f>
        <v/>
      </c>
      <c r="W118" s="71">
        <f>IF(T118="",0,ROUND(VLOOKUP($A118,'⚪设计'!$A$301:$G$320,2,FALSE)*$B118/SUM(IF($E118="",0,VLOOKUP($E118,'⚪设计'!$C$85:$E$113,3,FALSE))*$F118,IF($J118="",0,VLOOKUP($J118,'⚪设计'!$C$85:$E$113,3,FALSE))*$K118,IF($O118="",0,VLOOKUP($O118,'⚪设计'!$C$85:$E$113,3,FALSE))*$P118,IF($T118="",0,VLOOKUP($T118,'⚪设计'!$C$85:$E$113,3,FALSE))*$U118)*VLOOKUP(T118,'⚪设计'!$C$85:$E$113,3,FALSE),0))</f>
        <v>0</v>
      </c>
      <c r="X118" s="71">
        <f>ROUND(战斗节奏!$B$3/SUM(IF(无限模式!$E118="",0,VLOOKUP(无限模式!$E118,'⚪设计'!$C$85:$I$113,4,FALSE)*无限模式!$F118),IF(无限模式!$J118="",0,VLOOKUP(无限模式!$J118,'⚪设计'!$C$85:$I$113,4,FALSE)*无限模式!$K118),IF(无限模式!$O118="",0,VLOOKUP(无限模式!$O118,'⚪设计'!$C$85:$I$113,4,FALSE)*无限模式!$P118),IF(无限模式!$T118="",0,VLOOKUP(无限模式!$T118,'⚪设计'!$C$85:$I$113,4,FALSE)*无限模式!$U118))*IF(T118="",0,VLOOKUP(T118,'⚪设计'!$C$85:$I$113,4,FALSE)),0)</f>
        <v>0</v>
      </c>
    </row>
    <row r="119" spans="1:24" x14ac:dyDescent="0.2">
      <c r="A119" s="94">
        <v>20</v>
      </c>
      <c r="B119" s="71">
        <f>MAX(MIN(战斗节奏!$C$3-INT(A119/'⚪设计'!$C$55),MOD(A119,'⚪设计'!$C$55)),0)*'⚪设计'!$C$79*防御塔!$C$2+MIN(INT(A119/'⚪设计'!$C$55),战斗节奏!$C$3)*'⚪设计'!$C$80*防御塔!$C$2</f>
        <v>10799.999999999998</v>
      </c>
      <c r="C119" s="173">
        <v>1.95</v>
      </c>
      <c r="D119" s="173">
        <v>29</v>
      </c>
      <c r="E119" s="71" t="str">
        <f>IF(VLOOKUP(A119,'⚪设计'!$A$301:$G$320,4,FALSE)="","",VLOOKUP(VLOOKUP(A119,'⚪设计'!$A$301:$G$320,4,FALSE),'⚪设计'!$B$85:$D$113,2,FALSE))</f>
        <v>ResUnit_Dan3</v>
      </c>
      <c r="F119" s="71">
        <f t="shared" si="16"/>
        <v>1</v>
      </c>
      <c r="G119" s="71">
        <f>IF(VLOOKUP($A119,'⚪设计'!$A$229:$K$249,7+1,FALSE)="","",VLOOKUP(A119,'⚪设计'!$A$229:$K$249,7+1,FALSE))</f>
        <v>0</v>
      </c>
      <c r="H119" s="71">
        <f>IF(E119="",0,ROUND(VLOOKUP($A119,'⚪设计'!$A$301:$G$320,2,FALSE)*$B119/SUM(IF($E119="",0,VLOOKUP($E119,'⚪设计'!$C$85:$E$113,3,FALSE))*$F119,IF($J119="",0,VLOOKUP($J119,'⚪设计'!$C$85:$E$113,3,FALSE))*$K119,IF($O119="",0,VLOOKUP($O119,'⚪设计'!$C$85:$E$113,3,FALSE))*$P119,IF($T119="",0,VLOOKUP($T119,'⚪设计'!$C$85:$E$113,3,FALSE))*$U119)*VLOOKUP(E119,'⚪设计'!$C$85:$E$113,3,FALSE),0))</f>
        <v>247328</v>
      </c>
      <c r="I119" s="71">
        <f>ROUND(战斗节奏!$B$3/SUM(IF(无限模式!$E119="",0,VLOOKUP(无限模式!$E119,'⚪设计'!$C$85:$I$113,4,FALSE)*无限模式!$F119),IF(无限模式!$J119="",0,VLOOKUP(无限模式!$J119,'⚪设计'!$C$85:$I$113,4,FALSE)*无限模式!$K119),IF(无限模式!$O119="",0,VLOOKUP(无限模式!$O119,'⚪设计'!$C$85:$I$113,4,FALSE)*无限模式!$P119),IF(无限模式!$T119="",0,VLOOKUP(无限模式!$T119,'⚪设计'!$C$85:$I$113,4,FALSE)*无限模式!$U119))*IF(E119="",0,VLOOKUP(E119,'⚪设计'!$C$85:$I$113,4,FALSE)),0)</f>
        <v>62</v>
      </c>
      <c r="J119" s="71" t="str">
        <f>IF(VLOOKUP(A119,'⚪设计'!$A$301:$G$320,5,FALSE)="","",VLOOKUP(VLOOKUP(A119,'⚪设计'!$A$301:$G$320,5,FALSE),'⚪设计'!$B$85:$D$113,2,FALSE))</f>
        <v>ResUnit_Gui2</v>
      </c>
      <c r="K119" s="71">
        <f t="shared" si="17"/>
        <v>39</v>
      </c>
      <c r="L119" s="71">
        <f>IF(VLOOKUP($A119,'⚪设计'!$A$229:$K$249,7+2,FALSE)="","",VLOOKUP(A119,'⚪设计'!$A$229:$K$249,7+2,FALSE))</f>
        <v>0.75</v>
      </c>
      <c r="M119" s="71">
        <f>IF(J119="",0,ROUND(VLOOKUP($A119,'⚪设计'!$A$301:$G$320,2,FALSE)*$B119/SUM(IF($E119="",0,VLOOKUP($E119,'⚪设计'!$C$85:$E$113,3,FALSE))*$F119,IF($J119="",0,VLOOKUP($J119,'⚪设计'!$C$85:$E$113,3,FALSE))*$K119,IF($O119="",0,VLOOKUP($O119,'⚪设计'!$C$85:$E$113,3,FALSE))*$P119,IF($T119="",0,VLOOKUP($T119,'⚪设计'!$C$85:$E$113,3,FALSE))*$U119)*VLOOKUP(J119,'⚪设计'!$C$85:$E$113,3,FALSE),0))</f>
        <v>12366</v>
      </c>
      <c r="N119" s="71">
        <f>ROUND(战斗节奏!$B$3/SUM(IF(无限模式!$E119="",0,VLOOKUP(无限模式!$E119,'⚪设计'!$C$85:$I$113,4,FALSE)*无限模式!$F119),IF(无限模式!$J119="",0,VLOOKUP(无限模式!$J119,'⚪设计'!$C$85:$I$113,4,FALSE)*无限模式!$K119),IF(无限模式!$O119="",0,VLOOKUP(无限模式!$O119,'⚪设计'!$C$85:$I$113,4,FALSE)*无限模式!$P119),IF(无限模式!$T119="",0,VLOOKUP(无限模式!$T119,'⚪设计'!$C$85:$I$113,4,FALSE)*无限模式!$U119))*IF(J119="",0,VLOOKUP(J119,'⚪设计'!$C$85:$I$113,4,FALSE)),0)</f>
        <v>2</v>
      </c>
      <c r="O119" s="71" t="str">
        <f>IF(VLOOKUP(A119,'⚪设计'!$A$301:$G$320,6,FALSE)="","",VLOOKUP(VLOOKUP(A119,'⚪设计'!$A$301:$G$320,6,FALSE),'⚪设计'!$B$85:$D$113,2,FALSE))</f>
        <v>ResUnit_ZhongZi2</v>
      </c>
      <c r="P119" s="71">
        <f t="shared" si="18"/>
        <v>29</v>
      </c>
      <c r="Q119" s="71">
        <f>IF(VLOOKUP($A119,'⚪设计'!$A$229:$K$249,7+3,FALSE)="","",VLOOKUP(A119,'⚪设计'!$A$229:$K$249,7+3,FALSE))</f>
        <v>1</v>
      </c>
      <c r="R119" s="71">
        <f>IF(O119="",0,ROUND(VLOOKUP($A119,'⚪设计'!$A$301:$G$320,2,FALSE)*$B119/SUM(IF($E119="",0,VLOOKUP($E119,'⚪设计'!$C$85:$E$113,3,FALSE))*$F119,IF($J119="",0,VLOOKUP($J119,'⚪设计'!$C$85:$E$113,3,FALSE))*$K119,IF($O119="",0,VLOOKUP($O119,'⚪设计'!$C$85:$E$113,3,FALSE))*$P119,IF($T119="",0,VLOOKUP($T119,'⚪设计'!$C$85:$E$113,3,FALSE))*$U119)*VLOOKUP(O119,'⚪设计'!$C$85:$E$113,3,FALSE),0))</f>
        <v>37099</v>
      </c>
      <c r="S119" s="71">
        <f>ROUND(战斗节奏!$B$3/SUM(IF(无限模式!$E119="",0,VLOOKUP(无限模式!$E119,'⚪设计'!$C$85:$I$113,4,FALSE)*无限模式!$F119),IF(无限模式!$J119="",0,VLOOKUP(无限模式!$J119,'⚪设计'!$C$85:$I$113,4,FALSE)*无限模式!$K119),IF(无限模式!$O119="",0,VLOOKUP(无限模式!$O119,'⚪设计'!$C$85:$I$113,4,FALSE)*无限模式!$P119),IF(无限模式!$T119="",0,VLOOKUP(无限模式!$T119,'⚪设计'!$C$85:$I$113,4,FALSE)*无限模式!$U119))*IF(O119="",0,VLOOKUP(O119,'⚪设计'!$C$85:$I$113,4,FALSE)),0)</f>
        <v>3</v>
      </c>
      <c r="T119" s="71" t="str">
        <f>IF(VLOOKUP(A119,'⚪设计'!$A$301:$G$320,7,FALSE)="","",VLOOKUP(VLOOKUP(A119,'⚪设计'!$A$301:$G$320,7,FALSE),'⚪设计'!$B$85:$D$113,2,FALSE))</f>
        <v>ResUnit_WuGui3</v>
      </c>
      <c r="U119" s="71">
        <f t="shared" si="19"/>
        <v>29</v>
      </c>
      <c r="V119" s="71">
        <f>IF(VLOOKUP($A119,'⚪设计'!$A$229:$K$249,7+4,FALSE)="","",VLOOKUP(A119,'⚪设计'!$A$229:$K$249,7+4,FALSE))</f>
        <v>1</v>
      </c>
      <c r="W119" s="71">
        <f>IF(T119="",0,ROUND(VLOOKUP($A119,'⚪设计'!$A$301:$G$320,2,FALSE)*$B119/SUM(IF($E119="",0,VLOOKUP($E119,'⚪设计'!$C$85:$E$113,3,FALSE))*$F119,IF($J119="",0,VLOOKUP($J119,'⚪设计'!$C$85:$E$113,3,FALSE))*$K119,IF($O119="",0,VLOOKUP($O119,'⚪设计'!$C$85:$E$113,3,FALSE))*$P119,IF($T119="",0,VLOOKUP($T119,'⚪设计'!$C$85:$E$113,3,FALSE))*$U119)*VLOOKUP(T119,'⚪设计'!$C$85:$E$113,3,FALSE),0))</f>
        <v>49466</v>
      </c>
      <c r="X119" s="71">
        <f>ROUND(战斗节奏!$B$3/SUM(IF(无限模式!$E119="",0,VLOOKUP(无限模式!$E119,'⚪设计'!$C$85:$I$113,4,FALSE)*无限模式!$F119),IF(无限模式!$J119="",0,VLOOKUP(无限模式!$J119,'⚪设计'!$C$85:$I$113,4,FALSE)*无限模式!$K119),IF(无限模式!$O119="",0,VLOOKUP(无限模式!$O119,'⚪设计'!$C$85:$I$113,4,FALSE)*无限模式!$P119),IF(无限模式!$T119="",0,VLOOKUP(无限模式!$T119,'⚪设计'!$C$85:$I$113,4,FALSE)*无限模式!$U119))*IF(T119="",0,VLOOKUP(T119,'⚪设计'!$C$85:$I$113,4,FALSE)),0)</f>
        <v>3</v>
      </c>
    </row>
  </sheetData>
  <mergeCells count="40">
    <mergeCell ref="J74:N74"/>
    <mergeCell ref="O74:S74"/>
    <mergeCell ref="T74:X74"/>
    <mergeCell ref="A98:A99"/>
    <mergeCell ref="B98:B99"/>
    <mergeCell ref="C98:C99"/>
    <mergeCell ref="D98:D99"/>
    <mergeCell ref="E98:I98"/>
    <mergeCell ref="J98:N98"/>
    <mergeCell ref="O98:S98"/>
    <mergeCell ref="T98:X98"/>
    <mergeCell ref="A74:A75"/>
    <mergeCell ref="B74:B75"/>
    <mergeCell ref="C74:C75"/>
    <mergeCell ref="D74:D75"/>
    <mergeCell ref="E74:I74"/>
    <mergeCell ref="J26:N26"/>
    <mergeCell ref="O26:S26"/>
    <mergeCell ref="T26:X26"/>
    <mergeCell ref="A50:A51"/>
    <mergeCell ref="B50:B51"/>
    <mergeCell ref="C50:C51"/>
    <mergeCell ref="D50:D51"/>
    <mergeCell ref="E50:I50"/>
    <mergeCell ref="J50:N50"/>
    <mergeCell ref="O50:S50"/>
    <mergeCell ref="T50:X50"/>
    <mergeCell ref="A26:A27"/>
    <mergeCell ref="B26:B27"/>
    <mergeCell ref="C26:C27"/>
    <mergeCell ref="D26:D27"/>
    <mergeCell ref="E26:I26"/>
    <mergeCell ref="E1:I1"/>
    <mergeCell ref="J1:N1"/>
    <mergeCell ref="O1:S1"/>
    <mergeCell ref="T1:X1"/>
    <mergeCell ref="A1:A2"/>
    <mergeCell ref="D1:D2"/>
    <mergeCell ref="B1:B2"/>
    <mergeCell ref="C1:C2"/>
  </mergeCells>
  <phoneticPr fontId="4" type="noConversion"/>
  <conditionalFormatting sqref="A3:X22">
    <cfRule type="cellIs" dxfId="24" priority="5" operator="equal">
      <formula>0</formula>
    </cfRule>
  </conditionalFormatting>
  <conditionalFormatting sqref="A28:X47">
    <cfRule type="cellIs" dxfId="23" priority="4" operator="equal">
      <formula>0</formula>
    </cfRule>
  </conditionalFormatting>
  <conditionalFormatting sqref="A52:X71">
    <cfRule type="cellIs" dxfId="22" priority="3" operator="equal">
      <formula>0</formula>
    </cfRule>
  </conditionalFormatting>
  <conditionalFormatting sqref="A76:X95">
    <cfRule type="cellIs" dxfId="21" priority="2" operator="equal">
      <formula>0</formula>
    </cfRule>
  </conditionalFormatting>
  <conditionalFormatting sqref="A100:X119">
    <cfRule type="cellIs" dxfId="2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⚪概述</vt:lpstr>
      <vt:lpstr>⚪设计</vt:lpstr>
      <vt:lpstr>⚪关卡设计</vt:lpstr>
      <vt:lpstr>引导</vt:lpstr>
      <vt:lpstr>战斗节奏</vt:lpstr>
      <vt:lpstr>防御塔</vt:lpstr>
      <vt:lpstr>新手关卡</vt:lpstr>
      <vt:lpstr>挑战模式</vt:lpstr>
      <vt:lpstr>无限模式</vt:lpstr>
      <vt:lpstr>线下模式</vt:lpstr>
      <vt:lpstr>活动关卡</vt:lpstr>
      <vt:lpstr>UnitCfg</vt:lpstr>
      <vt:lpstr>UnitPropertyCfg</vt:lpstr>
      <vt:lpstr>MonsterWaveCallRuleCfg</vt:lpstr>
      <vt:lpstr>GamePlayTowerDefenseCfg</vt:lpstr>
      <vt:lpstr>SkillCfg</vt:lpstr>
      <vt:lpstr>ActionCfg_DamageUnit</vt:lpstr>
      <vt:lpstr>TowerCfg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 Xx</dc:creator>
  <cp:lastModifiedBy>song Xx</cp:lastModifiedBy>
  <dcterms:created xsi:type="dcterms:W3CDTF">2015-06-05T18:19:34Z</dcterms:created>
  <dcterms:modified xsi:type="dcterms:W3CDTF">2024-09-23T01:17:05Z</dcterms:modified>
</cp:coreProperties>
</file>