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"/>
    </mc:Choice>
  </mc:AlternateContent>
  <xr:revisionPtr revIDLastSave="0" documentId="13_ncr:1_{E3DF426C-28E5-4640-8045-F3C52FC1201A}" xr6:coauthVersionLast="47" xr6:coauthVersionMax="47" xr10:uidLastSave="{00000000-0000-0000-0000-000000000000}"/>
  <bookViews>
    <workbookView xWindow="-120" yWindow="-120" windowWidth="29040" windowHeight="15720" tabRatio="895" firstSheet="1" activeTab="1" xr2:uid="{00000000-000D-0000-FFFF-FFFF00000000}"/>
  </bookViews>
  <sheets>
    <sheet name="⚪概述" sheetId="1" r:id="rId1"/>
    <sheet name="⚪设计" sheetId="2" r:id="rId2"/>
    <sheet name="引导" sheetId="18" r:id="rId3"/>
    <sheet name="战斗节奏" sheetId="3" r:id="rId4"/>
    <sheet name="防御塔" sheetId="5" r:id="rId5"/>
    <sheet name="新手关卡" sheetId="17" r:id="rId6"/>
    <sheet name="挑战模式" sheetId="16" r:id="rId7"/>
    <sheet name="无限模式" sheetId="13" r:id="rId8"/>
    <sheet name="线下模式" sheetId="19" r:id="rId9"/>
    <sheet name="GamePlayTowerDefenseCfg" sheetId="12" r:id="rId10"/>
    <sheet name="SkillCfg" sheetId="6" r:id="rId11"/>
    <sheet name="ActionCfg_DamageUnit" sheetId="10" r:id="rId12"/>
    <sheet name="TowerCfg" sheetId="11" r:id="rId13"/>
    <sheet name="MonsterWaveCallRuleCfg" sheetId="14" r:id="rId14"/>
    <sheet name="UnitCfg" sheetId="15" r:id="rId15"/>
    <sheet name="UnitPropertyCfg" sheetId="7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2" l="1"/>
  <c r="B211" i="2" s="1"/>
  <c r="B212" i="2" s="1"/>
  <c r="B206" i="2"/>
  <c r="B207" i="2" s="1"/>
  <c r="B208" i="2" s="1"/>
  <c r="B202" i="2"/>
  <c r="B203" i="2" s="1"/>
  <c r="B204" i="2" s="1"/>
  <c r="B198" i="2"/>
  <c r="B194" i="2"/>
  <c r="B195" i="2" s="1"/>
  <c r="B196" i="2" s="1"/>
  <c r="J8" i="5"/>
  <c r="B220" i="2"/>
  <c r="B221" i="2" s="1"/>
  <c r="B222" i="2" s="1"/>
  <c r="B223" i="2" s="1"/>
  <c r="B225" i="2" s="1"/>
  <c r="B226" i="2" s="1"/>
  <c r="B227" i="2" s="1"/>
  <c r="B228" i="2" s="1"/>
  <c r="B230" i="2" s="1"/>
  <c r="B231" i="2" s="1"/>
  <c r="B232" i="2" s="1"/>
  <c r="B233" i="2" s="1"/>
  <c r="B235" i="2" s="1"/>
  <c r="B236" i="2" s="1"/>
  <c r="B237" i="2" s="1"/>
  <c r="B238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B200" i="2" l="1"/>
  <c r="B199" i="2"/>
  <c r="B239" i="2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182" i="15"/>
  <c r="D223" i="15"/>
  <c r="K223" i="15" s="1"/>
  <c r="D222" i="15"/>
  <c r="E222" i="15" s="1"/>
  <c r="D221" i="15"/>
  <c r="E221" i="15" s="1"/>
  <c r="D220" i="15"/>
  <c r="E220" i="15" s="1"/>
  <c r="D219" i="15"/>
  <c r="E219" i="15" s="1"/>
  <c r="D218" i="15"/>
  <c r="E218" i="15" s="1"/>
  <c r="D217" i="15"/>
  <c r="E217" i="15" s="1"/>
  <c r="D216" i="15"/>
  <c r="K216" i="15" s="1"/>
  <c r="D215" i="15"/>
  <c r="K215" i="15" s="1"/>
  <c r="D214" i="15"/>
  <c r="E214" i="15" s="1"/>
  <c r="D213" i="15"/>
  <c r="E213" i="15" s="1"/>
  <c r="D212" i="15"/>
  <c r="K212" i="15" s="1"/>
  <c r="D211" i="15"/>
  <c r="K211" i="15" s="1"/>
  <c r="D210" i="15"/>
  <c r="K210" i="15" s="1"/>
  <c r="D209" i="15"/>
  <c r="K209" i="15" s="1"/>
  <c r="D208" i="15"/>
  <c r="K208" i="15" s="1"/>
  <c r="D207" i="15"/>
  <c r="K207" i="15" s="1"/>
  <c r="D206" i="15"/>
  <c r="E206" i="15" s="1"/>
  <c r="D205" i="15"/>
  <c r="E205" i="15" s="1"/>
  <c r="D204" i="15"/>
  <c r="E204" i="15" s="1"/>
  <c r="D203" i="15"/>
  <c r="E203" i="15" s="1"/>
  <c r="D202" i="15"/>
  <c r="E202" i="15" s="1"/>
  <c r="D201" i="15"/>
  <c r="E201" i="15" s="1"/>
  <c r="D200" i="15"/>
  <c r="K200" i="15" s="1"/>
  <c r="D199" i="15"/>
  <c r="K199" i="15" s="1"/>
  <c r="D198" i="15"/>
  <c r="K198" i="15" s="1"/>
  <c r="D197" i="15"/>
  <c r="E197" i="15" s="1"/>
  <c r="D196" i="15"/>
  <c r="K196" i="15" s="1"/>
  <c r="D195" i="15"/>
  <c r="K195" i="15" s="1"/>
  <c r="D194" i="15"/>
  <c r="K194" i="15" s="1"/>
  <c r="D193" i="15"/>
  <c r="K193" i="15" s="1"/>
  <c r="D192" i="15"/>
  <c r="K192" i="15" s="1"/>
  <c r="D191" i="15"/>
  <c r="K191" i="15" s="1"/>
  <c r="D190" i="15"/>
  <c r="E190" i="15" s="1"/>
  <c r="D189" i="15"/>
  <c r="E189" i="15" s="1"/>
  <c r="D188" i="15"/>
  <c r="E188" i="15" s="1"/>
  <c r="D187" i="15"/>
  <c r="E187" i="15" s="1"/>
  <c r="D186" i="15"/>
  <c r="E186" i="15" s="1"/>
  <c r="D185" i="15"/>
  <c r="E185" i="15" s="1"/>
  <c r="D184" i="15"/>
  <c r="K184" i="15" s="1"/>
  <c r="D183" i="15"/>
  <c r="K183" i="15" s="1"/>
  <c r="D182" i="15"/>
  <c r="K182" i="15" s="1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G385" i="14"/>
  <c r="F385" i="14"/>
  <c r="P384" i="14"/>
  <c r="P385" i="14" s="1"/>
  <c r="G384" i="14"/>
  <c r="F384" i="14"/>
  <c r="P383" i="14"/>
  <c r="G383" i="14"/>
  <c r="F383" i="14"/>
  <c r="P382" i="14"/>
  <c r="G382" i="14"/>
  <c r="F382" i="14"/>
  <c r="G381" i="14"/>
  <c r="F381" i="14"/>
  <c r="G380" i="14"/>
  <c r="F380" i="14"/>
  <c r="G379" i="14"/>
  <c r="F379" i="14"/>
  <c r="P378" i="14"/>
  <c r="G378" i="14"/>
  <c r="F378" i="14"/>
  <c r="G377" i="14"/>
  <c r="F377" i="14"/>
  <c r="G376" i="14"/>
  <c r="F376" i="14"/>
  <c r="G375" i="14"/>
  <c r="F375" i="14"/>
  <c r="P374" i="14"/>
  <c r="G374" i="14"/>
  <c r="F374" i="14"/>
  <c r="G373" i="14"/>
  <c r="F373" i="14"/>
  <c r="G372" i="14"/>
  <c r="F372" i="14"/>
  <c r="G371" i="14"/>
  <c r="F371" i="14"/>
  <c r="P370" i="14"/>
  <c r="G370" i="14"/>
  <c r="F370" i="14"/>
  <c r="G369" i="14"/>
  <c r="F369" i="14"/>
  <c r="P368" i="14"/>
  <c r="P369" i="14" s="1"/>
  <c r="G368" i="14"/>
  <c r="F368" i="14"/>
  <c r="P367" i="14"/>
  <c r="G367" i="14"/>
  <c r="F367" i="14"/>
  <c r="P366" i="14"/>
  <c r="G366" i="14"/>
  <c r="F366" i="14"/>
  <c r="G365" i="14"/>
  <c r="F365" i="14"/>
  <c r="G364" i="14"/>
  <c r="F364" i="14"/>
  <c r="G363" i="14"/>
  <c r="F363" i="14"/>
  <c r="P362" i="14"/>
  <c r="G362" i="14"/>
  <c r="F362" i="14"/>
  <c r="G361" i="14"/>
  <c r="F361" i="14"/>
  <c r="G360" i="14"/>
  <c r="F360" i="14"/>
  <c r="G359" i="14"/>
  <c r="F359" i="14"/>
  <c r="P358" i="14"/>
  <c r="G358" i="14"/>
  <c r="F358" i="14"/>
  <c r="G357" i="14"/>
  <c r="F357" i="14"/>
  <c r="G356" i="14"/>
  <c r="F356" i="14"/>
  <c r="G355" i="14"/>
  <c r="F355" i="14"/>
  <c r="P354" i="14"/>
  <c r="G354" i="14"/>
  <c r="F354" i="14"/>
  <c r="G353" i="14"/>
  <c r="F353" i="14"/>
  <c r="P352" i="14"/>
  <c r="P353" i="14" s="1"/>
  <c r="G352" i="14"/>
  <c r="F352" i="14"/>
  <c r="P351" i="14"/>
  <c r="G351" i="14"/>
  <c r="F351" i="14"/>
  <c r="P350" i="14"/>
  <c r="G350" i="14"/>
  <c r="F350" i="14"/>
  <c r="G349" i="14"/>
  <c r="F349" i="14"/>
  <c r="G348" i="14"/>
  <c r="F348" i="14"/>
  <c r="G347" i="14"/>
  <c r="F347" i="14"/>
  <c r="P346" i="14"/>
  <c r="G346" i="14"/>
  <c r="F346" i="14"/>
  <c r="G345" i="14"/>
  <c r="F345" i="14"/>
  <c r="G344" i="14"/>
  <c r="F344" i="14"/>
  <c r="G343" i="14"/>
  <c r="F343" i="14"/>
  <c r="P342" i="14"/>
  <c r="G342" i="14"/>
  <c r="F342" i="14"/>
  <c r="G341" i="14"/>
  <c r="F341" i="14"/>
  <c r="G340" i="14"/>
  <c r="F340" i="14"/>
  <c r="G339" i="14"/>
  <c r="F339" i="14"/>
  <c r="P338" i="14"/>
  <c r="G338" i="14"/>
  <c r="F338" i="14"/>
  <c r="G337" i="14"/>
  <c r="F337" i="14"/>
  <c r="P336" i="14"/>
  <c r="P337" i="14" s="1"/>
  <c r="G336" i="14"/>
  <c r="F336" i="14"/>
  <c r="P335" i="14"/>
  <c r="G335" i="14"/>
  <c r="F335" i="14"/>
  <c r="P334" i="14"/>
  <c r="G334" i="14"/>
  <c r="F334" i="14"/>
  <c r="G333" i="14"/>
  <c r="F333" i="14"/>
  <c r="G332" i="14"/>
  <c r="F332" i="14"/>
  <c r="G331" i="14"/>
  <c r="F331" i="14"/>
  <c r="P330" i="14"/>
  <c r="G330" i="14"/>
  <c r="F330" i="14"/>
  <c r="G329" i="14"/>
  <c r="F329" i="14"/>
  <c r="G328" i="14"/>
  <c r="F328" i="14"/>
  <c r="G327" i="14"/>
  <c r="F327" i="14"/>
  <c r="P326" i="14"/>
  <c r="G326" i="14"/>
  <c r="F326" i="14"/>
  <c r="G325" i="14"/>
  <c r="F325" i="14"/>
  <c r="G324" i="14"/>
  <c r="F324" i="14"/>
  <c r="G323" i="14"/>
  <c r="F323" i="14"/>
  <c r="P322" i="14"/>
  <c r="G322" i="14"/>
  <c r="F322" i="14"/>
  <c r="G321" i="14"/>
  <c r="F321" i="14"/>
  <c r="P320" i="14"/>
  <c r="P321" i="14" s="1"/>
  <c r="G320" i="14"/>
  <c r="F320" i="14"/>
  <c r="P319" i="14"/>
  <c r="G319" i="14"/>
  <c r="F319" i="14"/>
  <c r="P318" i="14"/>
  <c r="G318" i="14"/>
  <c r="F318" i="14"/>
  <c r="G317" i="14"/>
  <c r="F317" i="14"/>
  <c r="G316" i="14"/>
  <c r="F316" i="14"/>
  <c r="G315" i="14"/>
  <c r="F315" i="14"/>
  <c r="P314" i="14"/>
  <c r="G314" i="14"/>
  <c r="F314" i="14"/>
  <c r="G313" i="14"/>
  <c r="F313" i="14"/>
  <c r="G312" i="14"/>
  <c r="F312" i="14"/>
  <c r="G311" i="14"/>
  <c r="F311" i="14"/>
  <c r="P310" i="14"/>
  <c r="G310" i="14"/>
  <c r="F310" i="14"/>
  <c r="G309" i="14"/>
  <c r="F309" i="14"/>
  <c r="G308" i="14"/>
  <c r="F308" i="14"/>
  <c r="G307" i="14"/>
  <c r="F307" i="14"/>
  <c r="P306" i="14"/>
  <c r="G306" i="14"/>
  <c r="F306" i="14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3" i="19"/>
  <c r="L15" i="19"/>
  <c r="L16" i="19"/>
  <c r="L17" i="19"/>
  <c r="L18" i="19"/>
  <c r="L19" i="19"/>
  <c r="L20" i="19"/>
  <c r="L21" i="19"/>
  <c r="L22" i="19"/>
  <c r="L4" i="19"/>
  <c r="L5" i="19"/>
  <c r="L6" i="19"/>
  <c r="L7" i="19"/>
  <c r="L8" i="19"/>
  <c r="L9" i="19"/>
  <c r="L10" i="19"/>
  <c r="L11" i="19"/>
  <c r="L12" i="19"/>
  <c r="L13" i="19"/>
  <c r="L14" i="19"/>
  <c r="L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3" i="19"/>
  <c r="T22" i="19"/>
  <c r="O22" i="19"/>
  <c r="J22" i="19"/>
  <c r="E22" i="19"/>
  <c r="T21" i="19"/>
  <c r="O21" i="19"/>
  <c r="J21" i="19"/>
  <c r="E21" i="19"/>
  <c r="T20" i="19"/>
  <c r="O20" i="19"/>
  <c r="J20" i="19"/>
  <c r="E20" i="19"/>
  <c r="T19" i="19"/>
  <c r="O19" i="19"/>
  <c r="P19" i="19" s="1"/>
  <c r="J19" i="19"/>
  <c r="E19" i="19"/>
  <c r="T18" i="19"/>
  <c r="O18" i="19"/>
  <c r="J18" i="19"/>
  <c r="E18" i="19"/>
  <c r="T17" i="19"/>
  <c r="O17" i="19"/>
  <c r="J17" i="19"/>
  <c r="E17" i="19"/>
  <c r="T16" i="19"/>
  <c r="O16" i="19"/>
  <c r="J16" i="19"/>
  <c r="E16" i="19"/>
  <c r="T15" i="19"/>
  <c r="O15" i="19"/>
  <c r="J15" i="19"/>
  <c r="E15" i="19"/>
  <c r="T14" i="19"/>
  <c r="O14" i="19"/>
  <c r="J14" i="19"/>
  <c r="E14" i="19"/>
  <c r="T13" i="19"/>
  <c r="O13" i="19"/>
  <c r="J13" i="19"/>
  <c r="E13" i="19"/>
  <c r="T12" i="19"/>
  <c r="W12" i="19" s="1"/>
  <c r="O12" i="19"/>
  <c r="R12" i="19" s="1"/>
  <c r="J12" i="19"/>
  <c r="E12" i="19"/>
  <c r="T11" i="19"/>
  <c r="O11" i="19"/>
  <c r="P11" i="19" s="1"/>
  <c r="J11" i="19"/>
  <c r="E11" i="19"/>
  <c r="T10" i="19"/>
  <c r="O10" i="19"/>
  <c r="J10" i="19"/>
  <c r="E10" i="19"/>
  <c r="T9" i="19"/>
  <c r="O9" i="19"/>
  <c r="J9" i="19"/>
  <c r="E9" i="19"/>
  <c r="T8" i="19"/>
  <c r="O8" i="19"/>
  <c r="J8" i="19"/>
  <c r="E8" i="19"/>
  <c r="T7" i="19"/>
  <c r="O7" i="19"/>
  <c r="R7" i="19" s="1"/>
  <c r="J7" i="19"/>
  <c r="E7" i="19"/>
  <c r="T6" i="19"/>
  <c r="O6" i="19"/>
  <c r="J6" i="19"/>
  <c r="E6" i="19"/>
  <c r="T5" i="19"/>
  <c r="O5" i="19"/>
  <c r="J5" i="19"/>
  <c r="E5" i="19"/>
  <c r="T4" i="19"/>
  <c r="O4" i="19"/>
  <c r="J4" i="19"/>
  <c r="E4" i="19"/>
  <c r="T3" i="19"/>
  <c r="O3" i="19"/>
  <c r="J3" i="19"/>
  <c r="M3" i="19" s="1"/>
  <c r="E3" i="19"/>
  <c r="E5" i="17"/>
  <c r="F5" i="17" s="1"/>
  <c r="J5" i="17"/>
  <c r="K5" i="17" s="1"/>
  <c r="O5" i="17"/>
  <c r="P5" i="17" s="1"/>
  <c r="T5" i="17"/>
  <c r="U5" i="17" s="1"/>
  <c r="D15" i="14"/>
  <c r="F15" i="14"/>
  <c r="G15" i="14"/>
  <c r="P15" i="14"/>
  <c r="D16" i="14"/>
  <c r="F16" i="14"/>
  <c r="G16" i="14"/>
  <c r="D17" i="14"/>
  <c r="F17" i="14"/>
  <c r="G17" i="14"/>
  <c r="D18" i="14"/>
  <c r="F18" i="14"/>
  <c r="G18" i="14"/>
  <c r="L317" i="14" l="1"/>
  <c r="W5" i="19"/>
  <c r="O333" i="14"/>
  <c r="W9" i="19"/>
  <c r="L349" i="14"/>
  <c r="W13" i="19"/>
  <c r="O365" i="14"/>
  <c r="W17" i="19"/>
  <c r="L381" i="14"/>
  <c r="W21" i="19"/>
  <c r="L382" i="14"/>
  <c r="L367" i="14"/>
  <c r="J380" i="14"/>
  <c r="L350" i="14"/>
  <c r="L335" i="14"/>
  <c r="L351" i="14"/>
  <c r="M14" i="19"/>
  <c r="L320" i="14"/>
  <c r="R6" i="19"/>
  <c r="L352" i="14"/>
  <c r="R14" i="19"/>
  <c r="L384" i="14"/>
  <c r="P9" i="19"/>
  <c r="R9" i="19"/>
  <c r="L318" i="14"/>
  <c r="L319" i="14"/>
  <c r="L383" i="14"/>
  <c r="L336" i="14"/>
  <c r="R10" i="19"/>
  <c r="L368" i="14"/>
  <c r="R18" i="19"/>
  <c r="I321" i="14"/>
  <c r="W6" i="19"/>
  <c r="O337" i="14"/>
  <c r="W10" i="19"/>
  <c r="L353" i="14"/>
  <c r="W14" i="19"/>
  <c r="O369" i="14"/>
  <c r="W18" i="19"/>
  <c r="I385" i="14"/>
  <c r="W22" i="19"/>
  <c r="K11" i="19"/>
  <c r="I339" i="14" s="1"/>
  <c r="J355" i="14"/>
  <c r="J371" i="14"/>
  <c r="L316" i="14"/>
  <c r="R5" i="19"/>
  <c r="F3" i="19"/>
  <c r="X3" i="19" s="1"/>
  <c r="J323" i="14"/>
  <c r="O308" i="14"/>
  <c r="R3" i="19"/>
  <c r="O340" i="14"/>
  <c r="R11" i="19"/>
  <c r="O356" i="14"/>
  <c r="R15" i="19"/>
  <c r="O372" i="14"/>
  <c r="R19" i="19"/>
  <c r="I309" i="14"/>
  <c r="W3" i="19"/>
  <c r="L325" i="14"/>
  <c r="W7" i="19"/>
  <c r="I341" i="14"/>
  <c r="W11" i="19"/>
  <c r="U15" i="19"/>
  <c r="W15" i="19"/>
  <c r="I373" i="14"/>
  <c r="W19" i="19"/>
  <c r="J310" i="14"/>
  <c r="L364" i="14"/>
  <c r="J322" i="14"/>
  <c r="L326" i="14"/>
  <c r="J343" i="14"/>
  <c r="K16" i="19"/>
  <c r="I359" i="14" s="1"/>
  <c r="K20" i="19"/>
  <c r="I375" i="14" s="1"/>
  <c r="F16" i="19"/>
  <c r="I358" i="14" s="1"/>
  <c r="H358" i="14" s="1"/>
  <c r="J311" i="14"/>
  <c r="P8" i="19"/>
  <c r="R8" i="19"/>
  <c r="I360" i="14"/>
  <c r="R16" i="19"/>
  <c r="L376" i="14"/>
  <c r="L348" i="14"/>
  <c r="R13" i="19"/>
  <c r="J338" i="14"/>
  <c r="J327" i="14"/>
  <c r="P4" i="19"/>
  <c r="R4" i="19"/>
  <c r="O313" i="14"/>
  <c r="W4" i="19"/>
  <c r="O329" i="14"/>
  <c r="W8" i="19"/>
  <c r="J361" i="14"/>
  <c r="W16" i="19"/>
  <c r="U20" i="19"/>
  <c r="W20" i="19"/>
  <c r="J370" i="14"/>
  <c r="J374" i="14"/>
  <c r="J314" i="14"/>
  <c r="L330" i="14"/>
  <c r="J346" i="14"/>
  <c r="J362" i="14"/>
  <c r="L378" i="14"/>
  <c r="J354" i="14"/>
  <c r="J342" i="14"/>
  <c r="J315" i="14"/>
  <c r="K9" i="19"/>
  <c r="I331" i="14" s="1"/>
  <c r="J347" i="14"/>
  <c r="K17" i="19"/>
  <c r="I363" i="14" s="1"/>
  <c r="J379" i="14"/>
  <c r="K21" i="19"/>
  <c r="I379" i="14" s="1"/>
  <c r="F20" i="19"/>
  <c r="I374" i="14" s="1"/>
  <c r="H374" i="14" s="1"/>
  <c r="U13" i="19"/>
  <c r="L361" i="14"/>
  <c r="K188" i="15"/>
  <c r="L371" i="14"/>
  <c r="U18" i="19"/>
  <c r="J326" i="14"/>
  <c r="E215" i="15"/>
  <c r="P5" i="19"/>
  <c r="U3" i="19"/>
  <c r="J375" i="14"/>
  <c r="U19" i="19"/>
  <c r="U16" i="19"/>
  <c r="I307" i="14"/>
  <c r="I337" i="14"/>
  <c r="L308" i="14"/>
  <c r="I317" i="14"/>
  <c r="J337" i="14"/>
  <c r="L313" i="14"/>
  <c r="L362" i="14"/>
  <c r="K187" i="15"/>
  <c r="E216" i="15"/>
  <c r="I308" i="14"/>
  <c r="J317" i="14"/>
  <c r="I348" i="14"/>
  <c r="O357" i="14"/>
  <c r="L314" i="14"/>
  <c r="L363" i="14"/>
  <c r="K186" i="15"/>
  <c r="F4" i="19"/>
  <c r="I310" i="14" s="1"/>
  <c r="H310" i="14" s="1"/>
  <c r="J308" i="14"/>
  <c r="L315" i="14"/>
  <c r="E182" i="15"/>
  <c r="I349" i="14"/>
  <c r="I369" i="14"/>
  <c r="J378" i="14"/>
  <c r="L323" i="14"/>
  <c r="L372" i="14"/>
  <c r="E183" i="15"/>
  <c r="J309" i="14"/>
  <c r="J330" i="14"/>
  <c r="I340" i="14"/>
  <c r="J349" i="14"/>
  <c r="J369" i="14"/>
  <c r="L324" i="14"/>
  <c r="L377" i="14"/>
  <c r="E184" i="15"/>
  <c r="O309" i="14"/>
  <c r="J340" i="14"/>
  <c r="J359" i="14"/>
  <c r="L329" i="14"/>
  <c r="K220" i="15"/>
  <c r="E192" i="15"/>
  <c r="J321" i="14"/>
  <c r="L379" i="14"/>
  <c r="K219" i="15"/>
  <c r="E193" i="15"/>
  <c r="U7" i="19"/>
  <c r="O321" i="14"/>
  <c r="J341" i="14"/>
  <c r="J381" i="14"/>
  <c r="L331" i="14"/>
  <c r="K218" i="15"/>
  <c r="E194" i="15"/>
  <c r="J332" i="14"/>
  <c r="O341" i="14"/>
  <c r="I372" i="14"/>
  <c r="O381" i="14"/>
  <c r="L339" i="14"/>
  <c r="K214" i="15"/>
  <c r="E198" i="15"/>
  <c r="O332" i="14"/>
  <c r="I353" i="14"/>
  <c r="J372" i="14"/>
  <c r="L340" i="14"/>
  <c r="K213" i="15"/>
  <c r="E199" i="15"/>
  <c r="F8" i="19"/>
  <c r="I326" i="14" s="1"/>
  <c r="J353" i="14"/>
  <c r="L345" i="14"/>
  <c r="K204" i="15"/>
  <c r="E200" i="15"/>
  <c r="O353" i="14"/>
  <c r="J373" i="14"/>
  <c r="L346" i="14"/>
  <c r="K203" i="15"/>
  <c r="E208" i="15"/>
  <c r="O373" i="14"/>
  <c r="L347" i="14"/>
  <c r="K202" i="15"/>
  <c r="E209" i="15"/>
  <c r="P17" i="19"/>
  <c r="I364" i="14" s="1"/>
  <c r="J364" i="14"/>
  <c r="J385" i="14"/>
  <c r="L355" i="14"/>
  <c r="E210" i="15"/>
  <c r="I316" i="14"/>
  <c r="L307" i="14"/>
  <c r="L356" i="14"/>
  <c r="K197" i="15"/>
  <c r="I325" i="14"/>
  <c r="J307" i="14"/>
  <c r="J316" i="14"/>
  <c r="J325" i="14"/>
  <c r="J334" i="14"/>
  <c r="J348" i="14"/>
  <c r="O352" i="14"/>
  <c r="I357" i="14"/>
  <c r="O361" i="14"/>
  <c r="J366" i="14"/>
  <c r="O385" i="14"/>
  <c r="L321" i="14"/>
  <c r="L337" i="14"/>
  <c r="L369" i="14"/>
  <c r="L385" i="14"/>
  <c r="K222" i="15"/>
  <c r="K206" i="15"/>
  <c r="K190" i="15"/>
  <c r="J350" i="14"/>
  <c r="I328" i="14"/>
  <c r="J383" i="14"/>
  <c r="O307" i="14"/>
  <c r="I312" i="14"/>
  <c r="O316" i="14"/>
  <c r="O325" i="14"/>
  <c r="J339" i="14"/>
  <c r="I344" i="14"/>
  <c r="O348" i="14"/>
  <c r="J357" i="14"/>
  <c r="I381" i="14"/>
  <c r="L306" i="14"/>
  <c r="L322" i="14"/>
  <c r="L338" i="14"/>
  <c r="L354" i="14"/>
  <c r="L370" i="14"/>
  <c r="K221" i="15"/>
  <c r="K205" i="15"/>
  <c r="K189" i="15"/>
  <c r="E191" i="15"/>
  <c r="E207" i="15"/>
  <c r="E223" i="15"/>
  <c r="J376" i="14"/>
  <c r="I377" i="14"/>
  <c r="L373" i="14"/>
  <c r="O312" i="14"/>
  <c r="O344" i="14"/>
  <c r="L309" i="14"/>
  <c r="L357" i="14"/>
  <c r="I313" i="14"/>
  <c r="O317" i="14"/>
  <c r="J331" i="14"/>
  <c r="I336" i="14"/>
  <c r="I345" i="14"/>
  <c r="O349" i="14"/>
  <c r="J358" i="14"/>
  <c r="I368" i="14"/>
  <c r="J377" i="14"/>
  <c r="L310" i="14"/>
  <c r="L342" i="14"/>
  <c r="L358" i="14"/>
  <c r="L374" i="14"/>
  <c r="K217" i="15"/>
  <c r="K201" i="15"/>
  <c r="K185" i="15"/>
  <c r="E195" i="15"/>
  <c r="E211" i="15"/>
  <c r="J335" i="14"/>
  <c r="L341" i="14"/>
  <c r="P16" i="19"/>
  <c r="J313" i="14"/>
  <c r="J336" i="14"/>
  <c r="J345" i="14"/>
  <c r="J363" i="14"/>
  <c r="J368" i="14"/>
  <c r="O377" i="14"/>
  <c r="J382" i="14"/>
  <c r="L311" i="14"/>
  <c r="L327" i="14"/>
  <c r="L343" i="14"/>
  <c r="L359" i="14"/>
  <c r="L375" i="14"/>
  <c r="E196" i="15"/>
  <c r="E212" i="15"/>
  <c r="J344" i="14"/>
  <c r="J367" i="14"/>
  <c r="K4" i="19"/>
  <c r="I311" i="14" s="1"/>
  <c r="K8" i="19"/>
  <c r="F12" i="19"/>
  <c r="I342" i="14" s="1"/>
  <c r="H342" i="14" s="1"/>
  <c r="P20" i="19"/>
  <c r="I332" i="14"/>
  <c r="O336" i="14"/>
  <c r="O345" i="14"/>
  <c r="O368" i="14"/>
  <c r="L312" i="14"/>
  <c r="L328" i="14"/>
  <c r="L344" i="14"/>
  <c r="L360" i="14"/>
  <c r="K5" i="19"/>
  <c r="I315" i="14" s="1"/>
  <c r="J319" i="14"/>
  <c r="I324" i="14"/>
  <c r="O328" i="14"/>
  <c r="I333" i="14"/>
  <c r="J351" i="14"/>
  <c r="J360" i="14"/>
  <c r="I365" i="14"/>
  <c r="L332" i="14"/>
  <c r="L380" i="14"/>
  <c r="U12" i="19"/>
  <c r="J328" i="14"/>
  <c r="I351" i="14"/>
  <c r="M351" i="14" s="1"/>
  <c r="J324" i="14"/>
  <c r="J333" i="14"/>
  <c r="O351" i="14"/>
  <c r="I356" i="14"/>
  <c r="O360" i="14"/>
  <c r="J365" i="14"/>
  <c r="J384" i="14"/>
  <c r="L333" i="14"/>
  <c r="L365" i="14"/>
  <c r="J318" i="14"/>
  <c r="J306" i="14"/>
  <c r="I320" i="14"/>
  <c r="O324" i="14"/>
  <c r="I329" i="14"/>
  <c r="J356" i="14"/>
  <c r="L334" i="14"/>
  <c r="L366" i="14"/>
  <c r="U8" i="19"/>
  <c r="F9" i="19"/>
  <c r="I330" i="14" s="1"/>
  <c r="J320" i="14"/>
  <c r="J329" i="14"/>
  <c r="I352" i="14"/>
  <c r="I361" i="14"/>
  <c r="J312" i="14"/>
  <c r="P12" i="19"/>
  <c r="O320" i="14"/>
  <c r="J352" i="14"/>
  <c r="P311" i="14"/>
  <c r="P327" i="14"/>
  <c r="P343" i="14"/>
  <c r="P359" i="14"/>
  <c r="P375" i="14"/>
  <c r="P307" i="14"/>
  <c r="P323" i="14"/>
  <c r="P339" i="14"/>
  <c r="P355" i="14"/>
  <c r="P371" i="14"/>
  <c r="P331" i="14"/>
  <c r="P347" i="14"/>
  <c r="P363" i="14"/>
  <c r="P379" i="14"/>
  <c r="P315" i="14"/>
  <c r="F14" i="19"/>
  <c r="I350" i="14" s="1"/>
  <c r="F19" i="19"/>
  <c r="I370" i="14" s="1"/>
  <c r="F17" i="19"/>
  <c r="I362" i="14" s="1"/>
  <c r="F11" i="19"/>
  <c r="F15" i="19"/>
  <c r="K15" i="19"/>
  <c r="I355" i="14" s="1"/>
  <c r="P7" i="19"/>
  <c r="U5" i="19"/>
  <c r="F21" i="19"/>
  <c r="F5" i="19"/>
  <c r="U9" i="19"/>
  <c r="P13" i="19"/>
  <c r="F6" i="19"/>
  <c r="I318" i="14" s="1"/>
  <c r="F22" i="19"/>
  <c r="K6" i="19"/>
  <c r="I319" i="14" s="1"/>
  <c r="K12" i="19"/>
  <c r="U10" i="19"/>
  <c r="P14" i="19"/>
  <c r="K18" i="19"/>
  <c r="I367" i="14" s="1"/>
  <c r="M367" i="14" s="1"/>
  <c r="K3" i="19"/>
  <c r="U11" i="19"/>
  <c r="P15" i="19"/>
  <c r="K19" i="19"/>
  <c r="F7" i="19"/>
  <c r="I322" i="14" s="1"/>
  <c r="K22" i="19"/>
  <c r="I383" i="14" s="1"/>
  <c r="M383" i="14" s="1"/>
  <c r="F10" i="19"/>
  <c r="I334" i="14" s="1"/>
  <c r="U14" i="19"/>
  <c r="P18" i="19"/>
  <c r="P3" i="19"/>
  <c r="K7" i="19"/>
  <c r="I323" i="14" s="1"/>
  <c r="P21" i="19"/>
  <c r="I380" i="14" s="1"/>
  <c r="F13" i="19"/>
  <c r="I346" i="14" s="1"/>
  <c r="U17" i="19"/>
  <c r="P6" i="19"/>
  <c r="K10" i="19"/>
  <c r="I335" i="14" s="1"/>
  <c r="M335" i="14" s="1"/>
  <c r="P22" i="19"/>
  <c r="I384" i="14" s="1"/>
  <c r="U4" i="19"/>
  <c r="K13" i="19"/>
  <c r="I347" i="14" s="1"/>
  <c r="U21" i="19"/>
  <c r="U22" i="19"/>
  <c r="U6" i="19"/>
  <c r="P10" i="19"/>
  <c r="K14" i="19"/>
  <c r="F18" i="19"/>
  <c r="I15" i="14"/>
  <c r="H15" i="14" s="1"/>
  <c r="X5" i="17"/>
  <c r="W5" i="17"/>
  <c r="S5" i="17"/>
  <c r="N5" i="17"/>
  <c r="I5" i="17"/>
  <c r="O15" i="14" s="1"/>
  <c r="L15" i="14"/>
  <c r="P16" i="14"/>
  <c r="J15" i="14"/>
  <c r="D165" i="2"/>
  <c r="D170" i="2" s="1"/>
  <c r="D175" i="2" s="1"/>
  <c r="D180" i="2" s="1"/>
  <c r="D166" i="2"/>
  <c r="D171" i="2" s="1"/>
  <c r="D176" i="2" s="1"/>
  <c r="D181" i="2" s="1"/>
  <c r="D167" i="2"/>
  <c r="D172" i="2" s="1"/>
  <c r="D177" i="2" s="1"/>
  <c r="D182" i="2" s="1"/>
  <c r="D168" i="2"/>
  <c r="D173" i="2" s="1"/>
  <c r="D178" i="2" s="1"/>
  <c r="D183" i="2" s="1"/>
  <c r="D169" i="2"/>
  <c r="D174" i="2" s="1"/>
  <c r="D179" i="2" s="1"/>
  <c r="D184" i="2" s="1"/>
  <c r="S16" i="19" l="1"/>
  <c r="I16" i="19"/>
  <c r="O358" i="14" s="1"/>
  <c r="X16" i="19"/>
  <c r="N16" i="19"/>
  <c r="O359" i="14" s="1"/>
  <c r="N11" i="19"/>
  <c r="O339" i="14" s="1"/>
  <c r="S3" i="19"/>
  <c r="I306" i="14"/>
  <c r="M306" i="14" s="1"/>
  <c r="N3" i="19"/>
  <c r="I3" i="19"/>
  <c r="O306" i="14" s="1"/>
  <c r="X9" i="19"/>
  <c r="I9" i="19"/>
  <c r="O330" i="14" s="1"/>
  <c r="I15" i="19"/>
  <c r="O354" i="14" s="1"/>
  <c r="I20" i="19"/>
  <c r="O374" i="14" s="1"/>
  <c r="I12" i="19"/>
  <c r="O342" i="14" s="1"/>
  <c r="K310" i="14"/>
  <c r="X8" i="19"/>
  <c r="N4" i="19"/>
  <c r="O311" i="14" s="1"/>
  <c r="S4" i="19"/>
  <c r="I4" i="19"/>
  <c r="O310" i="14" s="1"/>
  <c r="I8" i="19"/>
  <c r="O326" i="14" s="1"/>
  <c r="S8" i="19"/>
  <c r="M310" i="14"/>
  <c r="X5" i="19"/>
  <c r="M358" i="14"/>
  <c r="I18" i="19"/>
  <c r="O366" i="14" s="1"/>
  <c r="K358" i="14"/>
  <c r="X15" i="19"/>
  <c r="N9" i="19"/>
  <c r="O331" i="14" s="1"/>
  <c r="H326" i="14"/>
  <c r="K326" i="14"/>
  <c r="M326" i="14"/>
  <c r="N5" i="19"/>
  <c r="O315" i="14" s="1"/>
  <c r="I354" i="14"/>
  <c r="M354" i="14" s="1"/>
  <c r="N8" i="19"/>
  <c r="O327" i="14" s="1"/>
  <c r="S22" i="19"/>
  <c r="O384" i="14" s="1"/>
  <c r="K335" i="14"/>
  <c r="I338" i="14"/>
  <c r="M338" i="14" s="1"/>
  <c r="M374" i="14"/>
  <c r="N10" i="19"/>
  <c r="O335" i="14" s="1"/>
  <c r="S19" i="19"/>
  <c r="M342" i="14"/>
  <c r="H383" i="14"/>
  <c r="H351" i="14"/>
  <c r="K350" i="14"/>
  <c r="H350" i="14"/>
  <c r="M350" i="14"/>
  <c r="M334" i="14"/>
  <c r="K334" i="14"/>
  <c r="H334" i="14"/>
  <c r="M319" i="14"/>
  <c r="K319" i="14"/>
  <c r="H319" i="14"/>
  <c r="M318" i="14"/>
  <c r="H318" i="14"/>
  <c r="K318" i="14"/>
  <c r="X20" i="19"/>
  <c r="X4" i="19"/>
  <c r="S9" i="19"/>
  <c r="I382" i="14"/>
  <c r="S17" i="19"/>
  <c r="O364" i="14" s="1"/>
  <c r="I5" i="19"/>
  <c r="O314" i="14" s="1"/>
  <c r="I314" i="14"/>
  <c r="K314" i="14" s="1"/>
  <c r="I327" i="14"/>
  <c r="I376" i="14"/>
  <c r="N21" i="19"/>
  <c r="O379" i="14" s="1"/>
  <c r="I378" i="14"/>
  <c r="K378" i="14" s="1"/>
  <c r="N20" i="19"/>
  <c r="O375" i="14" s="1"/>
  <c r="K383" i="14"/>
  <c r="K374" i="14"/>
  <c r="N17" i="19"/>
  <c r="O363" i="14" s="1"/>
  <c r="H367" i="14"/>
  <c r="K367" i="14"/>
  <c r="I366" i="14"/>
  <c r="X17" i="19"/>
  <c r="S20" i="19"/>
  <c r="O376" i="14" s="1"/>
  <c r="I17" i="19"/>
  <c r="O362" i="14" s="1"/>
  <c r="K351" i="14"/>
  <c r="K342" i="14"/>
  <c r="H335" i="14"/>
  <c r="I371" i="14"/>
  <c r="I343" i="14"/>
  <c r="M369" i="14"/>
  <c r="K369" i="14"/>
  <c r="H369" i="14"/>
  <c r="K362" i="14"/>
  <c r="H362" i="14"/>
  <c r="M362" i="14"/>
  <c r="M370" i="14"/>
  <c r="K370" i="14"/>
  <c r="H370" i="14"/>
  <c r="M385" i="14"/>
  <c r="K385" i="14"/>
  <c r="H385" i="14"/>
  <c r="H320" i="14"/>
  <c r="M320" i="14"/>
  <c r="K320" i="14"/>
  <c r="P380" i="14"/>
  <c r="P372" i="14"/>
  <c r="P328" i="14"/>
  <c r="P316" i="14"/>
  <c r="K330" i="14"/>
  <c r="H330" i="14"/>
  <c r="M330" i="14"/>
  <c r="K353" i="14"/>
  <c r="M353" i="14"/>
  <c r="H353" i="14"/>
  <c r="H384" i="14"/>
  <c r="M384" i="14"/>
  <c r="K384" i="14"/>
  <c r="P356" i="14"/>
  <c r="P348" i="14"/>
  <c r="P332" i="14"/>
  <c r="P340" i="14"/>
  <c r="K321" i="14"/>
  <c r="M321" i="14"/>
  <c r="H321" i="14"/>
  <c r="K337" i="14"/>
  <c r="M337" i="14"/>
  <c r="H337" i="14"/>
  <c r="K346" i="14"/>
  <c r="H346" i="14"/>
  <c r="M346" i="14"/>
  <c r="P308" i="14"/>
  <c r="H322" i="14"/>
  <c r="M322" i="14"/>
  <c r="K322" i="14"/>
  <c r="H368" i="14"/>
  <c r="M368" i="14"/>
  <c r="K368" i="14"/>
  <c r="P344" i="14"/>
  <c r="H336" i="14"/>
  <c r="M336" i="14"/>
  <c r="K336" i="14"/>
  <c r="P376" i="14"/>
  <c r="P360" i="14"/>
  <c r="H352" i="14"/>
  <c r="M352" i="14"/>
  <c r="K352" i="14"/>
  <c r="P364" i="14"/>
  <c r="P312" i="14"/>
  <c r="P324" i="14"/>
  <c r="S12" i="19"/>
  <c r="X12" i="19"/>
  <c r="X14" i="19"/>
  <c r="N22" i="19"/>
  <c r="O383" i="14" s="1"/>
  <c r="S5" i="19"/>
  <c r="N15" i="19"/>
  <c r="O355" i="14" s="1"/>
  <c r="I11" i="19"/>
  <c r="O338" i="14" s="1"/>
  <c r="S14" i="19"/>
  <c r="X11" i="19"/>
  <c r="S11" i="19"/>
  <c r="N19" i="19"/>
  <c r="O371" i="14" s="1"/>
  <c r="S6" i="19"/>
  <c r="S21" i="19"/>
  <c r="O380" i="14" s="1"/>
  <c r="I22" i="19"/>
  <c r="O382" i="14" s="1"/>
  <c r="S15" i="19"/>
  <c r="I14" i="19"/>
  <c r="O350" i="14" s="1"/>
  <c r="X13" i="19"/>
  <c r="N18" i="19"/>
  <c r="O367" i="14" s="1"/>
  <c r="S10" i="19"/>
  <c r="X10" i="19"/>
  <c r="I13" i="19"/>
  <c r="O346" i="14" s="1"/>
  <c r="I6" i="19"/>
  <c r="O318" i="14" s="1"/>
  <c r="X22" i="19"/>
  <c r="N14" i="19"/>
  <c r="I7" i="19"/>
  <c r="O322" i="14" s="1"/>
  <c r="N7" i="19"/>
  <c r="O323" i="14" s="1"/>
  <c r="X21" i="19"/>
  <c r="S7" i="19"/>
  <c r="I19" i="19"/>
  <c r="O370" i="14" s="1"/>
  <c r="N13" i="19"/>
  <c r="O347" i="14" s="1"/>
  <c r="X18" i="19"/>
  <c r="I10" i="19"/>
  <c r="O334" i="14" s="1"/>
  <c r="I21" i="19"/>
  <c r="O378" i="14" s="1"/>
  <c r="X7" i="19"/>
  <c r="S18" i="19"/>
  <c r="N6" i="19"/>
  <c r="O319" i="14" s="1"/>
  <c r="S13" i="19"/>
  <c r="X6" i="19"/>
  <c r="X19" i="19"/>
  <c r="N12" i="19"/>
  <c r="O343" i="14" s="1"/>
  <c r="M15" i="14"/>
  <c r="K15" i="14"/>
  <c r="L16" i="14"/>
  <c r="O16" i="14"/>
  <c r="I16" i="14"/>
  <c r="J16" i="14"/>
  <c r="P17" i="14"/>
  <c r="D8" i="5"/>
  <c r="C6" i="5"/>
  <c r="K306" i="14" l="1"/>
  <c r="H306" i="14"/>
  <c r="K338" i="14"/>
  <c r="K354" i="14"/>
  <c r="H338" i="14"/>
  <c r="M378" i="14"/>
  <c r="H378" i="14"/>
  <c r="H354" i="14"/>
  <c r="M314" i="14"/>
  <c r="H314" i="14"/>
  <c r="M382" i="14"/>
  <c r="K382" i="14"/>
  <c r="H382" i="14"/>
  <c r="H366" i="14"/>
  <c r="M366" i="14"/>
  <c r="K366" i="14"/>
  <c r="M359" i="14"/>
  <c r="K359" i="14"/>
  <c r="H359" i="14"/>
  <c r="M331" i="14"/>
  <c r="K331" i="14"/>
  <c r="H331" i="14"/>
  <c r="P329" i="14"/>
  <c r="P349" i="14"/>
  <c r="P373" i="14"/>
  <c r="M311" i="14"/>
  <c r="K311" i="14"/>
  <c r="H311" i="14"/>
  <c r="M327" i="14"/>
  <c r="K327" i="14"/>
  <c r="H327" i="14"/>
  <c r="M363" i="14"/>
  <c r="K363" i="14"/>
  <c r="H363" i="14"/>
  <c r="P361" i="14"/>
  <c r="P365" i="14"/>
  <c r="M347" i="14"/>
  <c r="K347" i="14"/>
  <c r="H347" i="14"/>
  <c r="H371" i="14"/>
  <c r="M371" i="14"/>
  <c r="K371" i="14"/>
  <c r="P313" i="14"/>
  <c r="P381" i="14"/>
  <c r="P309" i="14"/>
  <c r="M343" i="14"/>
  <c r="K343" i="14"/>
  <c r="H343" i="14"/>
  <c r="P377" i="14"/>
  <c r="P341" i="14"/>
  <c r="H323" i="14"/>
  <c r="M323" i="14"/>
  <c r="K323" i="14"/>
  <c r="H307" i="14"/>
  <c r="M307" i="14"/>
  <c r="K307" i="14"/>
  <c r="H355" i="14"/>
  <c r="M355" i="14"/>
  <c r="K355" i="14"/>
  <c r="M315" i="14"/>
  <c r="K315" i="14"/>
  <c r="H315" i="14"/>
  <c r="P345" i="14"/>
  <c r="P325" i="14"/>
  <c r="M379" i="14"/>
  <c r="K379" i="14"/>
  <c r="H379" i="14"/>
  <c r="H339" i="14"/>
  <c r="M339" i="14"/>
  <c r="K339" i="14"/>
  <c r="M375" i="14"/>
  <c r="H375" i="14"/>
  <c r="K375" i="14"/>
  <c r="P357" i="14"/>
  <c r="P317" i="14"/>
  <c r="P333" i="14"/>
  <c r="I17" i="14"/>
  <c r="J17" i="14"/>
  <c r="P18" i="14"/>
  <c r="L17" i="14"/>
  <c r="O17" i="14"/>
  <c r="K16" i="14"/>
  <c r="M16" i="14"/>
  <c r="H16" i="14"/>
  <c r="E36" i="6"/>
  <c r="F36" i="6"/>
  <c r="E37" i="6"/>
  <c r="F37" i="6"/>
  <c r="E38" i="6"/>
  <c r="F38" i="6"/>
  <c r="M38" i="11"/>
  <c r="P38" i="11" s="1"/>
  <c r="M37" i="11"/>
  <c r="P37" i="11" s="1"/>
  <c r="M36" i="11"/>
  <c r="P36" i="11" s="1"/>
  <c r="Y34" i="7"/>
  <c r="Y35" i="7"/>
  <c r="Y33" i="7"/>
  <c r="Y31" i="7"/>
  <c r="Y32" i="7"/>
  <c r="T31" i="7"/>
  <c r="T32" i="7"/>
  <c r="T33" i="7"/>
  <c r="T34" i="7"/>
  <c r="T35" i="7"/>
  <c r="M344" i="14" l="1"/>
  <c r="K344" i="14"/>
  <c r="H344" i="14"/>
  <c r="M328" i="14"/>
  <c r="K328" i="14"/>
  <c r="H328" i="14"/>
  <c r="M332" i="14"/>
  <c r="K332" i="14"/>
  <c r="H332" i="14"/>
  <c r="M380" i="14"/>
  <c r="K380" i="14"/>
  <c r="H380" i="14"/>
  <c r="M364" i="14"/>
  <c r="K364" i="14"/>
  <c r="H364" i="14"/>
  <c r="M308" i="14"/>
  <c r="K308" i="14"/>
  <c r="H308" i="14"/>
  <c r="M356" i="14"/>
  <c r="K356" i="14"/>
  <c r="H356" i="14"/>
  <c r="M348" i="14"/>
  <c r="K348" i="14"/>
  <c r="H348" i="14"/>
  <c r="M340" i="14"/>
  <c r="K340" i="14"/>
  <c r="H340" i="14"/>
  <c r="M316" i="14"/>
  <c r="K316" i="14"/>
  <c r="H316" i="14"/>
  <c r="M312" i="14"/>
  <c r="K312" i="14"/>
  <c r="H312" i="14"/>
  <c r="M360" i="14"/>
  <c r="K360" i="14"/>
  <c r="H360" i="14"/>
  <c r="M376" i="14"/>
  <c r="K376" i="14"/>
  <c r="H376" i="14"/>
  <c r="M324" i="14"/>
  <c r="K324" i="14"/>
  <c r="H324" i="14"/>
  <c r="M372" i="14"/>
  <c r="K372" i="14"/>
  <c r="H372" i="14"/>
  <c r="I18" i="14"/>
  <c r="J18" i="14"/>
  <c r="L18" i="14"/>
  <c r="O18" i="14"/>
  <c r="H17" i="14"/>
  <c r="K17" i="14"/>
  <c r="M17" i="14"/>
  <c r="M35" i="11"/>
  <c r="P35" i="11" s="1"/>
  <c r="M34" i="11"/>
  <c r="P34" i="11" s="1"/>
  <c r="M33" i="11"/>
  <c r="P33" i="11" s="1"/>
  <c r="M32" i="11"/>
  <c r="P32" i="11" s="1"/>
  <c r="M31" i="11"/>
  <c r="P31" i="11" s="1"/>
  <c r="M30" i="11"/>
  <c r="P30" i="11" s="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K361" i="14" l="1"/>
  <c r="M361" i="14"/>
  <c r="H361" i="14"/>
  <c r="K329" i="14"/>
  <c r="M329" i="14"/>
  <c r="H329" i="14"/>
  <c r="M357" i="14"/>
  <c r="K357" i="14"/>
  <c r="H357" i="14"/>
  <c r="K381" i="14"/>
  <c r="H381" i="14"/>
  <c r="M381" i="14"/>
  <c r="K341" i="14"/>
  <c r="M341" i="14"/>
  <c r="H341" i="14"/>
  <c r="K333" i="14"/>
  <c r="H333" i="14"/>
  <c r="M333" i="14"/>
  <c r="M373" i="14"/>
  <c r="K373" i="14"/>
  <c r="H373" i="14"/>
  <c r="M377" i="14"/>
  <c r="K377" i="14"/>
  <c r="H377" i="14"/>
  <c r="K309" i="14"/>
  <c r="M309" i="14"/>
  <c r="H309" i="14"/>
  <c r="K317" i="14"/>
  <c r="H317" i="14"/>
  <c r="M317" i="14"/>
  <c r="H313" i="14"/>
  <c r="K313" i="14"/>
  <c r="M313" i="14"/>
  <c r="K325" i="14"/>
  <c r="M325" i="14"/>
  <c r="H325" i="14"/>
  <c r="K365" i="14"/>
  <c r="H365" i="14"/>
  <c r="M365" i="14"/>
  <c r="K349" i="14"/>
  <c r="H349" i="14"/>
  <c r="M349" i="14"/>
  <c r="M345" i="14"/>
  <c r="K345" i="14"/>
  <c r="H345" i="14"/>
  <c r="H18" i="14"/>
  <c r="K18" i="14"/>
  <c r="M18" i="14"/>
  <c r="E33" i="6"/>
  <c r="E34" i="6"/>
  <c r="E35" i="6"/>
  <c r="F29" i="6"/>
  <c r="F30" i="6"/>
  <c r="F31" i="6"/>
  <c r="F32" i="6"/>
  <c r="F33" i="6"/>
  <c r="F34" i="6"/>
  <c r="F35" i="6"/>
  <c r="E32" i="6"/>
  <c r="E31" i="6"/>
  <c r="E30" i="6"/>
  <c r="F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E17" i="6"/>
  <c r="E16" i="6"/>
  <c r="E15" i="6"/>
  <c r="E14" i="6"/>
  <c r="E13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Y30" i="7"/>
  <c r="T30" i="7"/>
  <c r="O29" i="7"/>
  <c r="O28" i="7"/>
  <c r="O27" i="7"/>
  <c r="Y26" i="7"/>
  <c r="T26" i="7"/>
  <c r="Y25" i="7"/>
  <c r="T25" i="7"/>
  <c r="Y24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K20" i="5" l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N16" i="5"/>
  <c r="M16" i="5"/>
  <c r="M15" i="5"/>
  <c r="M17" i="5" s="1"/>
  <c r="N15" i="5"/>
  <c r="N17" i="5" s="1"/>
  <c r="L15" i="5"/>
  <c r="L17" i="5" s="1"/>
  <c r="D11" i="5"/>
  <c r="H11" i="5" s="1"/>
  <c r="D12" i="5"/>
  <c r="H12" i="5" s="1"/>
  <c r="F36" i="7" s="1"/>
  <c r="O36" i="7" s="1"/>
  <c r="D13" i="5"/>
  <c r="H13" i="5" s="1"/>
  <c r="C13" i="5"/>
  <c r="C12" i="5"/>
  <c r="C11" i="5"/>
  <c r="D10" i="5"/>
  <c r="C10" i="5"/>
  <c r="D9" i="5"/>
  <c r="C9" i="5"/>
  <c r="C8" i="5"/>
  <c r="D7" i="5"/>
  <c r="C7" i="5"/>
  <c r="D6" i="5"/>
  <c r="H6" i="5" s="1"/>
  <c r="D5" i="5"/>
  <c r="C5" i="5"/>
  <c r="H5" i="5" s="1"/>
  <c r="D4" i="5"/>
  <c r="C4" i="5"/>
  <c r="D3" i="5"/>
  <c r="C3" i="5"/>
  <c r="D2" i="5"/>
  <c r="C2" i="5"/>
  <c r="D10" i="15"/>
  <c r="K10" i="15" s="1"/>
  <c r="D9" i="15"/>
  <c r="K9" i="15" s="1"/>
  <c r="D8" i="15"/>
  <c r="K8" i="15" s="1"/>
  <c r="D7" i="15"/>
  <c r="K7" i="15" s="1"/>
  <c r="D6" i="15"/>
  <c r="E6" i="15" s="1"/>
  <c r="D8" i="14"/>
  <c r="D9" i="14"/>
  <c r="D10" i="14"/>
  <c r="D11" i="14"/>
  <c r="D12" i="14"/>
  <c r="D13" i="14"/>
  <c r="D14" i="14"/>
  <c r="D7" i="14"/>
  <c r="G14" i="14"/>
  <c r="F14" i="14"/>
  <c r="G13" i="14"/>
  <c r="F13" i="14"/>
  <c r="G12" i="14"/>
  <c r="F12" i="14"/>
  <c r="P11" i="14"/>
  <c r="G11" i="14"/>
  <c r="F11" i="14"/>
  <c r="G10" i="14"/>
  <c r="F10" i="14"/>
  <c r="G9" i="14"/>
  <c r="F9" i="14"/>
  <c r="G8" i="14"/>
  <c r="F8" i="14"/>
  <c r="P7" i="14"/>
  <c r="G7" i="14"/>
  <c r="F7" i="14"/>
  <c r="L6" i="12"/>
  <c r="I6" i="12"/>
  <c r="F6" i="12"/>
  <c r="T4" i="17"/>
  <c r="O4" i="17"/>
  <c r="R4" i="17" s="1"/>
  <c r="J4" i="17"/>
  <c r="E4" i="17"/>
  <c r="F4" i="17" s="1"/>
  <c r="T3" i="17"/>
  <c r="W3" i="17" s="1"/>
  <c r="O3" i="17"/>
  <c r="R3" i="17" s="1"/>
  <c r="J3" i="17"/>
  <c r="M3" i="17" s="1"/>
  <c r="E3" i="17"/>
  <c r="B19" i="19" l="1"/>
  <c r="B18" i="19"/>
  <c r="B15" i="19"/>
  <c r="B12" i="19"/>
  <c r="B17" i="19"/>
  <c r="B16" i="19"/>
  <c r="B13" i="19"/>
  <c r="B21" i="19"/>
  <c r="B20" i="19"/>
  <c r="B14" i="19"/>
  <c r="H14" i="19" s="1"/>
  <c r="E240" i="7" s="1"/>
  <c r="B3" i="19"/>
  <c r="H3" i="19" s="1"/>
  <c r="E219" i="7" s="1"/>
  <c r="B6" i="19"/>
  <c r="B11" i="19"/>
  <c r="B8" i="19"/>
  <c r="B10" i="19"/>
  <c r="B9" i="19"/>
  <c r="B22" i="19"/>
  <c r="B7" i="19"/>
  <c r="B5" i="19"/>
  <c r="B4" i="19"/>
  <c r="F30" i="7"/>
  <c r="O30" i="7" s="1"/>
  <c r="F33" i="7"/>
  <c r="O33" i="7" s="1"/>
  <c r="J7" i="14"/>
  <c r="L7" i="14"/>
  <c r="I11" i="14"/>
  <c r="H11" i="14" s="1"/>
  <c r="L11" i="14"/>
  <c r="J11" i="14"/>
  <c r="E7" i="15"/>
  <c r="E8" i="15"/>
  <c r="E9" i="15"/>
  <c r="E10" i="15"/>
  <c r="K6" i="15"/>
  <c r="P12" i="14"/>
  <c r="L12" i="14" s="1"/>
  <c r="P8" i="14"/>
  <c r="I8" i="14" s="1"/>
  <c r="N4" i="17"/>
  <c r="I4" i="17"/>
  <c r="O11" i="14" s="1"/>
  <c r="S4" i="17"/>
  <c r="W4" i="17"/>
  <c r="K3" i="17"/>
  <c r="K4" i="17"/>
  <c r="X4" i="17" s="1"/>
  <c r="P3" i="17"/>
  <c r="F3" i="17"/>
  <c r="P4" i="17"/>
  <c r="M4" i="17" s="1"/>
  <c r="U3" i="17"/>
  <c r="U4" i="17"/>
  <c r="G8" i="7"/>
  <c r="H8" i="7"/>
  <c r="H9" i="19" l="1"/>
  <c r="E230" i="7" s="1"/>
  <c r="M9" i="19"/>
  <c r="E231" i="7" s="1"/>
  <c r="H8" i="19"/>
  <c r="E228" i="7" s="1"/>
  <c r="M8" i="19"/>
  <c r="E229" i="7" s="1"/>
  <c r="M19" i="19"/>
  <c r="E251" i="7" s="1"/>
  <c r="H19" i="19"/>
  <c r="E250" i="7" s="1"/>
  <c r="H6" i="19"/>
  <c r="E224" i="7" s="1"/>
  <c r="M6" i="19"/>
  <c r="E225" i="7" s="1"/>
  <c r="M22" i="19"/>
  <c r="E259" i="7" s="1"/>
  <c r="R22" i="19"/>
  <c r="E260" i="7" s="1"/>
  <c r="H22" i="19"/>
  <c r="E258" i="7" s="1"/>
  <c r="R20" i="19"/>
  <c r="E254" i="7" s="1"/>
  <c r="H20" i="19"/>
  <c r="E252" i="7" s="1"/>
  <c r="M20" i="19"/>
  <c r="E253" i="7" s="1"/>
  <c r="R21" i="19"/>
  <c r="E257" i="7" s="1"/>
  <c r="H21" i="19"/>
  <c r="E255" i="7" s="1"/>
  <c r="M21" i="19"/>
  <c r="E256" i="7" s="1"/>
  <c r="M11" i="19"/>
  <c r="E235" i="7" s="1"/>
  <c r="H11" i="19"/>
  <c r="E234" i="7" s="1"/>
  <c r="M16" i="19"/>
  <c r="E244" i="7" s="1"/>
  <c r="H16" i="19"/>
  <c r="E243" i="7" s="1"/>
  <c r="M10" i="19"/>
  <c r="E233" i="7" s="1"/>
  <c r="H10" i="19"/>
  <c r="E232" i="7" s="1"/>
  <c r="M13" i="19"/>
  <c r="E239" i="7" s="1"/>
  <c r="H13" i="19"/>
  <c r="E238" i="7" s="1"/>
  <c r="R17" i="19"/>
  <c r="E247" i="7" s="1"/>
  <c r="H17" i="19"/>
  <c r="E245" i="7" s="1"/>
  <c r="M17" i="19"/>
  <c r="E246" i="7" s="1"/>
  <c r="M4" i="19"/>
  <c r="E221" i="7" s="1"/>
  <c r="H4" i="19"/>
  <c r="E220" i="7" s="1"/>
  <c r="M12" i="19"/>
  <c r="E237" i="7" s="1"/>
  <c r="H12" i="19"/>
  <c r="E236" i="7" s="1"/>
  <c r="H5" i="19"/>
  <c r="E222" i="7" s="1"/>
  <c r="M5" i="19"/>
  <c r="E223" i="7" s="1"/>
  <c r="H15" i="19"/>
  <c r="E241" i="7" s="1"/>
  <c r="M15" i="19"/>
  <c r="E242" i="7" s="1"/>
  <c r="H7" i="19"/>
  <c r="E226" i="7" s="1"/>
  <c r="M7" i="19"/>
  <c r="E227" i="7" s="1"/>
  <c r="H18" i="19"/>
  <c r="E248" i="7" s="1"/>
  <c r="M18" i="19"/>
  <c r="E249" i="7" s="1"/>
  <c r="L8" i="14"/>
  <c r="J12" i="14"/>
  <c r="O12" i="14"/>
  <c r="O8" i="14"/>
  <c r="J8" i="14"/>
  <c r="I12" i="14"/>
  <c r="K11" i="14"/>
  <c r="M11" i="14"/>
  <c r="N3" i="17"/>
  <c r="I7" i="14"/>
  <c r="M7" i="14" s="1"/>
  <c r="X3" i="17"/>
  <c r="I3" i="17"/>
  <c r="O7" i="14" s="1"/>
  <c r="S3" i="17"/>
  <c r="P13" i="14"/>
  <c r="P9" i="14"/>
  <c r="H3" i="3"/>
  <c r="H4" i="3"/>
  <c r="H5" i="3"/>
  <c r="H6" i="3"/>
  <c r="H7" i="3"/>
  <c r="H8" i="3"/>
  <c r="H9" i="3"/>
  <c r="H10" i="3"/>
  <c r="H11" i="3"/>
  <c r="H12" i="3"/>
  <c r="H13" i="3"/>
  <c r="H2" i="3"/>
  <c r="L13" i="14" l="1"/>
  <c r="J13" i="14"/>
  <c r="O13" i="14"/>
  <c r="I13" i="14"/>
  <c r="J9" i="14"/>
  <c r="O9" i="14"/>
  <c r="L9" i="14"/>
  <c r="I9" i="14"/>
  <c r="H7" i="14"/>
  <c r="K7" i="14"/>
  <c r="P14" i="14"/>
  <c r="M12" i="14"/>
  <c r="H12" i="14"/>
  <c r="K12" i="14"/>
  <c r="K8" i="14"/>
  <c r="M8" i="14"/>
  <c r="H8" i="14"/>
  <c r="P10" i="14"/>
  <c r="I10" i="14" l="1"/>
  <c r="L10" i="14"/>
  <c r="J10" i="14"/>
  <c r="O10" i="14"/>
  <c r="I14" i="14"/>
  <c r="L14" i="14"/>
  <c r="O14" i="14"/>
  <c r="J14" i="14"/>
  <c r="K13" i="14"/>
  <c r="H13" i="14"/>
  <c r="M13" i="14"/>
  <c r="K9" i="14"/>
  <c r="H9" i="14"/>
  <c r="M9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5" i="14"/>
  <c r="B206" i="14"/>
  <c r="B207" i="14"/>
  <c r="B209" i="14"/>
  <c r="B210" i="14"/>
  <c r="B211" i="14"/>
  <c r="B213" i="14"/>
  <c r="B214" i="14"/>
  <c r="B215" i="14"/>
  <c r="B217" i="14"/>
  <c r="B218" i="14"/>
  <c r="B219" i="14"/>
  <c r="B221" i="14"/>
  <c r="B222" i="14"/>
  <c r="B223" i="14"/>
  <c r="B225" i="14"/>
  <c r="B226" i="14"/>
  <c r="B227" i="14"/>
  <c r="B229" i="14"/>
  <c r="B230" i="14"/>
  <c r="B231" i="14"/>
  <c r="B233" i="14"/>
  <c r="B234" i="14"/>
  <c r="B235" i="14"/>
  <c r="B237" i="14"/>
  <c r="B238" i="14"/>
  <c r="B239" i="14"/>
  <c r="B241" i="14"/>
  <c r="B242" i="14"/>
  <c r="B243" i="14"/>
  <c r="B245" i="14"/>
  <c r="B246" i="14"/>
  <c r="B247" i="14"/>
  <c r="B249" i="14"/>
  <c r="B250" i="14"/>
  <c r="B251" i="14"/>
  <c r="B253" i="14"/>
  <c r="B254" i="14"/>
  <c r="B255" i="14"/>
  <c r="B257" i="14"/>
  <c r="B258" i="14"/>
  <c r="B259" i="14"/>
  <c r="B261" i="14"/>
  <c r="B262" i="14"/>
  <c r="B263" i="14"/>
  <c r="B265" i="14"/>
  <c r="B266" i="14"/>
  <c r="B267" i="14"/>
  <c r="B269" i="14"/>
  <c r="B270" i="14"/>
  <c r="B271" i="14"/>
  <c r="B273" i="14"/>
  <c r="B274" i="14"/>
  <c r="B275" i="14"/>
  <c r="B277" i="14"/>
  <c r="B278" i="14"/>
  <c r="B279" i="14"/>
  <c r="B281" i="14"/>
  <c r="B282" i="14"/>
  <c r="B283" i="14"/>
  <c r="B285" i="14"/>
  <c r="B286" i="14"/>
  <c r="B287" i="14"/>
  <c r="B289" i="14"/>
  <c r="B290" i="14"/>
  <c r="B291" i="14"/>
  <c r="B293" i="14"/>
  <c r="B294" i="14"/>
  <c r="B295" i="14"/>
  <c r="B297" i="14"/>
  <c r="B298" i="14"/>
  <c r="B299" i="14"/>
  <c r="B301" i="14"/>
  <c r="B302" i="14"/>
  <c r="B303" i="14"/>
  <c r="B105" i="14"/>
  <c r="B106" i="14"/>
  <c r="B107" i="14"/>
  <c r="B104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5" i="14"/>
  <c r="D206" i="14"/>
  <c r="D207" i="14"/>
  <c r="D209" i="14"/>
  <c r="D210" i="14"/>
  <c r="D211" i="14"/>
  <c r="D213" i="14"/>
  <c r="D214" i="14"/>
  <c r="D215" i="14"/>
  <c r="D217" i="14"/>
  <c r="D218" i="14"/>
  <c r="D219" i="14"/>
  <c r="D221" i="14"/>
  <c r="D222" i="14"/>
  <c r="D223" i="14"/>
  <c r="D225" i="14"/>
  <c r="D226" i="14"/>
  <c r="D227" i="14"/>
  <c r="D229" i="14"/>
  <c r="D230" i="14"/>
  <c r="D231" i="14"/>
  <c r="D233" i="14"/>
  <c r="D234" i="14"/>
  <c r="D235" i="14"/>
  <c r="D237" i="14"/>
  <c r="D238" i="14"/>
  <c r="D239" i="14"/>
  <c r="D241" i="14"/>
  <c r="D242" i="14"/>
  <c r="D243" i="14"/>
  <c r="D245" i="14"/>
  <c r="D246" i="14"/>
  <c r="D247" i="14"/>
  <c r="D249" i="14"/>
  <c r="D250" i="14"/>
  <c r="D251" i="14"/>
  <c r="D253" i="14"/>
  <c r="D254" i="14"/>
  <c r="D255" i="14"/>
  <c r="D257" i="14"/>
  <c r="D258" i="14"/>
  <c r="D259" i="14"/>
  <c r="D261" i="14"/>
  <c r="D262" i="14"/>
  <c r="D263" i="14"/>
  <c r="D265" i="14"/>
  <c r="D266" i="14"/>
  <c r="D267" i="14"/>
  <c r="D269" i="14"/>
  <c r="D270" i="14"/>
  <c r="D271" i="14"/>
  <c r="D273" i="14"/>
  <c r="D274" i="14"/>
  <c r="D275" i="14"/>
  <c r="D277" i="14"/>
  <c r="D278" i="14"/>
  <c r="D279" i="14"/>
  <c r="D281" i="14"/>
  <c r="D282" i="14"/>
  <c r="D283" i="14"/>
  <c r="D285" i="14"/>
  <c r="D286" i="14"/>
  <c r="D287" i="14"/>
  <c r="D289" i="14"/>
  <c r="D290" i="14"/>
  <c r="D291" i="14"/>
  <c r="D293" i="14"/>
  <c r="D294" i="14"/>
  <c r="D295" i="14"/>
  <c r="D297" i="14"/>
  <c r="D298" i="14"/>
  <c r="D299" i="14"/>
  <c r="D301" i="14"/>
  <c r="D302" i="14"/>
  <c r="D303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04" i="14"/>
  <c r="P205" i="14"/>
  <c r="P206" i="14"/>
  <c r="P207" i="14"/>
  <c r="P208" i="14"/>
  <c r="P209" i="14"/>
  <c r="P210" i="14"/>
  <c r="P211" i="14"/>
  <c r="P212" i="14"/>
  <c r="D212" i="14" s="1"/>
  <c r="P213" i="14"/>
  <c r="P214" i="14"/>
  <c r="P215" i="14"/>
  <c r="P216" i="14"/>
  <c r="D216" i="14" s="1"/>
  <c r="P217" i="14"/>
  <c r="P218" i="14"/>
  <c r="P219" i="14"/>
  <c r="P220" i="14"/>
  <c r="D220" i="14" s="1"/>
  <c r="P221" i="14"/>
  <c r="P222" i="14"/>
  <c r="P223" i="14"/>
  <c r="P224" i="14"/>
  <c r="P225" i="14"/>
  <c r="P226" i="14"/>
  <c r="P227" i="14"/>
  <c r="P228" i="14"/>
  <c r="B228" i="14" s="1"/>
  <c r="P229" i="14"/>
  <c r="P230" i="14"/>
  <c r="P231" i="14"/>
  <c r="P232" i="14"/>
  <c r="D232" i="14" s="1"/>
  <c r="P233" i="14"/>
  <c r="P234" i="14"/>
  <c r="P235" i="14"/>
  <c r="P236" i="14"/>
  <c r="D236" i="14" s="1"/>
  <c r="P237" i="14"/>
  <c r="P238" i="14"/>
  <c r="P239" i="14"/>
  <c r="P240" i="14"/>
  <c r="P241" i="14"/>
  <c r="P242" i="14"/>
  <c r="P243" i="14"/>
  <c r="P244" i="14"/>
  <c r="B244" i="14" s="1"/>
  <c r="P245" i="14"/>
  <c r="P246" i="14"/>
  <c r="P247" i="14"/>
  <c r="P248" i="14"/>
  <c r="D248" i="14" s="1"/>
  <c r="P249" i="14"/>
  <c r="P250" i="14"/>
  <c r="P251" i="14"/>
  <c r="P252" i="14"/>
  <c r="D252" i="14" s="1"/>
  <c r="P253" i="14"/>
  <c r="P254" i="14"/>
  <c r="P255" i="14"/>
  <c r="P256" i="14"/>
  <c r="P257" i="14"/>
  <c r="P258" i="14"/>
  <c r="P259" i="14"/>
  <c r="P260" i="14"/>
  <c r="B260" i="14" s="1"/>
  <c r="P261" i="14"/>
  <c r="P262" i="14"/>
  <c r="P263" i="14"/>
  <c r="P264" i="14"/>
  <c r="B264" i="14" s="1"/>
  <c r="P265" i="14"/>
  <c r="P266" i="14"/>
  <c r="P267" i="14"/>
  <c r="P268" i="14"/>
  <c r="D268" i="14" s="1"/>
  <c r="P269" i="14"/>
  <c r="P270" i="14"/>
  <c r="P271" i="14"/>
  <c r="P272" i="14"/>
  <c r="P273" i="14"/>
  <c r="P274" i="14"/>
  <c r="P275" i="14"/>
  <c r="P276" i="14"/>
  <c r="D276" i="14" s="1"/>
  <c r="P277" i="14"/>
  <c r="P278" i="14"/>
  <c r="P279" i="14"/>
  <c r="P280" i="14"/>
  <c r="B280" i="14" s="1"/>
  <c r="P281" i="14"/>
  <c r="P282" i="14"/>
  <c r="P283" i="14"/>
  <c r="P284" i="14"/>
  <c r="D284" i="14" s="1"/>
  <c r="P285" i="14"/>
  <c r="P286" i="14"/>
  <c r="P287" i="14"/>
  <c r="P288" i="14"/>
  <c r="P289" i="14"/>
  <c r="P290" i="14"/>
  <c r="P291" i="14"/>
  <c r="P292" i="14"/>
  <c r="B292" i="14" s="1"/>
  <c r="P293" i="14"/>
  <c r="P294" i="14"/>
  <c r="P295" i="14"/>
  <c r="P296" i="14"/>
  <c r="B296" i="14" s="1"/>
  <c r="P297" i="14"/>
  <c r="P298" i="14"/>
  <c r="P299" i="14"/>
  <c r="P300" i="14"/>
  <c r="D300" i="14" s="1"/>
  <c r="P301" i="14"/>
  <c r="P302" i="14"/>
  <c r="P303" i="14"/>
  <c r="P204" i="14"/>
  <c r="Q204" i="14"/>
  <c r="Q205" i="14" s="1"/>
  <c r="Q206" i="14" s="1"/>
  <c r="Q207" i="14" s="1"/>
  <c r="Q208" i="14"/>
  <c r="Q209" i="14" s="1"/>
  <c r="Q210" i="14" s="1"/>
  <c r="Q211" i="14" s="1"/>
  <c r="Q212" i="14"/>
  <c r="Q213" i="14" s="1"/>
  <c r="Q214" i="14" s="1"/>
  <c r="Q215" i="14" s="1"/>
  <c r="Q216" i="14"/>
  <c r="Q217" i="14" s="1"/>
  <c r="Q220" i="14"/>
  <c r="Q221" i="14" s="1"/>
  <c r="Q222" i="14" s="1"/>
  <c r="Q223" i="14" s="1"/>
  <c r="Q224" i="14"/>
  <c r="Q225" i="14" s="1"/>
  <c r="Q228" i="14"/>
  <c r="Q229" i="14" s="1"/>
  <c r="Q230" i="14" s="1"/>
  <c r="Q232" i="14"/>
  <c r="Q233" i="14" s="1"/>
  <c r="Q234" i="14" s="1"/>
  <c r="Q235" i="14" s="1"/>
  <c r="Q236" i="14"/>
  <c r="Q237" i="14" s="1"/>
  <c r="Q240" i="14"/>
  <c r="Q241" i="14" s="1"/>
  <c r="Q244" i="14"/>
  <c r="Q245" i="14" s="1"/>
  <c r="Q246" i="14" s="1"/>
  <c r="Q248" i="14"/>
  <c r="Q249" i="14" s="1"/>
  <c r="Q250" i="14" s="1"/>
  <c r="Q251" i="14" s="1"/>
  <c r="Q252" i="14"/>
  <c r="Q253" i="14" s="1"/>
  <c r="Q256" i="14"/>
  <c r="Q257" i="14" s="1"/>
  <c r="Q258" i="14" s="1"/>
  <c r="Q259" i="14" s="1"/>
  <c r="Q260" i="14"/>
  <c r="Q261" i="14" s="1"/>
  <c r="Q262" i="14" s="1"/>
  <c r="Q263" i="14" s="1"/>
  <c r="Q264" i="14"/>
  <c r="Q265" i="14" s="1"/>
  <c r="Q268" i="14"/>
  <c r="Q269" i="14" s="1"/>
  <c r="Q270" i="14" s="1"/>
  <c r="Q271" i="14" s="1"/>
  <c r="Q272" i="14"/>
  <c r="Q273" i="14" s="1"/>
  <c r="Q276" i="14"/>
  <c r="Q277" i="14" s="1"/>
  <c r="Q280" i="14"/>
  <c r="Q281" i="14" s="1"/>
  <c r="Q284" i="14"/>
  <c r="Q285" i="14" s="1"/>
  <c r="Q286" i="14" s="1"/>
  <c r="Q287" i="14" s="1"/>
  <c r="Q288" i="14"/>
  <c r="Q289" i="14" s="1"/>
  <c r="Q290" i="14" s="1"/>
  <c r="Q291" i="14" s="1"/>
  <c r="Q292" i="14"/>
  <c r="Q293" i="14" s="1"/>
  <c r="Q294" i="14" s="1"/>
  <c r="Q295" i="14" s="1"/>
  <c r="Q296" i="14"/>
  <c r="Q297" i="14" s="1"/>
  <c r="Q298" i="14" s="1"/>
  <c r="Q299" i="14" s="1"/>
  <c r="Q300" i="14"/>
  <c r="Q301" i="14" s="1"/>
  <c r="Q302" i="14" s="1"/>
  <c r="Q303" i="14" s="1"/>
  <c r="G303" i="14"/>
  <c r="F303" i="14"/>
  <c r="G302" i="14"/>
  <c r="F302" i="14"/>
  <c r="G301" i="14"/>
  <c r="F301" i="14"/>
  <c r="G300" i="14"/>
  <c r="F300" i="14"/>
  <c r="G299" i="14"/>
  <c r="F299" i="14"/>
  <c r="G298" i="14"/>
  <c r="F298" i="14"/>
  <c r="G297" i="14"/>
  <c r="F297" i="14"/>
  <c r="G296" i="14"/>
  <c r="F296" i="14"/>
  <c r="G295" i="14"/>
  <c r="F295" i="14"/>
  <c r="G294" i="14"/>
  <c r="F294" i="14"/>
  <c r="G293" i="14"/>
  <c r="F293" i="14"/>
  <c r="G292" i="14"/>
  <c r="F292" i="14"/>
  <c r="G291" i="14"/>
  <c r="F291" i="14"/>
  <c r="G290" i="14"/>
  <c r="F290" i="14"/>
  <c r="G289" i="14"/>
  <c r="F289" i="14"/>
  <c r="G288" i="14"/>
  <c r="F288" i="14"/>
  <c r="G287" i="14"/>
  <c r="F287" i="14"/>
  <c r="G286" i="14"/>
  <c r="F286" i="14"/>
  <c r="G285" i="14"/>
  <c r="F285" i="14"/>
  <c r="G284" i="14"/>
  <c r="F284" i="14"/>
  <c r="G283" i="14"/>
  <c r="F283" i="14"/>
  <c r="G282" i="14"/>
  <c r="F282" i="14"/>
  <c r="G281" i="14"/>
  <c r="F281" i="14"/>
  <c r="G280" i="14"/>
  <c r="F280" i="14"/>
  <c r="G279" i="14"/>
  <c r="F279" i="14"/>
  <c r="G278" i="14"/>
  <c r="F278" i="14"/>
  <c r="G277" i="14"/>
  <c r="F277" i="14"/>
  <c r="G276" i="14"/>
  <c r="F276" i="14"/>
  <c r="G275" i="14"/>
  <c r="F275" i="14"/>
  <c r="G274" i="14"/>
  <c r="F274" i="14"/>
  <c r="G273" i="14"/>
  <c r="F273" i="14"/>
  <c r="G272" i="14"/>
  <c r="F272" i="14"/>
  <c r="G271" i="14"/>
  <c r="F271" i="14"/>
  <c r="G270" i="14"/>
  <c r="F270" i="14"/>
  <c r="G269" i="14"/>
  <c r="F269" i="14"/>
  <c r="G268" i="14"/>
  <c r="F268" i="14"/>
  <c r="G267" i="14"/>
  <c r="F267" i="14"/>
  <c r="G266" i="14"/>
  <c r="F266" i="14"/>
  <c r="G265" i="14"/>
  <c r="F265" i="14"/>
  <c r="G264" i="14"/>
  <c r="F264" i="14"/>
  <c r="G263" i="14"/>
  <c r="F263" i="14"/>
  <c r="G262" i="14"/>
  <c r="F262" i="14"/>
  <c r="G261" i="14"/>
  <c r="F261" i="14"/>
  <c r="G260" i="14"/>
  <c r="F260" i="14"/>
  <c r="G259" i="14"/>
  <c r="F259" i="14"/>
  <c r="G258" i="14"/>
  <c r="F258" i="14"/>
  <c r="G257" i="14"/>
  <c r="F257" i="14"/>
  <c r="G256" i="14"/>
  <c r="F256" i="14"/>
  <c r="G255" i="14"/>
  <c r="F255" i="14"/>
  <c r="G254" i="14"/>
  <c r="F254" i="14"/>
  <c r="G253" i="14"/>
  <c r="F253" i="14"/>
  <c r="G252" i="14"/>
  <c r="F252" i="14"/>
  <c r="G251" i="14"/>
  <c r="F251" i="14"/>
  <c r="G250" i="14"/>
  <c r="F250" i="14"/>
  <c r="G249" i="14"/>
  <c r="F249" i="14"/>
  <c r="G248" i="14"/>
  <c r="F248" i="14"/>
  <c r="G247" i="14"/>
  <c r="F247" i="14"/>
  <c r="G246" i="14"/>
  <c r="F246" i="14"/>
  <c r="G245" i="14"/>
  <c r="F245" i="14"/>
  <c r="G244" i="14"/>
  <c r="F244" i="14"/>
  <c r="G243" i="14"/>
  <c r="F243" i="14"/>
  <c r="G242" i="14"/>
  <c r="F242" i="14"/>
  <c r="G241" i="14"/>
  <c r="F241" i="14"/>
  <c r="G240" i="14"/>
  <c r="F240" i="14"/>
  <c r="G239" i="14"/>
  <c r="F239" i="14"/>
  <c r="G238" i="14"/>
  <c r="F238" i="14"/>
  <c r="G237" i="14"/>
  <c r="F237" i="14"/>
  <c r="G236" i="14"/>
  <c r="F236" i="14"/>
  <c r="G235" i="14"/>
  <c r="F235" i="14"/>
  <c r="G234" i="14"/>
  <c r="F234" i="14"/>
  <c r="G233" i="14"/>
  <c r="F233" i="14"/>
  <c r="G232" i="14"/>
  <c r="F232" i="14"/>
  <c r="G231" i="14"/>
  <c r="F231" i="14"/>
  <c r="G230" i="14"/>
  <c r="F230" i="14"/>
  <c r="G229" i="14"/>
  <c r="F229" i="14"/>
  <c r="G228" i="14"/>
  <c r="F228" i="14"/>
  <c r="G227" i="14"/>
  <c r="F227" i="14"/>
  <c r="G226" i="14"/>
  <c r="F226" i="14"/>
  <c r="G225" i="14"/>
  <c r="F225" i="14"/>
  <c r="G224" i="14"/>
  <c r="F224" i="14"/>
  <c r="G223" i="14"/>
  <c r="F223" i="14"/>
  <c r="G222" i="14"/>
  <c r="F222" i="14"/>
  <c r="G221" i="14"/>
  <c r="F221" i="14"/>
  <c r="G220" i="14"/>
  <c r="F220" i="14"/>
  <c r="G219" i="14"/>
  <c r="F219" i="14"/>
  <c r="G218" i="14"/>
  <c r="F218" i="14"/>
  <c r="G217" i="14"/>
  <c r="F217" i="14"/>
  <c r="G216" i="14"/>
  <c r="F216" i="14"/>
  <c r="G215" i="14"/>
  <c r="F215" i="14"/>
  <c r="G214" i="14"/>
  <c r="F214" i="14"/>
  <c r="G213" i="14"/>
  <c r="F213" i="14"/>
  <c r="G212" i="14"/>
  <c r="F212" i="14"/>
  <c r="G211" i="14"/>
  <c r="F211" i="14"/>
  <c r="G210" i="14"/>
  <c r="F210" i="14"/>
  <c r="G209" i="14"/>
  <c r="F209" i="14"/>
  <c r="G208" i="14"/>
  <c r="F208" i="14"/>
  <c r="G207" i="14"/>
  <c r="F207" i="14"/>
  <c r="G206" i="14"/>
  <c r="F206" i="14"/>
  <c r="G205" i="14"/>
  <c r="F205" i="14"/>
  <c r="G204" i="14"/>
  <c r="F204" i="14"/>
  <c r="F15" i="12"/>
  <c r="J15" i="12"/>
  <c r="L15" i="12"/>
  <c r="F16" i="12"/>
  <c r="J16" i="12"/>
  <c r="L16" i="12"/>
  <c r="F17" i="12"/>
  <c r="J17" i="12"/>
  <c r="L17" i="12"/>
  <c r="F18" i="12"/>
  <c r="J18" i="12"/>
  <c r="L18" i="12"/>
  <c r="F19" i="12"/>
  <c r="J19" i="12"/>
  <c r="L19" i="12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B161" i="2"/>
  <c r="A161" i="2" s="1"/>
  <c r="B162" i="2"/>
  <c r="A162" i="2" s="1"/>
  <c r="B163" i="2"/>
  <c r="A163" i="2" s="1"/>
  <c r="B164" i="2"/>
  <c r="A164" i="2" s="1"/>
  <c r="B165" i="2"/>
  <c r="A165" i="2" s="1"/>
  <c r="B166" i="2"/>
  <c r="A166" i="2" s="1"/>
  <c r="B167" i="2"/>
  <c r="A167" i="2" s="1"/>
  <c r="B168" i="2"/>
  <c r="A168" i="2" s="1"/>
  <c r="B169" i="2"/>
  <c r="A169" i="2" s="1"/>
  <c r="B170" i="2"/>
  <c r="A170" i="2" s="1"/>
  <c r="B171" i="2"/>
  <c r="A171" i="2" s="1"/>
  <c r="B172" i="2"/>
  <c r="A172" i="2" s="1"/>
  <c r="B173" i="2"/>
  <c r="A173" i="2" s="1"/>
  <c r="B174" i="2"/>
  <c r="A174" i="2" s="1"/>
  <c r="B175" i="2"/>
  <c r="A175" i="2" s="1"/>
  <c r="B176" i="2"/>
  <c r="A176" i="2" s="1"/>
  <c r="B177" i="2"/>
  <c r="A177" i="2" s="1"/>
  <c r="B178" i="2"/>
  <c r="A178" i="2" s="1"/>
  <c r="B179" i="2"/>
  <c r="A179" i="2" s="1"/>
  <c r="B180" i="2"/>
  <c r="A180" i="2" s="1"/>
  <c r="B181" i="2"/>
  <c r="A181" i="2" s="1"/>
  <c r="B182" i="2"/>
  <c r="A182" i="2" s="1"/>
  <c r="B183" i="2"/>
  <c r="A183" i="2" s="1"/>
  <c r="B184" i="2"/>
  <c r="A184" i="2" s="1"/>
  <c r="B160" i="2"/>
  <c r="A160" i="2" s="1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23" i="14"/>
  <c r="C249" i="2"/>
  <c r="C250" i="2" s="1"/>
  <c r="C251" i="2" s="1"/>
  <c r="C252" i="2" s="1"/>
  <c r="K14" i="14" l="1"/>
  <c r="M14" i="14"/>
  <c r="H14" i="14"/>
  <c r="K10" i="14"/>
  <c r="M10" i="14"/>
  <c r="H10" i="14"/>
  <c r="D260" i="14"/>
  <c r="D292" i="14"/>
  <c r="D228" i="14"/>
  <c r="D264" i="14"/>
  <c r="D280" i="14"/>
  <c r="D244" i="14"/>
  <c r="D296" i="14"/>
  <c r="B276" i="14"/>
  <c r="B216" i="14"/>
  <c r="B232" i="14"/>
  <c r="B248" i="14"/>
  <c r="B212" i="14"/>
  <c r="Q226" i="14"/>
  <c r="Q227" i="14" s="1"/>
  <c r="Q274" i="14"/>
  <c r="Q275" i="14" s="1"/>
  <c r="D204" i="14"/>
  <c r="B204" i="14"/>
  <c r="B288" i="14"/>
  <c r="D288" i="14"/>
  <c r="B272" i="14"/>
  <c r="D272" i="14"/>
  <c r="B256" i="14"/>
  <c r="D256" i="14"/>
  <c r="B240" i="14"/>
  <c r="D240" i="14"/>
  <c r="B224" i="14"/>
  <c r="D224" i="14"/>
  <c r="B208" i="14"/>
  <c r="D208" i="14"/>
  <c r="Q242" i="14"/>
  <c r="Q243" i="14" s="1"/>
  <c r="B300" i="14"/>
  <c r="B284" i="14"/>
  <c r="B268" i="14"/>
  <c r="B252" i="14"/>
  <c r="B236" i="14"/>
  <c r="B220" i="14"/>
  <c r="Q231" i="14"/>
  <c r="Q254" i="14"/>
  <c r="Q247" i="14"/>
  <c r="Q238" i="14"/>
  <c r="Q282" i="14"/>
  <c r="Q266" i="14"/>
  <c r="Q218" i="14"/>
  <c r="Q219" i="14" s="1"/>
  <c r="Q278" i="14"/>
  <c r="Q279" i="14" s="1"/>
  <c r="Q239" i="14" l="1"/>
  <c r="Q267" i="14"/>
  <c r="Q255" i="14"/>
  <c r="Q283" i="14"/>
  <c r="Q108" i="14"/>
  <c r="Q112" i="14"/>
  <c r="Q116" i="14"/>
  <c r="Q120" i="14"/>
  <c r="Q124" i="14"/>
  <c r="Q125" i="14" s="1"/>
  <c r="Q126" i="14" s="1"/>
  <c r="Q128" i="14"/>
  <c r="Q132" i="14"/>
  <c r="Q136" i="14"/>
  <c r="Q137" i="14" s="1"/>
  <c r="Q140" i="14"/>
  <c r="Q141" i="14" s="1"/>
  <c r="Q144" i="14"/>
  <c r="Q145" i="14" s="1"/>
  <c r="Q148" i="14"/>
  <c r="Q152" i="14"/>
  <c r="Q153" i="14" s="1"/>
  <c r="Q156" i="14"/>
  <c r="Q160" i="14"/>
  <c r="Q164" i="14"/>
  <c r="Q168" i="14"/>
  <c r="Q169" i="14" s="1"/>
  <c r="Q172" i="14"/>
  <c r="Q176" i="14"/>
  <c r="Q177" i="14" s="1"/>
  <c r="Q178" i="14" s="1"/>
  <c r="Q180" i="14"/>
  <c r="Q184" i="14"/>
  <c r="Q188" i="14"/>
  <c r="Q189" i="14" s="1"/>
  <c r="Q192" i="14"/>
  <c r="Q196" i="14"/>
  <c r="Q200" i="14"/>
  <c r="Q201" i="14" s="1"/>
  <c r="Q104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4" i="14"/>
  <c r="F25" i="14"/>
  <c r="F26" i="14"/>
  <c r="F23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L11" i="12"/>
  <c r="L12" i="12"/>
  <c r="L13" i="12"/>
  <c r="L14" i="12"/>
  <c r="L10" i="12"/>
  <c r="J11" i="12"/>
  <c r="J12" i="12"/>
  <c r="J13" i="12"/>
  <c r="J14" i="12"/>
  <c r="J10" i="12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3" i="16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35" i="2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3" i="13"/>
  <c r="W18" i="13" l="1"/>
  <c r="W19" i="13"/>
  <c r="R13" i="13"/>
  <c r="W17" i="13"/>
  <c r="W6" i="13"/>
  <c r="R12" i="13"/>
  <c r="R18" i="13"/>
  <c r="R11" i="13"/>
  <c r="W15" i="13"/>
  <c r="R10" i="13"/>
  <c r="W14" i="13"/>
  <c r="W21" i="13"/>
  <c r="R9" i="13"/>
  <c r="W13" i="13"/>
  <c r="R8" i="13"/>
  <c r="W12" i="13"/>
  <c r="R3" i="13"/>
  <c r="R7" i="13"/>
  <c r="W11" i="13"/>
  <c r="M3" i="13"/>
  <c r="R6" i="13"/>
  <c r="W10" i="13"/>
  <c r="W20" i="13"/>
  <c r="R5" i="13"/>
  <c r="W9" i="13"/>
  <c r="R17" i="13"/>
  <c r="R16" i="13"/>
  <c r="R15" i="13"/>
  <c r="R20" i="13"/>
  <c r="R4" i="13"/>
  <c r="W8" i="13"/>
  <c r="W5" i="13"/>
  <c r="W4" i="13"/>
  <c r="R19" i="13"/>
  <c r="W3" i="13"/>
  <c r="W7" i="13"/>
  <c r="L28" i="16"/>
  <c r="L29" i="16"/>
  <c r="Q138" i="14"/>
  <c r="Q142" i="14"/>
  <c r="Q109" i="14"/>
  <c r="Q193" i="14"/>
  <c r="Q185" i="14"/>
  <c r="Q181" i="14"/>
  <c r="Q117" i="14"/>
  <c r="Q149" i="14"/>
  <c r="Q190" i="14"/>
  <c r="Q179" i="14"/>
  <c r="Q202" i="14"/>
  <c r="Q157" i="14"/>
  <c r="Q113" i="14"/>
  <c r="Q133" i="14"/>
  <c r="Q146" i="14"/>
  <c r="Q173" i="14"/>
  <c r="Q129" i="14"/>
  <c r="Q170" i="14"/>
  <c r="Q127" i="14"/>
  <c r="Q165" i="14"/>
  <c r="Q154" i="14"/>
  <c r="Q197" i="14"/>
  <c r="Q105" i="14"/>
  <c r="Q161" i="14"/>
  <c r="Q121" i="14"/>
  <c r="G28" i="16"/>
  <c r="Q29" i="16"/>
  <c r="Q32" i="16"/>
  <c r="V35" i="16"/>
  <c r="L37" i="16"/>
  <c r="X38" i="16"/>
  <c r="L40" i="16"/>
  <c r="S43" i="16"/>
  <c r="L46" i="16"/>
  <c r="X47" i="16"/>
  <c r="W47" i="16" s="1"/>
  <c r="I283" i="14" s="1"/>
  <c r="L49" i="16"/>
  <c r="V50" i="16"/>
  <c r="L10" i="16"/>
  <c r="N13" i="16"/>
  <c r="M13" i="16" s="1"/>
  <c r="X14" i="16"/>
  <c r="W14" i="16" s="1"/>
  <c r="G16" i="16"/>
  <c r="L20" i="16"/>
  <c r="V21" i="16"/>
  <c r="L23" i="16"/>
  <c r="N24" i="16"/>
  <c r="M24" i="16" s="1"/>
  <c r="I189" i="14" s="1"/>
  <c r="N27" i="16"/>
  <c r="M27" i="16" s="1"/>
  <c r="I201" i="14" s="1"/>
  <c r="M201" i="14" s="1"/>
  <c r="I19" i="16"/>
  <c r="H19" i="16" s="1"/>
  <c r="I168" i="14" s="1"/>
  <c r="S27" i="16"/>
  <c r="R27" i="16" s="1"/>
  <c r="L12" i="16"/>
  <c r="L141" i="14" s="1"/>
  <c r="Q16" i="16"/>
  <c r="Q23" i="16"/>
  <c r="I46" i="16"/>
  <c r="S50" i="16"/>
  <c r="V25" i="16"/>
  <c r="I28" i="16"/>
  <c r="G31" i="16"/>
  <c r="S32" i="16"/>
  <c r="I34" i="16"/>
  <c r="N37" i="16"/>
  <c r="X41" i="16"/>
  <c r="X44" i="16"/>
  <c r="N46" i="16"/>
  <c r="X50" i="16"/>
  <c r="N52" i="16"/>
  <c r="V4" i="16"/>
  <c r="I6" i="16"/>
  <c r="H6" i="16" s="1"/>
  <c r="I116" i="14" s="1"/>
  <c r="M116" i="14" s="1"/>
  <c r="V7" i="16"/>
  <c r="X8" i="16"/>
  <c r="W8" i="16" s="1"/>
  <c r="N10" i="16"/>
  <c r="M10" i="16" s="1"/>
  <c r="Q13" i="16"/>
  <c r="I16" i="16"/>
  <c r="H16" i="16" s="1"/>
  <c r="I156" i="14" s="1"/>
  <c r="S17" i="16"/>
  <c r="R17" i="16" s="1"/>
  <c r="G19" i="16"/>
  <c r="N20" i="16"/>
  <c r="M20" i="16" s="1"/>
  <c r="N23" i="16"/>
  <c r="M23" i="16" s="1"/>
  <c r="Q24" i="16"/>
  <c r="X25" i="16"/>
  <c r="W25" i="16" s="1"/>
  <c r="Q27" i="16"/>
  <c r="V17" i="16"/>
  <c r="G26" i="16"/>
  <c r="L196" i="14" s="1"/>
  <c r="S40" i="16"/>
  <c r="Q6" i="16"/>
  <c r="V13" i="16"/>
  <c r="I26" i="16"/>
  <c r="H26" i="16" s="1"/>
  <c r="I196" i="14" s="1"/>
  <c r="K196" i="14" s="1"/>
  <c r="L52" i="16"/>
  <c r="S21" i="16"/>
  <c r="R21" i="16" s="1"/>
  <c r="I178" i="14" s="1"/>
  <c r="M178" i="14" s="1"/>
  <c r="S29" i="16"/>
  <c r="I31" i="16"/>
  <c r="V32" i="16"/>
  <c r="L34" i="16"/>
  <c r="X35" i="16"/>
  <c r="Q37" i="16"/>
  <c r="N40" i="16"/>
  <c r="G42" i="16"/>
  <c r="G45" i="16"/>
  <c r="Q46" i="16"/>
  <c r="N49" i="16"/>
  <c r="G51" i="16"/>
  <c r="Q52" i="16"/>
  <c r="L6" i="16"/>
  <c r="X7" i="16"/>
  <c r="W7" i="16" s="1"/>
  <c r="G9" i="16"/>
  <c r="L128" i="14" s="1"/>
  <c r="Q10" i="16"/>
  <c r="G12" i="16"/>
  <c r="L140" i="14" s="1"/>
  <c r="L16" i="16"/>
  <c r="Q20" i="16"/>
  <c r="X21" i="16"/>
  <c r="W21" i="16" s="1"/>
  <c r="S24" i="16"/>
  <c r="R24" i="16" s="1"/>
  <c r="N19" i="16"/>
  <c r="M19" i="16" s="1"/>
  <c r="I169" i="14" s="1"/>
  <c r="I40" i="16"/>
  <c r="Q17" i="16"/>
  <c r="N28" i="16"/>
  <c r="V29" i="16"/>
  <c r="L31" i="16"/>
  <c r="N34" i="16"/>
  <c r="G39" i="16"/>
  <c r="Q40" i="16"/>
  <c r="V43" i="16"/>
  <c r="I45" i="16"/>
  <c r="S46" i="16"/>
  <c r="G48" i="16"/>
  <c r="Q49" i="16"/>
  <c r="I51" i="16"/>
  <c r="S52" i="16"/>
  <c r="X4" i="16"/>
  <c r="W4" i="16" s="1"/>
  <c r="N6" i="16"/>
  <c r="M6" i="16" s="1"/>
  <c r="S10" i="16"/>
  <c r="R10" i="16" s="1"/>
  <c r="I12" i="16"/>
  <c r="H12" i="16" s="1"/>
  <c r="I140" i="14" s="1"/>
  <c r="M140" i="14" s="1"/>
  <c r="S13" i="16"/>
  <c r="R13" i="16" s="1"/>
  <c r="G15" i="16"/>
  <c r="L152" i="14" s="1"/>
  <c r="N16" i="16"/>
  <c r="M16" i="16" s="1"/>
  <c r="L19" i="16"/>
  <c r="L169" i="14" s="1"/>
  <c r="S20" i="16"/>
  <c r="R20" i="16" s="1"/>
  <c r="G22" i="16"/>
  <c r="L180" i="14" s="1"/>
  <c r="V27" i="16"/>
  <c r="X32" i="16"/>
  <c r="S37" i="16"/>
  <c r="I42" i="16"/>
  <c r="V46" i="16"/>
  <c r="L51" i="16"/>
  <c r="G5" i="16"/>
  <c r="I9" i="16"/>
  <c r="H9" i="16" s="1"/>
  <c r="I128" i="14" s="1"/>
  <c r="I15" i="16"/>
  <c r="H15" i="16" s="1"/>
  <c r="I152" i="14" s="1"/>
  <c r="K152" i="14" s="1"/>
  <c r="V24" i="16"/>
  <c r="S4" i="16"/>
  <c r="R4" i="16" s="1"/>
  <c r="Q28" i="16"/>
  <c r="N31" i="16"/>
  <c r="Q34" i="16"/>
  <c r="I39" i="16"/>
  <c r="L45" i="16"/>
  <c r="I48" i="16"/>
  <c r="V52" i="16"/>
  <c r="V10" i="16"/>
  <c r="X17" i="16"/>
  <c r="W17" i="16" s="1"/>
  <c r="V41" i="16"/>
  <c r="X11" i="16"/>
  <c r="W11" i="16" s="1"/>
  <c r="X29" i="16"/>
  <c r="Q31" i="16"/>
  <c r="G33" i="16"/>
  <c r="S34" i="16"/>
  <c r="G36" i="16"/>
  <c r="V37" i="16"/>
  <c r="L39" i="16"/>
  <c r="V40" i="16"/>
  <c r="L255" i="14" s="1"/>
  <c r="L42" i="16"/>
  <c r="X43" i="16"/>
  <c r="W43" i="16" s="1"/>
  <c r="I267" i="14" s="1"/>
  <c r="X46" i="16"/>
  <c r="L48" i="16"/>
  <c r="S49" i="16"/>
  <c r="N51" i="16"/>
  <c r="S6" i="16"/>
  <c r="R6" i="16" s="1"/>
  <c r="G8" i="16"/>
  <c r="L124" i="14" s="1"/>
  <c r="L9" i="16"/>
  <c r="X10" i="16"/>
  <c r="W10" i="16" s="1"/>
  <c r="N12" i="16"/>
  <c r="M12" i="16" s="1"/>
  <c r="I141" i="14" s="1"/>
  <c r="M141" i="14" s="1"/>
  <c r="L15" i="16"/>
  <c r="G18" i="16"/>
  <c r="L164" i="14" s="1"/>
  <c r="Q19" i="16"/>
  <c r="V20" i="16"/>
  <c r="I22" i="16"/>
  <c r="H22" i="16" s="1"/>
  <c r="I180" i="14" s="1"/>
  <c r="S23" i="16"/>
  <c r="R23" i="16" s="1"/>
  <c r="L26" i="16"/>
  <c r="X27" i="16"/>
  <c r="W27" i="16" s="1"/>
  <c r="Q33" i="16"/>
  <c r="I41" i="16"/>
  <c r="G50" i="16"/>
  <c r="I25" i="16"/>
  <c r="H25" i="16" s="1"/>
  <c r="I192" i="14" s="1"/>
  <c r="I24" i="16"/>
  <c r="H24" i="16" s="1"/>
  <c r="I188" i="14" s="1"/>
  <c r="I37" i="16"/>
  <c r="V8" i="16"/>
  <c r="L24" i="16"/>
  <c r="S28" i="16"/>
  <c r="G30" i="16"/>
  <c r="S31" i="16"/>
  <c r="I33" i="16"/>
  <c r="V34" i="16"/>
  <c r="I36" i="16"/>
  <c r="N39" i="16"/>
  <c r="N42" i="16"/>
  <c r="N45" i="16"/>
  <c r="V49" i="16"/>
  <c r="Q51" i="16"/>
  <c r="X52" i="16"/>
  <c r="I5" i="16"/>
  <c r="H5" i="16" s="1"/>
  <c r="I112" i="14" s="1"/>
  <c r="V6" i="16"/>
  <c r="I8" i="16"/>
  <c r="H8" i="16" s="1"/>
  <c r="I124" i="14" s="1"/>
  <c r="N9" i="16"/>
  <c r="M9" i="16" s="1"/>
  <c r="Q12" i="16"/>
  <c r="X13" i="16"/>
  <c r="W13" i="16" s="1"/>
  <c r="N15" i="16"/>
  <c r="M15" i="16" s="1"/>
  <c r="I153" i="14" s="1"/>
  <c r="S16" i="16"/>
  <c r="R16" i="16" s="1"/>
  <c r="S19" i="16"/>
  <c r="R19" i="16" s="1"/>
  <c r="L22" i="16"/>
  <c r="X24" i="16"/>
  <c r="W24" i="16" s="1"/>
  <c r="N26" i="16"/>
  <c r="M26" i="16" s="1"/>
  <c r="X3" i="16"/>
  <c r="W3" i="16" s="1"/>
  <c r="V42" i="16"/>
  <c r="Q5" i="16"/>
  <c r="V12" i="16"/>
  <c r="N18" i="16"/>
  <c r="M18" i="16" s="1"/>
  <c r="V26" i="16"/>
  <c r="N32" i="16"/>
  <c r="V31" i="16"/>
  <c r="L33" i="16"/>
  <c r="X34" i="16"/>
  <c r="L36" i="16"/>
  <c r="X37" i="16"/>
  <c r="Q39" i="16"/>
  <c r="X40" i="16"/>
  <c r="W40" i="16" s="1"/>
  <c r="I255" i="14" s="1"/>
  <c r="M255" i="14" s="1"/>
  <c r="Q42" i="16"/>
  <c r="Q45" i="16"/>
  <c r="N48" i="16"/>
  <c r="S51" i="16"/>
  <c r="G4" i="16"/>
  <c r="L108" i="14" s="1"/>
  <c r="L5" i="16"/>
  <c r="X6" i="16"/>
  <c r="W6" i="16" s="1"/>
  <c r="L8" i="16"/>
  <c r="Q9" i="16"/>
  <c r="G11" i="16"/>
  <c r="G14" i="16"/>
  <c r="Q15" i="16"/>
  <c r="V16" i="16"/>
  <c r="I18" i="16"/>
  <c r="H18" i="16" s="1"/>
  <c r="I164" i="14" s="1"/>
  <c r="X20" i="16"/>
  <c r="W20" i="16" s="1"/>
  <c r="N22" i="16"/>
  <c r="M22" i="16" s="1"/>
  <c r="G25" i="16"/>
  <c r="Q26" i="16"/>
  <c r="V3" i="16"/>
  <c r="X31" i="16"/>
  <c r="I44" i="16"/>
  <c r="S48" i="16"/>
  <c r="G7" i="16"/>
  <c r="L120" i="14" s="1"/>
  <c r="L11" i="16"/>
  <c r="X16" i="16"/>
  <c r="W16" i="16" s="1"/>
  <c r="S22" i="16"/>
  <c r="R22" i="16" s="1"/>
  <c r="Q3" i="16"/>
  <c r="S35" i="16"/>
  <c r="V28" i="16"/>
  <c r="I30" i="16"/>
  <c r="N33" i="16"/>
  <c r="G38" i="16"/>
  <c r="S39" i="16"/>
  <c r="G41" i="16"/>
  <c r="S42" i="16"/>
  <c r="G44" i="16"/>
  <c r="G47" i="16"/>
  <c r="Q48" i="16"/>
  <c r="X49" i="16"/>
  <c r="V51" i="16"/>
  <c r="I4" i="16"/>
  <c r="H4" i="16" s="1"/>
  <c r="I108" i="14" s="1"/>
  <c r="M108" i="14" s="1"/>
  <c r="N5" i="16"/>
  <c r="M5" i="16" s="1"/>
  <c r="N8" i="16"/>
  <c r="M8" i="16" s="1"/>
  <c r="I125" i="14" s="1"/>
  <c r="K125" i="14" s="1"/>
  <c r="I11" i="16"/>
  <c r="H11" i="16" s="1"/>
  <c r="I136" i="14" s="1"/>
  <c r="M136" i="14" s="1"/>
  <c r="S12" i="16"/>
  <c r="R12" i="16" s="1"/>
  <c r="S15" i="16"/>
  <c r="R15" i="16" s="1"/>
  <c r="L18" i="16"/>
  <c r="G21" i="16"/>
  <c r="L176" i="14" s="1"/>
  <c r="Q22" i="16"/>
  <c r="V23" i="16"/>
  <c r="S26" i="16"/>
  <c r="R26" i="16" s="1"/>
  <c r="S3" i="16"/>
  <c r="R3" i="16" s="1"/>
  <c r="L30" i="16"/>
  <c r="I47" i="16"/>
  <c r="L4" i="16"/>
  <c r="I14" i="16"/>
  <c r="H14" i="16" s="1"/>
  <c r="I148" i="14" s="1"/>
  <c r="N29" i="16"/>
  <c r="N36" i="16"/>
  <c r="V39" i="16"/>
  <c r="S45" i="16"/>
  <c r="S9" i="16"/>
  <c r="R9" i="16" s="1"/>
  <c r="V19" i="16"/>
  <c r="I27" i="16"/>
  <c r="H27" i="16" s="1"/>
  <c r="I200" i="14" s="1"/>
  <c r="M200" i="14" s="1"/>
  <c r="Q43" i="16"/>
  <c r="I10" i="16"/>
  <c r="H10" i="16" s="1"/>
  <c r="I132" i="14" s="1"/>
  <c r="I23" i="16"/>
  <c r="H23" i="16" s="1"/>
  <c r="I184" i="14" s="1"/>
  <c r="X28" i="16"/>
  <c r="N30" i="16"/>
  <c r="G35" i="16"/>
  <c r="Q36" i="16"/>
  <c r="I38" i="16"/>
  <c r="L41" i="16"/>
  <c r="X42" i="16"/>
  <c r="L44" i="16"/>
  <c r="V45" i="16"/>
  <c r="L47" i="16"/>
  <c r="X51" i="16"/>
  <c r="N4" i="16"/>
  <c r="M4" i="16" s="1"/>
  <c r="I7" i="16"/>
  <c r="H7" i="16" s="1"/>
  <c r="I120" i="14" s="1"/>
  <c r="V9" i="16"/>
  <c r="N11" i="16"/>
  <c r="M11" i="16" s="1"/>
  <c r="L14" i="16"/>
  <c r="G17" i="16"/>
  <c r="I21" i="16"/>
  <c r="H21" i="16" s="1"/>
  <c r="I176" i="14" s="1"/>
  <c r="M176" i="14" s="1"/>
  <c r="V22" i="16"/>
  <c r="X23" i="16"/>
  <c r="W23" i="16" s="1"/>
  <c r="L25" i="16"/>
  <c r="X26" i="16"/>
  <c r="W26" i="16" s="1"/>
  <c r="N3" i="16"/>
  <c r="M3" i="16" s="1"/>
  <c r="L3" i="16"/>
  <c r="S44" i="16"/>
  <c r="S25" i="16"/>
  <c r="R25" i="16" s="1"/>
  <c r="V38" i="16"/>
  <c r="G6" i="16"/>
  <c r="L116" i="14" s="1"/>
  <c r="L27" i="16"/>
  <c r="L201" i="14" s="1"/>
  <c r="G29" i="16"/>
  <c r="Q30" i="16"/>
  <c r="S33" i="16"/>
  <c r="I35" i="16"/>
  <c r="S36" i="16"/>
  <c r="L38" i="16"/>
  <c r="X39" i="16"/>
  <c r="N41" i="16"/>
  <c r="G43" i="16"/>
  <c r="N47" i="16"/>
  <c r="V48" i="16"/>
  <c r="I50" i="16"/>
  <c r="S5" i="16"/>
  <c r="R5" i="16" s="1"/>
  <c r="L7" i="16"/>
  <c r="Q8" i="16"/>
  <c r="L126" i="14" s="1"/>
  <c r="Q11" i="16"/>
  <c r="X12" i="16"/>
  <c r="W12" i="16" s="1"/>
  <c r="N14" i="16"/>
  <c r="M14" i="16" s="1"/>
  <c r="V15" i="16"/>
  <c r="Q18" i="16"/>
  <c r="X19" i="16"/>
  <c r="W19" i="16" s="1"/>
  <c r="L21" i="16"/>
  <c r="L177" i="14" s="1"/>
  <c r="X22" i="16"/>
  <c r="W22" i="16" s="1"/>
  <c r="N25" i="16"/>
  <c r="M25" i="16" s="1"/>
  <c r="Q50" i="16"/>
  <c r="X18" i="16"/>
  <c r="W18" i="16" s="1"/>
  <c r="S30" i="16"/>
  <c r="G32" i="16"/>
  <c r="V33" i="16"/>
  <c r="L35" i="16"/>
  <c r="V36" i="16"/>
  <c r="L239" i="14" s="1"/>
  <c r="N38" i="16"/>
  <c r="Q41" i="16"/>
  <c r="I43" i="16"/>
  <c r="N44" i="16"/>
  <c r="X45" i="16"/>
  <c r="Q47" i="16"/>
  <c r="L50" i="16"/>
  <c r="V5" i="16"/>
  <c r="N7" i="16"/>
  <c r="M7" i="16" s="1"/>
  <c r="X9" i="16"/>
  <c r="W9" i="16" s="1"/>
  <c r="S11" i="16"/>
  <c r="R11" i="16" s="1"/>
  <c r="G13" i="16"/>
  <c r="L144" i="14" s="1"/>
  <c r="Q14" i="16"/>
  <c r="I17" i="16"/>
  <c r="H17" i="16" s="1"/>
  <c r="I160" i="14" s="1"/>
  <c r="S18" i="16"/>
  <c r="R18" i="16" s="1"/>
  <c r="N21" i="16"/>
  <c r="M21" i="16" s="1"/>
  <c r="I177" i="14" s="1"/>
  <c r="Q25" i="16"/>
  <c r="I3" i="16"/>
  <c r="J104" i="14" s="1"/>
  <c r="L32" i="16"/>
  <c r="X33" i="16"/>
  <c r="Q35" i="16"/>
  <c r="S38" i="16"/>
  <c r="N43" i="16"/>
  <c r="V47" i="16"/>
  <c r="I52" i="16"/>
  <c r="S7" i="16"/>
  <c r="R7" i="16" s="1"/>
  <c r="I13" i="16"/>
  <c r="H13" i="16" s="1"/>
  <c r="I144" i="14" s="1"/>
  <c r="K144" i="14" s="1"/>
  <c r="G20" i="16"/>
  <c r="V44" i="16"/>
  <c r="I49" i="16"/>
  <c r="L13" i="16"/>
  <c r="L145" i="14" s="1"/>
  <c r="I29" i="16"/>
  <c r="V30" i="16"/>
  <c r="I32" i="16"/>
  <c r="N35" i="16"/>
  <c r="X36" i="16"/>
  <c r="W36" i="16" s="1"/>
  <c r="I239" i="14" s="1"/>
  <c r="Q38" i="16"/>
  <c r="L43" i="16"/>
  <c r="Q44" i="16"/>
  <c r="G46" i="16"/>
  <c r="S47" i="16"/>
  <c r="X48" i="16"/>
  <c r="N50" i="16"/>
  <c r="G52" i="16"/>
  <c r="Q4" i="16"/>
  <c r="Q7" i="16"/>
  <c r="S8" i="16"/>
  <c r="R8" i="16" s="1"/>
  <c r="I126" i="14" s="1"/>
  <c r="K126" i="14" s="1"/>
  <c r="G10" i="16"/>
  <c r="L132" i="14" s="1"/>
  <c r="V11" i="16"/>
  <c r="S14" i="16"/>
  <c r="R14" i="16" s="1"/>
  <c r="X15" i="16"/>
  <c r="W15" i="16" s="1"/>
  <c r="L17" i="16"/>
  <c r="V18" i="16"/>
  <c r="Q21" i="16"/>
  <c r="G24" i="16"/>
  <c r="G27" i="16"/>
  <c r="L200" i="14" s="1"/>
  <c r="G3" i="16"/>
  <c r="L104" i="14" s="1"/>
  <c r="X30" i="16"/>
  <c r="G37" i="16"/>
  <c r="G40" i="16"/>
  <c r="S41" i="16"/>
  <c r="G49" i="16"/>
  <c r="X5" i="16"/>
  <c r="W5" i="16" s="1"/>
  <c r="V14" i="16"/>
  <c r="N17" i="16"/>
  <c r="M17" i="16" s="1"/>
  <c r="G23" i="16"/>
  <c r="L184" i="14" s="1"/>
  <c r="G34" i="16"/>
  <c r="I20" i="16"/>
  <c r="H20" i="16" s="1"/>
  <c r="I172" i="14" s="1"/>
  <c r="M172" i="14" s="1"/>
  <c r="K66" i="15" l="1"/>
  <c r="E66" i="15"/>
  <c r="D66" i="15"/>
  <c r="P66" i="15" s="1"/>
  <c r="L209" i="14"/>
  <c r="D64" i="15"/>
  <c r="P64" i="15" s="1"/>
  <c r="E64" i="15"/>
  <c r="K64" i="15"/>
  <c r="L205" i="14"/>
  <c r="J189" i="14"/>
  <c r="J172" i="14"/>
  <c r="J148" i="14"/>
  <c r="J164" i="14"/>
  <c r="J180" i="14"/>
  <c r="J136" i="14"/>
  <c r="J239" i="14"/>
  <c r="J177" i="14"/>
  <c r="M239" i="14"/>
  <c r="K239" i="14"/>
  <c r="K180" i="14"/>
  <c r="M180" i="14"/>
  <c r="M283" i="14"/>
  <c r="K283" i="14"/>
  <c r="K267" i="14"/>
  <c r="M267" i="14"/>
  <c r="K118" i="15"/>
  <c r="D118" i="15"/>
  <c r="P118" i="15" s="1"/>
  <c r="E118" i="15"/>
  <c r="L278" i="14"/>
  <c r="K98" i="15"/>
  <c r="D98" i="15"/>
  <c r="P98" i="15" s="1"/>
  <c r="E98" i="15"/>
  <c r="L253" i="14"/>
  <c r="D97" i="15"/>
  <c r="P97" i="15" s="1"/>
  <c r="E97" i="15"/>
  <c r="K97" i="15"/>
  <c r="L252" i="14"/>
  <c r="K134" i="15"/>
  <c r="D134" i="15"/>
  <c r="P134" i="15" s="1"/>
  <c r="E134" i="15"/>
  <c r="L300" i="14"/>
  <c r="K45" i="15"/>
  <c r="E45" i="15"/>
  <c r="K20" i="16"/>
  <c r="O172" i="14" s="1"/>
  <c r="D45" i="15"/>
  <c r="K31" i="15"/>
  <c r="E31" i="15"/>
  <c r="D31" i="15"/>
  <c r="K13" i="16"/>
  <c r="O144" i="14" s="1"/>
  <c r="R30" i="16"/>
  <c r="I214" i="14" s="1"/>
  <c r="K214" i="14" s="1"/>
  <c r="J214" i="14"/>
  <c r="Y48" i="16"/>
  <c r="Z48" i="16"/>
  <c r="O287" i="14" s="1"/>
  <c r="L287" i="14"/>
  <c r="D111" i="15"/>
  <c r="P111" i="15" s="1"/>
  <c r="K111" i="15"/>
  <c r="E111" i="15"/>
  <c r="L269" i="14"/>
  <c r="M36" i="16"/>
  <c r="I237" i="14" s="1"/>
  <c r="J237" i="14"/>
  <c r="K11" i="16"/>
  <c r="O136" i="14" s="1"/>
  <c r="K25" i="15"/>
  <c r="E25" i="15"/>
  <c r="D25" i="15"/>
  <c r="L219" i="14"/>
  <c r="K53" i="15"/>
  <c r="E53" i="15"/>
  <c r="D53" i="15"/>
  <c r="P24" i="16"/>
  <c r="O189" i="14" s="1"/>
  <c r="D76" i="15"/>
  <c r="P76" i="15" s="1"/>
  <c r="E76" i="15"/>
  <c r="K76" i="15"/>
  <c r="L224" i="14"/>
  <c r="U17" i="16"/>
  <c r="K41" i="15"/>
  <c r="E41" i="15"/>
  <c r="D41" i="15"/>
  <c r="D113" i="15"/>
  <c r="P113" i="15" s="1"/>
  <c r="E113" i="15"/>
  <c r="K113" i="15"/>
  <c r="L272" i="14"/>
  <c r="Y17" i="16"/>
  <c r="Z17" i="16"/>
  <c r="W50" i="16"/>
  <c r="I295" i="14" s="1"/>
  <c r="J295" i="14"/>
  <c r="W38" i="16"/>
  <c r="I247" i="14" s="1"/>
  <c r="J247" i="14"/>
  <c r="J124" i="14"/>
  <c r="J200" i="14"/>
  <c r="L136" i="14"/>
  <c r="L189" i="14"/>
  <c r="R44" i="16"/>
  <c r="I270" i="14" s="1"/>
  <c r="J270" i="14"/>
  <c r="U3" i="16"/>
  <c r="T3" i="16"/>
  <c r="E88" i="15"/>
  <c r="K88" i="15"/>
  <c r="D88" i="15"/>
  <c r="P88" i="15" s="1"/>
  <c r="L240" i="14"/>
  <c r="H40" i="16"/>
  <c r="I252" i="14" s="1"/>
  <c r="J252" i="14"/>
  <c r="E104" i="15"/>
  <c r="K104" i="15"/>
  <c r="D104" i="15"/>
  <c r="P104" i="15" s="1"/>
  <c r="L260" i="14"/>
  <c r="K61" i="15"/>
  <c r="E61" i="15"/>
  <c r="D61" i="15"/>
  <c r="U27" i="16"/>
  <c r="O202" i="14" s="1"/>
  <c r="M46" i="16"/>
  <c r="I277" i="14" s="1"/>
  <c r="J277" i="14"/>
  <c r="E89" i="15"/>
  <c r="K89" i="15"/>
  <c r="D89" i="15"/>
  <c r="P89" i="15" s="1"/>
  <c r="L241" i="14"/>
  <c r="J201" i="14"/>
  <c r="J108" i="14"/>
  <c r="W30" i="16"/>
  <c r="I215" i="14" s="1"/>
  <c r="J215" i="14"/>
  <c r="W48" i="16"/>
  <c r="I287" i="14" s="1"/>
  <c r="J287" i="14"/>
  <c r="D129" i="15"/>
  <c r="P129" i="15" s="1"/>
  <c r="K129" i="15"/>
  <c r="E129" i="15"/>
  <c r="L294" i="14"/>
  <c r="D108" i="15"/>
  <c r="P108" i="15" s="1"/>
  <c r="E108" i="15"/>
  <c r="K108" i="15"/>
  <c r="L264" i="14"/>
  <c r="K101" i="15"/>
  <c r="E101" i="15"/>
  <c r="D101" i="15"/>
  <c r="P101" i="15" s="1"/>
  <c r="L257" i="14"/>
  <c r="Y51" i="16"/>
  <c r="Z51" i="16"/>
  <c r="O299" i="14" s="1"/>
  <c r="L299" i="14"/>
  <c r="K26" i="15"/>
  <c r="E26" i="15"/>
  <c r="D26" i="15"/>
  <c r="P11" i="16"/>
  <c r="O137" i="14" s="1"/>
  <c r="P8" i="16"/>
  <c r="O125" i="14" s="1"/>
  <c r="Z26" i="16"/>
  <c r="Y26" i="16"/>
  <c r="Z6" i="16"/>
  <c r="Y6" i="16"/>
  <c r="H37" i="16"/>
  <c r="I240" i="14" s="1"/>
  <c r="J240" i="14"/>
  <c r="K22" i="15"/>
  <c r="E22" i="15"/>
  <c r="D22" i="15"/>
  <c r="P9" i="16"/>
  <c r="O129" i="14" s="1"/>
  <c r="W29" i="16"/>
  <c r="I211" i="14" s="1"/>
  <c r="K211" i="14" s="1"/>
  <c r="J211" i="14"/>
  <c r="K5" i="16"/>
  <c r="O112" i="14" s="1"/>
  <c r="K14" i="15"/>
  <c r="E14" i="15"/>
  <c r="D14" i="15"/>
  <c r="M40" i="16"/>
  <c r="I253" i="14" s="1"/>
  <c r="J253" i="14"/>
  <c r="W44" i="16"/>
  <c r="I271" i="14" s="1"/>
  <c r="M271" i="14" s="1"/>
  <c r="J271" i="14"/>
  <c r="L235" i="14"/>
  <c r="J132" i="14"/>
  <c r="R41" i="16"/>
  <c r="I258" i="14" s="1"/>
  <c r="K258" i="14" s="1"/>
  <c r="J258" i="14"/>
  <c r="K32" i="15"/>
  <c r="E32" i="15"/>
  <c r="D32" i="15"/>
  <c r="K14" i="16"/>
  <c r="O148" i="14" s="1"/>
  <c r="M50" i="16"/>
  <c r="I293" i="14" s="1"/>
  <c r="J293" i="14"/>
  <c r="E72" i="15"/>
  <c r="K72" i="15"/>
  <c r="D72" i="15"/>
  <c r="P72" i="15" s="1"/>
  <c r="L218" i="14"/>
  <c r="H52" i="16"/>
  <c r="I300" i="14" s="1"/>
  <c r="J300" i="14"/>
  <c r="H47" i="16"/>
  <c r="I280" i="14" s="1"/>
  <c r="J280" i="14"/>
  <c r="M37" i="16"/>
  <c r="I241" i="14" s="1"/>
  <c r="J241" i="14"/>
  <c r="D112" i="15"/>
  <c r="P112" i="15" s="1"/>
  <c r="E112" i="15"/>
  <c r="K112" i="15"/>
  <c r="L270" i="14"/>
  <c r="K48" i="15"/>
  <c r="E48" i="15"/>
  <c r="D48" i="15"/>
  <c r="P21" i="16"/>
  <c r="O177" i="14" s="1"/>
  <c r="D93" i="15"/>
  <c r="P93" i="15" s="1"/>
  <c r="E93" i="15"/>
  <c r="K93" i="15"/>
  <c r="L245" i="14"/>
  <c r="Z22" i="16"/>
  <c r="Y22" i="16"/>
  <c r="D81" i="15"/>
  <c r="P81" i="15" s="1"/>
  <c r="K81" i="15"/>
  <c r="E81" i="15"/>
  <c r="L232" i="14"/>
  <c r="K68" i="15"/>
  <c r="E68" i="15"/>
  <c r="D68" i="15"/>
  <c r="P68" i="15" s="1"/>
  <c r="L213" i="14"/>
  <c r="E119" i="15"/>
  <c r="K119" i="15"/>
  <c r="D119" i="15"/>
  <c r="P119" i="15" s="1"/>
  <c r="L280" i="14"/>
  <c r="H44" i="16"/>
  <c r="I268" i="14" s="1"/>
  <c r="J268" i="14"/>
  <c r="K13" i="15"/>
  <c r="E13" i="15"/>
  <c r="K4" i="16"/>
  <c r="O108" i="14" s="1"/>
  <c r="D13" i="15"/>
  <c r="U5" i="16"/>
  <c r="K133" i="15"/>
  <c r="D133" i="15"/>
  <c r="P133" i="15" s="1"/>
  <c r="E133" i="15"/>
  <c r="L298" i="14"/>
  <c r="D127" i="15"/>
  <c r="P127" i="15" s="1"/>
  <c r="K127" i="15"/>
  <c r="E127" i="15"/>
  <c r="L292" i="14"/>
  <c r="M51" i="16"/>
  <c r="I297" i="14" s="1"/>
  <c r="J297" i="14"/>
  <c r="H42" i="16"/>
  <c r="I260" i="14" s="1"/>
  <c r="J260" i="14"/>
  <c r="D126" i="15"/>
  <c r="P126" i="15" s="1"/>
  <c r="E126" i="15"/>
  <c r="K126" i="15"/>
  <c r="L290" i="14"/>
  <c r="T20" i="16"/>
  <c r="U20" i="16"/>
  <c r="D79" i="15"/>
  <c r="P79" i="15" s="1"/>
  <c r="K79" i="15"/>
  <c r="E79" i="15"/>
  <c r="L229" i="14"/>
  <c r="H34" i="16"/>
  <c r="I228" i="14" s="1"/>
  <c r="J228" i="14"/>
  <c r="P20" i="16"/>
  <c r="O173" i="14" s="1"/>
  <c r="D46" i="15"/>
  <c r="E46" i="15"/>
  <c r="K46" i="15"/>
  <c r="D63" i="15"/>
  <c r="P63" i="15" s="1"/>
  <c r="K63" i="15"/>
  <c r="E63" i="15"/>
  <c r="L204" i="14"/>
  <c r="J196" i="14"/>
  <c r="L172" i="14"/>
  <c r="L148" i="14"/>
  <c r="D77" i="15"/>
  <c r="P77" i="15" s="1"/>
  <c r="E77" i="15"/>
  <c r="K77" i="15"/>
  <c r="L225" i="14"/>
  <c r="M28" i="16"/>
  <c r="I205" i="14" s="1"/>
  <c r="J205" i="14"/>
  <c r="M29" i="16"/>
  <c r="I209" i="14" s="1"/>
  <c r="J209" i="14"/>
  <c r="D12" i="15"/>
  <c r="E12" i="15"/>
  <c r="K12" i="15"/>
  <c r="P4" i="16"/>
  <c r="O109" i="14" s="1"/>
  <c r="R52" i="16"/>
  <c r="I302" i="14" s="1"/>
  <c r="M302" i="14" s="1"/>
  <c r="J302" i="14"/>
  <c r="K116" i="15"/>
  <c r="E116" i="15"/>
  <c r="D116" i="15"/>
  <c r="P116" i="15" s="1"/>
  <c r="L276" i="14"/>
  <c r="Y5" i="16"/>
  <c r="Z5" i="16"/>
  <c r="E103" i="15"/>
  <c r="K103" i="15"/>
  <c r="D103" i="15"/>
  <c r="P103" i="15" s="1"/>
  <c r="L259" i="14"/>
  <c r="M43" i="16"/>
  <c r="I265" i="14" s="1"/>
  <c r="J265" i="14"/>
  <c r="U21" i="16"/>
  <c r="O178" i="14" s="1"/>
  <c r="D109" i="15"/>
  <c r="P109" i="15" s="1"/>
  <c r="E109" i="15"/>
  <c r="K109" i="15"/>
  <c r="L265" i="14"/>
  <c r="R38" i="16"/>
  <c r="I246" i="14" s="1"/>
  <c r="J246" i="14"/>
  <c r="E121" i="15"/>
  <c r="K121" i="15"/>
  <c r="D121" i="15"/>
  <c r="P121" i="15" s="1"/>
  <c r="L282" i="14"/>
  <c r="R36" i="16"/>
  <c r="I238" i="14" s="1"/>
  <c r="J238" i="14"/>
  <c r="M30" i="16"/>
  <c r="I213" i="14" s="1"/>
  <c r="J213" i="14"/>
  <c r="D110" i="15"/>
  <c r="P110" i="15" s="1"/>
  <c r="E110" i="15"/>
  <c r="K110" i="15"/>
  <c r="L268" i="14"/>
  <c r="W31" i="16"/>
  <c r="I219" i="14" s="1"/>
  <c r="K219" i="14" s="1"/>
  <c r="J219" i="14"/>
  <c r="R51" i="16"/>
  <c r="I298" i="14" s="1"/>
  <c r="K298" i="14" s="1"/>
  <c r="J298" i="14"/>
  <c r="E107" i="15"/>
  <c r="D107" i="15"/>
  <c r="P107" i="15" s="1"/>
  <c r="K107" i="15"/>
  <c r="L263" i="14"/>
  <c r="Y49" i="16"/>
  <c r="Z49" i="16"/>
  <c r="O291" i="14" s="1"/>
  <c r="L291" i="14"/>
  <c r="H41" i="16"/>
  <c r="I256" i="14" s="1"/>
  <c r="J256" i="14"/>
  <c r="R49" i="16"/>
  <c r="I290" i="14" s="1"/>
  <c r="M290" i="14" s="1"/>
  <c r="J290" i="14"/>
  <c r="Z10" i="16"/>
  <c r="Y10" i="16"/>
  <c r="R37" i="16"/>
  <c r="I242" i="14" s="1"/>
  <c r="M242" i="14" s="1"/>
  <c r="J242" i="14"/>
  <c r="E122" i="15"/>
  <c r="K122" i="15"/>
  <c r="D122" i="15"/>
  <c r="P122" i="15" s="1"/>
  <c r="L284" i="14"/>
  <c r="K37" i="15"/>
  <c r="E37" i="15"/>
  <c r="D37" i="15"/>
  <c r="P16" i="16"/>
  <c r="O157" i="14" s="1"/>
  <c r="Y32" i="16"/>
  <c r="Z32" i="16"/>
  <c r="O223" i="14" s="1"/>
  <c r="L223" i="14"/>
  <c r="K19" i="16"/>
  <c r="O168" i="14" s="1"/>
  <c r="K43" i="15"/>
  <c r="E43" i="15"/>
  <c r="D43" i="15"/>
  <c r="R32" i="16"/>
  <c r="I222" i="14" s="1"/>
  <c r="K222" i="14" s="1"/>
  <c r="J222" i="14"/>
  <c r="K36" i="15"/>
  <c r="E36" i="15"/>
  <c r="K16" i="16"/>
  <c r="O156" i="14" s="1"/>
  <c r="D36" i="15"/>
  <c r="J152" i="14"/>
  <c r="J176" i="14"/>
  <c r="J112" i="14"/>
  <c r="J178" i="14"/>
  <c r="J141" i="14"/>
  <c r="H50" i="16"/>
  <c r="I292" i="14" s="1"/>
  <c r="J292" i="14"/>
  <c r="M47" i="16"/>
  <c r="I281" i="14" s="1"/>
  <c r="J281" i="14"/>
  <c r="P25" i="16"/>
  <c r="O193" i="14" s="1"/>
  <c r="K55" i="15"/>
  <c r="E55" i="15"/>
  <c r="D55" i="15"/>
  <c r="E75" i="15"/>
  <c r="D75" i="15"/>
  <c r="P75" i="15" s="1"/>
  <c r="K75" i="15"/>
  <c r="L222" i="14"/>
  <c r="T48" i="16"/>
  <c r="U48" i="16"/>
  <c r="O286" i="14" s="1"/>
  <c r="L286" i="14"/>
  <c r="K15" i="15"/>
  <c r="E15" i="15"/>
  <c r="D15" i="15"/>
  <c r="P5" i="16"/>
  <c r="O113" i="14" s="1"/>
  <c r="Z21" i="16"/>
  <c r="O179" i="14" s="1"/>
  <c r="K52" i="15"/>
  <c r="E52" i="15"/>
  <c r="K24" i="16"/>
  <c r="O188" i="14" s="1"/>
  <c r="D52" i="15"/>
  <c r="D128" i="15"/>
  <c r="P128" i="15" s="1"/>
  <c r="K128" i="15"/>
  <c r="E128" i="15"/>
  <c r="L293" i="14"/>
  <c r="Z18" i="16"/>
  <c r="Y18" i="16"/>
  <c r="L246" i="14"/>
  <c r="K83" i="15"/>
  <c r="D83" i="15"/>
  <c r="P83" i="15" s="1"/>
  <c r="E83" i="15"/>
  <c r="L234" i="14"/>
  <c r="W45" i="16"/>
  <c r="I275" i="14" s="1"/>
  <c r="J275" i="14"/>
  <c r="U18" i="16"/>
  <c r="T18" i="16"/>
  <c r="H35" i="16"/>
  <c r="I232" i="14" s="1"/>
  <c r="J232" i="14"/>
  <c r="K39" i="15"/>
  <c r="K17" i="16"/>
  <c r="O160" i="14" s="1"/>
  <c r="E39" i="15"/>
  <c r="D39" i="15"/>
  <c r="W28" i="16"/>
  <c r="I207" i="14" s="1"/>
  <c r="J207" i="14"/>
  <c r="R42" i="16"/>
  <c r="I262" i="14" s="1"/>
  <c r="J262" i="14"/>
  <c r="Z3" i="16"/>
  <c r="Y3" i="16"/>
  <c r="M48" i="16"/>
  <c r="I285" i="14" s="1"/>
  <c r="J285" i="14"/>
  <c r="M45" i="16"/>
  <c r="I273" i="14" s="1"/>
  <c r="J273" i="14"/>
  <c r="L226" i="14"/>
  <c r="E123" i="15"/>
  <c r="K123" i="15"/>
  <c r="D123" i="15"/>
  <c r="P123" i="15" s="1"/>
  <c r="L285" i="14"/>
  <c r="E137" i="15"/>
  <c r="K137" i="15"/>
  <c r="D137" i="15"/>
  <c r="P137" i="15" s="1"/>
  <c r="L303" i="14"/>
  <c r="W32" i="16"/>
  <c r="I223" i="14" s="1"/>
  <c r="J223" i="14"/>
  <c r="R46" i="16"/>
  <c r="I278" i="14" s="1"/>
  <c r="J278" i="14"/>
  <c r="D28" i="15"/>
  <c r="K12" i="16"/>
  <c r="O140" i="14" s="1"/>
  <c r="K28" i="15"/>
  <c r="E28" i="15"/>
  <c r="H31" i="16"/>
  <c r="I216" i="14" s="1"/>
  <c r="J216" i="14"/>
  <c r="K70" i="15"/>
  <c r="D70" i="15"/>
  <c r="P70" i="15" s="1"/>
  <c r="E70" i="15"/>
  <c r="L216" i="14"/>
  <c r="J120" i="14"/>
  <c r="L178" i="14"/>
  <c r="J184" i="14"/>
  <c r="U14" i="16"/>
  <c r="T14" i="16"/>
  <c r="D35" i="15"/>
  <c r="P15" i="16"/>
  <c r="O153" i="14" s="1"/>
  <c r="K35" i="15"/>
  <c r="E35" i="15"/>
  <c r="W42" i="16"/>
  <c r="I263" i="14" s="1"/>
  <c r="K263" i="14" s="1"/>
  <c r="J263" i="14"/>
  <c r="T9" i="16"/>
  <c r="U9" i="16"/>
  <c r="H38" i="16"/>
  <c r="I244" i="14" s="1"/>
  <c r="J244" i="14"/>
  <c r="K132" i="15"/>
  <c r="E132" i="15"/>
  <c r="D132" i="15"/>
  <c r="P132" i="15" s="1"/>
  <c r="L297" i="14"/>
  <c r="P23" i="16"/>
  <c r="O185" i="14" s="1"/>
  <c r="Y47" i="16"/>
  <c r="Z47" i="16"/>
  <c r="O283" i="14" s="1"/>
  <c r="H51" i="16"/>
  <c r="I296" i="14" s="1"/>
  <c r="J296" i="14"/>
  <c r="L210" i="14"/>
  <c r="W33" i="16"/>
  <c r="I227" i="14" s="1"/>
  <c r="K227" i="14" s="1"/>
  <c r="J227" i="14"/>
  <c r="M44" i="16"/>
  <c r="I269" i="14" s="1"/>
  <c r="J269" i="14"/>
  <c r="Z15" i="16"/>
  <c r="Y15" i="16"/>
  <c r="R33" i="16"/>
  <c r="I226" i="14" s="1"/>
  <c r="J226" i="14"/>
  <c r="E33" i="15"/>
  <c r="D33" i="15"/>
  <c r="P14" i="16"/>
  <c r="O149" i="14" s="1"/>
  <c r="K33" i="15"/>
  <c r="Z23" i="16"/>
  <c r="Y23" i="16"/>
  <c r="K100" i="15"/>
  <c r="E100" i="15"/>
  <c r="D100" i="15"/>
  <c r="P100" i="15" s="1"/>
  <c r="L256" i="14"/>
  <c r="U26" i="16"/>
  <c r="K115" i="15"/>
  <c r="D115" i="15"/>
  <c r="P115" i="15" s="1"/>
  <c r="E115" i="15"/>
  <c r="L274" i="14"/>
  <c r="M42" i="16"/>
  <c r="I261" i="14" s="1"/>
  <c r="J261" i="14"/>
  <c r="W46" i="16"/>
  <c r="I279" i="14" s="1"/>
  <c r="K279" i="14" s="1"/>
  <c r="J279" i="14"/>
  <c r="H48" i="16"/>
  <c r="I284" i="14" s="1"/>
  <c r="J284" i="14"/>
  <c r="Z27" i="16"/>
  <c r="E62" i="15"/>
  <c r="D62" i="15"/>
  <c r="K62" i="15"/>
  <c r="H45" i="16"/>
  <c r="I272" i="14" s="1"/>
  <c r="J272" i="14"/>
  <c r="U10" i="16"/>
  <c r="R29" i="16"/>
  <c r="I210" i="14" s="1"/>
  <c r="J210" i="14"/>
  <c r="H28" i="16"/>
  <c r="I204" i="14" s="1"/>
  <c r="J204" i="14"/>
  <c r="I145" i="14"/>
  <c r="K145" i="14" s="1"/>
  <c r="L112" i="14"/>
  <c r="J116" i="14"/>
  <c r="E73" i="15"/>
  <c r="K73" i="15"/>
  <c r="D73" i="15"/>
  <c r="P73" i="15" s="1"/>
  <c r="L220" i="14"/>
  <c r="K26" i="16"/>
  <c r="O196" i="14" s="1"/>
  <c r="K57" i="15"/>
  <c r="E57" i="15"/>
  <c r="D57" i="15"/>
  <c r="R47" i="16"/>
  <c r="I282" i="14" s="1"/>
  <c r="J282" i="14"/>
  <c r="W49" i="16"/>
  <c r="I291" i="14" s="1"/>
  <c r="J291" i="14"/>
  <c r="E90" i="15"/>
  <c r="D90" i="15"/>
  <c r="P90" i="15" s="1"/>
  <c r="K90" i="15"/>
  <c r="L242" i="14"/>
  <c r="K27" i="16"/>
  <c r="O200" i="14" s="1"/>
  <c r="K59" i="15"/>
  <c r="E59" i="15"/>
  <c r="D59" i="15"/>
  <c r="R48" i="16"/>
  <c r="I286" i="14" s="1"/>
  <c r="M286" i="14" s="1"/>
  <c r="J286" i="14"/>
  <c r="Y12" i="16"/>
  <c r="Z12" i="16"/>
  <c r="W35" i="16"/>
  <c r="I235" i="14" s="1"/>
  <c r="K235" i="14" s="1"/>
  <c r="J235" i="14"/>
  <c r="D78" i="15"/>
  <c r="P78" i="15" s="1"/>
  <c r="E78" i="15"/>
  <c r="K78" i="15"/>
  <c r="L228" i="14"/>
  <c r="M35" i="16"/>
  <c r="I233" i="14" s="1"/>
  <c r="J233" i="14"/>
  <c r="E74" i="15"/>
  <c r="D74" i="15"/>
  <c r="P74" i="15" s="1"/>
  <c r="K74" i="15"/>
  <c r="L221" i="14"/>
  <c r="H43" i="16"/>
  <c r="I264" i="14" s="1"/>
  <c r="J264" i="14"/>
  <c r="K69" i="15"/>
  <c r="E69" i="15"/>
  <c r="D69" i="15"/>
  <c r="P69" i="15" s="1"/>
  <c r="L214" i="14"/>
  <c r="M132" i="14"/>
  <c r="U22" i="16"/>
  <c r="T22" i="16"/>
  <c r="R39" i="16"/>
  <c r="I250" i="14" s="1"/>
  <c r="M250" i="14" s="1"/>
  <c r="J250" i="14"/>
  <c r="K54" i="15"/>
  <c r="E54" i="15"/>
  <c r="D54" i="15"/>
  <c r="K25" i="16"/>
  <c r="O192" i="14" s="1"/>
  <c r="E106" i="15"/>
  <c r="D106" i="15"/>
  <c r="P106" i="15" s="1"/>
  <c r="K106" i="15"/>
  <c r="L262" i="14"/>
  <c r="M39" i="16"/>
  <c r="I249" i="14" s="1"/>
  <c r="J249" i="14"/>
  <c r="P26" i="16"/>
  <c r="O197" i="14" s="1"/>
  <c r="K58" i="15"/>
  <c r="E58" i="15"/>
  <c r="D58" i="15"/>
  <c r="K114" i="15"/>
  <c r="D114" i="15"/>
  <c r="P114" i="15" s="1"/>
  <c r="E114" i="15"/>
  <c r="L273" i="14"/>
  <c r="E49" i="15"/>
  <c r="D49" i="15"/>
  <c r="K22" i="16"/>
  <c r="O180" i="14" s="1"/>
  <c r="K49" i="15"/>
  <c r="Y43" i="16"/>
  <c r="Z43" i="16"/>
  <c r="O267" i="14" s="1"/>
  <c r="K21" i="15"/>
  <c r="E21" i="15"/>
  <c r="D21" i="15"/>
  <c r="K9" i="16"/>
  <c r="O128" i="14" s="1"/>
  <c r="T13" i="16"/>
  <c r="U13" i="16"/>
  <c r="O146" i="14" s="1"/>
  <c r="Y25" i="16"/>
  <c r="Z25" i="16"/>
  <c r="P10" i="16"/>
  <c r="O133" i="14" s="1"/>
  <c r="E24" i="15"/>
  <c r="D24" i="15"/>
  <c r="K24" i="15"/>
  <c r="J125" i="14"/>
  <c r="J126" i="14"/>
  <c r="J145" i="14"/>
  <c r="Y39" i="16"/>
  <c r="Z39" i="16"/>
  <c r="O251" i="14" s="1"/>
  <c r="L251" i="14"/>
  <c r="M41" i="16"/>
  <c r="I257" i="14" s="1"/>
  <c r="J257" i="14"/>
  <c r="W41" i="16"/>
  <c r="I259" i="14" s="1"/>
  <c r="J259" i="14"/>
  <c r="W39" i="16"/>
  <c r="I251" i="14" s="1"/>
  <c r="J251" i="14"/>
  <c r="L279" i="14"/>
  <c r="P17" i="16"/>
  <c r="O161" i="14" s="1"/>
  <c r="E40" i="15"/>
  <c r="D40" i="15"/>
  <c r="K40" i="15"/>
  <c r="K23" i="16"/>
  <c r="O184" i="14" s="1"/>
  <c r="D51" i="15"/>
  <c r="E51" i="15"/>
  <c r="K51" i="15"/>
  <c r="H32" i="16"/>
  <c r="I220" i="14" s="1"/>
  <c r="J220" i="14"/>
  <c r="K102" i="15"/>
  <c r="E102" i="15"/>
  <c r="D102" i="15"/>
  <c r="P102" i="15" s="1"/>
  <c r="L258" i="14"/>
  <c r="D65" i="15"/>
  <c r="P65" i="15" s="1"/>
  <c r="K65" i="15"/>
  <c r="E65" i="15"/>
  <c r="L208" i="14"/>
  <c r="Y9" i="16"/>
  <c r="Z9" i="16"/>
  <c r="U43" i="16"/>
  <c r="O266" i="14" s="1"/>
  <c r="L266" i="14"/>
  <c r="K47" i="15"/>
  <c r="E47" i="15"/>
  <c r="D47" i="15"/>
  <c r="K21" i="16"/>
  <c r="O176" i="14" s="1"/>
  <c r="D92" i="15"/>
  <c r="P92" i="15" s="1"/>
  <c r="E92" i="15"/>
  <c r="K92" i="15"/>
  <c r="L244" i="14"/>
  <c r="P22" i="16"/>
  <c r="O181" i="14" s="1"/>
  <c r="K50" i="15"/>
  <c r="E50" i="15"/>
  <c r="D50" i="15"/>
  <c r="H36" i="16"/>
  <c r="I236" i="14" s="1"/>
  <c r="J236" i="14"/>
  <c r="E105" i="15"/>
  <c r="K105" i="15"/>
  <c r="D105" i="15"/>
  <c r="P105" i="15" s="1"/>
  <c r="L261" i="14"/>
  <c r="H39" i="16"/>
  <c r="I248" i="14" s="1"/>
  <c r="J248" i="14"/>
  <c r="K99" i="15"/>
  <c r="D99" i="15"/>
  <c r="P99" i="15" s="1"/>
  <c r="E99" i="15"/>
  <c r="L254" i="14"/>
  <c r="E135" i="15"/>
  <c r="K135" i="15"/>
  <c r="D135" i="15"/>
  <c r="P135" i="15" s="1"/>
  <c r="L301" i="14"/>
  <c r="R50" i="16"/>
  <c r="I294" i="14" s="1"/>
  <c r="M294" i="14" s="1"/>
  <c r="J294" i="14"/>
  <c r="K130" i="15"/>
  <c r="D130" i="15"/>
  <c r="P130" i="15" s="1"/>
  <c r="E130" i="15"/>
  <c r="L295" i="14"/>
  <c r="L125" i="14"/>
  <c r="L283" i="14"/>
  <c r="I137" i="14"/>
  <c r="M137" i="14" s="1"/>
  <c r="R34" i="16"/>
  <c r="I230" i="14" s="1"/>
  <c r="J230" i="14"/>
  <c r="M52" i="16"/>
  <c r="I301" i="14" s="1"/>
  <c r="J301" i="14"/>
  <c r="M32" i="16"/>
  <c r="I221" i="14" s="1"/>
  <c r="J221" i="14"/>
  <c r="Y8" i="16"/>
  <c r="Z8" i="16"/>
  <c r="O127" i="14" s="1"/>
  <c r="K7" i="16"/>
  <c r="O120" i="14" s="1"/>
  <c r="K18" i="15"/>
  <c r="E18" i="15"/>
  <c r="D18" i="15"/>
  <c r="K20" i="15"/>
  <c r="E20" i="15"/>
  <c r="K8" i="16"/>
  <c r="O124" i="14" s="1"/>
  <c r="D20" i="15"/>
  <c r="U24" i="16"/>
  <c r="O190" i="14" s="1"/>
  <c r="J144" i="14"/>
  <c r="K86" i="15"/>
  <c r="D86" i="15"/>
  <c r="P86" i="15" s="1"/>
  <c r="E86" i="15"/>
  <c r="L238" i="14"/>
  <c r="W52" i="16"/>
  <c r="I303" i="14" s="1"/>
  <c r="J303" i="14"/>
  <c r="Z11" i="16"/>
  <c r="Y11" i="16"/>
  <c r="L215" i="14"/>
  <c r="U25" i="16"/>
  <c r="E56" i="15"/>
  <c r="D56" i="15"/>
  <c r="K56" i="15"/>
  <c r="M38" i="16"/>
  <c r="I245" i="14" s="1"/>
  <c r="J245" i="14"/>
  <c r="K27" i="15"/>
  <c r="E27" i="15"/>
  <c r="D27" i="15"/>
  <c r="U11" i="16"/>
  <c r="O138" i="14" s="1"/>
  <c r="D60" i="15"/>
  <c r="K60" i="15"/>
  <c r="E60" i="15"/>
  <c r="P27" i="16"/>
  <c r="O201" i="14" s="1"/>
  <c r="P18" i="16"/>
  <c r="O165" i="14" s="1"/>
  <c r="M33" i="16"/>
  <c r="I225" i="14" s="1"/>
  <c r="J225" i="14"/>
  <c r="D96" i="15"/>
  <c r="P96" i="15" s="1"/>
  <c r="E96" i="15"/>
  <c r="K96" i="15"/>
  <c r="L250" i="14"/>
  <c r="Y34" i="16"/>
  <c r="Z34" i="16"/>
  <c r="O231" i="14" s="1"/>
  <c r="L231" i="14"/>
  <c r="Z40" i="16"/>
  <c r="O255" i="14" s="1"/>
  <c r="Y40" i="16"/>
  <c r="D80" i="15"/>
  <c r="P80" i="15" s="1"/>
  <c r="E80" i="15"/>
  <c r="K80" i="15"/>
  <c r="L230" i="14"/>
  <c r="D44" i="15"/>
  <c r="K44" i="15"/>
  <c r="P19" i="16"/>
  <c r="O169" i="14" s="1"/>
  <c r="E44" i="15"/>
  <c r="D94" i="15"/>
  <c r="P94" i="15" s="1"/>
  <c r="E94" i="15"/>
  <c r="K94" i="15"/>
  <c r="L248" i="14"/>
  <c r="E17" i="15"/>
  <c r="D17" i="15"/>
  <c r="P6" i="16"/>
  <c r="O117" i="14" s="1"/>
  <c r="K17" i="15"/>
  <c r="H46" i="16"/>
  <c r="I276" i="14" s="1"/>
  <c r="J276" i="14"/>
  <c r="D125" i="15"/>
  <c r="P125" i="15" s="1"/>
  <c r="E125" i="15"/>
  <c r="K125" i="15"/>
  <c r="L289" i="14"/>
  <c r="J153" i="14"/>
  <c r="L267" i="14"/>
  <c r="J188" i="14"/>
  <c r="J192" i="14"/>
  <c r="J137" i="14"/>
  <c r="Y45" i="16"/>
  <c r="Z45" i="16"/>
  <c r="O275" i="14" s="1"/>
  <c r="L275" i="14"/>
  <c r="Y24" i="16"/>
  <c r="Z24" i="16"/>
  <c r="Z14" i="16"/>
  <c r="Y14" i="16"/>
  <c r="K10" i="16"/>
  <c r="O132" i="14" s="1"/>
  <c r="K23" i="15"/>
  <c r="E23" i="15"/>
  <c r="D23" i="15"/>
  <c r="H29" i="16"/>
  <c r="I208" i="14" s="1"/>
  <c r="J208" i="14"/>
  <c r="E87" i="15"/>
  <c r="K87" i="15"/>
  <c r="D87" i="15"/>
  <c r="P87" i="15" s="1"/>
  <c r="T8" i="16"/>
  <c r="U8" i="16"/>
  <c r="O126" i="14" s="1"/>
  <c r="K16" i="15"/>
  <c r="E16" i="15"/>
  <c r="D16" i="15"/>
  <c r="K6" i="16"/>
  <c r="O116" i="14" s="1"/>
  <c r="Z19" i="16"/>
  <c r="Y19" i="16"/>
  <c r="H30" i="16"/>
  <c r="I212" i="14" s="1"/>
  <c r="J212" i="14"/>
  <c r="W37" i="16"/>
  <c r="I243" i="14" s="1"/>
  <c r="J243" i="14"/>
  <c r="H33" i="16"/>
  <c r="I224" i="14" s="1"/>
  <c r="J224" i="14"/>
  <c r="Y20" i="16"/>
  <c r="Z20" i="16"/>
  <c r="D95" i="15"/>
  <c r="P95" i="15" s="1"/>
  <c r="K95" i="15"/>
  <c r="E95" i="15"/>
  <c r="L249" i="14"/>
  <c r="M31" i="16"/>
  <c r="I217" i="14" s="1"/>
  <c r="J217" i="14"/>
  <c r="M34" i="16"/>
  <c r="I229" i="14" s="1"/>
  <c r="J229" i="14"/>
  <c r="E136" i="15"/>
  <c r="K136" i="15"/>
  <c r="D136" i="15"/>
  <c r="P136" i="15" s="1"/>
  <c r="L302" i="14"/>
  <c r="Y13" i="16"/>
  <c r="Z13" i="16"/>
  <c r="Z7" i="16"/>
  <c r="Y7" i="16"/>
  <c r="T23" i="16"/>
  <c r="U23" i="16"/>
  <c r="J160" i="14"/>
  <c r="L153" i="14"/>
  <c r="J156" i="14"/>
  <c r="L188" i="14"/>
  <c r="L137" i="14"/>
  <c r="T4" i="16"/>
  <c r="U4" i="16"/>
  <c r="R28" i="16"/>
  <c r="I206" i="14" s="1"/>
  <c r="M206" i="14" s="1"/>
  <c r="J206" i="14"/>
  <c r="K82" i="15"/>
  <c r="D82" i="15"/>
  <c r="P82" i="15" s="1"/>
  <c r="E82" i="15"/>
  <c r="L233" i="14"/>
  <c r="D19" i="15"/>
  <c r="P7" i="16"/>
  <c r="O121" i="14" s="1"/>
  <c r="E19" i="15"/>
  <c r="K19" i="15"/>
  <c r="W51" i="16"/>
  <c r="I299" i="14" s="1"/>
  <c r="J299" i="14"/>
  <c r="Y28" i="16"/>
  <c r="Z28" i="16"/>
  <c r="O207" i="14" s="1"/>
  <c r="L207" i="14"/>
  <c r="Y16" i="16"/>
  <c r="Z16" i="16"/>
  <c r="E91" i="15"/>
  <c r="K91" i="15"/>
  <c r="D91" i="15"/>
  <c r="P91" i="15" s="1"/>
  <c r="L243" i="14"/>
  <c r="U28" i="16"/>
  <c r="O206" i="14" s="1"/>
  <c r="L206" i="14"/>
  <c r="K15" i="16"/>
  <c r="O152" i="14" s="1"/>
  <c r="K34" i="15"/>
  <c r="E34" i="15"/>
  <c r="D34" i="15"/>
  <c r="E71" i="15"/>
  <c r="K71" i="15"/>
  <c r="D71" i="15"/>
  <c r="P71" i="15" s="1"/>
  <c r="L217" i="14"/>
  <c r="K131" i="15"/>
  <c r="D131" i="15"/>
  <c r="P131" i="15" s="1"/>
  <c r="E131" i="15"/>
  <c r="L296" i="14"/>
  <c r="U6" i="16"/>
  <c r="K38" i="15"/>
  <c r="E38" i="15"/>
  <c r="D38" i="15"/>
  <c r="U16" i="16"/>
  <c r="K117" i="15"/>
  <c r="E117" i="15"/>
  <c r="D117" i="15"/>
  <c r="P117" i="15" s="1"/>
  <c r="L277" i="14"/>
  <c r="L160" i="14"/>
  <c r="J168" i="14"/>
  <c r="J267" i="14"/>
  <c r="J283" i="14"/>
  <c r="L156" i="14"/>
  <c r="J140" i="14"/>
  <c r="L192" i="14"/>
  <c r="Z44" i="16"/>
  <c r="O271" i="14" s="1"/>
  <c r="L271" i="14"/>
  <c r="D30" i="15"/>
  <c r="U12" i="16"/>
  <c r="O142" i="14" s="1"/>
  <c r="K30" i="15"/>
  <c r="E30" i="15"/>
  <c r="P13" i="16"/>
  <c r="O145" i="14" s="1"/>
  <c r="Y38" i="16"/>
  <c r="Z38" i="16"/>
  <c r="O247" i="14" s="1"/>
  <c r="L247" i="14"/>
  <c r="K85" i="15"/>
  <c r="D85" i="15"/>
  <c r="P85" i="15" s="1"/>
  <c r="E85" i="15"/>
  <c r="L237" i="14"/>
  <c r="R31" i="16"/>
  <c r="I218" i="14" s="1"/>
  <c r="J218" i="14"/>
  <c r="U19" i="16"/>
  <c r="O170" i="14" s="1"/>
  <c r="D124" i="15"/>
  <c r="P124" i="15" s="1"/>
  <c r="E124" i="15"/>
  <c r="K124" i="15"/>
  <c r="L288" i="14"/>
  <c r="T7" i="16"/>
  <c r="U7" i="16"/>
  <c r="H49" i="16"/>
  <c r="I288" i="14" s="1"/>
  <c r="J288" i="14"/>
  <c r="Y33" i="16"/>
  <c r="Z33" i="16"/>
  <c r="O227" i="14" s="1"/>
  <c r="L227" i="14"/>
  <c r="E120" i="15"/>
  <c r="K120" i="15"/>
  <c r="D120" i="15"/>
  <c r="P120" i="15" s="1"/>
  <c r="L281" i="14"/>
  <c r="R45" i="16"/>
  <c r="I274" i="14" s="1"/>
  <c r="J274" i="14"/>
  <c r="R35" i="16"/>
  <c r="I234" i="14" s="1"/>
  <c r="J234" i="14"/>
  <c r="U15" i="16"/>
  <c r="O154" i="14" s="1"/>
  <c r="T15" i="16"/>
  <c r="W34" i="16"/>
  <c r="I231" i="14" s="1"/>
  <c r="J231" i="14"/>
  <c r="K67" i="15"/>
  <c r="D67" i="15"/>
  <c r="P67" i="15" s="1"/>
  <c r="E67" i="15"/>
  <c r="L212" i="14"/>
  <c r="K42" i="15"/>
  <c r="K18" i="16"/>
  <c r="O164" i="14" s="1"/>
  <c r="E42" i="15"/>
  <c r="D42" i="15"/>
  <c r="K84" i="15"/>
  <c r="E84" i="15"/>
  <c r="D84" i="15"/>
  <c r="P84" i="15" s="1"/>
  <c r="L236" i="14"/>
  <c r="Y29" i="16"/>
  <c r="Z29" i="16"/>
  <c r="O211" i="14" s="1"/>
  <c r="L211" i="14"/>
  <c r="M49" i="16"/>
  <c r="I289" i="14" s="1"/>
  <c r="J289" i="14"/>
  <c r="R40" i="16"/>
  <c r="I254" i="14" s="1"/>
  <c r="J254" i="14"/>
  <c r="Y4" i="16"/>
  <c r="Z4" i="16"/>
  <c r="K29" i="15"/>
  <c r="P12" i="16"/>
  <c r="O141" i="14" s="1"/>
  <c r="E29" i="15"/>
  <c r="D29" i="15"/>
  <c r="R43" i="16"/>
  <c r="I266" i="14" s="1"/>
  <c r="J266" i="14"/>
  <c r="L168" i="14"/>
  <c r="J169" i="14"/>
  <c r="J128" i="14"/>
  <c r="J255" i="14"/>
  <c r="Q171" i="14"/>
  <c r="L170" i="14"/>
  <c r="J170" i="14"/>
  <c r="I170" i="14"/>
  <c r="M170" i="14" s="1"/>
  <c r="Q130" i="14"/>
  <c r="L129" i="14"/>
  <c r="J129" i="14"/>
  <c r="I129" i="14"/>
  <c r="M129" i="14" s="1"/>
  <c r="Q191" i="14"/>
  <c r="L190" i="14"/>
  <c r="J190" i="14"/>
  <c r="I190" i="14"/>
  <c r="M190" i="14" s="1"/>
  <c r="K255" i="14"/>
  <c r="Q106" i="14"/>
  <c r="L105" i="14"/>
  <c r="J105" i="14"/>
  <c r="I105" i="14"/>
  <c r="M105" i="14" s="1"/>
  <c r="Q203" i="14"/>
  <c r="L202" i="14"/>
  <c r="J202" i="14"/>
  <c r="I202" i="14"/>
  <c r="K202" i="14" s="1"/>
  <c r="Q110" i="14"/>
  <c r="L109" i="14"/>
  <c r="J109" i="14"/>
  <c r="I109" i="14"/>
  <c r="M109" i="14" s="1"/>
  <c r="Q134" i="14"/>
  <c r="L133" i="14"/>
  <c r="J133" i="14"/>
  <c r="I133" i="14"/>
  <c r="K133" i="14" s="1"/>
  <c r="Q182" i="14"/>
  <c r="L181" i="14"/>
  <c r="J181" i="14"/>
  <c r="I181" i="14"/>
  <c r="K181" i="14" s="1"/>
  <c r="Q162" i="14"/>
  <c r="L161" i="14"/>
  <c r="J161" i="14"/>
  <c r="I161" i="14"/>
  <c r="M161" i="14" s="1"/>
  <c r="Q166" i="14"/>
  <c r="L165" i="14"/>
  <c r="J165" i="14"/>
  <c r="I165" i="14"/>
  <c r="M165" i="14" s="1"/>
  <c r="Q174" i="14"/>
  <c r="L173" i="14"/>
  <c r="J173" i="14"/>
  <c r="I173" i="14"/>
  <c r="M173" i="14" s="1"/>
  <c r="Q150" i="14"/>
  <c r="L149" i="14"/>
  <c r="J149" i="14"/>
  <c r="I149" i="14"/>
  <c r="K149" i="14" s="1"/>
  <c r="Q198" i="14"/>
  <c r="L197" i="14"/>
  <c r="J197" i="14"/>
  <c r="I197" i="14"/>
  <c r="M197" i="14" s="1"/>
  <c r="J179" i="14"/>
  <c r="L179" i="14"/>
  <c r="I179" i="14"/>
  <c r="M179" i="14" s="1"/>
  <c r="Q143" i="14"/>
  <c r="L142" i="14"/>
  <c r="J142" i="14"/>
  <c r="I142" i="14"/>
  <c r="M142" i="14" s="1"/>
  <c r="Q122" i="14"/>
  <c r="L121" i="14"/>
  <c r="J121" i="14"/>
  <c r="I121" i="14"/>
  <c r="K121" i="14" s="1"/>
  <c r="Q114" i="14"/>
  <c r="L113" i="14"/>
  <c r="J113" i="14"/>
  <c r="I113" i="14"/>
  <c r="M113" i="14" s="1"/>
  <c r="Q186" i="14"/>
  <c r="L185" i="14"/>
  <c r="J185" i="14"/>
  <c r="I185" i="14"/>
  <c r="M185" i="14" s="1"/>
  <c r="Q194" i="14"/>
  <c r="L193" i="14"/>
  <c r="J193" i="14"/>
  <c r="I193" i="14"/>
  <c r="K193" i="14" s="1"/>
  <c r="L127" i="14"/>
  <c r="J127" i="14"/>
  <c r="I127" i="14"/>
  <c r="K127" i="14" s="1"/>
  <c r="Q147" i="14"/>
  <c r="L146" i="14"/>
  <c r="J146" i="14"/>
  <c r="I146" i="14"/>
  <c r="M146" i="14" s="1"/>
  <c r="Q118" i="14"/>
  <c r="L117" i="14"/>
  <c r="J117" i="14"/>
  <c r="I117" i="14"/>
  <c r="K117" i="14" s="1"/>
  <c r="Q158" i="14"/>
  <c r="L157" i="14"/>
  <c r="J157" i="14"/>
  <c r="I157" i="14"/>
  <c r="K157" i="14" s="1"/>
  <c r="Q155" i="14"/>
  <c r="L154" i="14"/>
  <c r="J154" i="14"/>
  <c r="I154" i="14"/>
  <c r="M154" i="14" s="1"/>
  <c r="Q139" i="14"/>
  <c r="L138" i="14"/>
  <c r="J138" i="14"/>
  <c r="I138" i="14"/>
  <c r="M138" i="14" s="1"/>
  <c r="K176" i="14"/>
  <c r="K178" i="14"/>
  <c r="M125" i="14"/>
  <c r="K201" i="14"/>
  <c r="K172" i="14"/>
  <c r="K136" i="14"/>
  <c r="H3" i="16"/>
  <c r="P3" i="16" s="1"/>
  <c r="O105" i="14" s="1"/>
  <c r="K108" i="14"/>
  <c r="K184" i="14"/>
  <c r="M152" i="14"/>
  <c r="K200" i="14"/>
  <c r="M196" i="14"/>
  <c r="M189" i="14"/>
  <c r="K189" i="14"/>
  <c r="M144" i="14"/>
  <c r="K116" i="14"/>
  <c r="K153" i="14"/>
  <c r="M120" i="14"/>
  <c r="K140" i="14"/>
  <c r="K177" i="14"/>
  <c r="M169" i="14"/>
  <c r="M126" i="14"/>
  <c r="K141" i="14"/>
  <c r="K132" i="14"/>
  <c r="K160" i="14"/>
  <c r="M148" i="14"/>
  <c r="K148" i="14"/>
  <c r="M168" i="14"/>
  <c r="K168" i="14"/>
  <c r="M164" i="14"/>
  <c r="K164" i="14"/>
  <c r="K112" i="14"/>
  <c r="M112" i="14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39" i="15"/>
  <c r="M222" i="14" l="1"/>
  <c r="M214" i="14"/>
  <c r="K172" i="15"/>
  <c r="K176" i="15"/>
  <c r="K167" i="15"/>
  <c r="K166" i="15"/>
  <c r="K171" i="15"/>
  <c r="K169" i="15"/>
  <c r="K180" i="15"/>
  <c r="K179" i="15"/>
  <c r="K178" i="15"/>
  <c r="K177" i="15"/>
  <c r="K286" i="14"/>
  <c r="M258" i="14"/>
  <c r="U38" i="16"/>
  <c r="O246" i="14" s="1"/>
  <c r="U29" i="16"/>
  <c r="O210" i="14" s="1"/>
  <c r="Z46" i="16"/>
  <c r="O279" i="14" s="1"/>
  <c r="U33" i="16"/>
  <c r="O226" i="14" s="1"/>
  <c r="Z35" i="16"/>
  <c r="O235" i="14" s="1"/>
  <c r="Z31" i="16"/>
  <c r="O219" i="14" s="1"/>
  <c r="Z30" i="16"/>
  <c r="O215" i="14" s="1"/>
  <c r="K302" i="14"/>
  <c r="M235" i="14"/>
  <c r="M211" i="14"/>
  <c r="M227" i="14"/>
  <c r="M298" i="14"/>
  <c r="K175" i="15"/>
  <c r="K173" i="15"/>
  <c r="K206" i="14"/>
  <c r="K250" i="14"/>
  <c r="K170" i="15"/>
  <c r="K30" i="16"/>
  <c r="O212" i="14" s="1"/>
  <c r="K174" i="15"/>
  <c r="K168" i="15"/>
  <c r="M279" i="14"/>
  <c r="K242" i="14"/>
  <c r="M117" i="14"/>
  <c r="U34" i="16"/>
  <c r="O230" i="14" s="1"/>
  <c r="M219" i="14"/>
  <c r="M157" i="14"/>
  <c r="U52" i="16"/>
  <c r="O302" i="14" s="1"/>
  <c r="K290" i="14"/>
  <c r="K190" i="14"/>
  <c r="P46" i="16"/>
  <c r="O277" i="14" s="1"/>
  <c r="K109" i="14"/>
  <c r="M181" i="14"/>
  <c r="P31" i="16"/>
  <c r="O217" i="14" s="1"/>
  <c r="K41" i="16"/>
  <c r="O256" i="14" s="1"/>
  <c r="K137" i="14"/>
  <c r="K271" i="14"/>
  <c r="U36" i="16"/>
  <c r="O238" i="14" s="1"/>
  <c r="U30" i="16"/>
  <c r="O214" i="14" s="1"/>
  <c r="P49" i="16"/>
  <c r="O289" i="14" s="1"/>
  <c r="K46" i="16"/>
  <c r="O276" i="14" s="1"/>
  <c r="P30" i="16"/>
  <c r="O213" i="14" s="1"/>
  <c r="K51" i="16"/>
  <c r="O296" i="14" s="1"/>
  <c r="Z52" i="16"/>
  <c r="O303" i="14" s="1"/>
  <c r="Z41" i="16"/>
  <c r="O259" i="14" s="1"/>
  <c r="Z36" i="16"/>
  <c r="O239" i="14" s="1"/>
  <c r="K49" i="16"/>
  <c r="O288" i="14" s="1"/>
  <c r="P51" i="16"/>
  <c r="O297" i="14" s="1"/>
  <c r="U51" i="16"/>
  <c r="O298" i="14" s="1"/>
  <c r="P29" i="16"/>
  <c r="O209" i="14" s="1"/>
  <c r="U41" i="16"/>
  <c r="O258" i="14" s="1"/>
  <c r="K142" i="14"/>
  <c r="K185" i="14"/>
  <c r="K43" i="16"/>
  <c r="O264" i="14" s="1"/>
  <c r="K40" i="16"/>
  <c r="O252" i="14" s="1"/>
  <c r="P35" i="16"/>
  <c r="O233" i="14" s="1"/>
  <c r="K294" i="14"/>
  <c r="K36" i="16"/>
  <c r="O236" i="14" s="1"/>
  <c r="K31" i="16"/>
  <c r="O216" i="14" s="1"/>
  <c r="P33" i="16"/>
  <c r="O225" i="14" s="1"/>
  <c r="K28" i="16"/>
  <c r="O204" i="14" s="1"/>
  <c r="M240" i="14"/>
  <c r="K240" i="14"/>
  <c r="M268" i="14"/>
  <c r="K268" i="14"/>
  <c r="K226" i="14"/>
  <c r="M226" i="14"/>
  <c r="U44" i="16"/>
  <c r="O270" i="14" s="1"/>
  <c r="K264" i="14"/>
  <c r="M264" i="14"/>
  <c r="K204" i="14"/>
  <c r="M204" i="14"/>
  <c r="M232" i="14"/>
  <c r="K232" i="14"/>
  <c r="U32" i="16"/>
  <c r="O222" i="14" s="1"/>
  <c r="M260" i="14"/>
  <c r="K260" i="14"/>
  <c r="K33" i="16"/>
  <c r="O224" i="14" s="1"/>
  <c r="M145" i="14"/>
  <c r="M224" i="14"/>
  <c r="K224" i="14"/>
  <c r="Z50" i="16"/>
  <c r="O295" i="14" s="1"/>
  <c r="P42" i="16"/>
  <c r="O261" i="14" s="1"/>
  <c r="M249" i="14"/>
  <c r="K249" i="14"/>
  <c r="K261" i="14"/>
  <c r="M261" i="14"/>
  <c r="M216" i="14"/>
  <c r="K216" i="14"/>
  <c r="K273" i="14"/>
  <c r="M273" i="14"/>
  <c r="Z42" i="16"/>
  <c r="O263" i="14" s="1"/>
  <c r="M213" i="14"/>
  <c r="K213" i="14"/>
  <c r="P43" i="16"/>
  <c r="O265" i="14" s="1"/>
  <c r="P34" i="16"/>
  <c r="O229" i="14" s="1"/>
  <c r="K253" i="14"/>
  <c r="M253" i="14"/>
  <c r="M245" i="14"/>
  <c r="K245" i="14"/>
  <c r="Z37" i="16"/>
  <c r="O243" i="14" s="1"/>
  <c r="K105" i="14"/>
  <c r="K165" i="14"/>
  <c r="M254" i="14"/>
  <c r="K254" i="14"/>
  <c r="K229" i="14"/>
  <c r="M229" i="14"/>
  <c r="K39" i="16"/>
  <c r="O248" i="14" s="1"/>
  <c r="K29" i="16"/>
  <c r="O208" i="14" s="1"/>
  <c r="K34" i="16"/>
  <c r="O228" i="14" s="1"/>
  <c r="M210" i="14"/>
  <c r="K210" i="14"/>
  <c r="M269" i="14"/>
  <c r="K269" i="14"/>
  <c r="K297" i="14"/>
  <c r="M297" i="14"/>
  <c r="M293" i="14"/>
  <c r="K293" i="14"/>
  <c r="M225" i="14"/>
  <c r="K225" i="14"/>
  <c r="M218" i="14"/>
  <c r="K218" i="14"/>
  <c r="M220" i="14"/>
  <c r="K220" i="14"/>
  <c r="M285" i="14"/>
  <c r="K285" i="14"/>
  <c r="M238" i="14"/>
  <c r="K238" i="14"/>
  <c r="K241" i="14"/>
  <c r="M241" i="14"/>
  <c r="K42" i="16"/>
  <c r="O260" i="14" s="1"/>
  <c r="K45" i="16"/>
  <c r="O272" i="14" s="1"/>
  <c r="U46" i="16"/>
  <c r="O278" i="14" s="1"/>
  <c r="K38" i="16"/>
  <c r="O244" i="14" s="1"/>
  <c r="K289" i="14"/>
  <c r="M289" i="14"/>
  <c r="K234" i="14"/>
  <c r="M234" i="14"/>
  <c r="M288" i="14"/>
  <c r="K288" i="14"/>
  <c r="K217" i="14"/>
  <c r="M217" i="14"/>
  <c r="M276" i="14"/>
  <c r="K276" i="14"/>
  <c r="M221" i="14"/>
  <c r="K221" i="14"/>
  <c r="U40" i="16"/>
  <c r="O254" i="14" s="1"/>
  <c r="P45" i="16"/>
  <c r="O273" i="14" s="1"/>
  <c r="K275" i="14"/>
  <c r="M275" i="14"/>
  <c r="P41" i="16"/>
  <c r="O257" i="14" s="1"/>
  <c r="P37" i="16"/>
  <c r="O241" i="14" s="1"/>
  <c r="K52" i="16"/>
  <c r="O300" i="14" s="1"/>
  <c r="P38" i="16"/>
  <c r="O245" i="14" s="1"/>
  <c r="M212" i="14"/>
  <c r="K212" i="14"/>
  <c r="M280" i="14"/>
  <c r="K280" i="14"/>
  <c r="P40" i="16"/>
  <c r="O253" i="14" s="1"/>
  <c r="M263" i="14"/>
  <c r="K274" i="14"/>
  <c r="M274" i="14"/>
  <c r="M301" i="14"/>
  <c r="K301" i="14"/>
  <c r="K257" i="14"/>
  <c r="M257" i="14"/>
  <c r="P32" i="16"/>
  <c r="O221" i="14" s="1"/>
  <c r="K32" i="16"/>
  <c r="O220" i="14" s="1"/>
  <c r="K272" i="14"/>
  <c r="M272" i="14"/>
  <c r="U35" i="16"/>
  <c r="O234" i="14" s="1"/>
  <c r="K256" i="14"/>
  <c r="M256" i="14"/>
  <c r="M270" i="14"/>
  <c r="K270" i="14"/>
  <c r="K237" i="14"/>
  <c r="M237" i="14"/>
  <c r="M284" i="14"/>
  <c r="K284" i="14"/>
  <c r="M246" i="14"/>
  <c r="K246" i="14"/>
  <c r="M236" i="14"/>
  <c r="K236" i="14"/>
  <c r="U47" i="16"/>
  <c r="O282" i="14" s="1"/>
  <c r="K47" i="16"/>
  <c r="O280" i="14" s="1"/>
  <c r="I104" i="14"/>
  <c r="M104" i="14" s="1"/>
  <c r="P39" i="16"/>
  <c r="O249" i="14" s="1"/>
  <c r="U37" i="16"/>
  <c r="O242" i="14" s="1"/>
  <c r="M262" i="14"/>
  <c r="K262" i="14"/>
  <c r="K3" i="16"/>
  <c r="O104" i="14" s="1"/>
  <c r="M300" i="14"/>
  <c r="K300" i="14"/>
  <c r="U50" i="16"/>
  <c r="O294" i="14" s="1"/>
  <c r="M231" i="14"/>
  <c r="K231" i="14"/>
  <c r="K197" i="14"/>
  <c r="M133" i="14"/>
  <c r="K170" i="14"/>
  <c r="P47" i="16"/>
  <c r="O281" i="14" s="1"/>
  <c r="M208" i="14"/>
  <c r="K208" i="14"/>
  <c r="M230" i="14"/>
  <c r="K230" i="14"/>
  <c r="U45" i="16"/>
  <c r="O274" i="14" s="1"/>
  <c r="M244" i="14"/>
  <c r="K244" i="14"/>
  <c r="M278" i="14"/>
  <c r="K278" i="14"/>
  <c r="P48" i="16"/>
  <c r="O285" i="14" s="1"/>
  <c r="K35" i="16"/>
  <c r="O232" i="14" s="1"/>
  <c r="M202" i="14"/>
  <c r="K266" i="14"/>
  <c r="M266" i="14"/>
  <c r="U39" i="16"/>
  <c r="O250" i="14" s="1"/>
  <c r="P52" i="16"/>
  <c r="O301" i="14" s="1"/>
  <c r="U42" i="16"/>
  <c r="O262" i="14" s="1"/>
  <c r="K296" i="14"/>
  <c r="M296" i="14"/>
  <c r="P28" i="16"/>
  <c r="O205" i="14" s="1"/>
  <c r="K50" i="16"/>
  <c r="O292" i="14" s="1"/>
  <c r="M277" i="14"/>
  <c r="K277" i="14"/>
  <c r="K252" i="14"/>
  <c r="M252" i="14"/>
  <c r="P36" i="16"/>
  <c r="O237" i="14" s="1"/>
  <c r="M248" i="14"/>
  <c r="K248" i="14"/>
  <c r="P50" i="16"/>
  <c r="O293" i="14" s="1"/>
  <c r="M281" i="14"/>
  <c r="K281" i="14"/>
  <c r="K48" i="16"/>
  <c r="O284" i="14" s="1"/>
  <c r="M209" i="14"/>
  <c r="K209" i="14"/>
  <c r="M228" i="14"/>
  <c r="K228" i="14"/>
  <c r="U31" i="16"/>
  <c r="O218" i="14" s="1"/>
  <c r="M233" i="14"/>
  <c r="K233" i="14"/>
  <c r="K44" i="16"/>
  <c r="O268" i="14" s="1"/>
  <c r="M265" i="14"/>
  <c r="K265" i="14"/>
  <c r="K282" i="14"/>
  <c r="M282" i="14"/>
  <c r="K292" i="14"/>
  <c r="M292" i="14"/>
  <c r="M205" i="14"/>
  <c r="K205" i="14"/>
  <c r="U49" i="16"/>
  <c r="O290" i="14" s="1"/>
  <c r="K37" i="16"/>
  <c r="O240" i="14" s="1"/>
  <c r="M247" i="14"/>
  <c r="K247" i="14"/>
  <c r="P44" i="16"/>
  <c r="O269" i="14" s="1"/>
  <c r="Q167" i="14"/>
  <c r="O166" i="14"/>
  <c r="L166" i="14"/>
  <c r="J166" i="14"/>
  <c r="I166" i="14"/>
  <c r="Q135" i="14"/>
  <c r="O134" i="14"/>
  <c r="L134" i="14"/>
  <c r="J134" i="14"/>
  <c r="I134" i="14"/>
  <c r="Q119" i="14"/>
  <c r="O118" i="14"/>
  <c r="L118" i="14"/>
  <c r="J118" i="14"/>
  <c r="I118" i="14"/>
  <c r="K146" i="14"/>
  <c r="Q187" i="14"/>
  <c r="O186" i="14"/>
  <c r="L186" i="14"/>
  <c r="J186" i="14"/>
  <c r="I186" i="14"/>
  <c r="Q111" i="14"/>
  <c r="O110" i="14"/>
  <c r="L110" i="14"/>
  <c r="J110" i="14"/>
  <c r="I110" i="14"/>
  <c r="O191" i="14"/>
  <c r="J191" i="14"/>
  <c r="L191" i="14"/>
  <c r="I191" i="14"/>
  <c r="M127" i="14"/>
  <c r="O147" i="14"/>
  <c r="J147" i="14"/>
  <c r="L147" i="14"/>
  <c r="I147" i="14"/>
  <c r="O143" i="14"/>
  <c r="L143" i="14"/>
  <c r="J143" i="14"/>
  <c r="I143" i="14"/>
  <c r="Q151" i="14"/>
  <c r="O150" i="14"/>
  <c r="L150" i="14"/>
  <c r="J150" i="14"/>
  <c r="I150" i="14"/>
  <c r="Q163" i="14"/>
  <c r="O162" i="14"/>
  <c r="L162" i="14"/>
  <c r="J162" i="14"/>
  <c r="I162" i="14"/>
  <c r="O139" i="14"/>
  <c r="J139" i="14"/>
  <c r="L139" i="14"/>
  <c r="I139" i="14"/>
  <c r="J155" i="14"/>
  <c r="O155" i="14"/>
  <c r="L155" i="14"/>
  <c r="I155" i="14"/>
  <c r="Q115" i="14"/>
  <c r="O114" i="14"/>
  <c r="L114" i="14"/>
  <c r="J114" i="14"/>
  <c r="I114" i="14"/>
  <c r="K173" i="14"/>
  <c r="J203" i="14"/>
  <c r="O203" i="14"/>
  <c r="L203" i="14"/>
  <c r="I203" i="14"/>
  <c r="Q131" i="14"/>
  <c r="O130" i="14"/>
  <c r="L130" i="14"/>
  <c r="J130" i="14"/>
  <c r="I130" i="14"/>
  <c r="Q175" i="14"/>
  <c r="O174" i="14"/>
  <c r="L174" i="14"/>
  <c r="J174" i="14"/>
  <c r="I174" i="14"/>
  <c r="Q183" i="14"/>
  <c r="O182" i="14"/>
  <c r="L182" i="14"/>
  <c r="J182" i="14"/>
  <c r="I182" i="14"/>
  <c r="K179" i="14"/>
  <c r="K138" i="14"/>
  <c r="Q159" i="14"/>
  <c r="O158" i="14"/>
  <c r="L158" i="14"/>
  <c r="J158" i="14"/>
  <c r="I158" i="14"/>
  <c r="M158" i="14" s="1"/>
  <c r="K154" i="14"/>
  <c r="Q123" i="14"/>
  <c r="O122" i="14"/>
  <c r="L122" i="14"/>
  <c r="J122" i="14"/>
  <c r="I122" i="14"/>
  <c r="Q195" i="14"/>
  <c r="O194" i="14"/>
  <c r="L194" i="14"/>
  <c r="J194" i="14"/>
  <c r="I194" i="14"/>
  <c r="Q199" i="14"/>
  <c r="O198" i="14"/>
  <c r="L198" i="14"/>
  <c r="J198" i="14"/>
  <c r="I198" i="14"/>
  <c r="Q107" i="14"/>
  <c r="O106" i="14"/>
  <c r="L106" i="14"/>
  <c r="J106" i="14"/>
  <c r="I106" i="14"/>
  <c r="O171" i="14"/>
  <c r="J171" i="14"/>
  <c r="L171" i="14"/>
  <c r="I171" i="14"/>
  <c r="M251" i="14"/>
  <c r="K251" i="14"/>
  <c r="M259" i="14"/>
  <c r="K259" i="14"/>
  <c r="M299" i="14"/>
  <c r="K299" i="14"/>
  <c r="M291" i="14"/>
  <c r="K291" i="14"/>
  <c r="K287" i="14"/>
  <c r="M287" i="14"/>
  <c r="K223" i="14"/>
  <c r="M223" i="14"/>
  <c r="M303" i="14"/>
  <c r="K303" i="14"/>
  <c r="K295" i="14"/>
  <c r="M295" i="14"/>
  <c r="M215" i="14"/>
  <c r="K215" i="14"/>
  <c r="M207" i="14"/>
  <c r="K207" i="14"/>
  <c r="M243" i="14"/>
  <c r="K243" i="14"/>
  <c r="M149" i="14"/>
  <c r="M184" i="14"/>
  <c r="K161" i="14"/>
  <c r="M153" i="14"/>
  <c r="K120" i="14"/>
  <c r="M160" i="14"/>
  <c r="K129" i="14"/>
  <c r="K113" i="14"/>
  <c r="K169" i="14"/>
  <c r="M177" i="14"/>
  <c r="M121" i="14"/>
  <c r="M193" i="14"/>
  <c r="M192" i="14"/>
  <c r="K192" i="14"/>
  <c r="K128" i="14"/>
  <c r="M128" i="14"/>
  <c r="M124" i="14"/>
  <c r="K124" i="14"/>
  <c r="M156" i="14"/>
  <c r="K156" i="14"/>
  <c r="M188" i="14"/>
  <c r="K188" i="14"/>
  <c r="P155" i="15"/>
  <c r="P166" i="15"/>
  <c r="P164" i="15"/>
  <c r="P171" i="15"/>
  <c r="P167" i="15"/>
  <c r="P180" i="15"/>
  <c r="P179" i="15"/>
  <c r="P178" i="15"/>
  <c r="P162" i="15"/>
  <c r="P177" i="15"/>
  <c r="P176" i="15"/>
  <c r="P169" i="15"/>
  <c r="P161" i="15"/>
  <c r="P157" i="15"/>
  <c r="P163" i="15"/>
  <c r="P158" i="15"/>
  <c r="P172" i="15"/>
  <c r="P27" i="14"/>
  <c r="P28" i="14" s="1"/>
  <c r="P31" i="14"/>
  <c r="P35" i="14"/>
  <c r="P39" i="14"/>
  <c r="P43" i="14"/>
  <c r="P47" i="14"/>
  <c r="P51" i="14"/>
  <c r="P55" i="14"/>
  <c r="P59" i="14"/>
  <c r="P63" i="14"/>
  <c r="P67" i="14"/>
  <c r="P71" i="14"/>
  <c r="P75" i="14"/>
  <c r="P79" i="14"/>
  <c r="P83" i="14"/>
  <c r="P87" i="14"/>
  <c r="P91" i="14"/>
  <c r="P95" i="14"/>
  <c r="P99" i="14"/>
  <c r="P23" i="14"/>
  <c r="L8" i="12"/>
  <c r="J8" i="12"/>
  <c r="C55" i="2"/>
  <c r="D55" i="2" l="1"/>
  <c r="P29" i="14"/>
  <c r="L28" i="14"/>
  <c r="J28" i="14"/>
  <c r="L83" i="14"/>
  <c r="J83" i="14"/>
  <c r="J79" i="14"/>
  <c r="L79" i="14"/>
  <c r="L59" i="14"/>
  <c r="J59" i="14"/>
  <c r="J75" i="14"/>
  <c r="L75" i="14"/>
  <c r="P44" i="14"/>
  <c r="L43" i="14"/>
  <c r="J43" i="14"/>
  <c r="L23" i="14"/>
  <c r="J23" i="14"/>
  <c r="L39" i="14"/>
  <c r="J39" i="14"/>
  <c r="P64" i="14"/>
  <c r="P65" i="14" s="1"/>
  <c r="J63" i="14"/>
  <c r="L63" i="14"/>
  <c r="P56" i="14"/>
  <c r="P57" i="14" s="1"/>
  <c r="J55" i="14"/>
  <c r="L55" i="14"/>
  <c r="P52" i="14"/>
  <c r="J51" i="14"/>
  <c r="L51" i="14"/>
  <c r="J47" i="14"/>
  <c r="L47" i="14"/>
  <c r="J99" i="14"/>
  <c r="L99" i="14"/>
  <c r="P36" i="14"/>
  <c r="J35" i="14"/>
  <c r="L35" i="14"/>
  <c r="P72" i="14"/>
  <c r="L71" i="14"/>
  <c r="J71" i="14"/>
  <c r="L67" i="14"/>
  <c r="J67" i="14"/>
  <c r="P96" i="14"/>
  <c r="L95" i="14"/>
  <c r="J95" i="14"/>
  <c r="P32" i="14"/>
  <c r="J31" i="14"/>
  <c r="L31" i="14"/>
  <c r="L91" i="14"/>
  <c r="J91" i="14"/>
  <c r="J27" i="14"/>
  <c r="L27" i="14"/>
  <c r="L87" i="14"/>
  <c r="J87" i="14"/>
  <c r="P80" i="14"/>
  <c r="C9" i="3"/>
  <c r="C10" i="3"/>
  <c r="C12" i="3"/>
  <c r="C13" i="3"/>
  <c r="C11" i="3"/>
  <c r="K104" i="14"/>
  <c r="K158" i="14"/>
  <c r="O195" i="14"/>
  <c r="J195" i="14"/>
  <c r="L195" i="14"/>
  <c r="I195" i="14"/>
  <c r="P84" i="14"/>
  <c r="K122" i="14"/>
  <c r="M122" i="14"/>
  <c r="M118" i="14"/>
  <c r="K118" i="14"/>
  <c r="K150" i="14"/>
  <c r="M150" i="14"/>
  <c r="K174" i="14"/>
  <c r="M174" i="14"/>
  <c r="J123" i="14"/>
  <c r="O123" i="14"/>
  <c r="L123" i="14"/>
  <c r="I123" i="14"/>
  <c r="O119" i="14"/>
  <c r="J119" i="14"/>
  <c r="L119" i="14"/>
  <c r="I119" i="14"/>
  <c r="O107" i="14"/>
  <c r="J107" i="14"/>
  <c r="L107" i="14"/>
  <c r="I107" i="14"/>
  <c r="O115" i="14"/>
  <c r="L115" i="14"/>
  <c r="J115" i="14"/>
  <c r="I115" i="14"/>
  <c r="K110" i="14"/>
  <c r="M110" i="14"/>
  <c r="K134" i="14"/>
  <c r="M134" i="14"/>
  <c r="M114" i="14"/>
  <c r="K114" i="14"/>
  <c r="P68" i="14"/>
  <c r="M198" i="14"/>
  <c r="K198" i="14"/>
  <c r="J175" i="14"/>
  <c r="O175" i="14"/>
  <c r="L175" i="14"/>
  <c r="I175" i="14"/>
  <c r="M155" i="14"/>
  <c r="K155" i="14"/>
  <c r="O183" i="14"/>
  <c r="J183" i="14"/>
  <c r="L183" i="14"/>
  <c r="I183" i="14"/>
  <c r="M130" i="14"/>
  <c r="K130" i="14"/>
  <c r="J151" i="14"/>
  <c r="O151" i="14"/>
  <c r="L151" i="14"/>
  <c r="I151" i="14"/>
  <c r="K143" i="14"/>
  <c r="M143" i="14"/>
  <c r="J111" i="14"/>
  <c r="O111" i="14"/>
  <c r="L111" i="14"/>
  <c r="I111" i="14"/>
  <c r="O135" i="14"/>
  <c r="J135" i="14"/>
  <c r="L135" i="14"/>
  <c r="I135" i="14"/>
  <c r="O163" i="14"/>
  <c r="J163" i="14"/>
  <c r="L163" i="14"/>
  <c r="I163" i="14"/>
  <c r="J199" i="14"/>
  <c r="O199" i="14"/>
  <c r="L199" i="14"/>
  <c r="I199" i="14"/>
  <c r="J159" i="14"/>
  <c r="O159" i="14"/>
  <c r="L159" i="14"/>
  <c r="I159" i="14"/>
  <c r="K139" i="14"/>
  <c r="M139" i="14"/>
  <c r="M186" i="14"/>
  <c r="K186" i="14"/>
  <c r="M166" i="14"/>
  <c r="K166" i="14"/>
  <c r="K194" i="14"/>
  <c r="M194" i="14"/>
  <c r="O131" i="14"/>
  <c r="J131" i="14"/>
  <c r="L131" i="14"/>
  <c r="I131" i="14"/>
  <c r="M203" i="14"/>
  <c r="K203" i="14"/>
  <c r="M147" i="14"/>
  <c r="K147" i="14"/>
  <c r="M106" i="14"/>
  <c r="K106" i="14"/>
  <c r="M171" i="14"/>
  <c r="K171" i="14"/>
  <c r="K182" i="14"/>
  <c r="M182" i="14"/>
  <c r="K191" i="14"/>
  <c r="M191" i="14"/>
  <c r="K162" i="14"/>
  <c r="M162" i="14"/>
  <c r="O187" i="14"/>
  <c r="J187" i="14"/>
  <c r="L187" i="14"/>
  <c r="I187" i="14"/>
  <c r="J167" i="14"/>
  <c r="O167" i="14"/>
  <c r="L167" i="14"/>
  <c r="I167" i="14"/>
  <c r="C4" i="3"/>
  <c r="C5" i="3"/>
  <c r="C6" i="3"/>
  <c r="C7" i="3"/>
  <c r="C8" i="3"/>
  <c r="C3" i="3"/>
  <c r="P88" i="14"/>
  <c r="P76" i="14"/>
  <c r="P100" i="14"/>
  <c r="P92" i="14"/>
  <c r="P45" i="14"/>
  <c r="P60" i="14"/>
  <c r="P24" i="14"/>
  <c r="P33" i="14"/>
  <c r="P73" i="14"/>
  <c r="P97" i="14"/>
  <c r="P48" i="14"/>
  <c r="F8" i="12"/>
  <c r="P40" i="14"/>
  <c r="P22" i="13"/>
  <c r="K15" i="13"/>
  <c r="U7" i="13"/>
  <c r="U5" i="13"/>
  <c r="U19" i="13"/>
  <c r="K10" i="13"/>
  <c r="I52" i="14" s="1"/>
  <c r="U18" i="13"/>
  <c r="P13" i="13"/>
  <c r="P7" i="13"/>
  <c r="P17" i="13"/>
  <c r="U3" i="13"/>
  <c r="P6" i="13"/>
  <c r="U9" i="13"/>
  <c r="U10" i="13"/>
  <c r="U14" i="13"/>
  <c r="F12" i="13"/>
  <c r="I59" i="14" s="1"/>
  <c r="U21" i="13"/>
  <c r="F11" i="13"/>
  <c r="I55" i="14" s="1"/>
  <c r="F3" i="13"/>
  <c r="I23" i="14" s="1"/>
  <c r="F7" i="13"/>
  <c r="I39" i="14" s="1"/>
  <c r="P11" i="13"/>
  <c r="F22" i="13"/>
  <c r="I99" i="14" s="1"/>
  <c r="F6" i="13"/>
  <c r="I35" i="14" s="1"/>
  <c r="K16" i="13"/>
  <c r="I76" i="14" s="1"/>
  <c r="P12" i="13"/>
  <c r="U8" i="13"/>
  <c r="F21" i="13"/>
  <c r="I95" i="14" s="1"/>
  <c r="F5" i="13"/>
  <c r="I31" i="14" s="1"/>
  <c r="K17" i="13"/>
  <c r="I80" i="14" s="1"/>
  <c r="F20" i="13"/>
  <c r="I91" i="14" s="1"/>
  <c r="F4" i="13"/>
  <c r="I27" i="14" s="1"/>
  <c r="K18" i="13"/>
  <c r="P14" i="13"/>
  <c r="F19" i="13"/>
  <c r="I87" i="14" s="1"/>
  <c r="K3" i="13"/>
  <c r="K19" i="13"/>
  <c r="P15" i="13"/>
  <c r="U11" i="13"/>
  <c r="F18" i="13"/>
  <c r="I83" i="14" s="1"/>
  <c r="K4" i="13"/>
  <c r="I28" i="14" s="1"/>
  <c r="K20" i="13"/>
  <c r="I92" i="14" s="1"/>
  <c r="P16" i="13"/>
  <c r="U12" i="13"/>
  <c r="K11" i="13"/>
  <c r="I56" i="14" s="1"/>
  <c r="F17" i="13"/>
  <c r="I79" i="14" s="1"/>
  <c r="K5" i="13"/>
  <c r="I32" i="14" s="1"/>
  <c r="K21" i="13"/>
  <c r="I96" i="14" s="1"/>
  <c r="U13" i="13"/>
  <c r="F16" i="13"/>
  <c r="I75" i="14" s="1"/>
  <c r="K6" i="13"/>
  <c r="K22" i="13"/>
  <c r="P18" i="13"/>
  <c r="F15" i="13"/>
  <c r="I71" i="14" s="1"/>
  <c r="K7" i="13"/>
  <c r="P3" i="13"/>
  <c r="P19" i="13"/>
  <c r="U15" i="13"/>
  <c r="F14" i="13"/>
  <c r="I67" i="14" s="1"/>
  <c r="K8" i="13"/>
  <c r="I44" i="14" s="1"/>
  <c r="P4" i="13"/>
  <c r="P20" i="13"/>
  <c r="U16" i="13"/>
  <c r="F13" i="13"/>
  <c r="I63" i="14" s="1"/>
  <c r="K9" i="13"/>
  <c r="I48" i="14" s="1"/>
  <c r="P5" i="13"/>
  <c r="P21" i="13"/>
  <c r="I97" i="14" s="1"/>
  <c r="U17" i="13"/>
  <c r="F10" i="13"/>
  <c r="I51" i="14" s="1"/>
  <c r="K12" i="13"/>
  <c r="P8" i="13"/>
  <c r="U4" i="13"/>
  <c r="U20" i="13"/>
  <c r="F9" i="13"/>
  <c r="I47" i="14" s="1"/>
  <c r="K13" i="13"/>
  <c r="I64" i="14" s="1"/>
  <c r="P9" i="13"/>
  <c r="F8" i="13"/>
  <c r="I43" i="14" s="1"/>
  <c r="K14" i="13"/>
  <c r="P10" i="13"/>
  <c r="U6" i="13"/>
  <c r="U22" i="13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7" i="11"/>
  <c r="P8" i="11"/>
  <c r="P6" i="11"/>
  <c r="I60" i="14" l="1"/>
  <c r="H60" i="14" s="1"/>
  <c r="I84" i="14"/>
  <c r="M84" i="14" s="1"/>
  <c r="I100" i="14"/>
  <c r="M100" i="14" s="1"/>
  <c r="L36" i="14"/>
  <c r="J36" i="14"/>
  <c r="P69" i="14"/>
  <c r="L68" i="14"/>
  <c r="J68" i="14"/>
  <c r="L48" i="14"/>
  <c r="J48" i="14"/>
  <c r="L57" i="14"/>
  <c r="J57" i="14"/>
  <c r="O57" i="14"/>
  <c r="I57" i="14"/>
  <c r="M57" i="14" s="1"/>
  <c r="L44" i="14"/>
  <c r="J44" i="14"/>
  <c r="P85" i="14"/>
  <c r="L84" i="14"/>
  <c r="J84" i="14"/>
  <c r="L97" i="14"/>
  <c r="J97" i="14"/>
  <c r="L32" i="14"/>
  <c r="J32" i="14"/>
  <c r="O73" i="14"/>
  <c r="L73" i="14"/>
  <c r="J73" i="14"/>
  <c r="I73" i="14"/>
  <c r="K73" i="14" s="1"/>
  <c r="I68" i="14"/>
  <c r="K68" i="14" s="1"/>
  <c r="P37" i="14"/>
  <c r="P53" i="14"/>
  <c r="J52" i="14"/>
  <c r="L52" i="14"/>
  <c r="L33" i="14"/>
  <c r="I33" i="14"/>
  <c r="M33" i="14" s="1"/>
  <c r="O33" i="14"/>
  <c r="J33" i="14"/>
  <c r="L96" i="14"/>
  <c r="J96" i="14"/>
  <c r="P25" i="14"/>
  <c r="L24" i="14"/>
  <c r="J24" i="14"/>
  <c r="O24" i="14"/>
  <c r="I24" i="14"/>
  <c r="K24" i="14" s="1"/>
  <c r="L88" i="14"/>
  <c r="J88" i="14"/>
  <c r="I40" i="14"/>
  <c r="K40" i="14" s="1"/>
  <c r="L60" i="14"/>
  <c r="J60" i="14"/>
  <c r="L56" i="14"/>
  <c r="J56" i="14"/>
  <c r="I45" i="14"/>
  <c r="K45" i="14" s="1"/>
  <c r="O45" i="14"/>
  <c r="L45" i="14"/>
  <c r="J45" i="14"/>
  <c r="L40" i="14"/>
  <c r="J40" i="14"/>
  <c r="I88" i="14"/>
  <c r="K88" i="14" s="1"/>
  <c r="P93" i="14"/>
  <c r="L92" i="14"/>
  <c r="J92" i="14"/>
  <c r="L80" i="14"/>
  <c r="J80" i="14"/>
  <c r="P101" i="14"/>
  <c r="J100" i="14"/>
  <c r="L100" i="14"/>
  <c r="J72" i="14"/>
  <c r="I72" i="14"/>
  <c r="K72" i="14" s="1"/>
  <c r="L72" i="14"/>
  <c r="L64" i="14"/>
  <c r="J64" i="14"/>
  <c r="I36" i="14"/>
  <c r="M36" i="14" s="1"/>
  <c r="P77" i="14"/>
  <c r="L76" i="14"/>
  <c r="J76" i="14"/>
  <c r="I69" i="14"/>
  <c r="K69" i="14" s="1"/>
  <c r="P66" i="14"/>
  <c r="O65" i="14"/>
  <c r="L65" i="14"/>
  <c r="J65" i="14"/>
  <c r="I65" i="14"/>
  <c r="M65" i="14" s="1"/>
  <c r="P30" i="14"/>
  <c r="O29" i="14"/>
  <c r="L29" i="14"/>
  <c r="J29" i="14"/>
  <c r="I29" i="14"/>
  <c r="K29" i="14" s="1"/>
  <c r="P81" i="14"/>
  <c r="M76" i="14"/>
  <c r="I17" i="12"/>
  <c r="I18" i="12"/>
  <c r="I15" i="12"/>
  <c r="I19" i="12"/>
  <c r="I16" i="12"/>
  <c r="M183" i="14"/>
  <c r="K183" i="14"/>
  <c r="M187" i="14"/>
  <c r="K187" i="14"/>
  <c r="K111" i="14"/>
  <c r="M111" i="14"/>
  <c r="M131" i="14"/>
  <c r="K131" i="14"/>
  <c r="K199" i="14"/>
  <c r="M199" i="14"/>
  <c r="M175" i="14"/>
  <c r="K175" i="14"/>
  <c r="K107" i="14"/>
  <c r="M107" i="14"/>
  <c r="M151" i="14"/>
  <c r="K151" i="14"/>
  <c r="M167" i="14"/>
  <c r="K167" i="14"/>
  <c r="M119" i="14"/>
  <c r="K119" i="14"/>
  <c r="M115" i="14"/>
  <c r="K115" i="14"/>
  <c r="P89" i="14"/>
  <c r="M163" i="14"/>
  <c r="K163" i="14"/>
  <c r="M195" i="14"/>
  <c r="K195" i="14"/>
  <c r="M159" i="14"/>
  <c r="K159" i="14"/>
  <c r="M135" i="14"/>
  <c r="K135" i="14"/>
  <c r="K92" i="14"/>
  <c r="K123" i="14"/>
  <c r="M123" i="14"/>
  <c r="I11" i="12"/>
  <c r="I14" i="12"/>
  <c r="I10" i="12"/>
  <c r="I12" i="12"/>
  <c r="I13" i="12"/>
  <c r="P26" i="14"/>
  <c r="M97" i="14"/>
  <c r="P61" i="14"/>
  <c r="K48" i="14"/>
  <c r="P46" i="14"/>
  <c r="P41" i="14"/>
  <c r="P58" i="14"/>
  <c r="P98" i="14"/>
  <c r="P74" i="14"/>
  <c r="P49" i="14"/>
  <c r="P34" i="14"/>
  <c r="K64" i="14"/>
  <c r="H64" i="14"/>
  <c r="M64" i="14"/>
  <c r="K28" i="14"/>
  <c r="M28" i="14"/>
  <c r="H28" i="14"/>
  <c r="K52" i="14"/>
  <c r="M52" i="14"/>
  <c r="H52" i="14"/>
  <c r="K96" i="14"/>
  <c r="M96" i="14"/>
  <c r="H96" i="14"/>
  <c r="K32" i="14"/>
  <c r="H32" i="14"/>
  <c r="M32" i="14"/>
  <c r="K80" i="14"/>
  <c r="M80" i="14"/>
  <c r="H80" i="14"/>
  <c r="K56" i="14"/>
  <c r="M56" i="14"/>
  <c r="H56" i="14"/>
  <c r="K44" i="14"/>
  <c r="M44" i="14"/>
  <c r="H44" i="14"/>
  <c r="N17" i="13"/>
  <c r="O80" i="14" s="1"/>
  <c r="I22" i="13"/>
  <c r="O99" i="14" s="1"/>
  <c r="S20" i="13"/>
  <c r="I21" i="13"/>
  <c r="O95" i="14" s="1"/>
  <c r="X18" i="13"/>
  <c r="X22" i="13"/>
  <c r="S21" i="13"/>
  <c r="O97" i="14" s="1"/>
  <c r="N19" i="13"/>
  <c r="O88" i="14" s="1"/>
  <c r="S17" i="13"/>
  <c r="S18" i="13"/>
  <c r="S19" i="13"/>
  <c r="X17" i="13"/>
  <c r="X20" i="13"/>
  <c r="N20" i="13"/>
  <c r="O92" i="14" s="1"/>
  <c r="I17" i="13"/>
  <c r="O79" i="14" s="1"/>
  <c r="N18" i="13"/>
  <c r="O84" i="14" s="1"/>
  <c r="S22" i="13"/>
  <c r="I20" i="13"/>
  <c r="O91" i="14" s="1"/>
  <c r="I19" i="13"/>
  <c r="O87" i="14" s="1"/>
  <c r="I18" i="13"/>
  <c r="O83" i="14" s="1"/>
  <c r="N21" i="13"/>
  <c r="O96" i="14" s="1"/>
  <c r="X21" i="13"/>
  <c r="N22" i="13"/>
  <c r="O100" i="14" s="1"/>
  <c r="X19" i="13"/>
  <c r="O101" i="14" l="1"/>
  <c r="M29" i="14"/>
  <c r="H29" i="14"/>
  <c r="K36" i="14"/>
  <c r="H36" i="14"/>
  <c r="K33" i="14"/>
  <c r="H69" i="14"/>
  <c r="M69" i="14"/>
  <c r="M72" i="14"/>
  <c r="O41" i="14"/>
  <c r="L41" i="14"/>
  <c r="J41" i="14"/>
  <c r="I41" i="14"/>
  <c r="O89" i="14"/>
  <c r="L89" i="14"/>
  <c r="J89" i="14"/>
  <c r="I89" i="14"/>
  <c r="M89" i="14" s="1"/>
  <c r="P86" i="14"/>
  <c r="O85" i="14"/>
  <c r="L85" i="14"/>
  <c r="J85" i="14"/>
  <c r="I85" i="14"/>
  <c r="H72" i="14"/>
  <c r="H65" i="14"/>
  <c r="H45" i="14"/>
  <c r="K65" i="14"/>
  <c r="O66" i="14"/>
  <c r="L66" i="14"/>
  <c r="J66" i="14"/>
  <c r="I66" i="14"/>
  <c r="P102" i="14"/>
  <c r="L101" i="14"/>
  <c r="J101" i="14"/>
  <c r="I98" i="14"/>
  <c r="O98" i="14"/>
  <c r="J98" i="14"/>
  <c r="L98" i="14"/>
  <c r="O58" i="14"/>
  <c r="L58" i="14"/>
  <c r="J58" i="14"/>
  <c r="I58" i="14"/>
  <c r="M45" i="14"/>
  <c r="O46" i="14"/>
  <c r="L46" i="14"/>
  <c r="J46" i="14"/>
  <c r="I46" i="14"/>
  <c r="I101" i="14"/>
  <c r="K101" i="14" s="1"/>
  <c r="P54" i="14"/>
  <c r="O53" i="14"/>
  <c r="L53" i="14"/>
  <c r="J53" i="14"/>
  <c r="I53" i="14"/>
  <c r="P38" i="14"/>
  <c r="O37" i="14"/>
  <c r="I37" i="14"/>
  <c r="K37" i="14" s="1"/>
  <c r="L37" i="14"/>
  <c r="J37" i="14"/>
  <c r="P94" i="14"/>
  <c r="J93" i="14"/>
  <c r="I93" i="14"/>
  <c r="L93" i="14"/>
  <c r="O93" i="14"/>
  <c r="I61" i="14"/>
  <c r="J61" i="14"/>
  <c r="O61" i="14"/>
  <c r="L61" i="14"/>
  <c r="P82" i="14"/>
  <c r="O81" i="14"/>
  <c r="L81" i="14"/>
  <c r="J81" i="14"/>
  <c r="I81" i="14"/>
  <c r="K81" i="14" s="1"/>
  <c r="P78" i="14"/>
  <c r="I77" i="14"/>
  <c r="K77" i="14" s="1"/>
  <c r="J77" i="14"/>
  <c r="L77" i="14"/>
  <c r="O77" i="14"/>
  <c r="L25" i="14"/>
  <c r="I25" i="14"/>
  <c r="M25" i="14" s="1"/>
  <c r="J25" i="14"/>
  <c r="O25" i="14"/>
  <c r="L34" i="14"/>
  <c r="J34" i="14"/>
  <c r="O34" i="14"/>
  <c r="I34" i="14"/>
  <c r="P70" i="14"/>
  <c r="L69" i="14"/>
  <c r="J69" i="14"/>
  <c r="H33" i="14"/>
  <c r="O49" i="14"/>
  <c r="L49" i="14"/>
  <c r="J49" i="14"/>
  <c r="I49" i="14"/>
  <c r="O74" i="14"/>
  <c r="L74" i="14"/>
  <c r="J74" i="14"/>
  <c r="I74" i="14"/>
  <c r="O26" i="14"/>
  <c r="L26" i="14"/>
  <c r="J26" i="14"/>
  <c r="I26" i="14"/>
  <c r="H26" i="14" s="1"/>
  <c r="O30" i="14"/>
  <c r="L30" i="14"/>
  <c r="J30" i="14"/>
  <c r="I30" i="14"/>
  <c r="H84" i="14"/>
  <c r="K84" i="14"/>
  <c r="M60" i="14"/>
  <c r="K60" i="14"/>
  <c r="H76" i="14"/>
  <c r="M68" i="14"/>
  <c r="K76" i="14"/>
  <c r="H68" i="14"/>
  <c r="P90" i="14"/>
  <c r="M88" i="14"/>
  <c r="H88" i="14"/>
  <c r="H40" i="14"/>
  <c r="M40" i="14"/>
  <c r="K100" i="14"/>
  <c r="H57" i="14"/>
  <c r="K57" i="14"/>
  <c r="M92" i="14"/>
  <c r="H92" i="14"/>
  <c r="H100" i="14"/>
  <c r="H73" i="14"/>
  <c r="M73" i="14"/>
  <c r="H97" i="14"/>
  <c r="K97" i="14"/>
  <c r="H24" i="14"/>
  <c r="M24" i="14"/>
  <c r="M48" i="14"/>
  <c r="P62" i="14"/>
  <c r="H48" i="14"/>
  <c r="P50" i="14"/>
  <c r="P42" i="14"/>
  <c r="K31" i="14"/>
  <c r="M31" i="14"/>
  <c r="H31" i="14"/>
  <c r="K79" i="14"/>
  <c r="H79" i="14"/>
  <c r="M79" i="14"/>
  <c r="K51" i="14"/>
  <c r="M51" i="14"/>
  <c r="H51" i="14"/>
  <c r="K55" i="14"/>
  <c r="M55" i="14"/>
  <c r="H55" i="14"/>
  <c r="K59" i="14"/>
  <c r="M59" i="14"/>
  <c r="H59" i="14"/>
  <c r="K35" i="14"/>
  <c r="M35" i="14"/>
  <c r="H35" i="14"/>
  <c r="K39" i="14"/>
  <c r="M39" i="14"/>
  <c r="H39" i="14"/>
  <c r="K83" i="14"/>
  <c r="M83" i="14"/>
  <c r="H83" i="14"/>
  <c r="K27" i="14"/>
  <c r="M27" i="14"/>
  <c r="H27" i="14"/>
  <c r="K23" i="14"/>
  <c r="H23" i="14"/>
  <c r="M23" i="14"/>
  <c r="K71" i="14"/>
  <c r="H71" i="14"/>
  <c r="M71" i="14"/>
  <c r="K67" i="14"/>
  <c r="M67" i="14"/>
  <c r="H67" i="14"/>
  <c r="K63" i="14"/>
  <c r="M63" i="14"/>
  <c r="H63" i="14"/>
  <c r="K43" i="14"/>
  <c r="M43" i="14"/>
  <c r="H43" i="14"/>
  <c r="K47" i="14"/>
  <c r="M47" i="14"/>
  <c r="H47" i="14"/>
  <c r="K87" i="14"/>
  <c r="M87" i="14"/>
  <c r="H87" i="14"/>
  <c r="K95" i="14"/>
  <c r="M95" i="14"/>
  <c r="H95" i="14"/>
  <c r="K91" i="14"/>
  <c r="M91" i="14"/>
  <c r="H91" i="14"/>
  <c r="K99" i="14"/>
  <c r="M99" i="14"/>
  <c r="H99" i="14"/>
  <c r="K75" i="14"/>
  <c r="M75" i="14"/>
  <c r="H75" i="14"/>
  <c r="F15" i="7"/>
  <c r="H8" i="5"/>
  <c r="H9" i="5"/>
  <c r="F24" i="7" s="1"/>
  <c r="H10" i="5"/>
  <c r="F27" i="7" s="1"/>
  <c r="H3" i="5"/>
  <c r="F6" i="7" s="1"/>
  <c r="H4" i="5"/>
  <c r="F12" i="7"/>
  <c r="H7" i="5"/>
  <c r="I8" i="12"/>
  <c r="C80" i="2"/>
  <c r="C78" i="2"/>
  <c r="C79" i="2"/>
  <c r="B5" i="17" s="1"/>
  <c r="R5" i="17" l="1"/>
  <c r="H5" i="17"/>
  <c r="M5" i="17"/>
  <c r="J11" i="5"/>
  <c r="F32" i="7" s="1"/>
  <c r="O32" i="7" s="1"/>
  <c r="J5" i="5"/>
  <c r="J13" i="5"/>
  <c r="F35" i="7" s="1"/>
  <c r="O35" i="7" s="1"/>
  <c r="F18" i="7"/>
  <c r="J7" i="5"/>
  <c r="F20" i="7" s="1"/>
  <c r="O20" i="7" s="1"/>
  <c r="F21" i="7"/>
  <c r="O21" i="7" s="1"/>
  <c r="H77" i="14"/>
  <c r="H25" i="14"/>
  <c r="M101" i="14"/>
  <c r="H101" i="14"/>
  <c r="M77" i="14"/>
  <c r="K25" i="14"/>
  <c r="J90" i="14"/>
  <c r="O90" i="14"/>
  <c r="L90" i="14"/>
  <c r="I90" i="14"/>
  <c r="K90" i="14" s="1"/>
  <c r="H85" i="14"/>
  <c r="M85" i="14"/>
  <c r="K85" i="14"/>
  <c r="L38" i="14"/>
  <c r="J38" i="14"/>
  <c r="I38" i="14"/>
  <c r="O38" i="14"/>
  <c r="O70" i="14"/>
  <c r="L70" i="14"/>
  <c r="J70" i="14"/>
  <c r="I70" i="14"/>
  <c r="I82" i="14"/>
  <c r="H82" i="14" s="1"/>
  <c r="O82" i="14"/>
  <c r="L82" i="14"/>
  <c r="J82" i="14"/>
  <c r="K53" i="14"/>
  <c r="M53" i="14"/>
  <c r="H53" i="14"/>
  <c r="J12" i="5"/>
  <c r="F38" i="7" s="1"/>
  <c r="O38" i="7" s="1"/>
  <c r="I12" i="5"/>
  <c r="F37" i="7" s="1"/>
  <c r="O37" i="7" s="1"/>
  <c r="I13" i="5"/>
  <c r="F34" i="7" s="1"/>
  <c r="O34" i="7" s="1"/>
  <c r="I11" i="5"/>
  <c r="F31" i="7" s="1"/>
  <c r="O31" i="7" s="1"/>
  <c r="O86" i="14"/>
  <c r="L86" i="14"/>
  <c r="J86" i="14"/>
  <c r="I86" i="14"/>
  <c r="M37" i="14"/>
  <c r="H81" i="14"/>
  <c r="O54" i="14"/>
  <c r="J54" i="14"/>
  <c r="L54" i="14"/>
  <c r="I54" i="14"/>
  <c r="H37" i="14"/>
  <c r="L102" i="14"/>
  <c r="J102" i="14"/>
  <c r="I102" i="14"/>
  <c r="O50" i="14"/>
  <c r="L50" i="14"/>
  <c r="J50" i="14"/>
  <c r="I50" i="14"/>
  <c r="K66" i="14"/>
  <c r="M66" i="14"/>
  <c r="H66" i="14"/>
  <c r="I42" i="14"/>
  <c r="O42" i="14"/>
  <c r="L42" i="14"/>
  <c r="J42" i="14"/>
  <c r="K93" i="14"/>
  <c r="M93" i="14"/>
  <c r="H93" i="14"/>
  <c r="O94" i="14"/>
  <c r="L94" i="14"/>
  <c r="J94" i="14"/>
  <c r="I94" i="14"/>
  <c r="J62" i="14"/>
  <c r="I62" i="14"/>
  <c r="O62" i="14"/>
  <c r="L62" i="14"/>
  <c r="O102" i="14"/>
  <c r="K30" i="14"/>
  <c r="M30" i="14"/>
  <c r="H30" i="14"/>
  <c r="J78" i="14"/>
  <c r="I78" i="14"/>
  <c r="O78" i="14"/>
  <c r="L78" i="14"/>
  <c r="F9" i="7"/>
  <c r="O9" i="7" s="1"/>
  <c r="B3" i="17"/>
  <c r="H3" i="17" s="1"/>
  <c r="E40" i="7" s="1"/>
  <c r="B4" i="17"/>
  <c r="H4" i="17" s="1"/>
  <c r="E41" i="7" s="1"/>
  <c r="M81" i="14"/>
  <c r="K26" i="14"/>
  <c r="M26" i="14"/>
  <c r="K155" i="15"/>
  <c r="K148" i="15"/>
  <c r="K145" i="15"/>
  <c r="K143" i="15"/>
  <c r="K149" i="15"/>
  <c r="K139" i="15"/>
  <c r="K159" i="15"/>
  <c r="K164" i="15"/>
  <c r="K153" i="15"/>
  <c r="K163" i="15"/>
  <c r="K142" i="15"/>
  <c r="K147" i="15"/>
  <c r="K151" i="15"/>
  <c r="K156" i="15"/>
  <c r="K165" i="15"/>
  <c r="K162" i="15"/>
  <c r="K160" i="15"/>
  <c r="K144" i="15"/>
  <c r="K161" i="15"/>
  <c r="K141" i="15"/>
  <c r="K150" i="15"/>
  <c r="K140" i="15"/>
  <c r="K158" i="15"/>
  <c r="K146" i="15"/>
  <c r="K157" i="15"/>
  <c r="K152" i="15"/>
  <c r="K154" i="15"/>
  <c r="I16" i="13"/>
  <c r="O75" i="14" s="1"/>
  <c r="X9" i="13"/>
  <c r="N9" i="13"/>
  <c r="O48" i="14" s="1"/>
  <c r="I5" i="13"/>
  <c r="O31" i="14" s="1"/>
  <c r="S16" i="13"/>
  <c r="S5" i="13"/>
  <c r="S6" i="13"/>
  <c r="N8" i="13"/>
  <c r="O44" i="14" s="1"/>
  <c r="S8" i="13"/>
  <c r="I15" i="13"/>
  <c r="O71" i="14" s="1"/>
  <c r="X10" i="13"/>
  <c r="S15" i="13"/>
  <c r="S14" i="13"/>
  <c r="O69" i="14" s="1"/>
  <c r="X11" i="13"/>
  <c r="I12" i="13"/>
  <c r="O59" i="14" s="1"/>
  <c r="X16" i="13"/>
  <c r="X14" i="13"/>
  <c r="X12" i="13"/>
  <c r="I4" i="13"/>
  <c r="O27" i="14" s="1"/>
  <c r="X7" i="13"/>
  <c r="N12" i="13"/>
  <c r="O60" i="14" s="1"/>
  <c r="X15" i="13"/>
  <c r="X13" i="13"/>
  <c r="N15" i="13"/>
  <c r="O72" i="14" s="1"/>
  <c r="N11" i="13"/>
  <c r="O56" i="14" s="1"/>
  <c r="X4" i="13"/>
  <c r="X6" i="13"/>
  <c r="I7" i="13"/>
  <c r="O39" i="14" s="1"/>
  <c r="S12" i="13"/>
  <c r="I8" i="13"/>
  <c r="O43" i="14" s="1"/>
  <c r="N13" i="13"/>
  <c r="O64" i="14" s="1"/>
  <c r="S13" i="13"/>
  <c r="I11" i="13"/>
  <c r="O55" i="14" s="1"/>
  <c r="N4" i="13"/>
  <c r="O28" i="14" s="1"/>
  <c r="X3" i="13"/>
  <c r="N10" i="13"/>
  <c r="O52" i="14" s="1"/>
  <c r="I6" i="13"/>
  <c r="O35" i="14" s="1"/>
  <c r="N16" i="13"/>
  <c r="O76" i="14" s="1"/>
  <c r="N14" i="13"/>
  <c r="O68" i="14" s="1"/>
  <c r="S4" i="13"/>
  <c r="I9" i="13"/>
  <c r="O47" i="14" s="1"/>
  <c r="S9" i="13"/>
  <c r="I10" i="13"/>
  <c r="O51" i="14" s="1"/>
  <c r="N3" i="13"/>
  <c r="I14" i="13"/>
  <c r="O67" i="14" s="1"/>
  <c r="N7" i="13"/>
  <c r="O40" i="14" s="1"/>
  <c r="S7" i="13"/>
  <c r="N6" i="13"/>
  <c r="O36" i="14" s="1"/>
  <c r="I3" i="13"/>
  <c r="O23" i="14" s="1"/>
  <c r="N5" i="13"/>
  <c r="O32" i="14" s="1"/>
  <c r="I13" i="13"/>
  <c r="O63" i="14" s="1"/>
  <c r="S10" i="13"/>
  <c r="S11" i="13"/>
  <c r="S3" i="13"/>
  <c r="X5" i="13"/>
  <c r="X8" i="13"/>
  <c r="O12" i="7"/>
  <c r="O6" i="7"/>
  <c r="J3" i="5"/>
  <c r="F8" i="7" s="1"/>
  <c r="O8" i="7" s="1"/>
  <c r="O15" i="7"/>
  <c r="J6" i="5"/>
  <c r="K89" i="14"/>
  <c r="H89" i="14"/>
  <c r="M46" i="14"/>
  <c r="K46" i="14"/>
  <c r="H46" i="14"/>
  <c r="M61" i="14"/>
  <c r="H61" i="14"/>
  <c r="K61" i="14"/>
  <c r="K41" i="14"/>
  <c r="M41" i="14"/>
  <c r="H41" i="14"/>
  <c r="H49" i="14"/>
  <c r="K49" i="14"/>
  <c r="M49" i="14"/>
  <c r="K74" i="14"/>
  <c r="M74" i="14"/>
  <c r="H74" i="14"/>
  <c r="H98" i="14"/>
  <c r="M98" i="14"/>
  <c r="K98" i="14"/>
  <c r="H34" i="14"/>
  <c r="M34" i="14"/>
  <c r="K34" i="14"/>
  <c r="K58" i="14"/>
  <c r="M58" i="14"/>
  <c r="H58" i="14"/>
  <c r="B19" i="13"/>
  <c r="B3" i="13"/>
  <c r="B4" i="13"/>
  <c r="B20" i="13"/>
  <c r="B21" i="13"/>
  <c r="B6" i="13"/>
  <c r="B22" i="13"/>
  <c r="B7" i="13"/>
  <c r="B5" i="13"/>
  <c r="B18" i="13"/>
  <c r="B9" i="13"/>
  <c r="B15" i="13"/>
  <c r="B8" i="13"/>
  <c r="B17" i="13"/>
  <c r="B10" i="13"/>
  <c r="B11" i="13"/>
  <c r="B12" i="13"/>
  <c r="B13" i="13"/>
  <c r="B14" i="13"/>
  <c r="B16" i="13"/>
  <c r="W16" i="13" s="1"/>
  <c r="H2" i="5"/>
  <c r="O24" i="7"/>
  <c r="I8" i="5"/>
  <c r="J11" i="10"/>
  <c r="J10" i="10"/>
  <c r="L8" i="5"/>
  <c r="M8" i="5" s="1"/>
  <c r="I11" i="10" s="1"/>
  <c r="J12" i="10"/>
  <c r="H8" i="10"/>
  <c r="H9" i="10"/>
  <c r="H7" i="10"/>
  <c r="L6" i="5"/>
  <c r="I7" i="5"/>
  <c r="O18" i="7"/>
  <c r="J4" i="5"/>
  <c r="J9" i="5"/>
  <c r="J10" i="5"/>
  <c r="F29" i="7" s="1"/>
  <c r="I6" i="5"/>
  <c r="I5" i="5"/>
  <c r="I10" i="5"/>
  <c r="F28" i="7" s="1"/>
  <c r="I4" i="5"/>
  <c r="I3" i="5"/>
  <c r="I9" i="5"/>
  <c r="H15" i="13" l="1"/>
  <c r="E73" i="7" s="1"/>
  <c r="M15" i="13"/>
  <c r="H90" i="14"/>
  <c r="M90" i="14"/>
  <c r="K70" i="14"/>
  <c r="M70" i="14"/>
  <c r="H70" i="14"/>
  <c r="K94" i="14"/>
  <c r="H94" i="14"/>
  <c r="M94" i="14"/>
  <c r="K102" i="14"/>
  <c r="M102" i="14"/>
  <c r="H102" i="14"/>
  <c r="M38" i="14"/>
  <c r="H38" i="14"/>
  <c r="K38" i="14"/>
  <c r="K78" i="14"/>
  <c r="M78" i="14"/>
  <c r="H78" i="14"/>
  <c r="K54" i="14"/>
  <c r="M54" i="14"/>
  <c r="H54" i="14"/>
  <c r="H86" i="14"/>
  <c r="K86" i="14"/>
  <c r="M86" i="14"/>
  <c r="M82" i="14"/>
  <c r="K82" i="14"/>
  <c r="F23" i="7"/>
  <c r="O23" i="7" s="1"/>
  <c r="F13" i="7"/>
  <c r="O13" i="7" s="1"/>
  <c r="F16" i="7"/>
  <c r="O16" i="7" s="1"/>
  <c r="F10" i="7"/>
  <c r="O10" i="7" s="1"/>
  <c r="F22" i="7"/>
  <c r="O22" i="7" s="1"/>
  <c r="F7" i="7"/>
  <c r="O7" i="7" s="1"/>
  <c r="F26" i="7"/>
  <c r="O26" i="7" s="1"/>
  <c r="O5" i="5"/>
  <c r="F13" i="10" s="1"/>
  <c r="F14" i="7"/>
  <c r="O14" i="7" s="1"/>
  <c r="F25" i="7"/>
  <c r="O25" i="7" s="1"/>
  <c r="F17" i="7"/>
  <c r="O17" i="7" s="1"/>
  <c r="F11" i="7"/>
  <c r="O11" i="7" s="1"/>
  <c r="F19" i="7"/>
  <c r="O19" i="7" s="1"/>
  <c r="E42" i="7"/>
  <c r="E44" i="7"/>
  <c r="E43" i="7"/>
  <c r="I2" i="5"/>
  <c r="J2" i="5"/>
  <c r="D41" i="16"/>
  <c r="D46" i="16"/>
  <c r="Y46" i="16" s="1"/>
  <c r="D31" i="16"/>
  <c r="Y31" i="16" s="1"/>
  <c r="D36" i="16"/>
  <c r="D51" i="16"/>
  <c r="D37" i="16"/>
  <c r="D42" i="16"/>
  <c r="D47" i="16"/>
  <c r="D32" i="16"/>
  <c r="D52" i="16"/>
  <c r="D39" i="16"/>
  <c r="D44" i="16"/>
  <c r="Y44" i="16" s="1"/>
  <c r="D29" i="16"/>
  <c r="T29" i="16" s="1"/>
  <c r="D49" i="16"/>
  <c r="D34" i="16"/>
  <c r="D38" i="16"/>
  <c r="T38" i="16" s="1"/>
  <c r="D43" i="16"/>
  <c r="T43" i="16" s="1"/>
  <c r="D28" i="16"/>
  <c r="T28" i="16" s="1"/>
  <c r="D48" i="16"/>
  <c r="D33" i="16"/>
  <c r="T33" i="16" s="1"/>
  <c r="D35" i="16"/>
  <c r="Y35" i="16" s="1"/>
  <c r="D40" i="16"/>
  <c r="D45" i="16"/>
  <c r="D30" i="16"/>
  <c r="Y30" i="16" s="1"/>
  <c r="D50" i="16"/>
  <c r="K62" i="14"/>
  <c r="M62" i="14"/>
  <c r="H62" i="14"/>
  <c r="D19" i="16"/>
  <c r="T19" i="16" s="1"/>
  <c r="D4" i="16"/>
  <c r="D24" i="16"/>
  <c r="T24" i="16" s="1"/>
  <c r="D9" i="16"/>
  <c r="D14" i="16"/>
  <c r="H3" i="13"/>
  <c r="E49" i="7" s="1"/>
  <c r="D23" i="16"/>
  <c r="D8" i="16"/>
  <c r="D3" i="16"/>
  <c r="D13" i="16"/>
  <c r="D18" i="16"/>
  <c r="D20" i="16"/>
  <c r="D5" i="16"/>
  <c r="T5" i="16" s="1"/>
  <c r="D25" i="16"/>
  <c r="D10" i="16"/>
  <c r="T10" i="16" s="1"/>
  <c r="D15" i="16"/>
  <c r="D22" i="16"/>
  <c r="D7" i="16"/>
  <c r="D27" i="16"/>
  <c r="D12" i="16"/>
  <c r="D17" i="16"/>
  <c r="D21" i="16"/>
  <c r="D6" i="16"/>
  <c r="T6" i="16" s="1"/>
  <c r="D26" i="16"/>
  <c r="T26" i="16" s="1"/>
  <c r="D11" i="16"/>
  <c r="D16" i="16"/>
  <c r="K42" i="14"/>
  <c r="M42" i="14"/>
  <c r="H42" i="14"/>
  <c r="K50" i="14"/>
  <c r="M50" i="14"/>
  <c r="H50" i="14"/>
  <c r="F17" i="10"/>
  <c r="M13" i="13"/>
  <c r="E69" i="7" s="1"/>
  <c r="H13" i="13"/>
  <c r="E68" i="7" s="1"/>
  <c r="H8" i="13"/>
  <c r="E58" i="7" s="1"/>
  <c r="M8" i="13"/>
  <c r="E59" i="7" s="1"/>
  <c r="M9" i="13"/>
  <c r="E61" i="7" s="1"/>
  <c r="H9" i="13"/>
  <c r="E60" i="7" s="1"/>
  <c r="F16" i="10"/>
  <c r="H12" i="13"/>
  <c r="E66" i="7" s="1"/>
  <c r="M12" i="13"/>
  <c r="E67" i="7" s="1"/>
  <c r="M18" i="13"/>
  <c r="E79" i="7" s="1"/>
  <c r="H18" i="13"/>
  <c r="E78" i="7" s="1"/>
  <c r="M5" i="13"/>
  <c r="E53" i="7" s="1"/>
  <c r="H5" i="13"/>
  <c r="E52" i="7" s="1"/>
  <c r="M7" i="13"/>
  <c r="E57" i="7" s="1"/>
  <c r="H7" i="13"/>
  <c r="E56" i="7" s="1"/>
  <c r="F22" i="10"/>
  <c r="W22" i="13"/>
  <c r="E90" i="7" s="1"/>
  <c r="R22" i="13"/>
  <c r="E89" i="7" s="1"/>
  <c r="M22" i="13"/>
  <c r="E88" i="7" s="1"/>
  <c r="H22" i="13"/>
  <c r="E87" i="7" s="1"/>
  <c r="F15" i="10"/>
  <c r="M11" i="13"/>
  <c r="E65" i="7" s="1"/>
  <c r="H11" i="13"/>
  <c r="E64" i="7" s="1"/>
  <c r="H6" i="13"/>
  <c r="E54" i="7" s="1"/>
  <c r="M6" i="13"/>
  <c r="E55" i="7" s="1"/>
  <c r="F21" i="10"/>
  <c r="R21" i="13"/>
  <c r="E86" i="7" s="1"/>
  <c r="M21" i="13"/>
  <c r="E85" i="7" s="1"/>
  <c r="H21" i="13"/>
  <c r="E84" i="7" s="1"/>
  <c r="M16" i="13"/>
  <c r="E75" i="7" s="1"/>
  <c r="H16" i="13"/>
  <c r="E74" i="7" s="1"/>
  <c r="M10" i="13"/>
  <c r="E63" i="7" s="1"/>
  <c r="H10" i="13"/>
  <c r="E62" i="7" s="1"/>
  <c r="H20" i="13"/>
  <c r="E82" i="7" s="1"/>
  <c r="M20" i="13"/>
  <c r="E83" i="7" s="1"/>
  <c r="F20" i="10"/>
  <c r="H17" i="13"/>
  <c r="E76" i="7" s="1"/>
  <c r="M17" i="13"/>
  <c r="E77" i="7" s="1"/>
  <c r="H4" i="13"/>
  <c r="E50" i="7" s="1"/>
  <c r="M4" i="13"/>
  <c r="E51" i="7" s="1"/>
  <c r="F18" i="10"/>
  <c r="F19" i="10"/>
  <c r="R14" i="13"/>
  <c r="E72" i="7" s="1"/>
  <c r="M14" i="13"/>
  <c r="E71" i="7" s="1"/>
  <c r="H14" i="13"/>
  <c r="E70" i="7" s="1"/>
  <c r="M19" i="13"/>
  <c r="E81" i="7" s="1"/>
  <c r="H19" i="13"/>
  <c r="E80" i="7" s="1"/>
  <c r="G7" i="10"/>
  <c r="G9" i="10"/>
  <c r="M6" i="5"/>
  <c r="G8" i="10" s="1"/>
  <c r="I10" i="10"/>
  <c r="N8" i="5"/>
  <c r="I12" i="10" s="1"/>
  <c r="J18" i="16" l="1"/>
  <c r="E122" i="7" s="1"/>
  <c r="O18" i="16"/>
  <c r="J13" i="16"/>
  <c r="E111" i="7" s="1"/>
  <c r="O13" i="16"/>
  <c r="J3" i="16"/>
  <c r="E92" i="7" s="1"/>
  <c r="O3" i="16"/>
  <c r="J8" i="16"/>
  <c r="E100" i="7" s="1"/>
  <c r="O8" i="16"/>
  <c r="J23" i="16"/>
  <c r="E131" i="7" s="1"/>
  <c r="O23" i="16"/>
  <c r="T21" i="16"/>
  <c r="Y21" i="16"/>
  <c r="J4" i="16"/>
  <c r="E93" i="7" s="1"/>
  <c r="O4" i="16"/>
  <c r="J22" i="16"/>
  <c r="E129" i="7" s="1"/>
  <c r="O22" i="16"/>
  <c r="E130" i="7" s="1"/>
  <c r="O19" i="16"/>
  <c r="E124" i="7" s="1"/>
  <c r="J19" i="16"/>
  <c r="E123" i="7" s="1"/>
  <c r="T49" i="16"/>
  <c r="E206" i="7" s="1"/>
  <c r="J49" i="16"/>
  <c r="E204" i="7" s="1"/>
  <c r="O49" i="16"/>
  <c r="E205" i="7" s="1"/>
  <c r="T34" i="16"/>
  <c r="E160" i="7" s="1"/>
  <c r="J34" i="16"/>
  <c r="E158" i="7" s="1"/>
  <c r="O34" i="16"/>
  <c r="E159" i="7" s="1"/>
  <c r="J10" i="16"/>
  <c r="E103" i="7" s="1"/>
  <c r="O10" i="16"/>
  <c r="E104" i="7" s="1"/>
  <c r="O25" i="16"/>
  <c r="E135" i="7" s="1"/>
  <c r="J25" i="16"/>
  <c r="E134" i="7" s="1"/>
  <c r="T25" i="16"/>
  <c r="E136" i="7" s="1"/>
  <c r="J39" i="16"/>
  <c r="E174" i="7" s="1"/>
  <c r="T39" i="16"/>
  <c r="E176" i="7" s="1"/>
  <c r="O39" i="16"/>
  <c r="E175" i="7" s="1"/>
  <c r="J7" i="16"/>
  <c r="E98" i="7" s="1"/>
  <c r="O7" i="16"/>
  <c r="E99" i="7" s="1"/>
  <c r="J5" i="16"/>
  <c r="E94" i="7" s="1"/>
  <c r="O5" i="16"/>
  <c r="E95" i="7" s="1"/>
  <c r="O52" i="16"/>
  <c r="E215" i="7" s="1"/>
  <c r="T52" i="16"/>
  <c r="E216" i="7" s="1"/>
  <c r="J52" i="16"/>
  <c r="E214" i="7" s="1"/>
  <c r="Y52" i="16"/>
  <c r="E217" i="7" s="1"/>
  <c r="O15" i="16"/>
  <c r="E115" i="7" s="1"/>
  <c r="J15" i="16"/>
  <c r="E114" i="7" s="1"/>
  <c r="O29" i="16"/>
  <c r="E146" i="7" s="1"/>
  <c r="J29" i="16"/>
  <c r="E145" i="7" s="1"/>
  <c r="O20" i="16"/>
  <c r="E126" i="7" s="1"/>
  <c r="J20" i="16"/>
  <c r="E125" i="7" s="1"/>
  <c r="J50" i="16"/>
  <c r="E207" i="7" s="1"/>
  <c r="Y50" i="16"/>
  <c r="E210" i="7" s="1"/>
  <c r="O50" i="16"/>
  <c r="E208" i="7" s="1"/>
  <c r="T50" i="16"/>
  <c r="E209" i="7" s="1"/>
  <c r="J32" i="16"/>
  <c r="E153" i="7" s="1"/>
  <c r="O32" i="16"/>
  <c r="E154" i="7" s="1"/>
  <c r="T32" i="16"/>
  <c r="E155" i="7" s="1"/>
  <c r="O44" i="16"/>
  <c r="E191" i="7" s="1"/>
  <c r="T44" i="16"/>
  <c r="E192" i="7" s="1"/>
  <c r="J44" i="16"/>
  <c r="E190" i="7" s="1"/>
  <c r="T30" i="16"/>
  <c r="E149" i="7" s="1"/>
  <c r="J30" i="16"/>
  <c r="E147" i="7" s="1"/>
  <c r="O30" i="16"/>
  <c r="E148" i="7" s="1"/>
  <c r="T47" i="16"/>
  <c r="E201" i="7" s="1"/>
  <c r="O47" i="16"/>
  <c r="E200" i="7" s="1"/>
  <c r="J47" i="16"/>
  <c r="E199" i="7" s="1"/>
  <c r="O16" i="16"/>
  <c r="E117" i="7" s="1"/>
  <c r="J16" i="16"/>
  <c r="E116" i="7" s="1"/>
  <c r="T16" i="16"/>
  <c r="E118" i="7" s="1"/>
  <c r="O45" i="16"/>
  <c r="E194" i="7" s="1"/>
  <c r="T45" i="16"/>
  <c r="E195" i="7" s="1"/>
  <c r="J45" i="16"/>
  <c r="E193" i="7" s="1"/>
  <c r="O42" i="16"/>
  <c r="E185" i="7" s="1"/>
  <c r="T42" i="16"/>
  <c r="E186" i="7" s="1"/>
  <c r="J42" i="16"/>
  <c r="E184" i="7" s="1"/>
  <c r="Y42" i="16"/>
  <c r="E187" i="7" s="1"/>
  <c r="J11" i="16"/>
  <c r="E105" i="7" s="1"/>
  <c r="T11" i="16"/>
  <c r="E107" i="7" s="1"/>
  <c r="O11" i="16"/>
  <c r="E106" i="7" s="1"/>
  <c r="J40" i="16"/>
  <c r="E177" i="7" s="1"/>
  <c r="T40" i="16"/>
  <c r="E179" i="7" s="1"/>
  <c r="O40" i="16"/>
  <c r="E178" i="7" s="1"/>
  <c r="T37" i="16"/>
  <c r="E170" i="7" s="1"/>
  <c r="Y37" i="16"/>
  <c r="E171" i="7" s="1"/>
  <c r="O37" i="16"/>
  <c r="E169" i="7" s="1"/>
  <c r="J37" i="16"/>
  <c r="E168" i="7" s="1"/>
  <c r="O26" i="16"/>
  <c r="E138" i="7" s="1"/>
  <c r="J26" i="16"/>
  <c r="E137" i="7" s="1"/>
  <c r="T35" i="16"/>
  <c r="E163" i="7" s="1"/>
  <c r="O35" i="16"/>
  <c r="E162" i="7" s="1"/>
  <c r="J35" i="16"/>
  <c r="E161" i="7" s="1"/>
  <c r="T51" i="16"/>
  <c r="E213" i="7" s="1"/>
  <c r="J51" i="16"/>
  <c r="E211" i="7" s="1"/>
  <c r="O51" i="16"/>
  <c r="E212" i="7" s="1"/>
  <c r="O6" i="16"/>
  <c r="E97" i="7" s="1"/>
  <c r="J6" i="16"/>
  <c r="E96" i="7" s="1"/>
  <c r="J36" i="16"/>
  <c r="E164" i="7" s="1"/>
  <c r="Y36" i="16"/>
  <c r="E167" i="7" s="1"/>
  <c r="T36" i="16"/>
  <c r="E166" i="7" s="1"/>
  <c r="O36" i="16"/>
  <c r="E165" i="7" s="1"/>
  <c r="J21" i="16"/>
  <c r="E127" i="7" s="1"/>
  <c r="O21" i="16"/>
  <c r="E128" i="7" s="1"/>
  <c r="O48" i="16"/>
  <c r="E203" i="7" s="1"/>
  <c r="J48" i="16"/>
  <c r="E202" i="7" s="1"/>
  <c r="O31" i="16"/>
  <c r="E151" i="7" s="1"/>
  <c r="J31" i="16"/>
  <c r="E150" i="7" s="1"/>
  <c r="T31" i="16"/>
  <c r="E152" i="7" s="1"/>
  <c r="T17" i="16"/>
  <c r="E121" i="7" s="1"/>
  <c r="O17" i="16"/>
  <c r="E120" i="7" s="1"/>
  <c r="J17" i="16"/>
  <c r="E119" i="7" s="1"/>
  <c r="J14" i="16"/>
  <c r="E112" i="7" s="1"/>
  <c r="O14" i="16"/>
  <c r="E113" i="7" s="1"/>
  <c r="J28" i="16"/>
  <c r="E143" i="7" s="1"/>
  <c r="O28" i="16"/>
  <c r="E144" i="7" s="1"/>
  <c r="O46" i="16"/>
  <c r="E197" i="7" s="1"/>
  <c r="T46" i="16"/>
  <c r="E198" i="7" s="1"/>
  <c r="J46" i="16"/>
  <c r="E196" i="7" s="1"/>
  <c r="J33" i="16"/>
  <c r="E156" i="7" s="1"/>
  <c r="O33" i="16"/>
  <c r="E157" i="7" s="1"/>
  <c r="J12" i="16"/>
  <c r="E108" i="7" s="1"/>
  <c r="T12" i="16"/>
  <c r="E110" i="7" s="1"/>
  <c r="O12" i="16"/>
  <c r="E109" i="7" s="1"/>
  <c r="O9" i="16"/>
  <c r="E102" i="7" s="1"/>
  <c r="J9" i="16"/>
  <c r="E101" i="7" s="1"/>
  <c r="O43" i="16"/>
  <c r="E189" i="7" s="1"/>
  <c r="J43" i="16"/>
  <c r="E188" i="7" s="1"/>
  <c r="O41" i="16"/>
  <c r="E181" i="7" s="1"/>
  <c r="Y41" i="16"/>
  <c r="E183" i="7" s="1"/>
  <c r="J41" i="16"/>
  <c r="E180" i="7" s="1"/>
  <c r="T41" i="16"/>
  <c r="E182" i="7" s="1"/>
  <c r="Y27" i="16"/>
  <c r="E142" i="7" s="1"/>
  <c r="T27" i="16"/>
  <c r="E141" i="7" s="1"/>
  <c r="J27" i="16"/>
  <c r="E139" i="7" s="1"/>
  <c r="O27" i="16"/>
  <c r="E140" i="7" s="1"/>
  <c r="J24" i="16"/>
  <c r="E132" i="7" s="1"/>
  <c r="O24" i="16"/>
  <c r="E133" i="7" s="1"/>
  <c r="J38" i="16"/>
  <c r="E172" i="7" s="1"/>
  <c r="O38" i="16"/>
  <c r="E173" i="7" s="1"/>
  <c r="F29" i="10"/>
  <c r="F26" i="10"/>
  <c r="F27" i="10"/>
  <c r="F28" i="10"/>
  <c r="F25" i="10"/>
  <c r="F30" i="10"/>
  <c r="F24" i="10"/>
</calcChain>
</file>

<file path=xl/sharedStrings.xml><?xml version="1.0" encoding="utf-8"?>
<sst xmlns="http://schemas.openxmlformats.org/spreadsheetml/2006/main" count="4366" uniqueCount="1984">
  <si>
    <t>说明</t>
    <phoneticPr fontId="4" type="noConversion"/>
  </si>
  <si>
    <t>目录</t>
    <phoneticPr fontId="4" type="noConversion"/>
  </si>
  <si>
    <t>此为输入格，可修改数值</t>
    <phoneticPr fontId="4" type="noConversion"/>
  </si>
  <si>
    <t>此为输出格，不可修改数值</t>
    <phoneticPr fontId="4" type="noConversion"/>
  </si>
  <si>
    <t>此为解释性、工具性文本</t>
    <phoneticPr fontId="4" type="noConversion"/>
  </si>
  <si>
    <t>【设计】表决定宏观体验，修改后会影响大量游戏数值</t>
    <phoneticPr fontId="4" type="noConversion"/>
  </si>
  <si>
    <t>【数据】表计算每个系统详细数值</t>
    <phoneticPr fontId="4" type="noConversion"/>
  </si>
  <si>
    <t>数据类型</t>
    <phoneticPr fontId="4" type="noConversion"/>
  </si>
  <si>
    <t>表格类型</t>
    <phoneticPr fontId="4" type="noConversion"/>
  </si>
  <si>
    <t>设计</t>
    <phoneticPr fontId="4" type="noConversion"/>
  </si>
  <si>
    <t>战斗</t>
    <phoneticPr fontId="4" type="noConversion"/>
  </si>
  <si>
    <t>经济</t>
    <phoneticPr fontId="4" type="noConversion"/>
  </si>
  <si>
    <t>挑战模式</t>
    <phoneticPr fontId="4" type="noConversion"/>
  </si>
  <si>
    <t>无限模式</t>
    <phoneticPr fontId="4" type="noConversion"/>
  </si>
  <si>
    <t>对战模式</t>
    <phoneticPr fontId="4" type="noConversion"/>
  </si>
  <si>
    <t>体力</t>
    <phoneticPr fontId="4" type="noConversion"/>
  </si>
  <si>
    <t>副本</t>
    <phoneticPr fontId="4" type="noConversion"/>
  </si>
  <si>
    <t>新手关卡</t>
    <phoneticPr fontId="4" type="noConversion"/>
  </si>
  <si>
    <t>防御塔</t>
    <phoneticPr fontId="4" type="noConversion"/>
  </si>
  <si>
    <t>此为链接</t>
    <phoneticPr fontId="4" type="noConversion"/>
  </si>
  <si>
    <t>总表</t>
    <phoneticPr fontId="4" type="noConversion"/>
  </si>
  <si>
    <t>大类</t>
    <phoneticPr fontId="4" type="noConversion"/>
  </si>
  <si>
    <t>小类</t>
    <phoneticPr fontId="4" type="noConversion"/>
  </si>
  <si>
    <t>数据表</t>
    <phoneticPr fontId="4" type="noConversion"/>
  </si>
  <si>
    <t>特性</t>
    <phoneticPr fontId="4" type="noConversion"/>
  </si>
  <si>
    <t>节奏</t>
    <phoneticPr fontId="4" type="noConversion"/>
  </si>
  <si>
    <t>怪物</t>
    <phoneticPr fontId="4" type="noConversion"/>
  </si>
  <si>
    <t>无限模式</t>
    <phoneticPr fontId="4" type="noConversion"/>
  </si>
  <si>
    <t>挑战模式</t>
    <phoneticPr fontId="4" type="noConversion"/>
  </si>
  <si>
    <t>新手</t>
    <phoneticPr fontId="4" type="noConversion"/>
  </si>
  <si>
    <t>普通</t>
    <phoneticPr fontId="4" type="noConversion"/>
  </si>
  <si>
    <t>高手</t>
    <phoneticPr fontId="4" type="noConversion"/>
  </si>
  <si>
    <t>新手关</t>
    <phoneticPr fontId="4" type="noConversion"/>
  </si>
  <si>
    <t>弩箭塔</t>
  </si>
  <si>
    <t>加农炮</t>
  </si>
  <si>
    <t>火焰塔</t>
  </si>
  <si>
    <t>毒雾塔</t>
  </si>
  <si>
    <t>龙击炮</t>
  </si>
  <si>
    <t>雷电塔</t>
  </si>
  <si>
    <t>冰魔塔</t>
  </si>
  <si>
    <t>加速塔</t>
  </si>
  <si>
    <t>减速</t>
    <phoneticPr fontId="4" type="noConversion"/>
  </si>
  <si>
    <t>加速友军</t>
    <phoneticPr fontId="4" type="noConversion"/>
  </si>
  <si>
    <t>直线</t>
    <phoneticPr fontId="4" type="noConversion"/>
  </si>
  <si>
    <t>圆环</t>
    <phoneticPr fontId="4" type="noConversion"/>
  </si>
  <si>
    <t>1级塔</t>
    <phoneticPr fontId="4" type="noConversion"/>
  </si>
  <si>
    <t>2级塔</t>
  </si>
  <si>
    <t>3级塔</t>
  </si>
  <si>
    <t>标准塔</t>
    <phoneticPr fontId="4" type="noConversion"/>
  </si>
  <si>
    <t>快速</t>
    <phoneticPr fontId="4" type="noConversion"/>
  </si>
  <si>
    <t>慢速</t>
    <phoneticPr fontId="4" type="noConversion"/>
  </si>
  <si>
    <t>/</t>
    <phoneticPr fontId="4" type="noConversion"/>
  </si>
  <si>
    <t>期望性价比</t>
    <phoneticPr fontId="4" type="noConversion"/>
  </si>
  <si>
    <t>养成2级塔</t>
    <phoneticPr fontId="4" type="noConversion"/>
  </si>
  <si>
    <t>养成3级塔</t>
    <phoneticPr fontId="4" type="noConversion"/>
  </si>
  <si>
    <t>养成上限</t>
    <phoneticPr fontId="4" type="noConversion"/>
  </si>
  <si>
    <t>玩家体验时长（min）：</t>
    <phoneticPr fontId="4" type="noConversion"/>
  </si>
  <si>
    <t>最快速度</t>
    <phoneticPr fontId="4" type="noConversion"/>
  </si>
  <si>
    <t>最大性价比</t>
    <phoneticPr fontId="4" type="noConversion"/>
  </si>
  <si>
    <t>最小性价比</t>
    <phoneticPr fontId="4" type="noConversion"/>
  </si>
  <si>
    <t>新手</t>
    <phoneticPr fontId="4" type="noConversion"/>
  </si>
  <si>
    <t>无限</t>
    <phoneticPr fontId="4" type="noConversion"/>
  </si>
  <si>
    <t>关卡</t>
    <phoneticPr fontId="4" type="noConversion"/>
  </si>
  <si>
    <t>最大塔数</t>
    <phoneticPr fontId="4" type="noConversion"/>
  </si>
  <si>
    <t>刷新费用</t>
    <phoneticPr fontId="4" type="noConversion"/>
  </si>
  <si>
    <t>基地血量</t>
    <phoneticPr fontId="4" type="noConversion"/>
  </si>
  <si>
    <t>准备时长(s)</t>
    <phoneticPr fontId="4" type="noConversion"/>
  </si>
  <si>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</si>
  <si>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</si>
  <si>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</si>
  <si>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</si>
  <si>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</si>
  <si>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</si>
  <si>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int</t>
  </si>
  <si>
    <t>float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</si>
  <si>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</si>
  <si>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</si>
  <si>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</si>
  <si>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</si>
  <si>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</si>
  <si>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</si>
  <si>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战斗节奏</t>
    <phoneticPr fontId="4" type="noConversion"/>
  </si>
  <si>
    <t>名字</t>
    <phoneticPr fontId="4" type="noConversion"/>
  </si>
  <si>
    <t>价格</t>
    <phoneticPr fontId="4" type="noConversion"/>
  </si>
  <si>
    <t>攻速</t>
    <phoneticPr fontId="4" type="noConversion"/>
  </si>
  <si>
    <t>攻击</t>
    <phoneticPr fontId="4" type="noConversion"/>
  </si>
  <si>
    <t>标准塔</t>
  </si>
  <si>
    <t>最大DPS</t>
    <phoneticPr fontId="4" type="noConversion"/>
  </si>
  <si>
    <t>攻击cd</t>
    <phoneticPr fontId="4" type="noConversion"/>
  </si>
  <si>
    <t>射程</t>
    <phoneticPr fontId="4" type="noConversion"/>
  </si>
  <si>
    <t>攻击力lv1</t>
    <phoneticPr fontId="4" type="noConversion"/>
  </si>
  <si>
    <t>攻击力lv2</t>
    <phoneticPr fontId="4" type="noConversion"/>
  </si>
  <si>
    <t>攻击力lv3</t>
    <phoneticPr fontId="4" type="noConversion"/>
  </si>
  <si>
    <t>最小DPS</t>
    <phoneticPr fontId="4" type="noConversion"/>
  </si>
  <si>
    <t>特殊参数</t>
    <phoneticPr fontId="4" type="noConversion"/>
  </si>
  <si>
    <t>低处特攻</t>
    <phoneticPr fontId="4" type="noConversion"/>
  </si>
  <si>
    <t>设定最大高度为5</t>
    <phoneticPr fontId="4" type="noConversion"/>
  </si>
  <si>
    <t>dis</t>
  </si>
  <si>
    <t>cd</t>
  </si>
  <si>
    <t>skillSelectAction</t>
  </si>
  <si>
    <t>timeline_id</t>
  </si>
  <si>
    <t>learn_action_id</t>
  </si>
  <si>
    <t>string#ref=TimelineCfgCategory?</t>
  </si>
  <si>
    <t>(list#sep=;),string#ref=ActionCfg_ref_group</t>
  </si>
  <si>
    <t>这是id</t>
  </si>
  <si>
    <t>技能施法距离</t>
  </si>
  <si>
    <t>技能cd</t>
  </si>
  <si>
    <t>释放对象选择</t>
  </si>
  <si>
    <t>timeline_id（对应TimelineCfg表id）</t>
  </si>
  <si>
    <t>学习技能时Action事件id（对应ActionConfig文件夹下表格）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</si>
  <si>
    <t>Skill_PlayerSolo1</t>
  </si>
  <si>
    <t>Timeline_PlayerSolo1</t>
  </si>
  <si>
    <t>Skill_PlayerSolo2</t>
  </si>
  <si>
    <t>Timeline_PlayerSolo2</t>
  </si>
  <si>
    <t>Skill_PlayerSolo3</t>
  </si>
  <si>
    <t>Timeline_PlayerSolo3</t>
  </si>
  <si>
    <t>Skill_PlayerAoe1</t>
  </si>
  <si>
    <t>Timeline_PlayerAoe1</t>
  </si>
  <si>
    <t>Skill_PlayerAoe2</t>
  </si>
  <si>
    <t>Timeline_PlayerAoe2</t>
  </si>
  <si>
    <t>Skill_PlayerAoe3</t>
  </si>
  <si>
    <t>Timeline_PlayerAoe3</t>
  </si>
  <si>
    <t>Skill_PlayerLine1</t>
  </si>
  <si>
    <t>Timeline_PlayerLine1</t>
  </si>
  <si>
    <t>Skill_PlayerLine2</t>
  </si>
  <si>
    <t>Timeline_PlayerLine2</t>
  </si>
  <si>
    <t>Skill_PlayerLine3</t>
  </si>
  <si>
    <t>Timeline_PlayerLine3</t>
  </si>
  <si>
    <t>Skill_PlayerCircle1</t>
  </si>
  <si>
    <t>Timeline_PlayerCircle1</t>
  </si>
  <si>
    <t>Skill_PlayerCircle2</t>
  </si>
  <si>
    <t>Timeline_PlayerCircle2</t>
  </si>
  <si>
    <t>Skill_PlayerCircle3</t>
  </si>
  <si>
    <t>Skill_TowerDragon1</t>
  </si>
  <si>
    <t>Timeline_TowerDragon1</t>
  </si>
  <si>
    <t>Skill_TowerDragon2</t>
  </si>
  <si>
    <t>Timeline_TowerDragon2</t>
  </si>
  <si>
    <t>Skill_TowerDragon3</t>
  </si>
  <si>
    <t>Timeline_TowerDragon3</t>
  </si>
  <si>
    <t>Skill_TowerElec1</t>
  </si>
  <si>
    <t>Timeline_TowerElec1</t>
  </si>
  <si>
    <t>Skill_TowerElec2</t>
  </si>
  <si>
    <t>Timeline_TowerElec2</t>
  </si>
  <si>
    <t>Skill_TowerElec3</t>
  </si>
  <si>
    <t>Timeline_TowerElec3</t>
  </si>
  <si>
    <t>Skill_TowerIce1</t>
  </si>
  <si>
    <t>Timeline_TowerIce1</t>
  </si>
  <si>
    <t>Skill_TowerIce2</t>
  </si>
  <si>
    <t>Timeline_TowerIce2</t>
  </si>
  <si>
    <t>Skill_TowerIce3</t>
  </si>
  <si>
    <t>Timeline_TowerIce3</t>
  </si>
  <si>
    <t>Skill_TowerTime1</t>
  </si>
  <si>
    <t>Skill_TowerTime2</t>
  </si>
  <si>
    <t>Skill_TowerTime3</t>
  </si>
  <si>
    <t>id</t>
  </si>
  <si>
    <t>desc</t>
  </si>
  <si>
    <t>Timeline_PlayerCircle3</t>
  </si>
  <si>
    <t>弩箭塔</t>
    <phoneticPr fontId="4" type="noConversion"/>
  </si>
  <si>
    <t>弩箭塔LV1攻击</t>
  </si>
  <si>
    <t>弩箭塔LV2攻击</t>
  </si>
  <si>
    <t>弩箭塔LV3攻击</t>
  </si>
  <si>
    <t>加农炮LV1攻击</t>
  </si>
  <si>
    <t>加农炮LV2攻击</t>
  </si>
  <si>
    <t>加农炮LV3攻击</t>
  </si>
  <si>
    <t>火焰塔LV1攻击</t>
  </si>
  <si>
    <t>火焰塔LV2攻击</t>
  </si>
  <si>
    <t>火焰塔LV3攻击</t>
  </si>
  <si>
    <t>毒雾塔LV1攻击</t>
  </si>
  <si>
    <t>毒雾塔LV2攻击</t>
  </si>
  <si>
    <t>毒雾塔LV3攻击</t>
  </si>
  <si>
    <t>龙击炮LV1攻击</t>
  </si>
  <si>
    <t>龙击炮LV2攻击</t>
  </si>
  <si>
    <t>龙击炮LV3攻击</t>
  </si>
  <si>
    <t>雷电塔LV1攻击</t>
  </si>
  <si>
    <t>雷电塔LV2攻击</t>
  </si>
  <si>
    <t>雷电塔LV3攻击</t>
  </si>
  <si>
    <t>冰魔塔</t>
    <phoneticPr fontId="4" type="noConversion"/>
  </si>
  <si>
    <t>冰魔塔LV1攻击</t>
  </si>
  <si>
    <t>冰魔塔LV2攻击</t>
  </si>
  <si>
    <t>冰魔塔LV3攻击</t>
  </si>
  <si>
    <t>propertyType</t>
  </si>
  <si>
    <t>level</t>
  </si>
  <si>
    <t>HpBase</t>
  </si>
  <si>
    <t>PhysicalAttackBase</t>
  </si>
  <si>
    <t>CriticalHitDamageBase</t>
  </si>
  <si>
    <t>CriticalStrikeRateBase</t>
  </si>
  <si>
    <t>DamageDeepeningBase</t>
  </si>
  <si>
    <t>DamageReliefBase</t>
  </si>
  <si>
    <t>UIAttribute1</t>
    <phoneticPr fontId="4" type="noConversion"/>
  </si>
  <si>
    <t>UIAttribute2</t>
    <phoneticPr fontId="4" type="noConversion"/>
  </si>
  <si>
    <t>UIAttribute3</t>
    <phoneticPr fontId="4" type="noConversion"/>
  </si>
  <si>
    <t>title</t>
    <phoneticPr fontId="4" type="noConversion"/>
  </si>
  <si>
    <t>content</t>
    <phoneticPr fontId="4" type="noConversion"/>
  </si>
  <si>
    <t>contentValue</t>
    <phoneticPr fontId="4" type="noConversion"/>
  </si>
  <si>
    <t>UIAttribute</t>
    <phoneticPr fontId="4" type="noConversion"/>
  </si>
  <si>
    <t>血量</t>
  </si>
  <si>
    <t>物理攻击</t>
  </si>
  <si>
    <t>暴击率(N%)</t>
  </si>
  <si>
    <t>伤害加深系数(N%)</t>
  </si>
  <si>
    <t>受击伤害减免系数(N%)</t>
  </si>
  <si>
    <t>界面展示属性Title1</t>
    <phoneticPr fontId="4" type="noConversion"/>
  </si>
  <si>
    <t>界面展示属性content1</t>
    <phoneticPr fontId="4" type="noConversion"/>
  </si>
  <si>
    <t>界面展示属性内容1</t>
    <phoneticPr fontId="4" type="noConversion"/>
  </si>
  <si>
    <t>Tower1</t>
  </si>
  <si>
    <t>Text_Key_Tower_UIAttribute_GongJi</t>
    <phoneticPr fontId="4" type="noConversion"/>
  </si>
  <si>
    <t>Text_Key_Tower_UIAttribute_Content_Num</t>
  </si>
  <si>
    <t>Text_Key_Tower_UIAttribute_GongSu</t>
  </si>
  <si>
    <t/>
  </si>
  <si>
    <t>Text_Key_Tower_UIAttribute_GongJi</t>
  </si>
  <si>
    <t>Tower2</t>
  </si>
  <si>
    <t>Tower3</t>
  </si>
  <si>
    <t>Tower4</t>
  </si>
  <si>
    <t>Tower5</t>
  </si>
  <si>
    <t>Tower6</t>
  </si>
  <si>
    <t>Tower7</t>
  </si>
  <si>
    <t>Text_Key_Tower_UIAttribute_JianSu</t>
  </si>
  <si>
    <t>Text_Key_Tower_UIAttribute_Content_Percent</t>
  </si>
  <si>
    <t>Tower8</t>
  </si>
  <si>
    <t>Text_Key_Tower_UIAttribute_GongSuJiaCheng</t>
  </si>
  <si>
    <t>攻速加成</t>
    <phoneticPr fontId="4" type="noConversion"/>
  </si>
  <si>
    <t>damageInfo</t>
  </si>
  <si>
    <t>DamageUnit_Attribute</t>
  </si>
  <si>
    <t>加速塔LV1技能</t>
    <phoneticPr fontId="4" type="noConversion"/>
  </si>
  <si>
    <t>加速塔LV2技能</t>
  </si>
  <si>
    <t>加速塔LV3技能</t>
  </si>
  <si>
    <t>damageType</t>
  </si>
  <si>
    <t>value</t>
  </si>
  <si>
    <t>scaleByDis</t>
    <phoneticPr fontId="4" type="noConversion"/>
  </si>
  <si>
    <t>scaleByDisMax</t>
    <phoneticPr fontId="4" type="noConversion"/>
  </si>
  <si>
    <t>scaleByHeight</t>
    <phoneticPr fontId="4" type="noConversion"/>
  </si>
  <si>
    <t>scaleByHeightMax</t>
    <phoneticPr fontId="4" type="noConversion"/>
  </si>
  <si>
    <t>DamageInfo</t>
    <phoneticPr fontId="4" type="noConversion"/>
  </si>
  <si>
    <t>伤害计算方式</t>
  </si>
  <si>
    <t>数值</t>
  </si>
  <si>
    <t>按照距离变化(&gt;0表示越远伤害越高,&lt;0表示越近伤害越高)</t>
    <phoneticPr fontId="4" type="noConversion"/>
  </si>
  <si>
    <t>(上限)按照距离变化</t>
    <phoneticPr fontId="4" type="noConversion"/>
  </si>
  <si>
    <t>按照高度变化(&gt;0表示往上越远伤害越高,&lt;0表示往下越远伤害越高)</t>
    <phoneticPr fontId="4" type="noConversion"/>
  </si>
  <si>
    <t>(上限)按照高度变化</t>
    <phoneticPr fontId="4" type="noConversion"/>
  </si>
  <si>
    <t>按照属性进行计算</t>
  </si>
  <si>
    <t>PropertyBlood</t>
    <phoneticPr fontId="4" type="noConversion"/>
  </si>
  <si>
    <t>按照属性进行计算（距离递增）_毒雾塔LV1</t>
    <phoneticPr fontId="4" type="noConversion"/>
  </si>
  <si>
    <t>按照属性进行计算（距离递增）_毒雾塔LV2</t>
  </si>
  <si>
    <t>按照属性进行计算（距离递增）_毒雾塔LV3</t>
  </si>
  <si>
    <t>按照属性进行计算（高度递减）_雷电塔LV1</t>
    <phoneticPr fontId="4" type="noConversion"/>
  </si>
  <si>
    <t>按照属性进行计算（高度递减）_雷电塔LV2</t>
  </si>
  <si>
    <t>按照属性进行计算（高度递减）_雷电塔LV3</t>
  </si>
  <si>
    <t>DamageUnit_AttributeDisAdd_PlayerCircle1</t>
    <phoneticPr fontId="4" type="noConversion"/>
  </si>
  <si>
    <t>DamageUnit_AttributeDisAdd_PlayerCircle2</t>
  </si>
  <si>
    <t>DamageUnit_AttributeDisAdd_PlayerCircle3</t>
  </si>
  <si>
    <t>DamageUnit_AttributeHeightPlus_TowerElec1</t>
    <phoneticPr fontId="4" type="noConversion"/>
  </si>
  <si>
    <t>DamageUnit_AttributeHeightPlus_TowerElec2</t>
  </si>
  <si>
    <t>DamageUnit_AttributeHeightPlus_TowerElec3</t>
  </si>
  <si>
    <t>毒雾塔</t>
    <phoneticPr fontId="4" type="noConversion"/>
  </si>
  <si>
    <t>雷电塔</t>
    <phoneticPr fontId="4" type="noConversion"/>
  </si>
  <si>
    <t>单体通用</t>
    <phoneticPr fontId="4" type="noConversion"/>
  </si>
  <si>
    <t>type</t>
  </si>
  <si>
    <t>labels</t>
  </si>
  <si>
    <t>qualityRank</t>
  </si>
  <si>
    <t>radius</t>
  </si>
  <si>
    <t>relativePosition</t>
  </si>
  <si>
    <t>unitId</t>
  </si>
  <si>
    <t>num</t>
  </si>
  <si>
    <t>BuyTowerCostGold</t>
  </si>
  <si>
    <t>rewardGold</t>
  </si>
  <si>
    <t>ReclaimTowerCostGold</t>
  </si>
  <si>
    <t>ScaleTowerCostGold</t>
  </si>
  <si>
    <t>nextTowerId</t>
  </si>
  <si>
    <t>newTowerCostCount</t>
  </si>
  <si>
    <t>aiCfgId</t>
  </si>
  <si>
    <t>string#ref=ItemCfgCategory</t>
    <phoneticPr fontId="25" type="noConversion"/>
  </si>
  <si>
    <t>PlayerTowerType</t>
  </si>
  <si>
    <t>(list#sep=;),string</t>
  </si>
  <si>
    <t>QualityRank</t>
  </si>
  <si>
    <t>(list#sep=;),vector3</t>
  </si>
  <si>
    <t>(list#sep=;),string#ref=UnitCfgCategory</t>
  </si>
  <si>
    <t>(list#sep=;),int</t>
  </si>
  <si>
    <t>string#ref=TowerDefense_TowerCfgCategory?</t>
  </si>
  <si>
    <t>string#ref=AIConfigId@AICfgCategory</t>
  </si>
  <si>
    <t>类型</t>
  </si>
  <si>
    <t>标签</t>
  </si>
  <si>
    <t>品阶</t>
  </si>
  <si>
    <t>半径</t>
  </si>
  <si>
    <t>相对位置</t>
  </si>
  <si>
    <t>数量</t>
  </si>
  <si>
    <t>等级</t>
  </si>
  <si>
    <t>购买消耗金币</t>
  </si>
  <si>
    <t>击杀奖励金币</t>
  </si>
  <si>
    <t>回收塔消耗金币</t>
  </si>
  <si>
    <t>出售塔获得金币</t>
  </si>
  <si>
    <t>下一级id</t>
  </si>
  <si>
    <t>升级消耗数量</t>
  </si>
  <si>
    <t>One</t>
  </si>
  <si>
    <t>Tow1_1</t>
  </si>
  <si>
    <t>Tower</t>
  </si>
  <si>
    <t>Text_Key_TowerLabel_Solo</t>
  </si>
  <si>
    <t>Unit_Solo1</t>
  </si>
  <si>
    <t>Tow1_2</t>
  </si>
  <si>
    <t>TowerDefense_Tower1</t>
  </si>
  <si>
    <t>Two</t>
  </si>
  <si>
    <t>Unit_Solo2</t>
  </si>
  <si>
    <t>Tow1_3</t>
  </si>
  <si>
    <t>Three</t>
  </si>
  <si>
    <t>Unit_Solo3</t>
  </si>
  <si>
    <t>Tow2_1</t>
  </si>
  <si>
    <t>Text_Key_TowerLabel_Aoe</t>
  </si>
  <si>
    <t>Unit_Aoe1</t>
  </si>
  <si>
    <t>Tow2_2</t>
  </si>
  <si>
    <t>Unit_Aoe2</t>
  </si>
  <si>
    <t>Tow2_3</t>
  </si>
  <si>
    <t>Unit_Aoe3</t>
  </si>
  <si>
    <t>Tow3_1</t>
  </si>
  <si>
    <t>Text_Key_TowerLabel_DOT;Text_Key_TowerLabel_Aoe</t>
    <phoneticPr fontId="25" type="noConversion"/>
  </si>
  <si>
    <t>Unit_Line1</t>
  </si>
  <si>
    <t>Tow3_2</t>
  </si>
  <si>
    <t>Unit_Line2</t>
  </si>
  <si>
    <t>Tow3_3</t>
  </si>
  <si>
    <t>Unit_Line3</t>
  </si>
  <si>
    <t>Tow4_1</t>
  </si>
  <si>
    <t>Unit_Circle1</t>
  </si>
  <si>
    <t>Tow4_2</t>
  </si>
  <si>
    <t>Unit_Circle2</t>
  </si>
  <si>
    <t>Tow4_3</t>
  </si>
  <si>
    <t>Unit_Circle3</t>
  </si>
  <si>
    <t>Tow5_1</t>
  </si>
  <si>
    <t>Unit_TowerDragon1</t>
  </si>
  <si>
    <t>Tow5_2</t>
  </si>
  <si>
    <t>Unit_TowerDragon2</t>
  </si>
  <si>
    <t>Tow5_3</t>
  </si>
  <si>
    <t>Unit_TowerDragon3</t>
  </si>
  <si>
    <t>Tow6_1</t>
  </si>
  <si>
    <t>Unit_TowerElec1</t>
  </si>
  <si>
    <t>Tow6_2</t>
  </si>
  <si>
    <t>Unit_TowerElec2</t>
  </si>
  <si>
    <t>Tow6_3</t>
  </si>
  <si>
    <t>Unit_TowerElec3</t>
  </si>
  <si>
    <t>Tow7_1</t>
  </si>
  <si>
    <t>Text_Key_TowerLabel_Debuff;Text_Key_TowerLabel_Aoe</t>
    <phoneticPr fontId="25" type="noConversion"/>
  </si>
  <si>
    <t>Unit_TowerIce1</t>
  </si>
  <si>
    <t>Tow7_2</t>
  </si>
  <si>
    <t>Unit_TowerIce2</t>
  </si>
  <si>
    <t>Tow7_3</t>
  </si>
  <si>
    <t>Unit_TowerIce3</t>
  </si>
  <si>
    <t>Tow8_1</t>
  </si>
  <si>
    <t>Text_Key_TowerLabel_Buff</t>
  </si>
  <si>
    <t>Unit_TowerTime1</t>
  </si>
  <si>
    <t>Tow8_2</t>
  </si>
  <si>
    <t>Unit_TowerTime2</t>
  </si>
  <si>
    <t>Tow8_3</t>
  </si>
  <si>
    <t>Unit_TowerTime3</t>
  </si>
  <si>
    <t>isNeedPutHomeAndMonsterCall</t>
  </si>
  <si>
    <t>playerInitGold</t>
  </si>
  <si>
    <t>interestOnDeposit</t>
  </si>
  <si>
    <t>resTime</t>
  </si>
  <si>
    <t>limitTowerCount</t>
  </si>
  <si>
    <t>refreshBuyTowerCost</t>
  </si>
  <si>
    <t>buyTowerPoolCount</t>
  </si>
  <si>
    <t>homeLife</t>
  </si>
  <si>
    <t>buyTowerRefreshRuleCfgId</t>
  </si>
  <si>
    <t>monsterWaveCallRuleCfgId</t>
  </si>
  <si>
    <t>monsterWaveCallStartWaveIndex</t>
  </si>
  <si>
    <t>bool</t>
  </si>
  <si>
    <t>string#ref=TowerDefense_BuyTowerRefreshRuleCfgCategory</t>
  </si>
  <si>
    <t>string#ref=waveRule@TowerDefense_MonsterWaveCallRuleCfgCategory</t>
  </si>
  <si>
    <t>是否需要手动放置大本营和出怪点</t>
  </si>
  <si>
    <t>每个玩家初始金币</t>
  </si>
  <si>
    <t>波次结束结算存款利息(%)</t>
  </si>
  <si>
    <t>中间休息时间</t>
  </si>
  <si>
    <t>每人最多允许建造塔数</t>
  </si>
  <si>
    <t>玩家刷新可购买塔的费用</t>
  </si>
  <si>
    <t>可购买塔展示数量</t>
  </si>
  <si>
    <t>大本营血量</t>
  </si>
  <si>
    <t>可购买塔刷新规则</t>
  </si>
  <si>
    <t>刷怪点刷怪规则</t>
  </si>
  <si>
    <t>刷怪点刷怪开始进来时波次(下一波+1)</t>
  </si>
  <si>
    <t>TowerDefenseCfg_Infinite</t>
  </si>
  <si>
    <t>无限模式</t>
  </si>
  <si>
    <t>MonsterWaveCallRule_Infinite</t>
  </si>
  <si>
    <t>隐身</t>
    <phoneticPr fontId="4" type="noConversion"/>
  </si>
  <si>
    <t>治疗</t>
    <phoneticPr fontId="4" type="noConversion"/>
  </si>
  <si>
    <t>DPS比例</t>
    <phoneticPr fontId="4" type="noConversion"/>
  </si>
  <si>
    <t>波次</t>
    <phoneticPr fontId="4" type="noConversion"/>
  </si>
  <si>
    <t>难度</t>
    <phoneticPr fontId="4" type="noConversion"/>
  </si>
  <si>
    <t>快速怪</t>
    <phoneticPr fontId="4" type="noConversion"/>
  </si>
  <si>
    <t>BOSS</t>
    <phoneticPr fontId="4" type="noConversion"/>
  </si>
  <si>
    <t>快速</t>
    <phoneticPr fontId="4" type="noConversion"/>
  </si>
  <si>
    <t>治疗怪</t>
    <phoneticPr fontId="4" type="noConversion"/>
  </si>
  <si>
    <t>眩晕怪</t>
    <phoneticPr fontId="4" type="noConversion"/>
  </si>
  <si>
    <t>治疗</t>
    <phoneticPr fontId="4" type="noConversion"/>
  </si>
  <si>
    <t>眩晕</t>
    <phoneticPr fontId="4" type="noConversion"/>
  </si>
  <si>
    <t>波次敌人（难度≈杀光怪所需时间）：</t>
    <phoneticPr fontId="4" type="noConversion"/>
  </si>
  <si>
    <t>怪物类型</t>
    <phoneticPr fontId="4" type="noConversion"/>
  </si>
  <si>
    <t>备注</t>
    <phoneticPr fontId="4" type="noConversion"/>
  </si>
  <si>
    <t>怪物</t>
    <phoneticPr fontId="4" type="noConversion"/>
  </si>
  <si>
    <t>集群怪</t>
    <phoneticPr fontId="4" type="noConversion"/>
  </si>
  <si>
    <t>隐身怪</t>
    <phoneticPr fontId="4" type="noConversion"/>
  </si>
  <si>
    <t>波次</t>
  </si>
  <si>
    <t>出怪时长</t>
    <phoneticPr fontId="4" type="noConversion"/>
  </si>
  <si>
    <t>模型</t>
  </si>
  <si>
    <t>生命</t>
  </si>
  <si>
    <t>奖励</t>
  </si>
  <si>
    <t>怪物1</t>
    <phoneticPr fontId="4" type="noConversion"/>
  </si>
  <si>
    <t>怪物2</t>
    <phoneticPr fontId="4" type="noConversion"/>
  </si>
  <si>
    <t>怪物3</t>
    <phoneticPr fontId="4" type="noConversion"/>
  </si>
  <si>
    <t>怪物4</t>
    <phoneticPr fontId="4" type="noConversion"/>
  </si>
  <si>
    <t>出现间隔</t>
    <phoneticPr fontId="4" type="noConversion"/>
  </si>
  <si>
    <t>序号</t>
    <phoneticPr fontId="4" type="noConversion"/>
  </si>
  <si>
    <t>模型</t>
    <phoneticPr fontId="4" type="noConversion"/>
  </si>
  <si>
    <t>功能</t>
    <phoneticPr fontId="4" type="noConversion"/>
  </si>
  <si>
    <t>模型id</t>
    <phoneticPr fontId="4" type="noConversion"/>
  </si>
  <si>
    <t>隐身</t>
    <phoneticPr fontId="4" type="noConversion"/>
  </si>
  <si>
    <t>/</t>
    <phoneticPr fontId="4" type="noConversion"/>
  </si>
  <si>
    <t>ResUnit_MiFeng2</t>
  </si>
  <si>
    <t>ResUnit_MiFeng3</t>
  </si>
  <si>
    <t>ResUnit_BianFu1</t>
  </si>
  <si>
    <t>ResUnit_BianFu2</t>
  </si>
  <si>
    <t>ResUnit_ZhiZhu1</t>
  </si>
  <si>
    <t>ResUnit_ZhiZhu2</t>
  </si>
  <si>
    <t>ResUnit_ZhiZhu3</t>
  </si>
  <si>
    <t>ResUnit_ZhongZi1</t>
  </si>
  <si>
    <t>ResUnit_ZhongZi2</t>
  </si>
  <si>
    <t>ResUnit_ZhongZi3</t>
  </si>
  <si>
    <t>ResUnit_Gui1</t>
  </si>
  <si>
    <t>ResUnit_Gui2</t>
  </si>
  <si>
    <t>ResUnit_Gui3</t>
  </si>
  <si>
    <t>ResUnit_Dan1</t>
  </si>
  <si>
    <t>ResUnit_Dan2</t>
  </si>
  <si>
    <t>ResUnit_Dan3</t>
  </si>
  <si>
    <t>生命系数</t>
    <phoneticPr fontId="4" type="noConversion"/>
  </si>
  <si>
    <t>玩家dps</t>
    <phoneticPr fontId="4" type="noConversion"/>
  </si>
  <si>
    <t>奖励系数</t>
    <phoneticPr fontId="4" type="noConversion"/>
  </si>
  <si>
    <t>移速系数</t>
    <phoneticPr fontId="4" type="noConversion"/>
  </si>
  <si>
    <t>移速系数</t>
    <phoneticPr fontId="4" type="noConversion"/>
  </si>
  <si>
    <t>waveRule</t>
  </si>
  <si>
    <t>waveIndex</t>
  </si>
  <si>
    <t>waveRewardGold</t>
  </si>
  <si>
    <t>duration</t>
  </si>
  <si>
    <t>*nodes</t>
  </si>
  <si>
    <t>timeElapsed</t>
  </si>
  <si>
    <t>totalNum</t>
  </si>
  <si>
    <t>onceIntervalTime</t>
  </si>
  <si>
    <t>onceCallNum</t>
  </si>
  <si>
    <t>monsterCfgId</t>
  </si>
  <si>
    <t>list,MonsterWaveCallNode</t>
  </si>
  <si>
    <t>刷怪规则</t>
  </si>
  <si>
    <t>波次结束奖励金币</t>
  </si>
  <si>
    <t>运行多久之后发生，单位：秒</t>
  </si>
  <si>
    <t>总刷怪数量</t>
  </si>
  <si>
    <t>出怪间隔</t>
  </si>
  <si>
    <t>一次出怪数量</t>
  </si>
  <si>
    <t>怪物id</t>
  </si>
  <si>
    <t>怪物等级</t>
  </si>
  <si>
    <t>单个击杀奖励金币</t>
  </si>
  <si>
    <t>MonsterWaveCallRule_Infinite</t>
    <phoneticPr fontId="4" type="noConversion"/>
  </si>
  <si>
    <t>辅助列</t>
    <phoneticPr fontId="4" type="noConversion"/>
  </si>
  <si>
    <t>资源路径</t>
  </si>
  <si>
    <t>移动速度</t>
  </si>
  <si>
    <t>转身速度</t>
  </si>
  <si>
    <t>是否需要检测Mesh(判断攻击目标时)</t>
  </si>
  <si>
    <t>攻击点高度(判断连通时会不会被阻挡)</t>
  </si>
  <si>
    <t>身体高度(判断位置，判断伤害什么的)</t>
  </si>
  <si>
    <t>身体半径(判断伤害什么的)</t>
  </si>
  <si>
    <t>资源大小缩放</t>
  </si>
  <si>
    <t>属性类型</t>
  </si>
  <si>
    <t>死亡表现</t>
  </si>
  <si>
    <t>Idle行为</t>
  </si>
  <si>
    <t>Move行为</t>
  </si>
  <si>
    <t>拥有技能列表</t>
  </si>
  <si>
    <t>Unit_Monster_Infinite_1_1</t>
  </si>
  <si>
    <t>DeathShow_1</t>
  </si>
  <si>
    <t>Timeline_Idle1</t>
  </si>
  <si>
    <t>Timeline_Move1</t>
  </si>
  <si>
    <t>Unit_Monster_Infinite_2_1</t>
  </si>
  <si>
    <t>Unit_Monster_Infinite_2_2</t>
  </si>
  <si>
    <t>Unit_Monster_Infinite_3_1</t>
  </si>
  <si>
    <t>Unit_Monster_Infinite_3_2</t>
  </si>
  <si>
    <t>Unit_Monster_Infinite_4_1</t>
  </si>
  <si>
    <t>Unit_Monster_Infinite_4_2</t>
  </si>
  <si>
    <t>Unit_Monster_Infinite_5_1</t>
  </si>
  <si>
    <t>Unit_Monster_Infinite_5_2</t>
  </si>
  <si>
    <t>Unit_Monster_Infinite_6_1</t>
  </si>
  <si>
    <t>Unit_Monster_Infinite_6_2</t>
  </si>
  <si>
    <t>Unit_Monster_Infinite_7_1</t>
  </si>
  <si>
    <t>Unit_Monster_Infinite_7_2</t>
  </si>
  <si>
    <t>Unit_Monster_Infinite_8_1</t>
  </si>
  <si>
    <t>Unit_Monster_Infinite_8_2</t>
  </si>
  <si>
    <t>Unit_Monster_Infinite_9_1</t>
  </si>
  <si>
    <t>Unit_Monster_Infinite_9_2</t>
  </si>
  <si>
    <t>Unit_Monster_Infinite_10_1</t>
  </si>
  <si>
    <t>Unit_Monster_Infinite_10_2</t>
  </si>
  <si>
    <t>Unit_Monster_Infinite_11_1</t>
  </si>
  <si>
    <t>Unit_Monster_Infinite_11_2</t>
  </si>
  <si>
    <t>Unit_Monster_Infinite_12_1</t>
  </si>
  <si>
    <t>Unit_Monster_Infinite_12_2</t>
  </si>
  <si>
    <t>Unit_Monster_Infinite_12_3</t>
  </si>
  <si>
    <t>Unit_Monster_Infinite_13_1</t>
  </si>
  <si>
    <t>Unit_Monster_Infinite_14_1</t>
  </si>
  <si>
    <t>Unit_Monster_Infinite_14_2</t>
  </si>
  <si>
    <t>Unit_Monster_Infinite_15_1</t>
  </si>
  <si>
    <t>Unit_Monster_Infinite_15_2</t>
  </si>
  <si>
    <t>Unit_Monster_Infinite_16_1</t>
  </si>
  <si>
    <t>Unit_Monster_Infinite_16_2</t>
  </si>
  <si>
    <t>Unit_Monster_Infinite_17_1</t>
  </si>
  <si>
    <t>Unit_Monster_Infinite_17_2</t>
  </si>
  <si>
    <t>Unit_Monster_Infinite_18_1</t>
  </si>
  <si>
    <t>Unit_Monster_Infinite_18_2</t>
  </si>
  <si>
    <t>Unit_Monster_Infinite_19_1</t>
  </si>
  <si>
    <t>Unit_Monster_Infinite_19_2</t>
  </si>
  <si>
    <t>Unit_Monster_Infinite_19_3</t>
  </si>
  <si>
    <t>Unit_Monster_Infinite_20_1</t>
  </si>
  <si>
    <t>Unit_Monster_Infinite_20_2</t>
  </si>
  <si>
    <t>Unit_Monster_Infinite_20_3</t>
  </si>
  <si>
    <t>Unit_Monster_Infinite_20_4</t>
  </si>
  <si>
    <t>res_id</t>
  </si>
  <si>
    <t>moveSpeed</t>
  </si>
  <si>
    <t>rotationSpeed</t>
  </si>
  <si>
    <t>isNeedChkMesh</t>
  </si>
  <si>
    <t>attackPointHeight</t>
  </si>
  <si>
    <t>bodyHeight</t>
  </si>
  <si>
    <t>bodyRadius</t>
  </si>
  <si>
    <t>resScale</t>
  </si>
  <si>
    <t>deathShow</t>
  </si>
  <si>
    <t>idle_timeline_id</t>
  </si>
  <si>
    <t>move_timeline_id</t>
  </si>
  <si>
    <t>skillList</t>
  </si>
  <si>
    <t>string#ref=ResUnitCfgCategory</t>
  </si>
  <si>
    <t>string#ref=propertyType@UnitPropertyCfgCategory</t>
  </si>
  <si>
    <t>string#ref=ActionCfg_DeathShowCategory</t>
  </si>
  <si>
    <t>(list#sep=;),string#ref=SkillCfgCategory</t>
  </si>
  <si>
    <t>Monster_Infinite_1_1</t>
  </si>
  <si>
    <t>Monster_Infinite_2_1</t>
  </si>
  <si>
    <t>Monster_Infinite_3_1</t>
  </si>
  <si>
    <t>Monster_Infinite_4_1</t>
  </si>
  <si>
    <t>Monster_Infinite_4_2</t>
  </si>
  <si>
    <t>Monster_Infinite_5_1</t>
  </si>
  <si>
    <t>Monster_Infinite_5_2</t>
  </si>
  <si>
    <t>Monster_Infinite_6_1</t>
  </si>
  <si>
    <t>Monster_Infinite_6_2</t>
  </si>
  <si>
    <t>Monster_Infinite_7_1</t>
  </si>
  <si>
    <t>Monster_Infinite_7_2</t>
  </si>
  <si>
    <t>Monster_Infinite_8_1</t>
  </si>
  <si>
    <t>Monster_Infinite_8_2</t>
  </si>
  <si>
    <t>Monster_Infinite_9_1</t>
  </si>
  <si>
    <t>Monster_Infinite_9_2</t>
  </si>
  <si>
    <t>Monster_Infinite_10_1</t>
  </si>
  <si>
    <t>Monster_Infinite_10_2</t>
  </si>
  <si>
    <t>Monster_Infinite_11_1</t>
  </si>
  <si>
    <t>Monster_Infinite_11_2</t>
  </si>
  <si>
    <t>Monster_Infinite_12_1</t>
  </si>
  <si>
    <t>Monster_Infinite_12_2</t>
  </si>
  <si>
    <t>Monster_Infinite_13_1</t>
  </si>
  <si>
    <t>Monster_Infinite_14_1</t>
  </si>
  <si>
    <t>Monster_Infinite_14_2</t>
  </si>
  <si>
    <t>Monster_Infinite_15_1</t>
  </si>
  <si>
    <t>Monster_Infinite_15_2</t>
  </si>
  <si>
    <t>Monster_Infinite_16_1</t>
  </si>
  <si>
    <t>Monster_Infinite_16_2</t>
  </si>
  <si>
    <t>Monster_Infinite_17_1</t>
  </si>
  <si>
    <t>Monster_Infinite_17_2</t>
  </si>
  <si>
    <t>Monster_Infinite_18_1</t>
  </si>
  <si>
    <t>Monster_Infinite_18_2</t>
  </si>
  <si>
    <t>Monster_Infinite_19_1</t>
  </si>
  <si>
    <t>Monster_Infinite_19_2</t>
  </si>
  <si>
    <t>Monster_Infinite_20_1</t>
  </si>
  <si>
    <t>Monster_Infinite_20_2</t>
  </si>
  <si>
    <t>体型系数</t>
    <phoneticPr fontId="4" type="noConversion"/>
  </si>
  <si>
    <t>Monster_Infinite_2_2</t>
  </si>
  <si>
    <t>Monster_Infinite_3_2</t>
  </si>
  <si>
    <t>Monster_Infinite_12_3</t>
  </si>
  <si>
    <t>Monster_Infinite_19_3</t>
  </si>
  <si>
    <t>Monster_Infinite_20_3</t>
  </si>
  <si>
    <t>Monster_Infinite_20_4</t>
  </si>
  <si>
    <t>无限模式怪物</t>
    <phoneticPr fontId="4" type="noConversion"/>
  </si>
  <si>
    <t>ResUnit_MiFeng1</t>
    <phoneticPr fontId="4" type="noConversion"/>
  </si>
  <si>
    <t>蜜蜂1</t>
  </si>
  <si>
    <t>蜜蜂2</t>
  </si>
  <si>
    <t>蜜蜂3</t>
  </si>
  <si>
    <t>蝙蝠1</t>
  </si>
  <si>
    <t>蝙蝠2</t>
  </si>
  <si>
    <t>蜘蛛1</t>
  </si>
  <si>
    <t>蜘蛛2</t>
  </si>
  <si>
    <t>蜘蛛3</t>
  </si>
  <si>
    <t>种子1</t>
  </si>
  <si>
    <t>种子2</t>
  </si>
  <si>
    <t>种子3</t>
  </si>
  <si>
    <t>鬼1</t>
  </si>
  <si>
    <t>鬼2</t>
  </si>
  <si>
    <t>鬼3</t>
  </si>
  <si>
    <t>蛋1</t>
  </si>
  <si>
    <t>蛋2</t>
  </si>
  <si>
    <t>蛋3</t>
  </si>
  <si>
    <t>蜜蜂1</t>
    <phoneticPr fontId="4" type="noConversion"/>
  </si>
  <si>
    <t>蜜蜂2</t>
    <phoneticPr fontId="4" type="noConversion"/>
  </si>
  <si>
    <t>蝙蝠1</t>
    <phoneticPr fontId="4" type="noConversion"/>
  </si>
  <si>
    <t>蜜蜂3</t>
    <phoneticPr fontId="4" type="noConversion"/>
  </si>
  <si>
    <t>蜘蛛1</t>
    <phoneticPr fontId="4" type="noConversion"/>
  </si>
  <si>
    <t>蝙蝠2</t>
    <phoneticPr fontId="4" type="noConversion"/>
  </si>
  <si>
    <t>蜘蛛3</t>
    <phoneticPr fontId="4" type="noConversion"/>
  </si>
  <si>
    <t>种子1</t>
    <phoneticPr fontId="4" type="noConversion"/>
  </si>
  <si>
    <t>蜘蛛2</t>
    <phoneticPr fontId="4" type="noConversion"/>
  </si>
  <si>
    <t>种子3</t>
    <phoneticPr fontId="4" type="noConversion"/>
  </si>
  <si>
    <t>鬼1</t>
    <phoneticPr fontId="4" type="noConversion"/>
  </si>
  <si>
    <t>种子2</t>
    <phoneticPr fontId="4" type="noConversion"/>
  </si>
  <si>
    <t>鬼3</t>
    <phoneticPr fontId="4" type="noConversion"/>
  </si>
  <si>
    <t>蛋1</t>
    <phoneticPr fontId="4" type="noConversion"/>
  </si>
  <si>
    <t>蛋2</t>
    <phoneticPr fontId="4" type="noConversion"/>
  </si>
  <si>
    <t>蛋3</t>
    <phoneticPr fontId="4" type="noConversion"/>
  </si>
  <si>
    <t>鬼2</t>
    <phoneticPr fontId="4" type="noConversion"/>
  </si>
  <si>
    <t>Skill_Monster_Infinite_9_2_ZhongZi</t>
  </si>
  <si>
    <t>Skill_Monster_Infinite_10_2_ZhongZi</t>
  </si>
  <si>
    <t>Skill_Monster_Infinite_11_1_ZhongZi</t>
  </si>
  <si>
    <t>Skill_Monster_Infinite_12_2_ZhongZi</t>
  </si>
  <si>
    <t>Skill_Monster_Infinite_12_3_ZhongZi</t>
  </si>
  <si>
    <t>Skill_Monster_Infinite_13_1_Gui</t>
  </si>
  <si>
    <t>Skill_Monster_Infinite_14_1_Gui</t>
  </si>
  <si>
    <t>Skill_Monster_Infinite_15_1_Gui</t>
  </si>
  <si>
    <t>Skill_Monster_Infinite_15_2_ZhongZi</t>
  </si>
  <si>
    <t>Skill_Monster_Infinite_16_2_Gui</t>
  </si>
  <si>
    <t>Skill_Monster_Infinite_17_2_Dan</t>
  </si>
  <si>
    <t>Skill_Monster_Infinite_18_1_Dan</t>
  </si>
  <si>
    <t>Skill_Monster_Infinite_19_3_ZhongZi</t>
  </si>
  <si>
    <t>Skill_Monster_Infinite_20_1_Dan</t>
  </si>
  <si>
    <t>Skill_Monster_Infinite_20_2_Gui</t>
  </si>
  <si>
    <t>Skill_Monster_Infinite_20_3_ZhongZi</t>
  </si>
  <si>
    <t>Skill_Monster_Infinite_20_4_Dan</t>
  </si>
  <si>
    <t>FixedBlood</t>
  </si>
  <si>
    <t>DamageUnit_Infinite_9_2_ZhongZi</t>
  </si>
  <si>
    <t>无限模式怪物恢复技能_固定回血</t>
    <phoneticPr fontId="4" type="noConversion"/>
  </si>
  <si>
    <t>DamageUnit_Infinite_10_2_ZhongZi</t>
  </si>
  <si>
    <t>DamageUnit_Infinite_11_1_ZhongZi</t>
  </si>
  <si>
    <t>DamageUnit_Infinite_12_2_ZhongZi</t>
  </si>
  <si>
    <t>DamageUnit_Infinite_12_3_ZhongZi</t>
  </si>
  <si>
    <t>DamageUnit_Infinite_15_2_ZhongZi</t>
  </si>
  <si>
    <t>DamageUnit_Infinite_19_3_ZhongZi</t>
  </si>
  <si>
    <t>DamageUnit_Infinite_20_3_ZhongZi</t>
  </si>
  <si>
    <t>卡池</t>
    <phoneticPr fontId="4" type="noConversion"/>
  </si>
  <si>
    <t>加农炮</t>
    <phoneticPr fontId="4" type="noConversion"/>
  </si>
  <si>
    <t>每关敌人（难度≈杀光怪所需时间）：</t>
    <phoneticPr fontId="4" type="noConversion"/>
  </si>
  <si>
    <t>波次1</t>
    <phoneticPr fontId="4" type="noConversion"/>
  </si>
  <si>
    <t>波次2</t>
  </si>
  <si>
    <t>波次3</t>
  </si>
  <si>
    <t>波次4</t>
  </si>
  <si>
    <t>波次5</t>
  </si>
  <si>
    <t>火焰塔</t>
    <phoneticPr fontId="4" type="noConversion"/>
  </si>
  <si>
    <t>加速塔</t>
    <phoneticPr fontId="4" type="noConversion"/>
  </si>
  <si>
    <t>龙击炮</t>
    <phoneticPr fontId="4" type="noConversion"/>
  </si>
  <si>
    <t>混合</t>
    <phoneticPr fontId="4" type="noConversion"/>
  </si>
  <si>
    <t>混合+</t>
    <phoneticPr fontId="4" type="noConversion"/>
  </si>
  <si>
    <t>混合++</t>
    <phoneticPr fontId="4" type="noConversion"/>
  </si>
  <si>
    <t>普通+快速</t>
    <phoneticPr fontId="4" type="noConversion"/>
  </si>
  <si>
    <t>集群+快速</t>
    <phoneticPr fontId="4" type="noConversion"/>
  </si>
  <si>
    <t>普通+治疗</t>
    <phoneticPr fontId="4" type="noConversion"/>
  </si>
  <si>
    <t>集群+治疗</t>
    <phoneticPr fontId="4" type="noConversion"/>
  </si>
  <si>
    <t>隐身+快速</t>
    <phoneticPr fontId="4" type="noConversion"/>
  </si>
  <si>
    <t>隐身+集群</t>
    <phoneticPr fontId="4" type="noConversion"/>
  </si>
  <si>
    <t>隐身+治疗</t>
    <phoneticPr fontId="4" type="noConversion"/>
  </si>
  <si>
    <t>隐身+普通</t>
    <phoneticPr fontId="4" type="noConversion"/>
  </si>
  <si>
    <t>弱化</t>
    <phoneticPr fontId="4" type="noConversion"/>
  </si>
  <si>
    <t>弱化+快速</t>
    <phoneticPr fontId="4" type="noConversion"/>
  </si>
  <si>
    <t>弱化+治疗</t>
    <phoneticPr fontId="4" type="noConversion"/>
  </si>
  <si>
    <t>弱化+隐身</t>
    <phoneticPr fontId="4" type="noConversion"/>
  </si>
  <si>
    <t>弱化+BOSS</t>
    <phoneticPr fontId="4" type="noConversion"/>
  </si>
  <si>
    <t>治疗+快速</t>
    <phoneticPr fontId="4" type="noConversion"/>
  </si>
  <si>
    <t>时长</t>
    <phoneticPr fontId="4" type="noConversion"/>
  </si>
  <si>
    <t>怪物出怪间隔（s）</t>
    <phoneticPr fontId="4" type="noConversion"/>
  </si>
  <si>
    <t>单局养成速度（所需回合数）</t>
    <phoneticPr fontId="4" type="noConversion"/>
  </si>
  <si>
    <t>ID</t>
    <phoneticPr fontId="4" type="noConversion"/>
  </si>
  <si>
    <t>回复怪</t>
    <phoneticPr fontId="4" type="noConversion"/>
  </si>
  <si>
    <t>虚弱怪</t>
    <phoneticPr fontId="4" type="noConversion"/>
  </si>
  <si>
    <t>TowerDefenseCfg_Challenge1</t>
  </si>
  <si>
    <t>TowerDefenseCfg_Challenge2</t>
  </si>
  <si>
    <t>TowerDefenseCfg_Challenge3</t>
  </si>
  <si>
    <t>TowerDefenseCfg_Challenge4</t>
  </si>
  <si>
    <t>TowerDefenseCfg_Challenge5</t>
  </si>
  <si>
    <t>挑战关卡1</t>
    <phoneticPr fontId="4" type="noConversion"/>
  </si>
  <si>
    <t>挑战关卡2</t>
  </si>
  <si>
    <t>挑战关卡3</t>
  </si>
  <si>
    <t>挑战关卡4</t>
  </si>
  <si>
    <t>挑战关卡5</t>
  </si>
  <si>
    <t>BuyTowerRefreshRule_Infinite</t>
    <phoneticPr fontId="4" type="noConversion"/>
  </si>
  <si>
    <t>BuyTowerRefreshRule_Challenge1</t>
  </si>
  <si>
    <t>MonsterWaveCallRule_Challenge1</t>
  </si>
  <si>
    <t>BuyTowerRefreshRule_Challenge2</t>
  </si>
  <si>
    <t>MonsterWaveCallRule_Challenge2</t>
  </si>
  <si>
    <t>BuyTowerRefreshRule_Challenge3</t>
  </si>
  <si>
    <t>MonsterWaveCallRule_Challenge3</t>
  </si>
  <si>
    <t>BuyTowerRefreshRule_Challenge4</t>
  </si>
  <si>
    <t>MonsterWaveCallRule_Challenge4</t>
  </si>
  <si>
    <t>BuyTowerRefreshRule_Challenge5</t>
  </si>
  <si>
    <t>MonsterWaveCallRule_Challenge5</t>
  </si>
  <si>
    <t>无限模式怪物1_1</t>
  </si>
  <si>
    <t>无限模式怪物2_1</t>
  </si>
  <si>
    <t>无限模式怪物2_2</t>
  </si>
  <si>
    <t>无限模式怪物3_1</t>
  </si>
  <si>
    <t>无限模式怪物3_2</t>
  </si>
  <si>
    <t>无限模式怪物4_1</t>
  </si>
  <si>
    <t>无限模式怪物4_2</t>
  </si>
  <si>
    <t>无限模式怪物5_1</t>
  </si>
  <si>
    <t>无限模式怪物5_2</t>
  </si>
  <si>
    <t>无限模式怪物6_1</t>
  </si>
  <si>
    <t>无限模式怪物6_2</t>
  </si>
  <si>
    <t>无限模式怪物7_1</t>
  </si>
  <si>
    <t>无限模式怪物7_2</t>
  </si>
  <si>
    <t>无限模式怪物8_1</t>
  </si>
  <si>
    <t>无限模式怪物8_2</t>
  </si>
  <si>
    <t>无限模式怪物9_1</t>
  </si>
  <si>
    <t>无限模式怪物9_2</t>
  </si>
  <si>
    <t>无限模式怪物10_1</t>
  </si>
  <si>
    <t>无限模式怪物10_2</t>
  </si>
  <si>
    <t>无限模式怪物11_1</t>
  </si>
  <si>
    <t>无限模式怪物11_2</t>
  </si>
  <si>
    <t>无限模式怪物12_1</t>
  </si>
  <si>
    <t>无限模式怪物12_2</t>
  </si>
  <si>
    <t>无限模式怪物12_3</t>
  </si>
  <si>
    <t>无限模式怪物13_1</t>
  </si>
  <si>
    <t>无限模式怪物14_1</t>
  </si>
  <si>
    <t>无限模式怪物14_2</t>
  </si>
  <si>
    <t>无限模式怪物15_1</t>
  </si>
  <si>
    <t>无限模式怪物15_2</t>
  </si>
  <si>
    <t>无限模式怪物16_1</t>
  </si>
  <si>
    <t>无限模式怪物16_2</t>
  </si>
  <si>
    <t>无限模式怪物17_1</t>
  </si>
  <si>
    <t>无限模式怪物17_2</t>
  </si>
  <si>
    <t>无限模式怪物18_1</t>
  </si>
  <si>
    <t>无限模式怪物18_2</t>
  </si>
  <si>
    <t>无限模式怪物19_1</t>
  </si>
  <si>
    <t>无限模式怪物19_2</t>
  </si>
  <si>
    <t>无限模式怪物19_3</t>
  </si>
  <si>
    <t>无限模式怪物20_1</t>
  </si>
  <si>
    <t>无限模式怪物20_2</t>
  </si>
  <si>
    <t>无限模式怪物20_3</t>
  </si>
  <si>
    <t>无限模式怪物20_4</t>
  </si>
  <si>
    <t>挑战关卡怪物1_1_1</t>
  </si>
  <si>
    <t>挑战关卡怪物1_2_1</t>
  </si>
  <si>
    <t>挑战关卡怪物1_3_1</t>
  </si>
  <si>
    <t>挑战关卡怪物1_3_2</t>
  </si>
  <si>
    <t>挑战关卡怪物1_4_1</t>
  </si>
  <si>
    <t>挑战关卡怪物1_4_2</t>
  </si>
  <si>
    <t>挑战关卡怪物1_5_1</t>
  </si>
  <si>
    <t>挑战关卡怪物1_5_2</t>
  </si>
  <si>
    <t>挑战关卡怪物2_1_1</t>
  </si>
  <si>
    <t>挑战关卡怪物2_2_1</t>
  </si>
  <si>
    <t>挑战关卡怪物2_2_2</t>
  </si>
  <si>
    <t>挑战关卡怪物2_3_1</t>
  </si>
  <si>
    <t>挑战关卡怪物2_3_2</t>
  </si>
  <si>
    <t>挑战关卡怪物2_4_1</t>
  </si>
  <si>
    <t>挑战关卡怪物2_4_2</t>
  </si>
  <si>
    <t>挑战关卡怪物2_4_3</t>
  </si>
  <si>
    <t>挑战关卡怪物2_5_1</t>
  </si>
  <si>
    <t>挑战关卡怪物2_5_2</t>
  </si>
  <si>
    <t>挑战关卡怪物2_5_3</t>
  </si>
  <si>
    <t>挑战关卡怪物3_2_1</t>
  </si>
  <si>
    <t>挑战关卡怪物3_2_2</t>
  </si>
  <si>
    <t>挑战关卡怪物3_3_1</t>
  </si>
  <si>
    <t>挑战关卡怪物3_3_2</t>
  </si>
  <si>
    <t>挑战关卡怪物3_4_1</t>
  </si>
  <si>
    <t>挑战关卡怪物3_4_2</t>
  </si>
  <si>
    <t>挑战关卡怪物3_4_3</t>
  </si>
  <si>
    <t>挑战关卡怪物3_5_1</t>
  </si>
  <si>
    <t>挑战关卡怪物3_5_2</t>
  </si>
  <si>
    <t>挑战关卡怪物3_5_3</t>
  </si>
  <si>
    <t>挑战关卡怪物4_1_1</t>
  </si>
  <si>
    <t>挑战关卡怪物4_2_1</t>
  </si>
  <si>
    <t>挑战关卡怪物4_2_2</t>
  </si>
  <si>
    <t>挑战关卡怪物4_3_1</t>
  </si>
  <si>
    <t>挑战关卡怪物4_3_2</t>
  </si>
  <si>
    <t>挑战关卡怪物4_4_1</t>
  </si>
  <si>
    <t>挑战关卡怪物4_4_2</t>
  </si>
  <si>
    <t>挑战关卡怪物4_5_1</t>
  </si>
  <si>
    <t>挑战关卡怪物4_5_2</t>
  </si>
  <si>
    <t>挑战关卡怪物5_1_1</t>
  </si>
  <si>
    <t>挑战关卡怪物5_2_1</t>
  </si>
  <si>
    <t>挑战关卡怪物5_2_2</t>
  </si>
  <si>
    <t>挑战关卡怪物5_3_1</t>
  </si>
  <si>
    <t>挑战关卡怪物5_3_2</t>
  </si>
  <si>
    <t>挑战关卡怪物5_3_3</t>
  </si>
  <si>
    <t>挑战关卡怪物5_4_1</t>
  </si>
  <si>
    <t>挑战关卡怪物5_4_2</t>
  </si>
  <si>
    <t>挑战关卡怪物5_5_1</t>
  </si>
  <si>
    <t>挑战关卡怪物5_5_2</t>
  </si>
  <si>
    <t>挑战关卡怪物5_5_3</t>
  </si>
  <si>
    <t>挑战关卡怪物5_5_4</t>
  </si>
  <si>
    <t>Unit_Monster_Challenge1_1_1</t>
  </si>
  <si>
    <t>Unit_Monster_Challenge1_2_1</t>
  </si>
  <si>
    <t>Unit_Monster_Challenge1_3_1</t>
  </si>
  <si>
    <t>Unit_Monster_Challenge1_3_2</t>
  </si>
  <si>
    <t>Unit_Monster_Challenge1_4_1</t>
  </si>
  <si>
    <t>Unit_Monster_Challenge1_4_2</t>
  </si>
  <si>
    <t>Unit_Monster_Challenge1_5_1</t>
  </si>
  <si>
    <t>Unit_Monster_Challenge1_5_2</t>
  </si>
  <si>
    <t>Unit_Monster_Challenge2_1_1</t>
  </si>
  <si>
    <t>Unit_Monster_Challenge2_2_1</t>
  </si>
  <si>
    <t>Unit_Monster_Challenge2_2_2</t>
  </si>
  <si>
    <t>Unit_Monster_Challenge2_3_1</t>
  </si>
  <si>
    <t>Unit_Monster_Challenge2_3_2</t>
  </si>
  <si>
    <t>Unit_Monster_Challenge2_4_1</t>
  </si>
  <si>
    <t>Unit_Monster_Challenge2_4_2</t>
  </si>
  <si>
    <t>Unit_Monster_Challenge2_4_3</t>
  </si>
  <si>
    <t>Unit_Monster_Challenge2_5_1</t>
  </si>
  <si>
    <t>Unit_Monster_Challenge2_5_2</t>
  </si>
  <si>
    <t>Unit_Monster_Challenge2_5_3</t>
  </si>
  <si>
    <t>Unit_Monster_Challenge3_2_1</t>
  </si>
  <si>
    <t>Unit_Monster_Challenge3_2_2</t>
  </si>
  <si>
    <t>Unit_Monster_Challenge3_3_1</t>
  </si>
  <si>
    <t>Unit_Monster_Challenge3_3_2</t>
  </si>
  <si>
    <t>Unit_Monster_Challenge3_4_1</t>
  </si>
  <si>
    <t>Unit_Monster_Challenge3_4_2</t>
  </si>
  <si>
    <t>Unit_Monster_Challenge3_4_3</t>
  </si>
  <si>
    <t>Unit_Monster_Challenge3_5_1</t>
  </si>
  <si>
    <t>Unit_Monster_Challenge3_5_2</t>
  </si>
  <si>
    <t>Unit_Monster_Challenge3_5_3</t>
  </si>
  <si>
    <t>Unit_Monster_Challenge4_1_1</t>
  </si>
  <si>
    <t>Unit_Monster_Challenge4_2_1</t>
  </si>
  <si>
    <t>Unit_Monster_Challenge4_2_2</t>
  </si>
  <si>
    <t>Unit_Monster_Challenge4_3_1</t>
  </si>
  <si>
    <t>Unit_Monster_Challenge4_3_2</t>
  </si>
  <si>
    <t>Unit_Monster_Challenge4_4_1</t>
  </si>
  <si>
    <t>Unit_Monster_Challenge4_4_2</t>
  </si>
  <si>
    <t>Unit_Monster_Challenge4_5_1</t>
  </si>
  <si>
    <t>Unit_Monster_Challenge4_5_2</t>
  </si>
  <si>
    <t>Unit_Monster_Challenge5_2_1</t>
  </si>
  <si>
    <t>Unit_Monster_Challenge5_2_2</t>
  </si>
  <si>
    <t>Unit_Monster_Challenge5_3_1</t>
  </si>
  <si>
    <t>Unit_Monster_Challenge5_3_2</t>
  </si>
  <si>
    <t>Unit_Monster_Challenge5_3_3</t>
  </si>
  <si>
    <t>Unit_Monster_Challenge5_4_1</t>
  </si>
  <si>
    <t>Unit_Monster_Challenge5_4_2</t>
  </si>
  <si>
    <t>Unit_Monster_Challenge5_5_1</t>
  </si>
  <si>
    <t>Unit_Monster_Challenge5_5_2</t>
  </si>
  <si>
    <t>Unit_Monster_Challenge5_5_3</t>
  </si>
  <si>
    <t>Unit_Monster_Challenge5_5_4</t>
  </si>
  <si>
    <t>Monster_Infinite_1_1</t>
    <phoneticPr fontId="4" type="noConversion"/>
  </si>
  <si>
    <t>Unit_Monster_Challenge5_1_1</t>
    <phoneticPr fontId="4" type="noConversion"/>
  </si>
  <si>
    <t>Monster_Challenge1_1_1</t>
  </si>
  <si>
    <t>Monster_Challenge1_2_1</t>
  </si>
  <si>
    <t>Monster_Challenge1_3_1</t>
  </si>
  <si>
    <t>Monster_Challenge1_3_2</t>
  </si>
  <si>
    <t>Monster_Challenge1_4_1</t>
  </si>
  <si>
    <t>Monster_Challenge1_4_2</t>
  </si>
  <si>
    <t>Monster_Challenge1_5_1</t>
  </si>
  <si>
    <t>Monster_Challenge1_5_2</t>
  </si>
  <si>
    <t>Monster_Challenge2_1_1</t>
  </si>
  <si>
    <t>Monster_Challenge2_2_1</t>
  </si>
  <si>
    <t>Monster_Challenge2_2_2</t>
  </si>
  <si>
    <t>Monster_Challenge2_3_1</t>
  </si>
  <si>
    <t>Monster_Challenge2_3_2</t>
  </si>
  <si>
    <t>Monster_Challenge2_4_1</t>
  </si>
  <si>
    <t>Monster_Challenge2_4_2</t>
  </si>
  <si>
    <t>Monster_Challenge2_4_3</t>
  </si>
  <si>
    <t>Monster_Challenge2_5_1</t>
  </si>
  <si>
    <t>Monster_Challenge2_5_2</t>
  </si>
  <si>
    <t>Monster_Challenge2_5_3</t>
  </si>
  <si>
    <t>Monster_Challenge3_2_1</t>
  </si>
  <si>
    <t>Monster_Challenge3_2_2</t>
  </si>
  <si>
    <t>Monster_Challenge3_3_1</t>
  </si>
  <si>
    <t>Monster_Challenge3_3_2</t>
  </si>
  <si>
    <t>Monster_Challenge3_4_1</t>
  </si>
  <si>
    <t>Monster_Challenge3_4_2</t>
  </si>
  <si>
    <t>Monster_Challenge3_4_3</t>
  </si>
  <si>
    <t>Monster_Challenge3_5_1</t>
  </si>
  <si>
    <t>Monster_Challenge3_5_2</t>
  </si>
  <si>
    <t>Monster_Challenge3_5_3</t>
  </si>
  <si>
    <t>Monster_Challenge4_1_1</t>
  </si>
  <si>
    <t>Monster_Challenge4_2_1</t>
  </si>
  <si>
    <t>Monster_Challenge4_2_2</t>
  </si>
  <si>
    <t>Monster_Challenge4_3_1</t>
  </si>
  <si>
    <t>Monster_Challenge4_3_2</t>
  </si>
  <si>
    <t>Monster_Challenge4_4_1</t>
  </si>
  <si>
    <t>Monster_Challenge4_4_2</t>
  </si>
  <si>
    <t>Monster_Challenge4_5_1</t>
  </si>
  <si>
    <t>Monster_Challenge4_5_2</t>
  </si>
  <si>
    <t>Monster_Challenge5_1_1</t>
  </si>
  <si>
    <t>Monster_Challenge5_2_1</t>
  </si>
  <si>
    <t>Monster_Challenge5_2_2</t>
  </si>
  <si>
    <t>Monster_Challenge5_3_1</t>
  </si>
  <si>
    <t>Monster_Challenge5_3_2</t>
  </si>
  <si>
    <t>Monster_Challenge5_3_3</t>
  </si>
  <si>
    <t>Monster_Challenge5_4_1</t>
  </si>
  <si>
    <t>Monster_Challenge5_4_2</t>
  </si>
  <si>
    <t>Monster_Challenge5_5_1</t>
  </si>
  <si>
    <t>Monster_Challenge5_5_2</t>
  </si>
  <si>
    <t>Monster_Challenge5_5_3</t>
  </si>
  <si>
    <t>Monster_Challenge5_5_4</t>
  </si>
  <si>
    <t>Unit_Monster_Challenge3_1_1</t>
    <phoneticPr fontId="4" type="noConversion"/>
  </si>
  <si>
    <t>Monster_Challenge3_1_1</t>
    <phoneticPr fontId="4" type="noConversion"/>
  </si>
  <si>
    <t>挑战关卡怪物3_1_1</t>
    <phoneticPr fontId="4" type="noConversion"/>
  </si>
  <si>
    <t>Skill_Monster_Challenge3_1_1</t>
  </si>
  <si>
    <t>Skill_Monster_Challenge3_2_1</t>
  </si>
  <si>
    <t>Skill_Monster_Challenge3_3_1</t>
  </si>
  <si>
    <t>Skill_Monster_Challenge3_4_1</t>
  </si>
  <si>
    <t>Skill_Monster_Challenge3_5_1</t>
  </si>
  <si>
    <t>Skill_Monster_Challenge4_5_2</t>
  </si>
  <si>
    <t>Skill_Monster_Challenge5_5_3</t>
  </si>
  <si>
    <t>BuffAdd_Monster_Challenge3_1_1</t>
  </si>
  <si>
    <t>BuffAdd_Monster_Challenge3_2_1</t>
  </si>
  <si>
    <t>BuffAdd_Monster_Challenge3_3_1</t>
  </si>
  <si>
    <t>BuffAdd_Monster_Challenge3_4_1</t>
  </si>
  <si>
    <t>BuffAdd_Monster_Challenge3_5_1</t>
  </si>
  <si>
    <t>BuffAdd_Monster_Challenge4_5_2</t>
  </si>
  <si>
    <t>BuffAdd_Monster_Challenge5_5_3</t>
  </si>
  <si>
    <t>DamageUnit_Monster_Challenge3_1_1</t>
  </si>
  <si>
    <t>挑战关卡怪物恢复技能_固定回血</t>
  </si>
  <si>
    <t>DamageUnit_Monster_Challenge3_2_1</t>
  </si>
  <si>
    <t>DamageUnit_Monster_Challenge3_3_1</t>
  </si>
  <si>
    <t>DamageUnit_Monster_Challenge3_4_1</t>
  </si>
  <si>
    <t>DamageUnit_Monster_Challenge3_5_1</t>
  </si>
  <si>
    <t>DamageUnit_Monster_Challenge4_5_2</t>
  </si>
  <si>
    <t>DamageUnit_Monster_Challenge5_5_3</t>
  </si>
  <si>
    <t>最低过关要求：放任意塔</t>
    <phoneticPr fontId="4" type="noConversion"/>
  </si>
  <si>
    <t>最低过关要求：放减速塔</t>
  </si>
  <si>
    <t>最低过关要求：升级塔</t>
  </si>
  <si>
    <t>最低过关要求：升级塔+曲折路线</t>
    <phoneticPr fontId="4" type="noConversion"/>
  </si>
  <si>
    <t>最低过关要求：升级塔+曲折路线+改变塔位置</t>
    <phoneticPr fontId="4" type="noConversion"/>
  </si>
  <si>
    <t>Skill_Monster_Challenge4_1_1</t>
  </si>
  <si>
    <t>Skill_Monster_Challenge4_2_1</t>
  </si>
  <si>
    <t>Skill_Monster_Challenge4_3_1</t>
  </si>
  <si>
    <t>Skill_Monster_Challenge4_4_1</t>
  </si>
  <si>
    <t>Skill_Monster_Challenge4_5_1</t>
  </si>
  <si>
    <t>Skill_Monster_Challenge5_3_3</t>
  </si>
  <si>
    <t>Skill_Monster_Challenge5_4_2</t>
  </si>
  <si>
    <t>Skill_Monster_Challenge5_5_2</t>
  </si>
  <si>
    <t>挑战关卡怪物技能_回复</t>
    <phoneticPr fontId="4" type="noConversion"/>
  </si>
  <si>
    <t>挑战关卡怪物技能_隐身</t>
    <phoneticPr fontId="4" type="noConversion"/>
  </si>
  <si>
    <t>BuffAdd_Monster_Challenge4_1_1</t>
  </si>
  <si>
    <t>BuffAdd_Monster_Challenge4_2_1</t>
  </si>
  <si>
    <t>BuffAdd_Monster_Challenge4_3_1</t>
  </si>
  <si>
    <t>BuffAdd_Monster_Challenge4_4_1</t>
  </si>
  <si>
    <t>BuffAdd_Monster_Challenge4_5_1</t>
  </si>
  <si>
    <t>BuffAdd_Monster_Challenge5_3_3</t>
  </si>
  <si>
    <t>BuffAdd_Monster_Challenge5_4_2</t>
  </si>
  <si>
    <t>BuffAdd_Monster_Challenge5_5_2</t>
  </si>
  <si>
    <t>Skill_Monster_Challenge5_1_1</t>
  </si>
  <si>
    <t>Skill_Monster_Challenge5_2_1</t>
  </si>
  <si>
    <t>Skill_Monster_Challenge5_3_1</t>
  </si>
  <si>
    <t>Skill_Monster_Challenge5_4_1</t>
  </si>
  <si>
    <t>Skill_Monster_Challenge5_5_1</t>
  </si>
  <si>
    <t>Skill_Monster_Challenge5_5_4</t>
  </si>
  <si>
    <t>赛季</t>
    <phoneticPr fontId="4" type="noConversion"/>
  </si>
  <si>
    <t>活动</t>
    <phoneticPr fontId="4" type="noConversion"/>
  </si>
  <si>
    <t>养成内容</t>
    <phoneticPr fontId="4" type="noConversion"/>
  </si>
  <si>
    <t>赛季特色</t>
    <phoneticPr fontId="4" type="noConversion"/>
  </si>
  <si>
    <t>奖励卡牌</t>
    <phoneticPr fontId="4" type="noConversion"/>
  </si>
  <si>
    <t>持续天数</t>
    <phoneticPr fontId="4" type="noConversion"/>
  </si>
  <si>
    <t>总天数</t>
    <phoneticPr fontId="4" type="noConversion"/>
  </si>
  <si>
    <t>总时长(单位秒,超出后失败)</t>
  </si>
  <si>
    <t>电磁/冰枪</t>
    <phoneticPr fontId="4" type="noConversion"/>
  </si>
  <si>
    <t>岩石巨人</t>
    <phoneticPr fontId="4" type="noConversion"/>
  </si>
  <si>
    <t>霸王花</t>
    <phoneticPr fontId="4" type="noConversion"/>
  </si>
  <si>
    <t>鱼刺/破甲</t>
    <phoneticPr fontId="4" type="noConversion"/>
  </si>
  <si>
    <t>骷髅大军</t>
    <phoneticPr fontId="4" type="noConversion"/>
  </si>
  <si>
    <t>火球/哥布林</t>
    <phoneticPr fontId="4" type="noConversion"/>
  </si>
  <si>
    <t>幽灵王</t>
    <phoneticPr fontId="4" type="noConversion"/>
  </si>
  <si>
    <t>火箭/天球</t>
    <phoneticPr fontId="4" type="noConversion"/>
  </si>
  <si>
    <t>养满天数</t>
    <phoneticPr fontId="4" type="noConversion"/>
  </si>
  <si>
    <t>初始金币+</t>
    <phoneticPr fontId="4" type="noConversion"/>
  </si>
  <si>
    <t>塔最大数量+</t>
    <phoneticPr fontId="4" type="noConversion"/>
  </si>
  <si>
    <t>伤害+%</t>
    <phoneticPr fontId="4" type="noConversion"/>
  </si>
  <si>
    <t>塔价格-%</t>
    <phoneticPr fontId="4" type="noConversion"/>
  </si>
  <si>
    <t>金币奖励+%</t>
    <phoneticPr fontId="4" type="noConversion"/>
  </si>
  <si>
    <t>复活+</t>
    <phoneticPr fontId="4" type="noConversion"/>
  </si>
  <si>
    <t>基地生命+</t>
    <phoneticPr fontId="4" type="noConversion"/>
  </si>
  <si>
    <t>基地恢复+</t>
    <phoneticPr fontId="4" type="noConversion"/>
  </si>
  <si>
    <t>攻击范围+</t>
    <phoneticPr fontId="4" type="noConversion"/>
  </si>
  <si>
    <t>攻击间隔-%</t>
    <phoneticPr fontId="4" type="noConversion"/>
  </si>
  <si>
    <t>钻石奖励+%</t>
    <phoneticPr fontId="4" type="noConversion"/>
  </si>
  <si>
    <t>基本加成</t>
    <phoneticPr fontId="4" type="noConversion"/>
  </si>
  <si>
    <t>养满加成</t>
    <phoneticPr fontId="4" type="noConversion"/>
  </si>
  <si>
    <t>基本加成表示玩家完成所有活动关卡能达到的水平</t>
    <phoneticPr fontId="4" type="noConversion"/>
  </si>
  <si>
    <t>偷钱</t>
    <phoneticPr fontId="4" type="noConversion"/>
  </si>
  <si>
    <t>鸟1</t>
    <phoneticPr fontId="4" type="noConversion"/>
  </si>
  <si>
    <t>鸟2</t>
  </si>
  <si>
    <t>鸟2</t>
    <phoneticPr fontId="4" type="noConversion"/>
  </si>
  <si>
    <t>鸟3</t>
  </si>
  <si>
    <t>鸟3</t>
    <phoneticPr fontId="4" type="noConversion"/>
  </si>
  <si>
    <t>ResUnit_Niao1</t>
    <phoneticPr fontId="4" type="noConversion"/>
  </si>
  <si>
    <t>ResUnit_Niao2</t>
  </si>
  <si>
    <t>ResUnit_Niao3</t>
  </si>
  <si>
    <t>加速</t>
    <phoneticPr fontId="4" type="noConversion"/>
  </si>
  <si>
    <t>活动关卡1</t>
    <phoneticPr fontId="4" type="noConversion"/>
  </si>
  <si>
    <t>活动关卡2</t>
  </si>
  <si>
    <t>活动关卡3</t>
  </si>
  <si>
    <t>活动关卡4</t>
  </si>
  <si>
    <t>活动关卡5</t>
  </si>
  <si>
    <t>挑战关卡6</t>
  </si>
  <si>
    <t>挑战关卡7</t>
  </si>
  <si>
    <t>挑战关卡8</t>
  </si>
  <si>
    <t>挑战关卡9</t>
  </si>
  <si>
    <t>挑战关卡10</t>
  </si>
  <si>
    <t>TowerDefenseCfg_Challenge6</t>
  </si>
  <si>
    <t>TowerDefenseCfg_Challenge7</t>
  </si>
  <si>
    <t>TowerDefenseCfg_Challenge8</t>
  </si>
  <si>
    <t>TowerDefenseCfg_Challenge9</t>
  </si>
  <si>
    <t>TowerDefenseCfg_Challenge10</t>
  </si>
  <si>
    <t>BuyTowerRefreshRule_Challenge6</t>
  </si>
  <si>
    <t>MonsterWaveCallRule_Challenge6</t>
  </si>
  <si>
    <t>BuyTowerRefreshRule_Challenge7</t>
  </si>
  <si>
    <t>MonsterWaveCallRule_Challenge7</t>
  </si>
  <si>
    <t>BuyTowerRefreshRule_Challenge8</t>
  </si>
  <si>
    <t>MonsterWaveCallRule_Challenge8</t>
  </si>
  <si>
    <t>BuyTowerRefreshRule_Challenge9</t>
  </si>
  <si>
    <t>MonsterWaveCallRule_Challenge9</t>
  </si>
  <si>
    <t>BuyTowerRefreshRule_Challenge10</t>
  </si>
  <si>
    <t>MonsterWaveCallRule_Challenge10</t>
  </si>
  <si>
    <t>create_action_id</t>
    <phoneticPr fontId="4" type="noConversion"/>
  </si>
  <si>
    <t>生成时Action事件id（对应ActionConfig文件夹下表格）</t>
    <phoneticPr fontId="4" type="noConversion"/>
  </si>
  <si>
    <t>Unit_Monster_Challenge6_1_1</t>
  </si>
  <si>
    <t>Unit_Monster_Challenge6_1_2</t>
  </si>
  <si>
    <t>Unit_Monster_Challenge6_2_1</t>
  </si>
  <si>
    <t>Unit_Monster_Challenge6_2_2</t>
  </si>
  <si>
    <t>Unit_Monster_Challenge6_3_1</t>
  </si>
  <si>
    <t>Unit_Monster_Challenge6_3_2</t>
  </si>
  <si>
    <t>Unit_Monster_Challenge6_3_3</t>
  </si>
  <si>
    <t>Unit_Monster_Challenge6_4_1</t>
  </si>
  <si>
    <t>Unit_Monster_Challenge6_4_2</t>
  </si>
  <si>
    <t>Unit_Monster_Challenge6_4_3</t>
  </si>
  <si>
    <t>Unit_Monster_Challenge6_5_1</t>
  </si>
  <si>
    <t>Unit_Monster_Challenge6_5_2</t>
  </si>
  <si>
    <t>Unit_Monster_Challenge6_5_3</t>
  </si>
  <si>
    <t>Unit_Monster_Challenge7_1_1</t>
  </si>
  <si>
    <t>Unit_Monster_Challenge7_1_2</t>
  </si>
  <si>
    <t>Unit_Monster_Challenge7_2_1</t>
  </si>
  <si>
    <t>Unit_Monster_Challenge7_2_2</t>
  </si>
  <si>
    <t>Unit_Monster_Challenge7_2_3</t>
  </si>
  <si>
    <t>Unit_Monster_Challenge7_3_1</t>
  </si>
  <si>
    <t>Unit_Monster_Challenge7_3_2</t>
  </si>
  <si>
    <t>Unit_Monster_Challenge7_3_3</t>
  </si>
  <si>
    <t>Unit_Monster_Challenge7_4_1</t>
  </si>
  <si>
    <t>Unit_Monster_Challenge7_4_2</t>
  </si>
  <si>
    <t>Unit_Monster_Challenge7_4_3</t>
  </si>
  <si>
    <t>Unit_Monster_Challenge7_4_4</t>
  </si>
  <si>
    <t>Unit_Monster_Challenge7_5_1</t>
  </si>
  <si>
    <t>Unit_Monster_Challenge7_5_2</t>
  </si>
  <si>
    <t>Unit_Monster_Challenge7_5_3</t>
  </si>
  <si>
    <t>Unit_Monster_Challenge7_5_4</t>
  </si>
  <si>
    <t>Unit_Monster_Challenge8_1_1</t>
  </si>
  <si>
    <t>Unit_Monster_Challenge8_1_2</t>
  </si>
  <si>
    <t>Unit_Monster_Challenge8_2_1</t>
  </si>
  <si>
    <t>Unit_Monster_Challenge8_2_2</t>
  </si>
  <si>
    <t>Unit_Monster_Challenge8_2_3</t>
  </si>
  <si>
    <t>Unit_Monster_Challenge8_3_1</t>
  </si>
  <si>
    <t>Unit_Monster_Challenge8_3_2</t>
  </si>
  <si>
    <t>Unit_Monster_Challenge8_3_3</t>
  </si>
  <si>
    <t>Unit_Monster_Challenge8_4_1</t>
  </si>
  <si>
    <t>Unit_Monster_Challenge8_4_2</t>
  </si>
  <si>
    <t>Unit_Monster_Challenge8_4_3</t>
  </si>
  <si>
    <t>Unit_Monster_Challenge8_4_4</t>
  </si>
  <si>
    <t>Unit_Monster_Challenge8_5_1</t>
  </si>
  <si>
    <t>Unit_Monster_Challenge8_5_2</t>
  </si>
  <si>
    <t>Unit_Monster_Challenge8_5_3</t>
  </si>
  <si>
    <t>Unit_Monster_Challenge8_5_4</t>
  </si>
  <si>
    <t>Unit_Monster_Challenge9_1_1</t>
  </si>
  <si>
    <t>Unit_Monster_Challenge9_1_2</t>
  </si>
  <si>
    <t>Unit_Monster_Challenge9_2_1</t>
  </si>
  <si>
    <t>Unit_Monster_Challenge9_2_2</t>
  </si>
  <si>
    <t>Unit_Monster_Challenge9_2_3</t>
  </si>
  <si>
    <t>Unit_Monster_Challenge9_3_1</t>
  </si>
  <si>
    <t>Unit_Monster_Challenge9_3_2</t>
  </si>
  <si>
    <t>Unit_Monster_Challenge9_3_3</t>
  </si>
  <si>
    <t>Unit_Monster_Challenge9_4_1</t>
  </si>
  <si>
    <t>Unit_Monster_Challenge9_4_2</t>
  </si>
  <si>
    <t>Unit_Monster_Challenge9_4_3</t>
  </si>
  <si>
    <t>Unit_Monster_Challenge9_5_1</t>
  </si>
  <si>
    <t>Unit_Monster_Challenge9_5_2</t>
  </si>
  <si>
    <t>Unit_Monster_Challenge9_5_3</t>
  </si>
  <si>
    <t>Unit_Monster_Challenge10_1_1</t>
  </si>
  <si>
    <t>Unit_Monster_Challenge10_1_2</t>
  </si>
  <si>
    <t>Unit_Monster_Challenge10_2_1</t>
  </si>
  <si>
    <t>Unit_Monster_Challenge10_2_2</t>
  </si>
  <si>
    <t>Unit_Monster_Challenge10_2_3</t>
  </si>
  <si>
    <t>Unit_Monster_Challenge10_3_1</t>
  </si>
  <si>
    <t>Unit_Monster_Challenge10_3_2</t>
  </si>
  <si>
    <t>Unit_Monster_Challenge10_3_3</t>
  </si>
  <si>
    <t>Unit_Monster_Challenge10_3_4</t>
  </si>
  <si>
    <t>Unit_Monster_Challenge10_4_1</t>
  </si>
  <si>
    <t>Unit_Monster_Challenge10_4_2</t>
  </si>
  <si>
    <t>Unit_Monster_Challenge10_4_3</t>
  </si>
  <si>
    <t>Unit_Monster_Challenge10_5_1</t>
  </si>
  <si>
    <t>Unit_Monster_Challenge10_5_2</t>
  </si>
  <si>
    <t>Unit_Monster_Challenge10_5_3</t>
  </si>
  <si>
    <t>Unit_Monster_Challenge10_5_4</t>
  </si>
  <si>
    <t>挑战关卡怪物6_1_1</t>
  </si>
  <si>
    <t>挑战关卡怪物6_1_2</t>
  </si>
  <si>
    <t>挑战关卡怪物6_2_1</t>
  </si>
  <si>
    <t>挑战关卡怪物6_2_2</t>
  </si>
  <si>
    <t>挑战关卡怪物6_3_1</t>
  </si>
  <si>
    <t>挑战关卡怪物6_3_2</t>
  </si>
  <si>
    <t>挑战关卡怪物6_3_3</t>
  </si>
  <si>
    <t>挑战关卡怪物6_4_1</t>
  </si>
  <si>
    <t>挑战关卡怪物6_4_2</t>
  </si>
  <si>
    <t>挑战关卡怪物6_4_3</t>
  </si>
  <si>
    <t>挑战关卡怪物6_5_1</t>
  </si>
  <si>
    <t>挑战关卡怪物6_5_2</t>
  </si>
  <si>
    <t>挑战关卡怪物6_5_3</t>
  </si>
  <si>
    <t>挑战关卡怪物7_1_1</t>
  </si>
  <si>
    <t>挑战关卡怪物7_1_2</t>
  </si>
  <si>
    <t>挑战关卡怪物7_2_1</t>
  </si>
  <si>
    <t>挑战关卡怪物7_2_2</t>
  </si>
  <si>
    <t>挑战关卡怪物7_2_3</t>
  </si>
  <si>
    <t>挑战关卡怪物7_3_1</t>
  </si>
  <si>
    <t>挑战关卡怪物7_3_2</t>
  </si>
  <si>
    <t>挑战关卡怪物7_3_3</t>
  </si>
  <si>
    <t>挑战关卡怪物7_4_1</t>
  </si>
  <si>
    <t>挑战关卡怪物7_4_2</t>
  </si>
  <si>
    <t>挑战关卡怪物7_4_3</t>
  </si>
  <si>
    <t>挑战关卡怪物7_4_4</t>
  </si>
  <si>
    <t>挑战关卡怪物7_5_1</t>
  </si>
  <si>
    <t>挑战关卡怪物7_5_2</t>
  </si>
  <si>
    <t>挑战关卡怪物7_5_3</t>
  </si>
  <si>
    <t>挑战关卡怪物7_5_4</t>
  </si>
  <si>
    <t>挑战关卡怪物8_1_1</t>
  </si>
  <si>
    <t>挑战关卡怪物8_1_2</t>
  </si>
  <si>
    <t>挑战关卡怪物8_2_1</t>
  </si>
  <si>
    <t>挑战关卡怪物8_2_2</t>
  </si>
  <si>
    <t>挑战关卡怪物8_2_3</t>
  </si>
  <si>
    <t>挑战关卡怪物8_3_1</t>
  </si>
  <si>
    <t>挑战关卡怪物8_3_2</t>
  </si>
  <si>
    <t>挑战关卡怪物8_3_3</t>
  </si>
  <si>
    <t>挑战关卡怪物8_4_1</t>
  </si>
  <si>
    <t>挑战关卡怪物8_4_2</t>
  </si>
  <si>
    <t>挑战关卡怪物8_4_3</t>
  </si>
  <si>
    <t>挑战关卡怪物8_4_4</t>
  </si>
  <si>
    <t>挑战关卡怪物8_5_1</t>
  </si>
  <si>
    <t>挑战关卡怪物8_5_2</t>
  </si>
  <si>
    <t>挑战关卡怪物8_5_3</t>
  </si>
  <si>
    <t>挑战关卡怪物8_5_4</t>
  </si>
  <si>
    <t>挑战关卡怪物9_1_1</t>
  </si>
  <si>
    <t>挑战关卡怪物9_1_2</t>
  </si>
  <si>
    <t>挑战关卡怪物9_2_1</t>
  </si>
  <si>
    <t>挑战关卡怪物9_2_2</t>
  </si>
  <si>
    <t>挑战关卡怪物9_2_3</t>
  </si>
  <si>
    <t>挑战关卡怪物9_3_1</t>
  </si>
  <si>
    <t>挑战关卡怪物9_3_2</t>
  </si>
  <si>
    <t>挑战关卡怪物9_3_3</t>
  </si>
  <si>
    <t>挑战关卡怪物9_4_1</t>
  </si>
  <si>
    <t>挑战关卡怪物9_4_2</t>
  </si>
  <si>
    <t>挑战关卡怪物9_4_3</t>
  </si>
  <si>
    <t>挑战关卡怪物9_5_1</t>
  </si>
  <si>
    <t>挑战关卡怪物9_5_2</t>
  </si>
  <si>
    <t>挑战关卡怪物9_5_3</t>
  </si>
  <si>
    <t>挑战关卡怪物10_1_1</t>
  </si>
  <si>
    <t>挑战关卡怪物10_1_2</t>
  </si>
  <si>
    <t>挑战关卡怪物10_2_1</t>
  </si>
  <si>
    <t>挑战关卡怪物10_2_2</t>
  </si>
  <si>
    <t>挑战关卡怪物10_2_3</t>
  </si>
  <si>
    <t>挑战关卡怪物10_3_1</t>
  </si>
  <si>
    <t>挑战关卡怪物10_3_2</t>
  </si>
  <si>
    <t>挑战关卡怪物10_3_3</t>
  </si>
  <si>
    <t>挑战关卡怪物10_3_4</t>
  </si>
  <si>
    <t>挑战关卡怪物10_4_1</t>
  </si>
  <si>
    <t>挑战关卡怪物10_4_2</t>
  </si>
  <si>
    <t>挑战关卡怪物10_4_3</t>
  </si>
  <si>
    <t>挑战关卡怪物10_5_1</t>
  </si>
  <si>
    <t>挑战关卡怪物10_5_2</t>
  </si>
  <si>
    <t>挑战关卡怪物10_5_3</t>
  </si>
  <si>
    <t>挑战关卡怪物10_5_4</t>
  </si>
  <si>
    <t>Monster_Challenge6_1_1</t>
  </si>
  <si>
    <t>Monster_Challenge6_1_2</t>
  </si>
  <si>
    <t>Monster_Challenge6_2_1</t>
  </si>
  <si>
    <t>Monster_Challenge6_2_2</t>
  </si>
  <si>
    <t>Monster_Challenge6_3_1</t>
  </si>
  <si>
    <t>Monster_Challenge6_3_2</t>
  </si>
  <si>
    <t>Monster_Challenge6_3_3</t>
  </si>
  <si>
    <t>Monster_Challenge6_4_1</t>
  </si>
  <si>
    <t>Monster_Challenge6_4_2</t>
  </si>
  <si>
    <t>Monster_Challenge6_4_3</t>
  </si>
  <si>
    <t>Monster_Challenge6_5_1</t>
  </si>
  <si>
    <t>Monster_Challenge6_5_2</t>
  </si>
  <si>
    <t>Monster_Challenge6_5_3</t>
  </si>
  <si>
    <t>Monster_Challenge7_1_1</t>
  </si>
  <si>
    <t>Monster_Challenge7_1_2</t>
  </si>
  <si>
    <t>Monster_Challenge7_2_1</t>
  </si>
  <si>
    <t>Monster_Challenge7_2_2</t>
  </si>
  <si>
    <t>Monster_Challenge7_2_3</t>
  </si>
  <si>
    <t>Monster_Challenge7_3_1</t>
  </si>
  <si>
    <t>Monster_Challenge7_3_2</t>
  </si>
  <si>
    <t>Monster_Challenge7_3_3</t>
  </si>
  <si>
    <t>Monster_Challenge7_4_1</t>
  </si>
  <si>
    <t>Monster_Challenge7_4_2</t>
  </si>
  <si>
    <t>Monster_Challenge7_4_3</t>
  </si>
  <si>
    <t>Monster_Challenge7_4_4</t>
  </si>
  <si>
    <t>Monster_Challenge7_5_1</t>
  </si>
  <si>
    <t>Monster_Challenge7_5_2</t>
  </si>
  <si>
    <t>Monster_Challenge7_5_3</t>
  </si>
  <si>
    <t>Monster_Challenge7_5_4</t>
  </si>
  <si>
    <t>Monster_Challenge8_1_1</t>
  </si>
  <si>
    <t>Monster_Challenge8_1_2</t>
  </si>
  <si>
    <t>Monster_Challenge8_2_1</t>
  </si>
  <si>
    <t>Monster_Challenge8_2_2</t>
  </si>
  <si>
    <t>Monster_Challenge8_2_3</t>
  </si>
  <si>
    <t>Monster_Challenge8_3_1</t>
  </si>
  <si>
    <t>Monster_Challenge8_3_2</t>
  </si>
  <si>
    <t>Monster_Challenge8_3_3</t>
  </si>
  <si>
    <t>Monster_Challenge8_4_1</t>
  </si>
  <si>
    <t>Monster_Challenge8_4_2</t>
  </si>
  <si>
    <t>Monster_Challenge8_4_3</t>
  </si>
  <si>
    <t>Monster_Challenge8_4_4</t>
  </si>
  <si>
    <t>Monster_Challenge8_5_1</t>
  </si>
  <si>
    <t>Monster_Challenge8_5_2</t>
  </si>
  <si>
    <t>Monster_Challenge8_5_3</t>
  </si>
  <si>
    <t>Monster_Challenge8_5_4</t>
  </si>
  <si>
    <t>Monster_Challenge9_1_1</t>
  </si>
  <si>
    <t>Monster_Challenge9_1_2</t>
  </si>
  <si>
    <t>Monster_Challenge9_2_1</t>
  </si>
  <si>
    <t>Monster_Challenge9_2_2</t>
  </si>
  <si>
    <t>Monster_Challenge9_2_3</t>
  </si>
  <si>
    <t>Monster_Challenge9_3_1</t>
  </si>
  <si>
    <t>Monster_Challenge9_3_2</t>
  </si>
  <si>
    <t>Monster_Challenge9_3_3</t>
  </si>
  <si>
    <t>Monster_Challenge9_4_1</t>
  </si>
  <si>
    <t>Monster_Challenge9_4_2</t>
  </si>
  <si>
    <t>Monster_Challenge9_4_3</t>
  </si>
  <si>
    <t>Monster_Challenge9_5_1</t>
  </si>
  <si>
    <t>Monster_Challenge9_5_2</t>
  </si>
  <si>
    <t>Monster_Challenge9_5_3</t>
  </si>
  <si>
    <t>Monster_Challenge10_1_1</t>
  </si>
  <si>
    <t>Monster_Challenge10_1_2</t>
  </si>
  <si>
    <t>Monster_Challenge10_2_1</t>
  </si>
  <si>
    <t>Monster_Challenge10_2_2</t>
  </si>
  <si>
    <t>Monster_Challenge10_2_3</t>
  </si>
  <si>
    <t>Monster_Challenge10_3_1</t>
  </si>
  <si>
    <t>Monster_Challenge10_3_2</t>
  </si>
  <si>
    <t>Monster_Challenge10_3_3</t>
  </si>
  <si>
    <t>Monster_Challenge10_3_4</t>
  </si>
  <si>
    <t>Monster_Challenge10_4_1</t>
  </si>
  <si>
    <t>Monster_Challenge10_4_2</t>
  </si>
  <si>
    <t>Monster_Challenge10_4_3</t>
  </si>
  <si>
    <t>Monster_Challenge10_5_1</t>
  </si>
  <si>
    <t>Monster_Challenge10_5_2</t>
  </si>
  <si>
    <t>Monster_Challenge10_5_3</t>
  </si>
  <si>
    <t>Monster_Challenge10_5_4</t>
  </si>
  <si>
    <t>挑战模式怪物6_1_1</t>
  </si>
  <si>
    <t>挑战模式怪物6_1_2</t>
  </si>
  <si>
    <t>挑战模式怪物6_2_1</t>
  </si>
  <si>
    <t>挑战模式怪物6_2_2</t>
  </si>
  <si>
    <t>挑战模式怪物6_3_1</t>
  </si>
  <si>
    <t>挑战模式怪物6_3_2</t>
  </si>
  <si>
    <t>挑战模式怪物6_3_3</t>
  </si>
  <si>
    <t>挑战模式怪物6_4_1</t>
  </si>
  <si>
    <t>挑战模式怪物6_4_2</t>
  </si>
  <si>
    <t>挑战模式怪物6_4_3</t>
  </si>
  <si>
    <t>挑战模式怪物6_5_1</t>
  </si>
  <si>
    <t>挑战模式怪物6_5_2</t>
  </si>
  <si>
    <t>挑战模式怪物6_5_3</t>
  </si>
  <si>
    <t>挑战模式怪物7_1_1</t>
  </si>
  <si>
    <t>挑战模式怪物7_1_2</t>
  </si>
  <si>
    <t>挑战模式怪物7_2_1</t>
  </si>
  <si>
    <t>挑战模式怪物7_2_2</t>
  </si>
  <si>
    <t>挑战模式怪物7_2_3</t>
  </si>
  <si>
    <t>挑战模式怪物7_3_1</t>
  </si>
  <si>
    <t>挑战模式怪物7_3_2</t>
  </si>
  <si>
    <t>挑战模式怪物7_3_3</t>
  </si>
  <si>
    <t>挑战模式怪物7_4_1</t>
  </si>
  <si>
    <t>挑战模式怪物7_4_2</t>
  </si>
  <si>
    <t>挑战模式怪物7_4_3</t>
  </si>
  <si>
    <t>挑战模式怪物7_4_4</t>
  </si>
  <si>
    <t>挑战模式怪物7_5_1</t>
  </si>
  <si>
    <t>挑战模式怪物7_5_2</t>
  </si>
  <si>
    <t>挑战模式怪物7_5_3</t>
  </si>
  <si>
    <t>挑战模式怪物7_5_4</t>
  </si>
  <si>
    <t>挑战模式怪物8_1_1</t>
  </si>
  <si>
    <t>挑战模式怪物8_1_2</t>
  </si>
  <si>
    <t>挑战模式怪物8_2_1</t>
  </si>
  <si>
    <t>挑战模式怪物8_2_2</t>
  </si>
  <si>
    <t>挑战模式怪物8_2_3</t>
  </si>
  <si>
    <t>挑战模式怪物8_3_1</t>
  </si>
  <si>
    <t>挑战模式怪物8_3_2</t>
  </si>
  <si>
    <t>挑战模式怪物8_3_3</t>
  </si>
  <si>
    <t>挑战模式怪物8_4_1</t>
  </si>
  <si>
    <t>挑战模式怪物8_4_2</t>
  </si>
  <si>
    <t>挑战模式怪物8_4_3</t>
  </si>
  <si>
    <t>挑战模式怪物8_4_4</t>
  </si>
  <si>
    <t>挑战模式怪物8_5_1</t>
  </si>
  <si>
    <t>挑战模式怪物8_5_2</t>
  </si>
  <si>
    <t>挑战模式怪物8_5_3</t>
  </si>
  <si>
    <t>挑战模式怪物8_5_4</t>
  </si>
  <si>
    <t>挑战模式怪物9_1_1</t>
  </si>
  <si>
    <t>挑战模式怪物9_1_2</t>
  </si>
  <si>
    <t>挑战模式怪物9_2_1</t>
  </si>
  <si>
    <t>挑战模式怪物9_2_2</t>
  </si>
  <si>
    <t>挑战模式怪物9_2_3</t>
  </si>
  <si>
    <t>挑战模式怪物9_3_1</t>
  </si>
  <si>
    <t>挑战模式怪物9_3_2</t>
  </si>
  <si>
    <t>挑战模式怪物9_3_3</t>
  </si>
  <si>
    <t>挑战模式怪物9_4_1</t>
  </si>
  <si>
    <t>挑战模式怪物9_4_2</t>
  </si>
  <si>
    <t>挑战模式怪物9_4_3</t>
  </si>
  <si>
    <t>挑战模式怪物9_5_1</t>
  </si>
  <si>
    <t>挑战模式怪物9_5_2</t>
  </si>
  <si>
    <t>挑战模式怪物9_5_3</t>
  </si>
  <si>
    <t>挑战模式怪物10_1_1</t>
  </si>
  <si>
    <t>挑战模式怪物10_1_2</t>
  </si>
  <si>
    <t>挑战模式怪物10_2_1</t>
  </si>
  <si>
    <t>挑战模式怪物10_2_2</t>
  </si>
  <si>
    <t>挑战模式怪物10_2_3</t>
  </si>
  <si>
    <t>挑战模式怪物10_3_1</t>
  </si>
  <si>
    <t>挑战模式怪物10_3_2</t>
  </si>
  <si>
    <t>挑战模式怪物10_3_3</t>
  </si>
  <si>
    <t>挑战模式怪物10_3_4</t>
  </si>
  <si>
    <t>挑战模式怪物10_4_1</t>
  </si>
  <si>
    <t>挑战模式怪物10_4_2</t>
  </si>
  <si>
    <t>挑战模式怪物10_4_3</t>
  </si>
  <si>
    <t>挑战模式怪物10_5_1</t>
  </si>
  <si>
    <t>挑战模式怪物10_5_2</t>
  </si>
  <si>
    <t>挑战模式怪物10_5_3</t>
  </si>
  <si>
    <t>挑战模式怪物10_5_4</t>
  </si>
  <si>
    <t>Skill_Monster_Challenge_Niao1</t>
  </si>
  <si>
    <t>挑战关卡怪物技能_加速</t>
    <phoneticPr fontId="4" type="noConversion"/>
  </si>
  <si>
    <t>BuffAdd_Monster_Challenge_Niao1</t>
    <phoneticPr fontId="4" type="noConversion"/>
  </si>
  <si>
    <t>Skill_Monster_Challenge_Niao2</t>
  </si>
  <si>
    <t>BuffAdd_Monster_Challenge_Niao2</t>
  </si>
  <si>
    <t>Skill_Monster_Challenge_Niao3</t>
  </si>
  <si>
    <t>BuffAdd_Monster_Challenge_Niao3</t>
  </si>
  <si>
    <t>加速怪</t>
    <phoneticPr fontId="4" type="noConversion"/>
  </si>
  <si>
    <t>循环</t>
    <phoneticPr fontId="4" type="noConversion"/>
  </si>
  <si>
    <t>毒</t>
    <phoneticPr fontId="4" type="noConversion"/>
  </si>
  <si>
    <t>目标</t>
    <phoneticPr fontId="4" type="noConversion"/>
  </si>
  <si>
    <t>总金币</t>
    <phoneticPr fontId="4" type="noConversion"/>
  </si>
  <si>
    <t>过关金币</t>
    <phoneticPr fontId="4" type="noConversion"/>
  </si>
  <si>
    <t>杀敌金币</t>
    <phoneticPr fontId="4" type="noConversion"/>
  </si>
  <si>
    <t>3级塔特性</t>
    <phoneticPr fontId="4" type="noConversion"/>
  </si>
  <si>
    <t>爆炸加大、新特效</t>
    <phoneticPr fontId="4" type="noConversion"/>
  </si>
  <si>
    <t>点燃敌人</t>
    <phoneticPr fontId="4" type="noConversion"/>
  </si>
  <si>
    <t>全范围毒</t>
    <phoneticPr fontId="4" type="noConversion"/>
  </si>
  <si>
    <t>变2个目标</t>
    <phoneticPr fontId="4" type="noConversion"/>
  </si>
  <si>
    <t>大范围</t>
    <phoneticPr fontId="4" type="noConversion"/>
  </si>
  <si>
    <t>最大目标</t>
    <phoneticPr fontId="4" type="noConversion"/>
  </si>
  <si>
    <t>可暴击，新特效</t>
    <phoneticPr fontId="4" type="noConversion"/>
  </si>
  <si>
    <t>暴击伤害(N%)（最终伤害=1+N%）</t>
    <phoneticPr fontId="4" type="noConversion"/>
  </si>
  <si>
    <t>3级暴击率/爆伤</t>
    <phoneticPr fontId="4" type="noConversion"/>
  </si>
  <si>
    <t>DamageUnit_Attribute_Buff_Line3_Fire</t>
    <phoneticPr fontId="4" type="noConversion"/>
  </si>
  <si>
    <t>按照属性进行计算（毒）_火焰塔LV3</t>
    <phoneticPr fontId="4" type="noConversion"/>
  </si>
  <si>
    <t>参数1</t>
    <phoneticPr fontId="4" type="noConversion"/>
  </si>
  <si>
    <t>参数2</t>
  </si>
  <si>
    <t>参数3</t>
  </si>
  <si>
    <t>参数4</t>
  </si>
  <si>
    <t>远处增伤率lv1/2/3</t>
    <phoneticPr fontId="4" type="noConversion"/>
  </si>
  <si>
    <t>低处增伤率lv1/2/3</t>
    <phoneticPr fontId="4" type="noConversion"/>
  </si>
  <si>
    <t>减速率lv1/2/3</t>
    <phoneticPr fontId="4" type="noConversion"/>
  </si>
  <si>
    <t>CD减少lv1/2/3</t>
    <phoneticPr fontId="4" type="noConversion"/>
  </si>
  <si>
    <t>3级灼烧总伤害/总时间/间隔/属性倍率</t>
    <phoneticPr fontId="4" type="noConversion"/>
  </si>
  <si>
    <t>3连发</t>
    <phoneticPr fontId="4" type="noConversion"/>
  </si>
  <si>
    <t>同时攻击3个</t>
    <phoneticPr fontId="4" type="noConversion"/>
  </si>
  <si>
    <t>玩家类型</t>
    <phoneticPr fontId="4" type="noConversion"/>
  </si>
  <si>
    <t>技巧</t>
    <phoneticPr fontId="4" type="noConversion"/>
  </si>
  <si>
    <t>低</t>
    <phoneticPr fontId="4" type="noConversion"/>
  </si>
  <si>
    <t>中</t>
    <phoneticPr fontId="4" type="noConversion"/>
  </si>
  <si>
    <t>高</t>
    <phoneticPr fontId="4" type="noConversion"/>
  </si>
  <si>
    <t>时间</t>
    <phoneticPr fontId="4" type="noConversion"/>
  </si>
  <si>
    <t>金钱</t>
    <phoneticPr fontId="4" type="noConversion"/>
  </si>
  <si>
    <t>匹配的游戏内容</t>
    <phoneticPr fontId="4" type="noConversion"/>
  </si>
  <si>
    <t>技巧低</t>
    <phoneticPr fontId="4" type="noConversion"/>
  </si>
  <si>
    <t>技巧中</t>
    <phoneticPr fontId="4" type="noConversion"/>
  </si>
  <si>
    <t>技巧高</t>
    <phoneticPr fontId="4" type="noConversion"/>
  </si>
  <si>
    <t>抵达内容的时间</t>
    <phoneticPr fontId="4" type="noConversion"/>
  </si>
  <si>
    <t>可玩时间</t>
    <phoneticPr fontId="4" type="noConversion"/>
  </si>
  <si>
    <t>挑战</t>
    <phoneticPr fontId="4" type="noConversion"/>
  </si>
  <si>
    <t>新手+挑战1</t>
    <phoneticPr fontId="4" type="noConversion"/>
  </si>
  <si>
    <t>匹配方法</t>
    <phoneticPr fontId="4" type="noConversion"/>
  </si>
  <si>
    <t>自主选择</t>
    <phoneticPr fontId="4" type="noConversion"/>
  </si>
  <si>
    <t>能力筛选</t>
    <phoneticPr fontId="4" type="noConversion"/>
  </si>
  <si>
    <t>星级</t>
    <phoneticPr fontId="4" type="noConversion"/>
  </si>
  <si>
    <t>最快抵达内容/打击自信/难度阶梯式</t>
    <phoneticPr fontId="4" type="noConversion"/>
  </si>
  <si>
    <t>可玩时间短/必能达到适应难度/能跟随玩家成长</t>
    <phoneticPr fontId="4" type="noConversion"/>
  </si>
  <si>
    <t>最快抵达内容/难度阶梯式/关卡变化小，难度不好控制</t>
    <phoneticPr fontId="4" type="noConversion"/>
  </si>
  <si>
    <t>奖励</t>
    <phoneticPr fontId="4" type="noConversion"/>
  </si>
  <si>
    <t>卡牌</t>
    <phoneticPr fontId="4" type="noConversion"/>
  </si>
  <si>
    <t>简单关卡缩短/活动关卡难度提升/高难关卡挑战时长增加</t>
    <phoneticPr fontId="4" type="noConversion"/>
  </si>
  <si>
    <t>玩家旅程</t>
    <phoneticPr fontId="4" type="noConversion"/>
  </si>
  <si>
    <t>引导</t>
    <phoneticPr fontId="4" type="noConversion"/>
  </si>
  <si>
    <t>设计不同的关卡特色</t>
    <phoneticPr fontId="4" type="noConversion"/>
  </si>
  <si>
    <t>每个关卡都有3种模式</t>
    <phoneticPr fontId="4" type="noConversion"/>
  </si>
  <si>
    <t>不断出现新关卡</t>
    <phoneticPr fontId="4" type="noConversion"/>
  </si>
  <si>
    <t>总览</t>
    <phoneticPr fontId="4" type="noConversion"/>
  </si>
  <si>
    <t>…</t>
    <phoneticPr fontId="4" type="noConversion"/>
  </si>
  <si>
    <t>单体群体搭配</t>
    <phoneticPr fontId="4" type="noConversion"/>
  </si>
  <si>
    <t>单体+群体怪</t>
    <phoneticPr fontId="4" type="noConversion"/>
  </si>
  <si>
    <t>升级</t>
    <phoneticPr fontId="4" type="noConversion"/>
  </si>
  <si>
    <t>毒雾-隐身</t>
    <phoneticPr fontId="4" type="noConversion"/>
  </si>
  <si>
    <t>龙-花</t>
    <phoneticPr fontId="4" type="noConversion"/>
  </si>
  <si>
    <t>远程炮台-弱化</t>
    <phoneticPr fontId="4" type="noConversion"/>
  </si>
  <si>
    <t>怪物对策</t>
    <phoneticPr fontId="4" type="noConversion"/>
  </si>
  <si>
    <t>路线设计要求</t>
    <phoneticPr fontId="4" type="noConversion"/>
  </si>
  <si>
    <t>火塔-直线</t>
    <phoneticPr fontId="4" type="noConversion"/>
  </si>
  <si>
    <t>毒雾-环形</t>
    <phoneticPr fontId="4" type="noConversion"/>
  </si>
  <si>
    <t>雷电-高台</t>
    <phoneticPr fontId="4" type="noConversion"/>
  </si>
  <si>
    <t>组合考验</t>
    <phoneticPr fontId="4" type="noConversion"/>
  </si>
  <si>
    <t>花+隐身</t>
    <phoneticPr fontId="4" type="noConversion"/>
  </si>
  <si>
    <t>花+弱化</t>
    <phoneticPr fontId="4" type="noConversion"/>
  </si>
  <si>
    <t>max塔</t>
    <phoneticPr fontId="4" type="noConversion"/>
  </si>
  <si>
    <t>可用塔</t>
    <phoneticPr fontId="4" type="noConversion"/>
  </si>
  <si>
    <t>弩箭/加农</t>
    <phoneticPr fontId="4" type="noConversion"/>
  </si>
  <si>
    <t>进阶怪物</t>
    <phoneticPr fontId="4" type="noConversion"/>
  </si>
  <si>
    <t>弩箭/加农/减速</t>
    <phoneticPr fontId="4" type="noConversion"/>
  </si>
  <si>
    <t>蜜蜂/蝙蝠/蛋</t>
    <phoneticPr fontId="4" type="noConversion"/>
  </si>
  <si>
    <t>蜜蜂2/蝙蝠2/蛋/蜘蛛</t>
    <phoneticPr fontId="4" type="noConversion"/>
  </si>
  <si>
    <t>弩箭/毒雾/减速</t>
    <phoneticPr fontId="4" type="noConversion"/>
  </si>
  <si>
    <t>弩箭/毒雾/减速/龙</t>
    <phoneticPr fontId="4" type="noConversion"/>
  </si>
  <si>
    <t>蜜蜂2/蝙蝠2/蛋/蜘蛛/花</t>
    <phoneticPr fontId="4" type="noConversion"/>
  </si>
  <si>
    <t>弩箭/火焰/减速/龙</t>
    <phoneticPr fontId="4" type="noConversion"/>
  </si>
  <si>
    <t>弩箭/加农/减速/龙/毒雾</t>
    <phoneticPr fontId="4" type="noConversion"/>
  </si>
  <si>
    <t>蜜蜂2/蝙蝠2/蛋/蜘蛛/鬼</t>
    <phoneticPr fontId="4" type="noConversion"/>
  </si>
  <si>
    <t>雷电/加农/减速/毒雾/火焰</t>
    <phoneticPr fontId="4" type="noConversion"/>
  </si>
  <si>
    <t>蜜蜂2/蝙蝠2/蛋/蜘蛛2</t>
    <phoneticPr fontId="4" type="noConversion"/>
  </si>
  <si>
    <t>弩箭/雷电/加农/减速/毒雾/火焰/龙</t>
    <phoneticPr fontId="4" type="noConversion"/>
  </si>
  <si>
    <t>蜜蜂2/蝙蝠2/蛋/蜘蛛2/弱化</t>
    <phoneticPr fontId="4" type="noConversion"/>
  </si>
  <si>
    <t>全部</t>
    <phoneticPr fontId="4" type="noConversion"/>
  </si>
  <si>
    <t>蜜蜂2/蝙蝠2/蛋/蜘蛛2/花/隐身</t>
    <phoneticPr fontId="4" type="noConversion"/>
  </si>
  <si>
    <t>蜜蜂2/蝙蝠2/蛋/蜘蛛2/花/弱化</t>
    <phoneticPr fontId="4" type="noConversion"/>
  </si>
  <si>
    <t>群体</t>
    <phoneticPr fontId="4" type="noConversion"/>
  </si>
  <si>
    <t>单体</t>
    <phoneticPr fontId="4" type="noConversion"/>
  </si>
  <si>
    <t>TowerDefenseCfgTutorialFirst</t>
  </si>
  <si>
    <t>新手引导</t>
    <phoneticPr fontId="4" type="noConversion"/>
  </si>
  <si>
    <t>BuyTowerRefreshRule_TutorialFirst</t>
  </si>
  <si>
    <t>MonsterWaveCallRule_TutorialFirst</t>
  </si>
  <si>
    <t>Unit_Monster_Tutorial_1_1</t>
  </si>
  <si>
    <t>Unit_Monster_Tutorial_2_1</t>
  </si>
  <si>
    <t>Unit_Monster_Tutorial_3_1</t>
  </si>
  <si>
    <t>Unit_Monster_Tutorial_3_2</t>
  </si>
  <si>
    <t>Unit_Monster_Tutorial_3_3</t>
  </si>
  <si>
    <t>Monster_Tutorial_1_1</t>
  </si>
  <si>
    <t>Monster_Tutorial_2_1</t>
  </si>
  <si>
    <t>Monster_Tutorial_3_1</t>
  </si>
  <si>
    <t>Monster_Tutorial_3_2</t>
  </si>
  <si>
    <t>新手关卡怪物1_1</t>
  </si>
  <si>
    <t>新手关卡怪物2_1</t>
  </si>
  <si>
    <t>新手关卡怪物2_2</t>
  </si>
  <si>
    <t>新手关卡怪物3_1</t>
  </si>
  <si>
    <t>新手关卡怪物3_2</t>
  </si>
  <si>
    <t>Monster_Tutorial_1_1</t>
    <phoneticPr fontId="4" type="noConversion"/>
  </si>
  <si>
    <t>Monster_Tutorial_3_3</t>
  </si>
  <si>
    <t>新手关卡怪物1_1_1</t>
    <phoneticPr fontId="4" type="noConversion"/>
  </si>
  <si>
    <t>新手关卡怪物1_2_1</t>
  </si>
  <si>
    <t>新手关卡怪物1_3_1</t>
  </si>
  <si>
    <t>新手关卡怪物1_3_2</t>
  </si>
  <si>
    <t>新手关卡怪物1_4_1</t>
  </si>
  <si>
    <t>游戏框架</t>
    <phoneticPr fontId="4" type="noConversion"/>
  </si>
  <si>
    <t>核心玩法</t>
    <phoneticPr fontId="4" type="noConversion"/>
  </si>
  <si>
    <t>操作</t>
    <phoneticPr fontId="4" type="noConversion"/>
  </si>
  <si>
    <t>策略</t>
    <phoneticPr fontId="4" type="noConversion"/>
  </si>
  <si>
    <t>运气</t>
    <phoneticPr fontId="4" type="noConversion"/>
  </si>
  <si>
    <t>相关机制</t>
    <phoneticPr fontId="4" type="noConversion"/>
  </si>
  <si>
    <t>拖动塔</t>
    <phoneticPr fontId="4" type="noConversion"/>
  </si>
  <si>
    <t>金币</t>
    <phoneticPr fontId="4" type="noConversion"/>
  </si>
  <si>
    <t>宝箱怪，初始无敌，移动一段距离后虚弱</t>
    <phoneticPr fontId="4" type="noConversion"/>
  </si>
  <si>
    <t>道具</t>
    <phoneticPr fontId="4" type="noConversion"/>
  </si>
  <si>
    <t>生存</t>
    <phoneticPr fontId="4" type="noConversion"/>
  </si>
  <si>
    <t>在场景中释放各类道具，位置和时机带来巨大收益变化</t>
    <phoneticPr fontId="4" type="noConversion"/>
  </si>
  <si>
    <t>更强的阵容</t>
    <phoneticPr fontId="4" type="noConversion"/>
  </si>
  <si>
    <t>防御塔之间的搭配组合</t>
    <phoneticPr fontId="4" type="noConversion"/>
  </si>
  <si>
    <t>组卡</t>
    <phoneticPr fontId="4" type="noConversion"/>
  </si>
  <si>
    <t>摆地形</t>
    <phoneticPr fontId="4" type="noConversion"/>
  </si>
  <si>
    <t>发挥防御塔</t>
    <phoneticPr fontId="4" type="noConversion"/>
  </si>
  <si>
    <t>防御塔受地形的影响</t>
    <phoneticPr fontId="4" type="noConversion"/>
  </si>
  <si>
    <t>收益</t>
    <phoneticPr fontId="4" type="noConversion"/>
  </si>
  <si>
    <t>应对敌人</t>
    <phoneticPr fontId="4" type="noConversion"/>
  </si>
  <si>
    <t>怪物受地形影响</t>
    <phoneticPr fontId="4" type="noConversion"/>
  </si>
  <si>
    <t>发挥道具</t>
    <phoneticPr fontId="4" type="noConversion"/>
  </si>
  <si>
    <t>道具受地形影响</t>
    <phoneticPr fontId="4" type="noConversion"/>
  </si>
  <si>
    <t>刷卡</t>
    <phoneticPr fontId="4" type="noConversion"/>
  </si>
  <si>
    <t>加快发育</t>
    <phoneticPr fontId="4" type="noConversion"/>
  </si>
  <si>
    <t>符文</t>
    <phoneticPr fontId="4" type="noConversion"/>
  </si>
  <si>
    <t>增加战力</t>
    <phoneticPr fontId="4" type="noConversion"/>
  </si>
  <si>
    <t>n波抽取一次，相互搭配有强力效果</t>
    <phoneticPr fontId="4" type="noConversion"/>
  </si>
  <si>
    <t>全杀bonus</t>
    <phoneticPr fontId="4" type="noConversion"/>
  </si>
  <si>
    <t>周边系统</t>
    <phoneticPr fontId="4" type="noConversion"/>
  </si>
  <si>
    <t>目的</t>
    <phoneticPr fontId="4" type="noConversion"/>
  </si>
  <si>
    <t>系统</t>
    <phoneticPr fontId="4" type="noConversion"/>
  </si>
  <si>
    <t>规则概述</t>
    <phoneticPr fontId="4" type="noConversion"/>
  </si>
  <si>
    <t>辅助成长</t>
    <phoneticPr fontId="4" type="noConversion"/>
  </si>
  <si>
    <t>养成</t>
    <phoneticPr fontId="4" type="noConversion"/>
  </si>
  <si>
    <t>整体能力持续强化，策略可难可易</t>
    <phoneticPr fontId="4" type="noConversion"/>
  </si>
  <si>
    <t>持续成长</t>
    <phoneticPr fontId="4" type="noConversion"/>
  </si>
  <si>
    <t>新关卡，要求新的策略/塔和怪物有克制关系</t>
    <phoneticPr fontId="4" type="noConversion"/>
  </si>
  <si>
    <t>具体设计</t>
    <phoneticPr fontId="4" type="noConversion"/>
  </si>
  <si>
    <t>远程轰炸：中等区域造成中等伤害</t>
    <phoneticPr fontId="4" type="noConversion"/>
  </si>
  <si>
    <t>暴风雪：对全体敌人造成小额伤害和减速</t>
    <phoneticPr fontId="4" type="noConversion"/>
  </si>
  <si>
    <t>输出搭配：单体/群体</t>
    <phoneticPr fontId="4" type="noConversion"/>
  </si>
  <si>
    <t>个体搭配：高价/低价/对付治疗/对付隐身/对付弱化/范围型buff</t>
    <phoneticPr fontId="4" type="noConversion"/>
  </si>
  <si>
    <t>高台/直线/环形/近距离/远距离/转角（持续点击加攻）</t>
    <phoneticPr fontId="4" type="noConversion"/>
  </si>
  <si>
    <t>同地形搭配：</t>
    <phoneticPr fontId="4" type="noConversion"/>
  </si>
  <si>
    <t>镭射：对一条直线造成中等伤害</t>
    <phoneticPr fontId="4" type="noConversion"/>
  </si>
  <si>
    <t>轨道炮：3s延迟后，对小片区域造成大额伤害和眩晕</t>
    <phoneticPr fontId="4" type="noConversion"/>
  </si>
  <si>
    <t>？羁绊：弩箭+加农=攻速提升/毒+火焰=破甲/雷电+冰=扩散</t>
    <phoneticPr fontId="4" type="noConversion"/>
  </si>
  <si>
    <t>商业化</t>
    <phoneticPr fontId="4" type="noConversion"/>
  </si>
  <si>
    <t>广告/道具购买/充值</t>
    <phoneticPr fontId="4" type="noConversion"/>
  </si>
  <si>
    <t>快速部署</t>
    <phoneticPr fontId="4" type="noConversion"/>
  </si>
  <si>
    <t>弩箭</t>
    <phoneticPr fontId="4" type="noConversion"/>
  </si>
  <si>
    <t>加农</t>
    <phoneticPr fontId="4" type="noConversion"/>
  </si>
  <si>
    <t>后期发力</t>
    <phoneticPr fontId="4" type="noConversion"/>
  </si>
  <si>
    <t>辅助</t>
    <phoneticPr fontId="4" type="noConversion"/>
  </si>
  <si>
    <t>冰魔</t>
    <phoneticPr fontId="4" type="noConversion"/>
  </si>
  <si>
    <t>火</t>
    <phoneticPr fontId="4" type="noConversion"/>
  </si>
  <si>
    <t>雷电</t>
    <phoneticPr fontId="4" type="noConversion"/>
  </si>
  <si>
    <t>龙</t>
    <phoneticPr fontId="4" type="noConversion"/>
  </si>
  <si>
    <t>中期</t>
    <phoneticPr fontId="4" type="noConversion"/>
  </si>
  <si>
    <t>对付治疗</t>
    <phoneticPr fontId="4" type="noConversion"/>
  </si>
  <si>
    <t>对付隐身</t>
    <phoneticPr fontId="4" type="noConversion"/>
  </si>
  <si>
    <t>对付弱化</t>
    <phoneticPr fontId="4" type="noConversion"/>
  </si>
  <si>
    <t>对付快速</t>
    <phoneticPr fontId="4" type="noConversion"/>
  </si>
  <si>
    <t xml:space="preserve">冰 </t>
    <phoneticPr fontId="4" type="noConversion"/>
  </si>
  <si>
    <t>对付加速</t>
    <phoneticPr fontId="4" type="noConversion"/>
  </si>
  <si>
    <t>对付高防</t>
    <phoneticPr fontId="4" type="noConversion"/>
  </si>
  <si>
    <t>新卡</t>
    <phoneticPr fontId="4" type="noConversion"/>
  </si>
  <si>
    <t>参考</t>
    <phoneticPr fontId="4" type="noConversion"/>
  </si>
  <si>
    <t>结论</t>
    <phoneticPr fontId="4" type="noConversion"/>
  </si>
  <si>
    <t>运气影响结果</t>
    <phoneticPr fontId="4" type="noConversion"/>
  </si>
  <si>
    <t>运气影响战斗体验</t>
    <phoneticPr fontId="4" type="noConversion"/>
  </si>
  <si>
    <t>有一定自由选择</t>
    <phoneticPr fontId="4" type="noConversion"/>
  </si>
  <si>
    <t>2波抽取一次，全场拿1-20个</t>
    <phoneticPr fontId="4" type="noConversion"/>
  </si>
  <si>
    <t>平均有3次数值升级</t>
    <phoneticPr fontId="4" type="noConversion"/>
  </si>
  <si>
    <t>单体攻击的目标+1/+2/+3</t>
    <phoneticPr fontId="4" type="noConversion"/>
  </si>
  <si>
    <t>不同等级dps提升为150%/200%/300%</t>
    <phoneticPr fontId="4" type="noConversion"/>
  </si>
  <si>
    <t>每次抽3个，3次可能遇到雷同的，普通5个，稀有3个，传说1个</t>
    <phoneticPr fontId="4" type="noConversion"/>
  </si>
  <si>
    <t>高处攻击强化，最多增伤50%/100%/200%</t>
    <phoneticPr fontId="4" type="noConversion"/>
  </si>
  <si>
    <t>每波开始后暴击率增加5%/10%/15%，持续20秒</t>
    <phoneticPr fontId="4" type="noConversion"/>
  </si>
  <si>
    <t>通用加强</t>
    <phoneticPr fontId="4" type="noConversion"/>
  </si>
  <si>
    <t>特定卡加强</t>
    <phoneticPr fontId="4" type="noConversion"/>
  </si>
  <si>
    <t>组合加强</t>
    <phoneticPr fontId="4" type="noConversion"/>
  </si>
  <si>
    <t>每波开始后在10s内伤害缓慢提升，直到最高50%/100%/200%</t>
    <phoneticPr fontId="4" type="noConversion"/>
  </si>
  <si>
    <t>防御塔最大数量+1/2/4</t>
    <phoneticPr fontId="4" type="noConversion"/>
  </si>
  <si>
    <t>攻击附加毒素，每秒造成当前生命1%/3%/5%的伤害</t>
    <phoneticPr fontId="4" type="noConversion"/>
  </si>
  <si>
    <t>所有buff时间延长50%/100%/200%</t>
    <phoneticPr fontId="4" type="noConversion"/>
  </si>
  <si>
    <t>暴击伤害增加50%/100%/200%</t>
    <phoneticPr fontId="4" type="noConversion"/>
  </si>
  <si>
    <t>所有子弹可弹射1/2/3次</t>
    <phoneticPr fontId="4" type="noConversion"/>
  </si>
  <si>
    <t>电磁塔：单体、持续攻击增伤、3级射程增加</t>
    <phoneticPr fontId="4" type="noConversion"/>
  </si>
  <si>
    <t>哥布林：单体、偷钱、3级概率偷取高额金币</t>
    <phoneticPr fontId="4" type="noConversion"/>
  </si>
  <si>
    <t>火箭塔：群体、抛物线低命中高伤、3级3连发</t>
    <phoneticPr fontId="4" type="noConversion"/>
  </si>
  <si>
    <t>圣剑塔：单体、暴击斩杀、3级10次攻击后必定暴击</t>
    <phoneticPr fontId="4" type="noConversion"/>
  </si>
  <si>
    <t>巫师塔：单体、暴击眩晕、3级3个目标</t>
    <phoneticPr fontId="4" type="noConversion"/>
  </si>
  <si>
    <t>标记塔：单体、标记敌人，增加被暴击概率，3级增加击杀金币</t>
    <phoneticPr fontId="4" type="noConversion"/>
  </si>
  <si>
    <t>闪电链：群体、降低生命上限、3级目标增多</t>
    <phoneticPr fontId="4" type="noConversion"/>
  </si>
  <si>
    <t>奥术天球：群体、缓慢魔法攻击、3级子弹弹射</t>
    <phoneticPr fontId="4" type="noConversion"/>
  </si>
  <si>
    <t>精灵：群体、杀怪增加攻击</t>
    <phoneticPr fontId="4" type="noConversion"/>
  </si>
  <si>
    <t>炸药桶：自爆高伤，3级+眩晕</t>
    <phoneticPr fontId="4" type="noConversion"/>
  </si>
  <si>
    <t>毒：根据当前生命掉血，3级+减甲</t>
    <phoneticPr fontId="4" type="noConversion"/>
  </si>
  <si>
    <t>毒蝎塔</t>
    <phoneticPr fontId="4" type="noConversion"/>
  </si>
  <si>
    <t>哥布林</t>
    <phoneticPr fontId="4" type="noConversion"/>
  </si>
  <si>
    <t>自爆</t>
    <phoneticPr fontId="4" type="noConversion"/>
  </si>
  <si>
    <t>毒伤</t>
    <phoneticPr fontId="4" type="noConversion"/>
  </si>
  <si>
    <t>毒伤lv1/2/3</t>
    <phoneticPr fontId="4" type="noConversion"/>
  </si>
  <si>
    <t>偷钱数lv1/2/3</t>
    <phoneticPr fontId="4" type="noConversion"/>
  </si>
  <si>
    <t>攻击</t>
  </si>
  <si>
    <t>Text_Key_Tower_UIAttribute_DuShang</t>
    <phoneticPr fontId="4" type="noConversion"/>
  </si>
  <si>
    <t>Timeline_TowerScorpio1</t>
  </si>
  <si>
    <t>Skill_TowerScorpio2</t>
  </si>
  <si>
    <t>Timeline_TowerScorpio2</t>
  </si>
  <si>
    <t>Skill_TowerScorpio3</t>
  </si>
  <si>
    <t>Timeline_TowerScorpio3</t>
  </si>
  <si>
    <t>Skill_TowerScorpio1</t>
    <phoneticPr fontId="4" type="noConversion"/>
  </si>
  <si>
    <t>毒蝎塔LV1攻击</t>
    <phoneticPr fontId="4" type="noConversion"/>
  </si>
  <si>
    <t>毒蝎塔LV2攻击</t>
  </si>
  <si>
    <t>毒蝎塔LV3攻击</t>
  </si>
  <si>
    <t>EffectCreate_LevelUp</t>
  </si>
  <si>
    <t>EffectCreate_LevelUp</t>
    <phoneticPr fontId="4" type="noConversion"/>
  </si>
  <si>
    <t>BuffAdd_AddCDDown1;EffectCreate_LevelUp</t>
    <phoneticPr fontId="4" type="noConversion"/>
  </si>
  <si>
    <t>BuffAdd_AddCDDown2;EffectCreate_LevelUp</t>
  </si>
  <si>
    <t>BuffAdd_AddCDDown3;EffectCreate_LevelUp</t>
  </si>
  <si>
    <t>Tow11</t>
    <phoneticPr fontId="4" type="noConversion"/>
  </si>
  <si>
    <t>2个目标</t>
    <phoneticPr fontId="4" type="noConversion"/>
  </si>
  <si>
    <t>Skill_TowerGoblin1</t>
  </si>
  <si>
    <t>Timeline_TowerGoblin1</t>
  </si>
  <si>
    <t>Skill_TowerGoblin2</t>
  </si>
  <si>
    <t>Timeline_TowerGoblin2</t>
  </si>
  <si>
    <t>Skill_TowerGoblin3</t>
  </si>
  <si>
    <t>Timeline_TowerGoblin3</t>
  </si>
  <si>
    <t>哥布林LV1攻击</t>
    <phoneticPr fontId="4" type="noConversion"/>
  </si>
  <si>
    <t>哥布林LV2攻击</t>
  </si>
  <si>
    <t>哥布林LV3攻击</t>
  </si>
  <si>
    <t>毒蝎塔</t>
  </si>
  <si>
    <t>哥布林</t>
    <phoneticPr fontId="25" type="noConversion"/>
  </si>
  <si>
    <t>Tow11_1</t>
  </si>
  <si>
    <t>Text_Key_TowerLabel_DOT;Text_Key_TowerLabel_Solo</t>
    <phoneticPr fontId="25" type="noConversion"/>
  </si>
  <si>
    <t>Unit_TowerScorpio1</t>
  </si>
  <si>
    <t>Tow11_2</t>
  </si>
  <si>
    <t>Unit_TowerScorpio2</t>
  </si>
  <si>
    <t>Tow11_3</t>
  </si>
  <si>
    <t>Unit_TowerScorpio3</t>
  </si>
  <si>
    <t>Tow21_1</t>
  </si>
  <si>
    <t>Text_Key_TowerLabel_GetCoins;Text_Key_TowerLabel_Solo</t>
    <phoneticPr fontId="25" type="noConversion"/>
  </si>
  <si>
    <t>Unit_TowerGoblin1</t>
  </si>
  <si>
    <t>Tow21_2</t>
  </si>
  <si>
    <t>Unit_TowerGoblin2</t>
  </si>
  <si>
    <t>Tow21_3</t>
  </si>
  <si>
    <t>Unit_TowerGoblin3</t>
  </si>
  <si>
    <t>偷取金币</t>
    <phoneticPr fontId="4" type="noConversion"/>
  </si>
  <si>
    <t>Tow21</t>
    <phoneticPr fontId="4" type="noConversion"/>
  </si>
  <si>
    <t>Text_Key_Tower_UIAttribute_Steal</t>
    <phoneticPr fontId="4" type="noConversion"/>
  </si>
  <si>
    <t>炸弹</t>
    <phoneticPr fontId="4" type="noConversion"/>
  </si>
  <si>
    <t>Tow25_1</t>
    <phoneticPr fontId="4" type="noConversion"/>
  </si>
  <si>
    <t>Tow25_2</t>
  </si>
  <si>
    <t>Tow25_3</t>
  </si>
  <si>
    <t>Tow25_2</t>
    <phoneticPr fontId="4" type="noConversion"/>
  </si>
  <si>
    <t>Tow25_3</t>
    <phoneticPr fontId="4" type="noConversion"/>
  </si>
  <si>
    <t>Unit_TowerBomb1</t>
    <phoneticPr fontId="4" type="noConversion"/>
  </si>
  <si>
    <t>Unit_TowerBomb2</t>
  </si>
  <si>
    <t>Unit_TowerBomb3</t>
  </si>
  <si>
    <t>Tow25</t>
    <phoneticPr fontId="4" type="noConversion"/>
  </si>
  <si>
    <t>Text_Key_Tower_UIAttribute_Dizzy</t>
    <phoneticPr fontId="4" type="noConversion"/>
  </si>
  <si>
    <t>性价比参数/眩晕</t>
    <phoneticPr fontId="4" type="noConversion"/>
  </si>
  <si>
    <t>Text_Key_Tower_UIAttribute_Content_OnlySeconds</t>
    <phoneticPr fontId="4" type="noConversion"/>
  </si>
  <si>
    <t>炸弹1攻击</t>
    <phoneticPr fontId="4" type="noConversion"/>
  </si>
  <si>
    <t>Skill_TowerBomb2</t>
  </si>
  <si>
    <t>炸弹2攻击</t>
  </si>
  <si>
    <t>Skill_TowerBomb3</t>
  </si>
  <si>
    <t>炸弹3攻击</t>
  </si>
  <si>
    <t>Skill_TowerBomb1</t>
    <phoneticPr fontId="4" type="noConversion"/>
  </si>
  <si>
    <t>Timeline_Skill_TowerBomb1</t>
    <phoneticPr fontId="4" type="noConversion"/>
  </si>
  <si>
    <t>Timeline_Skill_TowerBomb2</t>
  </si>
  <si>
    <t>Timeline_Skill_TowerBomb3</t>
  </si>
  <si>
    <t>string#ref=SelectObjectCfgCategory</t>
  </si>
  <si>
    <t>SelectObject_Skill_PlayerSolo1</t>
  </si>
  <si>
    <t>SelectObject_Skill_PlayerSolo2</t>
  </si>
  <si>
    <t>SelectObject_Skill_PlayerSolo3</t>
  </si>
  <si>
    <t>SelectObject_Skill_PlayerAoe1</t>
  </si>
  <si>
    <t>SelectObject_Skill_PlayerAoe2</t>
  </si>
  <si>
    <t>SelectObject_Skill_PlayerAoe3</t>
  </si>
  <si>
    <t>SelectObject_Skill_PlayerLine1</t>
  </si>
  <si>
    <t>SelectObject_Skill_PlayerLine2</t>
  </si>
  <si>
    <t>SelectObject_Skill_PlayerLine3</t>
  </si>
  <si>
    <t>SelectObject_Skill_PlayerCircle1</t>
  </si>
  <si>
    <t>SelectObject_Skill_PlayerCircle2</t>
  </si>
  <si>
    <t>SelectObject_Skill_PlayerCircle3</t>
  </si>
  <si>
    <t>SelectObject_Skill_TowerDragon1</t>
  </si>
  <si>
    <t>SelectObject_Skill_TowerDragon2</t>
  </si>
  <si>
    <t>SelectObject_Skill_TowerDragon3</t>
  </si>
  <si>
    <t>SelectObject_Skill_TowerElec1</t>
  </si>
  <si>
    <t>SelectObject_Skill_TowerElec2</t>
  </si>
  <si>
    <t>SelectObject_Skill_TowerElec3</t>
  </si>
  <si>
    <t>SelectObject_Skill_TowerIce1</t>
  </si>
  <si>
    <t>SelectObject_Skill_TowerIce2</t>
  </si>
  <si>
    <t>SelectObject_Skill_TowerIce3</t>
  </si>
  <si>
    <t>SelectObject_Self</t>
  </si>
  <si>
    <t>SelectObject_Skill_TowerScorpio1</t>
  </si>
  <si>
    <t>SelectObject_Skill_TowerScorpio2</t>
  </si>
  <si>
    <t>SelectObject_Skill_TowerScorpio3</t>
  </si>
  <si>
    <t>SelectObject_Skill_TowerGoblin1</t>
  </si>
  <si>
    <t>SelectObject_Skill_TowerGoblin2</t>
  </si>
  <si>
    <t>SelectObject_Skill_TowerGoblin3</t>
  </si>
  <si>
    <t>SelectObject_Skill_TowerBomb1</t>
  </si>
  <si>
    <t>SelectObject_Skill_TowerBomb2</t>
  </si>
  <si>
    <t>SelectObject_Skill_TowerBomb3</t>
  </si>
  <si>
    <t>节点</t>
    <phoneticPr fontId="4" type="noConversion"/>
  </si>
  <si>
    <t>第1天</t>
    <phoneticPr fontId="4" type="noConversion"/>
  </si>
  <si>
    <t>挑战/无限</t>
    <phoneticPr fontId="4" type="noConversion"/>
  </si>
  <si>
    <t>第2天</t>
    <phoneticPr fontId="4" type="noConversion"/>
  </si>
  <si>
    <t>新卡牌</t>
    <phoneticPr fontId="4" type="noConversion"/>
  </si>
  <si>
    <t>开放玩法</t>
    <phoneticPr fontId="4" type="noConversion"/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</si>
  <si>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</si>
  <si>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</si>
  <si>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</si>
  <si>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</si>
  <si>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</si>
  <si>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</si>
  <si>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</si>
  <si>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</si>
  <si>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</si>
  <si>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</si>
  <si>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</si>
  <si>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上阵</t>
    <phoneticPr fontId="4" type="noConversion"/>
  </si>
  <si>
    <t>新赛季</t>
    <phoneticPr fontId="4" type="noConversion"/>
  </si>
  <si>
    <t>第14天</t>
  </si>
  <si>
    <t>第15天</t>
  </si>
  <si>
    <t>第16天</t>
  </si>
  <si>
    <t>第17天</t>
  </si>
  <si>
    <t>第18天</t>
  </si>
  <si>
    <t>第19天</t>
  </si>
  <si>
    <t>第20天</t>
  </si>
  <si>
    <t>第21天</t>
  </si>
  <si>
    <t>赛季结算</t>
    <phoneticPr fontId="4" type="noConversion"/>
  </si>
  <si>
    <t>循环赛季</t>
    <phoneticPr fontId="4" type="noConversion"/>
  </si>
  <si>
    <t>第22天</t>
  </si>
  <si>
    <t>第23天</t>
  </si>
  <si>
    <t>第24天</t>
  </si>
  <si>
    <t>第25天</t>
  </si>
  <si>
    <t>第26天</t>
  </si>
  <si>
    <t>第27天</t>
  </si>
  <si>
    <t>第28天</t>
  </si>
  <si>
    <t>头像框</t>
    <phoneticPr fontId="4" type="noConversion"/>
  </si>
  <si>
    <t>成就奖</t>
    <phoneticPr fontId="4" type="noConversion"/>
  </si>
  <si>
    <t>开服天数</t>
    <phoneticPr fontId="4" type="noConversion"/>
  </si>
  <si>
    <t>运营计划</t>
    <phoneticPr fontId="4" type="noConversion"/>
  </si>
  <si>
    <t>游戏内容规划</t>
    <phoneticPr fontId="4" type="noConversion"/>
  </si>
  <si>
    <t>新道具</t>
    <phoneticPr fontId="4" type="noConversion"/>
  </si>
  <si>
    <t>版本计划</t>
    <phoneticPr fontId="4" type="noConversion"/>
  </si>
  <si>
    <t>7留测试</t>
    <phoneticPr fontId="4" type="noConversion"/>
  </si>
  <si>
    <t>月留测试</t>
    <phoneticPr fontId="4" type="noConversion"/>
  </si>
  <si>
    <t>付费测试</t>
    <phoneticPr fontId="4" type="noConversion"/>
  </si>
  <si>
    <t>公测</t>
    <phoneticPr fontId="4" type="noConversion"/>
  </si>
  <si>
    <t>版本</t>
    <phoneticPr fontId="4" type="noConversion"/>
  </si>
  <si>
    <t>功能解锁</t>
    <phoneticPr fontId="4" type="noConversion"/>
  </si>
  <si>
    <t>功能引导</t>
    <phoneticPr fontId="4" type="noConversion"/>
  </si>
  <si>
    <t>商店</t>
    <phoneticPr fontId="4" type="noConversion"/>
  </si>
  <si>
    <t>新增内容</t>
    <phoneticPr fontId="4" type="noConversion"/>
  </si>
  <si>
    <t>成就</t>
    <phoneticPr fontId="4" type="noConversion"/>
  </si>
  <si>
    <t>游戏后台</t>
    <phoneticPr fontId="4" type="noConversion"/>
  </si>
  <si>
    <t>活动后台</t>
    <phoneticPr fontId="4" type="noConversion"/>
  </si>
  <si>
    <t>官网</t>
    <phoneticPr fontId="4" type="noConversion"/>
  </si>
  <si>
    <t>渠道</t>
    <phoneticPr fontId="4" type="noConversion"/>
  </si>
  <si>
    <t>谷歌-加拿大</t>
    <phoneticPr fontId="4" type="noConversion"/>
  </si>
  <si>
    <t>ios-加拿大</t>
    <phoneticPr fontId="4" type="noConversion"/>
  </si>
  <si>
    <t>谷歌-北美</t>
    <phoneticPr fontId="4" type="noConversion"/>
  </si>
  <si>
    <t>ios-北美</t>
    <phoneticPr fontId="4" type="noConversion"/>
  </si>
  <si>
    <t>客服/社区</t>
    <phoneticPr fontId="4" type="noConversion"/>
  </si>
  <si>
    <t>活动计划</t>
    <phoneticPr fontId="4" type="noConversion"/>
  </si>
  <si>
    <t>形式</t>
    <phoneticPr fontId="4" type="noConversion"/>
  </si>
  <si>
    <t>拉新</t>
    <phoneticPr fontId="4" type="noConversion"/>
  </si>
  <si>
    <t>活跃/付费</t>
    <phoneticPr fontId="4" type="noConversion"/>
  </si>
  <si>
    <t>每月</t>
    <phoneticPr fontId="4" type="noConversion"/>
  </si>
  <si>
    <t>分享奖励</t>
    <phoneticPr fontId="4" type="noConversion"/>
  </si>
  <si>
    <t>卡牌/道具/成就</t>
    <phoneticPr fontId="4" type="noConversion"/>
  </si>
  <si>
    <t>全新赛季</t>
    <phoneticPr fontId="4" type="noConversion"/>
  </si>
  <si>
    <t>新卡牌/道具</t>
    <phoneticPr fontId="4" type="noConversion"/>
  </si>
  <si>
    <t>引导列表</t>
    <phoneticPr fontId="4" type="noConversion"/>
  </si>
  <si>
    <t>1.只引导当前玩家必要内容</t>
    <phoneticPr fontId="4" type="noConversion"/>
  </si>
  <si>
    <t>2.时长、步骤尽量少</t>
    <phoneticPr fontId="4" type="noConversion"/>
  </si>
  <si>
    <t>3.文案简明</t>
    <phoneticPr fontId="4" type="noConversion"/>
  </si>
  <si>
    <t>原则</t>
    <phoneticPr fontId="4" type="noConversion"/>
  </si>
  <si>
    <t>时期</t>
    <phoneticPr fontId="4" type="noConversion"/>
  </si>
  <si>
    <t>玩家目标</t>
    <phoneticPr fontId="4" type="noConversion"/>
  </si>
  <si>
    <t>引导内容</t>
    <phoneticPr fontId="4" type="noConversion"/>
  </si>
  <si>
    <t>步骤</t>
    <phoneticPr fontId="4" type="noConversion"/>
  </si>
  <si>
    <t>进入游戏</t>
    <phoneticPr fontId="4" type="noConversion"/>
  </si>
  <si>
    <t>进入首页</t>
    <phoneticPr fontId="4" type="noConversion"/>
  </si>
  <si>
    <t>了解游戏</t>
    <phoneticPr fontId="4" type="noConversion"/>
  </si>
  <si>
    <t>扫图</t>
    <phoneticPr fontId="4" type="noConversion"/>
  </si>
  <si>
    <t>确认</t>
    <phoneticPr fontId="4" type="noConversion"/>
  </si>
  <si>
    <t>放大本营</t>
    <phoneticPr fontId="4" type="noConversion"/>
  </si>
  <si>
    <t>放传送门</t>
    <phoneticPr fontId="4" type="noConversion"/>
  </si>
  <si>
    <t>买塔</t>
    <phoneticPr fontId="4" type="noConversion"/>
  </si>
  <si>
    <t>放塔</t>
    <phoneticPr fontId="4" type="noConversion"/>
  </si>
  <si>
    <t>开战</t>
    <phoneticPr fontId="4" type="noConversion"/>
  </si>
  <si>
    <t>刷新</t>
    <phoneticPr fontId="4" type="noConversion"/>
  </si>
  <si>
    <t>玩什么</t>
    <phoneticPr fontId="4" type="noConversion"/>
  </si>
  <si>
    <t>重载</t>
    <phoneticPr fontId="4" type="noConversion"/>
  </si>
  <si>
    <t>集齐8卡</t>
    <phoneticPr fontId="4" type="noConversion"/>
  </si>
  <si>
    <t>进阶玩法</t>
    <phoneticPr fontId="4" type="noConversion"/>
  </si>
  <si>
    <t>查看排行榜</t>
    <phoneticPr fontId="4" type="noConversion"/>
  </si>
  <si>
    <t>4.引导不能打断玩家连续体验</t>
    <phoneticPr fontId="4" type="noConversion"/>
  </si>
  <si>
    <t>投放计划</t>
    <phoneticPr fontId="4" type="noConversion"/>
  </si>
  <si>
    <t>内容</t>
    <phoneticPr fontId="4" type="noConversion"/>
  </si>
  <si>
    <t>付费</t>
    <phoneticPr fontId="4" type="noConversion"/>
  </si>
  <si>
    <t>每日</t>
    <phoneticPr fontId="4" type="noConversion"/>
  </si>
  <si>
    <t>免费</t>
    <phoneticPr fontId="4" type="noConversion"/>
  </si>
  <si>
    <t>游戏时长min</t>
    <phoneticPr fontId="4" type="noConversion"/>
  </si>
  <si>
    <t>∞</t>
    <phoneticPr fontId="4" type="noConversion"/>
  </si>
  <si>
    <t>单次游戏</t>
    <phoneticPr fontId="4" type="noConversion"/>
  </si>
  <si>
    <t>游戏间隔</t>
    <phoneticPr fontId="4" type="noConversion"/>
  </si>
  <si>
    <t>3个目标</t>
    <phoneticPr fontId="4" type="noConversion"/>
  </si>
  <si>
    <t>内容汇总</t>
    <phoneticPr fontId="4" type="noConversion"/>
  </si>
  <si>
    <t>塔</t>
    <phoneticPr fontId="4" type="noConversion"/>
  </si>
  <si>
    <t>挑战关卡</t>
    <phoneticPr fontId="4" type="noConversion"/>
  </si>
  <si>
    <t>总量</t>
    <phoneticPr fontId="4" type="noConversion"/>
  </si>
  <si>
    <t>详细</t>
    <phoneticPr fontId="4" type="noConversion"/>
  </si>
  <si>
    <t>火焰</t>
    <phoneticPr fontId="4" type="noConversion"/>
  </si>
  <si>
    <t xml:space="preserve">毒 </t>
    <phoneticPr fontId="4" type="noConversion"/>
  </si>
  <si>
    <t>冰</t>
    <phoneticPr fontId="4" type="noConversion"/>
  </si>
  <si>
    <t>活动关卡</t>
    <phoneticPr fontId="4" type="noConversion"/>
  </si>
  <si>
    <t>简单</t>
    <phoneticPr fontId="4" type="noConversion"/>
  </si>
  <si>
    <t>特殊怪</t>
    <phoneticPr fontId="4" type="noConversion"/>
  </si>
  <si>
    <t>大块头</t>
    <phoneticPr fontId="4" type="noConversion"/>
  </si>
  <si>
    <t>暴风雪</t>
    <phoneticPr fontId="4" type="noConversion"/>
  </si>
  <si>
    <t>陨石</t>
    <phoneticPr fontId="4" type="noConversion"/>
  </si>
  <si>
    <t>天火</t>
    <phoneticPr fontId="4" type="noConversion"/>
  </si>
  <si>
    <t>号角</t>
    <phoneticPr fontId="4" type="noConversion"/>
  </si>
  <si>
    <t>净化</t>
    <phoneticPr fontId="4" type="noConversion"/>
  </si>
  <si>
    <t>护盾</t>
    <phoneticPr fontId="4" type="noConversion"/>
  </si>
  <si>
    <t>火箭</t>
    <phoneticPr fontId="4" type="noConversion"/>
  </si>
  <si>
    <t xml:space="preserve">电磁 </t>
    <phoneticPr fontId="4" type="noConversion"/>
  </si>
  <si>
    <t>持续电击</t>
    <phoneticPr fontId="4" type="noConversion"/>
  </si>
  <si>
    <t>残血特攻</t>
    <phoneticPr fontId="4" type="noConversion"/>
  </si>
  <si>
    <t>远处特攻</t>
    <phoneticPr fontId="4" type="noConversion"/>
  </si>
  <si>
    <t>任意1级塔</t>
    <phoneticPr fontId="4" type="noConversion"/>
  </si>
  <si>
    <t>单体1级塔</t>
    <phoneticPr fontId="4" type="noConversion"/>
  </si>
  <si>
    <t>群体1级塔</t>
    <phoneticPr fontId="4" type="noConversion"/>
  </si>
  <si>
    <t>远程1级塔</t>
    <phoneticPr fontId="4" type="noConversion"/>
  </si>
  <si>
    <t>特定2级塔</t>
    <phoneticPr fontId="4" type="noConversion"/>
  </si>
  <si>
    <t>任意2级塔</t>
    <phoneticPr fontId="4" type="noConversion"/>
  </si>
  <si>
    <t>迂回路线</t>
    <phoneticPr fontId="4" type="noConversion"/>
  </si>
  <si>
    <t>单体和群体</t>
    <phoneticPr fontId="4" type="noConversion"/>
  </si>
  <si>
    <t>挑战关卡2</t>
    <phoneticPr fontId="4" type="noConversion"/>
  </si>
  <si>
    <t>减速塔</t>
    <phoneticPr fontId="4" type="noConversion"/>
  </si>
  <si>
    <t>龙塔</t>
    <phoneticPr fontId="4" type="noConversion"/>
  </si>
  <si>
    <t>如何应对隐身</t>
    <phoneticPr fontId="4" type="noConversion"/>
  </si>
  <si>
    <t>如何应对弱化</t>
    <phoneticPr fontId="4" type="noConversion"/>
  </si>
  <si>
    <t>如何应对治疗</t>
    <phoneticPr fontId="4" type="noConversion"/>
  </si>
  <si>
    <t>怎么应对快速</t>
    <phoneticPr fontId="4" type="noConversion"/>
  </si>
  <si>
    <t>怎么应对单体群体</t>
    <phoneticPr fontId="4" type="noConversion"/>
  </si>
  <si>
    <t>挑战关卡3</t>
    <phoneticPr fontId="4" type="noConversion"/>
  </si>
  <si>
    <t>挑战关卡4</t>
    <phoneticPr fontId="4" type="noConversion"/>
  </si>
  <si>
    <t>挑战关卡5</t>
    <phoneticPr fontId="4" type="noConversion"/>
  </si>
  <si>
    <t>买弩箭</t>
    <phoneticPr fontId="4" type="noConversion"/>
  </si>
  <si>
    <t>开始</t>
    <phoneticPr fontId="4" type="noConversion"/>
  </si>
  <si>
    <t>买加农</t>
    <phoneticPr fontId="4" type="noConversion"/>
  </si>
  <si>
    <t>买减速</t>
    <phoneticPr fontId="4" type="noConversion"/>
  </si>
  <si>
    <t>买龙</t>
    <phoneticPr fontId="4" type="noConversion"/>
  </si>
  <si>
    <t>买火焰</t>
    <phoneticPr fontId="4" type="noConversion"/>
  </si>
  <si>
    <t>买毒</t>
    <phoneticPr fontId="4" type="noConversion"/>
  </si>
  <si>
    <t>毒塔升级</t>
    <phoneticPr fontId="4" type="noConversion"/>
  </si>
  <si>
    <t>攻击范围+挪塔</t>
    <phoneticPr fontId="4" type="noConversion"/>
  </si>
  <si>
    <t>拖动</t>
    <phoneticPr fontId="4" type="noConversion"/>
  </si>
  <si>
    <t>弹射增伤</t>
    <phoneticPr fontId="4" type="noConversion"/>
  </si>
  <si>
    <t>火球塔</t>
    <phoneticPr fontId="4" type="noConversion"/>
  </si>
  <si>
    <t>诅咒塔</t>
    <phoneticPr fontId="4" type="noConversion"/>
  </si>
  <si>
    <t>放置</t>
    <phoneticPr fontId="4" type="noConversion"/>
  </si>
  <si>
    <t>买雷电</t>
    <phoneticPr fontId="4" type="noConversion"/>
  </si>
  <si>
    <t>单体破甲</t>
    <phoneticPr fontId="4" type="noConversion"/>
  </si>
  <si>
    <t>鱼刺塔</t>
    <phoneticPr fontId="4" type="noConversion"/>
  </si>
  <si>
    <t>线下模式</t>
    <phoneticPr fontId="4" type="noConversion"/>
  </si>
  <si>
    <t>MonsterWaveCallRule_Offline</t>
  </si>
  <si>
    <t>Monster_Offline_1_1</t>
  </si>
  <si>
    <t>Monster_Offline_2_1</t>
  </si>
  <si>
    <t>Monster_Offline_2_2</t>
  </si>
  <si>
    <t>Monster_Offline_3_1</t>
  </si>
  <si>
    <t>Monster_Offline_3_2</t>
  </si>
  <si>
    <t>Monster_Offline_4_1</t>
  </si>
  <si>
    <t>Monster_Offline_4_2</t>
  </si>
  <si>
    <t>Monster_Offline_5_1</t>
  </si>
  <si>
    <t>Monster_Offline_5_2</t>
  </si>
  <si>
    <t>Monster_Offline_6_1</t>
  </si>
  <si>
    <t>Monster_Offline_6_2</t>
  </si>
  <si>
    <t>Monster_Offline_7_1</t>
  </si>
  <si>
    <t>Monster_Offline_7_2</t>
  </si>
  <si>
    <t>Monster_Offline_8_1</t>
  </si>
  <si>
    <t>Monster_Offline_8_2</t>
  </si>
  <si>
    <t>Monster_Offline_9_1</t>
  </si>
  <si>
    <t>Monster_Offline_9_2</t>
  </si>
  <si>
    <t>Monster_Offline_10_1</t>
  </si>
  <si>
    <t>Monster_Offline_10_2</t>
  </si>
  <si>
    <t>Monster_Offline_11_1</t>
  </si>
  <si>
    <t>Monster_Offline_11_2</t>
  </si>
  <si>
    <t>Monster_Offline_12_1</t>
  </si>
  <si>
    <t>Monster_Offline_13_1</t>
  </si>
  <si>
    <t>Monster_Offline_13_2</t>
  </si>
  <si>
    <t>Monster_Offline_14_1</t>
  </si>
  <si>
    <t>Monster_Offline_14_2</t>
  </si>
  <si>
    <t>Monster_Offline_15_1</t>
  </si>
  <si>
    <t>Monster_Offline_15_2</t>
  </si>
  <si>
    <t>Monster_Offline_15_3</t>
  </si>
  <si>
    <t>Monster_Offline_16_1</t>
  </si>
  <si>
    <t>Monster_Offline_16_2</t>
  </si>
  <si>
    <t>Monster_Offline_17_1</t>
  </si>
  <si>
    <t>Monster_Offline_17_2</t>
  </si>
  <si>
    <t>Monster_Offline_18_1</t>
  </si>
  <si>
    <t>Monster_Offline_18_2</t>
  </si>
  <si>
    <t>Monster_Offline_18_3</t>
  </si>
  <si>
    <t>Monster_Offline_19_1</t>
  </si>
  <si>
    <t>Monster_Offline_19_2</t>
  </si>
  <si>
    <t>Monster_Offline_19_3</t>
  </si>
  <si>
    <t>Monster_Offline_20_1</t>
  </si>
  <si>
    <t>Monster_Offline_20_2</t>
  </si>
  <si>
    <t>Monster_Offline_20_3</t>
  </si>
  <si>
    <t>Unit_Monster_Offline_1_1</t>
  </si>
  <si>
    <t>Unit_Monster_Offline_2_1</t>
  </si>
  <si>
    <t>Unit_Monster_Offline_2_2</t>
  </si>
  <si>
    <t>Unit_Monster_Offline_3_1</t>
  </si>
  <si>
    <t>Unit_Monster_Offline_3_2</t>
  </si>
  <si>
    <t>Unit_Monster_Offline_4_1</t>
  </si>
  <si>
    <t>Unit_Monster_Offline_4_2</t>
  </si>
  <si>
    <t>Unit_Monster_Offline_5_1</t>
  </si>
  <si>
    <t>Unit_Monster_Offline_5_2</t>
  </si>
  <si>
    <t>Unit_Monster_Offline_6_1</t>
  </si>
  <si>
    <t>Unit_Monster_Offline_6_2</t>
  </si>
  <si>
    <t>Unit_Monster_Offline_7_1</t>
  </si>
  <si>
    <t>Unit_Monster_Offline_7_2</t>
  </si>
  <si>
    <t>Unit_Monster_Offline_8_1</t>
  </si>
  <si>
    <t>Unit_Monster_Offline_8_2</t>
  </si>
  <si>
    <t>Unit_Monster_Offline_9_1</t>
  </si>
  <si>
    <t>Unit_Monster_Offline_9_2</t>
  </si>
  <si>
    <t>Unit_Monster_Offline_10_1</t>
  </si>
  <si>
    <t>Unit_Monster_Offline_10_2</t>
  </si>
  <si>
    <t>Unit_Monster_Offline_11_1</t>
  </si>
  <si>
    <t>Unit_Monster_Offline_11_2</t>
  </si>
  <si>
    <t>Unit_Monster_Offline_12_1</t>
  </si>
  <si>
    <t>Unit_Monster_Offline_13_1</t>
  </si>
  <si>
    <t>Unit_Monster_Offline_13_2</t>
  </si>
  <si>
    <t>Unit_Monster_Offline_14_1</t>
  </si>
  <si>
    <t>Unit_Monster_Offline_14_2</t>
  </si>
  <si>
    <t>Unit_Monster_Offline_15_1</t>
  </si>
  <si>
    <t>Unit_Monster_Offline_15_2</t>
  </si>
  <si>
    <t>Unit_Monster_Offline_15_3</t>
  </si>
  <si>
    <t>Unit_Monster_Offline_16_1</t>
  </si>
  <si>
    <t>Unit_Monster_Offline_16_2</t>
  </si>
  <si>
    <t>Unit_Monster_Offline_17_1</t>
  </si>
  <si>
    <t>Unit_Monster_Offline_17_2</t>
  </si>
  <si>
    <t>Unit_Monster_Offline_18_1</t>
  </si>
  <si>
    <t>Unit_Monster_Offline_18_2</t>
  </si>
  <si>
    <t>Unit_Monster_Offline_18_3</t>
  </si>
  <si>
    <t>Unit_Monster_Offline_19_1</t>
  </si>
  <si>
    <t>Unit_Monster_Offline_19_2</t>
  </si>
  <si>
    <t>Unit_Monster_Offline_19_3</t>
  </si>
  <si>
    <t>Unit_Monster_Offline_20_1</t>
  </si>
  <si>
    <t>Unit_Monster_Offline_20_2</t>
  </si>
  <si>
    <t>Unit_Monster_Offline_20_3</t>
  </si>
  <si>
    <t>线下模式怪物1_1</t>
  </si>
  <si>
    <t>线下模式怪物2_1</t>
  </si>
  <si>
    <t>线下模式怪物2_2</t>
  </si>
  <si>
    <t>线下模式怪物3_1</t>
  </si>
  <si>
    <t>线下模式怪物3_2</t>
  </si>
  <si>
    <t>线下模式怪物4_1</t>
  </si>
  <si>
    <t>线下模式怪物4_2</t>
  </si>
  <si>
    <t>线下模式怪物5_1</t>
  </si>
  <si>
    <t>线下模式怪物5_2</t>
  </si>
  <si>
    <t>线下模式怪物6_1</t>
  </si>
  <si>
    <t>线下模式怪物6_2</t>
  </si>
  <si>
    <t>线下模式怪物7_1</t>
  </si>
  <si>
    <t>线下模式怪物7_2</t>
  </si>
  <si>
    <t>线下模式怪物8_1</t>
  </si>
  <si>
    <t>线下模式怪物8_2</t>
  </si>
  <si>
    <t>线下模式怪物9_1</t>
  </si>
  <si>
    <t>线下模式怪物9_2</t>
  </si>
  <si>
    <t>线下模式怪物10_1</t>
  </si>
  <si>
    <t>线下模式怪物10_2</t>
  </si>
  <si>
    <t>线下模式怪物11_1</t>
  </si>
  <si>
    <t>线下模式怪物11_2</t>
  </si>
  <si>
    <t>线下模式怪物12_1</t>
  </si>
  <si>
    <t>线下模式怪物13_1</t>
  </si>
  <si>
    <t>线下模式怪物13_2</t>
  </si>
  <si>
    <t>线下模式怪物14_1</t>
  </si>
  <si>
    <t>线下模式怪物14_2</t>
  </si>
  <si>
    <t>线下模式怪物15_1</t>
  </si>
  <si>
    <t>线下模式怪物15_2</t>
  </si>
  <si>
    <t>线下模式怪物15_3</t>
  </si>
  <si>
    <t>线下模式怪物16_1</t>
  </si>
  <si>
    <t>线下模式怪物16_2</t>
  </si>
  <si>
    <t>线下模式怪物17_1</t>
  </si>
  <si>
    <t>线下模式怪物17_2</t>
  </si>
  <si>
    <t>线下模式怪物18_1</t>
  </si>
  <si>
    <t>线下模式怪物18_2</t>
  </si>
  <si>
    <t>线下模式怪物18_3</t>
  </si>
  <si>
    <t>线下模式怪物19_1</t>
  </si>
  <si>
    <t>线下模式怪物19_2</t>
  </si>
  <si>
    <t>线下模式怪物19_3</t>
  </si>
  <si>
    <t>线下模式怪物20_1</t>
  </si>
  <si>
    <t>线下模式怪物20_2</t>
  </si>
  <si>
    <t>线下模式怪物20_3</t>
  </si>
  <si>
    <t>挑战关卡怪物技能_弱化</t>
    <phoneticPr fontId="4" type="noConversion"/>
  </si>
  <si>
    <t>BuffAdd_Monster_Challenge5_1_1</t>
  </si>
  <si>
    <t>BuffAdd_Monster_Challenge5_2_1</t>
  </si>
  <si>
    <t>BuffAdd_Monster_Challenge5_3_1</t>
  </si>
  <si>
    <t>BuffAdd_Monster_Challenge5_4_1</t>
  </si>
  <si>
    <t>BuffAdd_Monster_Challenge5_5_1</t>
  </si>
  <si>
    <t>BuffAdd_Monster_Challenge5_5_4</t>
  </si>
  <si>
    <t>无限模式怪物技能</t>
  </si>
  <si>
    <t>BuffAdd_Infinite_9_2_ZhongZi</t>
  </si>
  <si>
    <t>BuffAdd_Infinite_10_2_ZhongZi</t>
  </si>
  <si>
    <t>BuffAdd_Infinite_11_1_ZhongZi</t>
  </si>
  <si>
    <t>BuffAdd_Infinite_12_2_ZhongZi</t>
  </si>
  <si>
    <t>BuffAdd_Infinite_12_3_ZhongZi</t>
  </si>
  <si>
    <t>BuffAdd_Infinite_13_1_Gui</t>
  </si>
  <si>
    <t>BuffAdd_Infinite_14_1_Gui</t>
  </si>
  <si>
    <t>BuffAdd_Infinite_15_1_Gui</t>
  </si>
  <si>
    <t>BuffAdd_Infinite_15_2_ZhongZi</t>
  </si>
  <si>
    <t>BuffAdd_Infinite_16_2_Gui</t>
  </si>
  <si>
    <t>BuffAdd_Infinite_17_2_Dan</t>
  </si>
  <si>
    <t>BuffAdd_Infinite_18_1_Dan</t>
  </si>
  <si>
    <r>
      <t>Skill_Monster_Infinite_1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_1_Dan</t>
    </r>
    <phoneticPr fontId="4" type="noConversion"/>
  </si>
  <si>
    <r>
      <t>BuffAdd_Infinite_1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_1_Dan</t>
    </r>
    <phoneticPr fontId="4" type="noConversion"/>
  </si>
  <si>
    <t>BuffAdd_Infinite_19_3_ZhongZi</t>
  </si>
  <si>
    <t>BuffAdd_Infinite_20_1_Dan</t>
  </si>
  <si>
    <t>BuffAdd_Infinite_20_2_Gui</t>
  </si>
  <si>
    <t>BuffAdd_Infinite_20_3_ZhongZi</t>
  </si>
  <si>
    <t>BuffAdd_Infinite_20_4_Dan</t>
  </si>
  <si>
    <r>
      <t>Skill</t>
    </r>
    <r>
      <rPr>
        <sz val="11"/>
        <color theme="1"/>
        <rFont val="等线"/>
        <family val="3"/>
        <charset val="134"/>
        <scheme val="minor"/>
      </rPr>
      <t>_Monster_Infinite_Boss</t>
    </r>
    <phoneticPr fontId="4" type="noConversion"/>
  </si>
  <si>
    <t>Boss出场技能</t>
    <phoneticPr fontId="4" type="noConversion"/>
  </si>
  <si>
    <t>PlayAudio_BossAppear</t>
  </si>
  <si>
    <t>通用技能_回复</t>
    <phoneticPr fontId="4" type="noConversion"/>
  </si>
  <si>
    <t>通用技能_隐身</t>
    <phoneticPr fontId="4" type="noConversion"/>
  </si>
  <si>
    <t>通用技能_弱化</t>
    <phoneticPr fontId="4" type="noConversion"/>
  </si>
  <si>
    <t>通用技能_加速</t>
    <phoneticPr fontId="4" type="noConversion"/>
  </si>
  <si>
    <t>BuyTowerRefreshRule_Infinite</t>
  </si>
  <si>
    <t>TowerDefenseCfg_Offline</t>
    <phoneticPr fontId="4" type="noConversion"/>
  </si>
  <si>
    <t>难度递增</t>
    <phoneticPr fontId="4" type="noConversion"/>
  </si>
  <si>
    <t>boss关递增</t>
    <phoneticPr fontId="4" type="noConversion"/>
  </si>
  <si>
    <t>0-5波</t>
    <phoneticPr fontId="4" type="noConversion"/>
  </si>
  <si>
    <t>5-10波</t>
    <phoneticPr fontId="4" type="noConversion"/>
  </si>
  <si>
    <t>10-15波</t>
    <phoneticPr fontId="4" type="noConversion"/>
  </si>
  <si>
    <t>15-20波</t>
    <phoneticPr fontId="4" type="noConversion"/>
  </si>
  <si>
    <t>Skill_Monster_Challenge3_1_1,NormalAttack</t>
  </si>
  <si>
    <t>Skill_Monster_Challenge4_1_1,NormalAttack</t>
  </si>
  <si>
    <t>Skill_Monster_Challenge5_1_1,NormalAttack</t>
  </si>
  <si>
    <t>0-4波</t>
    <phoneticPr fontId="4" type="noConversion"/>
  </si>
  <si>
    <t>5-8波</t>
    <phoneticPr fontId="4" type="noConversion"/>
  </si>
  <si>
    <t>9-12波</t>
    <phoneticPr fontId="4" type="noConversion"/>
  </si>
  <si>
    <t>13-16波</t>
    <phoneticPr fontId="4" type="noConversion"/>
  </si>
  <si>
    <t>17-20波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</si>
</sst>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5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rgb="FFFA7D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u/>
      <sz val="11"/>
      <color rgb="FF0563C1"/>
      <name val="等线"/>
      <family val="3"/>
      <charset val="134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4"/>
      <charset val="134"/>
      <scheme val="minor"/>
    </font>
    <font>
      <sz val="11"/>
      <color rgb="FF9C0006"/>
      <name val="等线"/>
      <family val="4"/>
      <charset val="134"/>
      <scheme val="minor"/>
    </font>
    <font>
      <i/>
      <sz val="11"/>
      <color rgb="FF7F7F7F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u/>
      <sz val="11"/>
      <color rgb="FFFA7D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3F3F3F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FFC000"/>
      <name val="等线"/>
      <family val="3"/>
      <charset val="134"/>
      <scheme val="minor"/>
    </font>
    <font>
      <b/>
      <sz val="11"/>
      <color rgb="FF3F3F76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indexed="64"/>
      </right>
      <top style="thin">
        <color rgb="FF3F3F3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5">
    <xf numFmtId="0" fontId="0" fillId="0" borderId="0"/>
    <xf numFmtId="0" fontId="1" fillId="2" borderId="1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7" fillId="0" borderId="0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0" borderId="0"/>
    <xf numFmtId="0" fontId="13" fillId="0" borderId="0" applyBorder="0" applyProtection="0"/>
    <xf numFmtId="0" fontId="12" fillId="6" borderId="0" applyBorder="0" applyProtection="0"/>
    <xf numFmtId="0" fontId="11" fillId="5" borderId="0" applyBorder="0" applyProtection="0"/>
    <xf numFmtId="0" fontId="12" fillId="6" borderId="0" applyBorder="0" applyProtection="0"/>
    <xf numFmtId="0" fontId="10" fillId="0" borderId="0"/>
    <xf numFmtId="0" fontId="11" fillId="5" borderId="0" applyBorder="0" applyProtection="0"/>
    <xf numFmtId="0" fontId="8" fillId="0" borderId="0"/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5" borderId="0" applyBorder="0" applyProtection="0"/>
    <xf numFmtId="0" fontId="8" fillId="0" borderId="0"/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29" fillId="0" borderId="0"/>
    <xf numFmtId="0" fontId="32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</cellStyleXfs>
  <cellXfs count="177">
    <xf numFmtId="0" fontId="0" fillId="0" borderId="0" xfId="0"/>
    <xf numFmtId="0" fontId="5" fillId="0" borderId="0" xfId="0" applyFont="1"/>
    <xf numFmtId="0" fontId="8" fillId="0" borderId="3" xfId="0" applyFont="1" applyBorder="1" applyAlignment="1">
      <alignment horizontal="center" vertical="center"/>
    </xf>
    <xf numFmtId="0" fontId="6" fillId="0" borderId="0" xfId="0" applyFont="1"/>
    <xf numFmtId="0" fontId="6" fillId="9" borderId="0" xfId="0" applyFont="1" applyFill="1"/>
    <xf numFmtId="0" fontId="18" fillId="0" borderId="0" xfId="4" applyFont="1" applyAlignment="1"/>
    <xf numFmtId="0" fontId="8" fillId="0" borderId="0" xfId="0" applyFont="1"/>
    <xf numFmtId="0" fontId="19" fillId="2" borderId="3" xfId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9" fillId="2" borderId="1" xfId="1" applyNumberFormat="1" applyFont="1" applyAlignment="1">
      <alignment horizontal="center"/>
    </xf>
    <xf numFmtId="0" fontId="19" fillId="2" borderId="1" xfId="1" applyFont="1" applyAlignment="1">
      <alignment horizontal="center" vertical="center"/>
    </xf>
    <xf numFmtId="0" fontId="20" fillId="3" borderId="2" xfId="2" applyNumberFormat="1" applyFont="1" applyAlignment="1">
      <alignment horizontal="center"/>
    </xf>
    <xf numFmtId="0" fontId="8" fillId="0" borderId="12" xfId="0" applyFont="1" applyBorder="1"/>
    <xf numFmtId="0" fontId="8" fillId="0" borderId="13" xfId="0" applyFont="1" applyBorder="1"/>
    <xf numFmtId="0" fontId="8" fillId="0" borderId="14" xfId="0" applyFont="1" applyBorder="1"/>
    <xf numFmtId="0" fontId="19" fillId="2" borderId="11" xfId="1" applyFont="1" applyBorder="1" applyAlignment="1"/>
    <xf numFmtId="0" fontId="19" fillId="2" borderId="5" xfId="1" applyFont="1" applyBorder="1" applyAlignment="1"/>
    <xf numFmtId="0" fontId="19" fillId="2" borderId="6" xfId="1" applyFont="1" applyBorder="1" applyAlignment="1"/>
    <xf numFmtId="0" fontId="20" fillId="3" borderId="18" xfId="2" applyFont="1" applyBorder="1" applyAlignment="1"/>
    <xf numFmtId="0" fontId="20" fillId="3" borderId="19" xfId="2" applyFont="1" applyBorder="1" applyAlignment="1"/>
    <xf numFmtId="0" fontId="20" fillId="3" borderId="20" xfId="2" applyFont="1" applyBorder="1" applyAlignment="1"/>
    <xf numFmtId="0" fontId="21" fillId="4" borderId="12" xfId="5" applyFont="1" applyFill="1" applyBorder="1" applyAlignment="1"/>
    <xf numFmtId="0" fontId="22" fillId="4" borderId="13" xfId="3" applyFont="1" applyFill="1" applyBorder="1" applyAlignment="1"/>
    <xf numFmtId="0" fontId="22" fillId="4" borderId="14" xfId="3" applyFont="1" applyFill="1" applyBorder="1" applyAlignment="1"/>
    <xf numFmtId="0" fontId="18" fillId="0" borderId="8" xfId="4" applyFont="1" applyBorder="1" applyAlignment="1"/>
    <xf numFmtId="0" fontId="18" fillId="0" borderId="9" xfId="4" applyFont="1" applyBorder="1" applyAlignment="1"/>
    <xf numFmtId="0" fontId="18" fillId="0" borderId="10" xfId="4" applyFont="1" applyBorder="1" applyAlignment="1"/>
    <xf numFmtId="0" fontId="22" fillId="0" borderId="3" xfId="3" applyFont="1" applyBorder="1" applyAlignment="1">
      <alignment horizontal="center" vertical="center"/>
    </xf>
    <xf numFmtId="0" fontId="23" fillId="0" borderId="0" xfId="0" applyFont="1"/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9" fillId="2" borderId="24" xfId="1" applyFont="1" applyBorder="1" applyAlignment="1">
      <alignment horizontal="center" vertical="center"/>
    </xf>
    <xf numFmtId="0" fontId="19" fillId="2" borderId="26" xfId="1" applyFont="1" applyBorder="1" applyAlignment="1">
      <alignment horizontal="center" vertical="center"/>
    </xf>
    <xf numFmtId="0" fontId="19" fillId="2" borderId="27" xfId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9" fillId="2" borderId="25" xfId="1" applyFont="1" applyBorder="1" applyAlignment="1">
      <alignment horizontal="center" vertical="center"/>
    </xf>
    <xf numFmtId="0" fontId="19" fillId="2" borderId="28" xfId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3" borderId="3" xfId="2" applyBorder="1" applyAlignment="1">
      <alignment horizontal="center"/>
    </xf>
    <xf numFmtId="0" fontId="9" fillId="0" borderId="3" xfId="5" applyBorder="1" applyAlignment="1">
      <alignment horizontal="center" vertical="center"/>
    </xf>
    <xf numFmtId="0" fontId="14" fillId="7" borderId="0" xfId="14" applyAlignment="1"/>
    <xf numFmtId="0" fontId="15" fillId="8" borderId="0" xfId="15" applyAlignment="1"/>
    <xf numFmtId="0" fontId="14" fillId="7" borderId="3" xfId="14" applyBorder="1" applyAlignment="1"/>
    <xf numFmtId="0" fontId="15" fillId="8" borderId="3" xfId="15" applyBorder="1" applyAlignment="1"/>
    <xf numFmtId="0" fontId="10" fillId="0" borderId="0" xfId="11"/>
    <xf numFmtId="0" fontId="11" fillId="5" borderId="3" xfId="9" applyBorder="1" applyProtection="1"/>
    <xf numFmtId="0" fontId="12" fillId="6" borderId="3" xfId="8" applyBorder="1" applyProtection="1"/>
    <xf numFmtId="0" fontId="0" fillId="0" borderId="3" xfId="0" applyBorder="1"/>
    <xf numFmtId="0" fontId="18" fillId="0" borderId="0" xfId="4" applyFont="1" applyAlignment="1">
      <alignment horizontal="left"/>
    </xf>
    <xf numFmtId="9" fontId="19" fillId="2" borderId="3" xfId="20" applyFont="1" applyFill="1" applyBorder="1" applyAlignment="1">
      <alignment horizontal="center" vertical="center"/>
    </xf>
    <xf numFmtId="9" fontId="19" fillId="2" borderId="3" xfId="1" applyNumberFormat="1" applyFont="1" applyBorder="1" applyAlignment="1">
      <alignment horizontal="center" vertical="center"/>
    </xf>
    <xf numFmtId="0" fontId="8" fillId="0" borderId="0" xfId="13"/>
    <xf numFmtId="0" fontId="2" fillId="3" borderId="2" xfId="2" applyAlignment="1"/>
    <xf numFmtId="0" fontId="14" fillId="7" borderId="3" xfId="14" applyBorder="1" applyAlignment="1">
      <alignment horizontal="left" vertical="center"/>
    </xf>
    <xf numFmtId="0" fontId="0" fillId="0" borderId="0" xfId="0" applyAlignment="1">
      <alignment horizontal="left"/>
    </xf>
    <xf numFmtId="0" fontId="15" fillId="8" borderId="3" xfId="15" applyBorder="1" applyAlignment="1">
      <alignment horizontal="left" vertical="center"/>
    </xf>
    <xf numFmtId="0" fontId="8" fillId="0" borderId="0" xfId="13" applyAlignment="1">
      <alignment horizontal="left" vertical="center"/>
    </xf>
    <xf numFmtId="0" fontId="26" fillId="0" borderId="0" xfId="13" applyFont="1" applyAlignment="1">
      <alignment horizontal="left"/>
    </xf>
    <xf numFmtId="0" fontId="27" fillId="0" borderId="0" xfId="13" applyFont="1" applyAlignment="1">
      <alignment horizontal="left"/>
    </xf>
    <xf numFmtId="0" fontId="8" fillId="0" borderId="0" xfId="13" applyAlignment="1">
      <alignment horizontal="left"/>
    </xf>
    <xf numFmtId="0" fontId="14" fillId="7" borderId="3" xfId="14" applyBorder="1" applyAlignment="1">
      <alignment horizontal="left"/>
    </xf>
    <xf numFmtId="0" fontId="15" fillId="8" borderId="3" xfId="15" applyBorder="1" applyAlignment="1">
      <alignment horizontal="left"/>
    </xf>
    <xf numFmtId="0" fontId="2" fillId="3" borderId="3" xfId="2" applyBorder="1" applyAlignment="1">
      <alignment horizontal="left"/>
    </xf>
    <xf numFmtId="0" fontId="0" fillId="0" borderId="0" xfId="0" applyAlignment="1">
      <alignment vertical="center"/>
    </xf>
    <xf numFmtId="0" fontId="14" fillId="7" borderId="15" xfId="14" applyBorder="1" applyAlignment="1">
      <alignment horizontal="left"/>
    </xf>
    <xf numFmtId="0" fontId="8" fillId="0" borderId="0" xfId="0" applyFont="1" applyAlignment="1">
      <alignment horizontal="left"/>
    </xf>
    <xf numFmtId="0" fontId="14" fillId="7" borderId="15" xfId="14" applyBorder="1" applyAlignment="1">
      <alignment horizontal="left" vertical="center"/>
    </xf>
    <xf numFmtId="0" fontId="14" fillId="7" borderId="15" xfId="14" applyBorder="1" applyAlignment="1">
      <alignment horizontal="left" vertical="center" wrapText="1"/>
    </xf>
    <xf numFmtId="0" fontId="2" fillId="3" borderId="2" xfId="2" applyAlignment="1">
      <alignment horizontal="left" vertical="center"/>
    </xf>
    <xf numFmtId="0" fontId="11" fillId="5" borderId="14" xfId="9" applyBorder="1" applyAlignment="1" applyProtection="1">
      <alignment horizontal="center"/>
    </xf>
    <xf numFmtId="0" fontId="12" fillId="6" borderId="14" xfId="8" applyBorder="1" applyAlignment="1" applyProtection="1">
      <alignment horizontal="center"/>
    </xf>
    <xf numFmtId="0" fontId="13" fillId="6" borderId="3" xfId="7" applyFill="1" applyBorder="1" applyProtection="1"/>
    <xf numFmtId="0" fontId="11" fillId="5" borderId="15" xfId="9" applyBorder="1" applyProtection="1"/>
    <xf numFmtId="0" fontId="28" fillId="0" borderId="0" xfId="0" applyFont="1"/>
    <xf numFmtId="0" fontId="10" fillId="0" borderId="0" xfId="0" applyFont="1"/>
    <xf numFmtId="0" fontId="28" fillId="0" borderId="0" xfId="9" applyFont="1" applyFill="1" applyBorder="1" applyProtection="1"/>
    <xf numFmtId="0" fontId="8" fillId="0" borderId="0" xfId="17"/>
    <xf numFmtId="0" fontId="2" fillId="3" borderId="2" xfId="2" applyAlignment="1">
      <alignment horizontal="center" vertical="center"/>
    </xf>
    <xf numFmtId="0" fontId="21" fillId="8" borderId="3" xfId="21" applyFill="1" applyBorder="1" applyAlignment="1"/>
    <xf numFmtId="0" fontId="19" fillId="2" borderId="12" xfId="1" applyFont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2" xfId="2" applyAlignment="1">
      <alignment vertical="center"/>
    </xf>
    <xf numFmtId="0" fontId="8" fillId="0" borderId="3" xfId="0" applyFont="1" applyBorder="1" applyAlignment="1">
      <alignment horizontal="left" vertical="center"/>
    </xf>
    <xf numFmtId="0" fontId="3" fillId="0" borderId="0" xfId="4" applyAlignment="1"/>
    <xf numFmtId="0" fontId="14" fillId="7" borderId="14" xfId="14" applyBorder="1" applyAlignment="1">
      <alignment horizontal="center"/>
    </xf>
    <xf numFmtId="0" fontId="15" fillId="8" borderId="14" xfId="15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1" xfId="1" applyAlignment="1">
      <alignment horizontal="left" vertical="center"/>
    </xf>
    <xf numFmtId="0" fontId="0" fillId="0" borderId="0" xfId="0" applyAlignment="1">
      <alignment horizontal="center"/>
    </xf>
    <xf numFmtId="0" fontId="2" fillId="3" borderId="2" xfId="2" applyAlignment="1">
      <alignment horizontal="center"/>
    </xf>
    <xf numFmtId="0" fontId="1" fillId="2" borderId="1" xfId="1" applyAlignment="1">
      <alignment horizontal="center"/>
    </xf>
    <xf numFmtId="0" fontId="14" fillId="7" borderId="0" xfId="14" applyAlignment="1">
      <alignment horizontal="left"/>
    </xf>
    <xf numFmtId="0" fontId="21" fillId="8" borderId="3" xfId="21" applyFill="1" applyBorder="1" applyAlignment="1">
      <alignment horizontal="left"/>
    </xf>
    <xf numFmtId="0" fontId="15" fillId="8" borderId="0" xfId="15" applyAlignment="1">
      <alignment horizontal="left"/>
    </xf>
    <xf numFmtId="0" fontId="2" fillId="3" borderId="2" xfId="2" applyAlignment="1">
      <alignment horizontal="left"/>
    </xf>
    <xf numFmtId="0" fontId="29" fillId="0" borderId="0" xfId="22" applyAlignment="1">
      <alignment horizontal="left"/>
    </xf>
    <xf numFmtId="0" fontId="14" fillId="7" borderId="12" xfId="14" applyBorder="1" applyAlignment="1">
      <alignment horizontal="left"/>
    </xf>
    <xf numFmtId="0" fontId="14" fillId="7" borderId="13" xfId="14" applyBorder="1" applyAlignment="1">
      <alignment horizontal="left"/>
    </xf>
    <xf numFmtId="0" fontId="14" fillId="7" borderId="0" xfId="14" applyBorder="1" applyAlignment="1">
      <alignment horizontal="left"/>
    </xf>
    <xf numFmtId="0" fontId="15" fillId="8" borderId="12" xfId="15" applyBorder="1" applyAlignment="1">
      <alignment horizontal="left"/>
    </xf>
    <xf numFmtId="0" fontId="15" fillId="8" borderId="0" xfId="15" applyBorder="1" applyAlignment="1">
      <alignment horizontal="left"/>
    </xf>
    <xf numFmtId="0" fontId="14" fillId="7" borderId="4" xfId="14" applyBorder="1" applyAlignment="1">
      <alignment horizontal="left"/>
    </xf>
    <xf numFmtId="0" fontId="3" fillId="0" borderId="0" xfId="4" applyAlignment="1">
      <alignment horizontal="left"/>
    </xf>
    <xf numFmtId="0" fontId="3" fillId="0" borderId="0" xfId="4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4" borderId="7" xfId="4" applyFill="1" applyBorder="1" applyAlignment="1">
      <alignment horizontal="left" vertical="center"/>
    </xf>
    <xf numFmtId="0" fontId="30" fillId="0" borderId="0" xfId="0" applyFont="1"/>
    <xf numFmtId="0" fontId="19" fillId="2" borderId="17" xfId="1" applyFont="1" applyBorder="1" applyAlignment="1">
      <alignment horizontal="center" vertical="center"/>
    </xf>
    <xf numFmtId="0" fontId="2" fillId="3" borderId="34" xfId="2" applyBorder="1" applyAlignment="1">
      <alignment horizontal="center" vertical="center"/>
    </xf>
    <xf numFmtId="0" fontId="19" fillId="2" borderId="3" xfId="1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31" fillId="0" borderId="0" xfId="2" applyFont="1" applyFill="1" applyBorder="1" applyAlignment="1">
      <alignment horizontal="left"/>
    </xf>
    <xf numFmtId="0" fontId="30" fillId="0" borderId="0" xfId="2" applyFont="1" applyFill="1" applyBorder="1" applyAlignment="1">
      <alignment horizontal="left"/>
    </xf>
    <xf numFmtId="9" fontId="19" fillId="2" borderId="12" xfId="1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9" fontId="0" fillId="0" borderId="3" xfId="0" applyNumberFormat="1" applyBorder="1"/>
    <xf numFmtId="0" fontId="2" fillId="3" borderId="3" xfId="2" applyNumberFormat="1" applyBorder="1" applyAlignment="1">
      <alignment horizontal="left"/>
    </xf>
    <xf numFmtId="0" fontId="19" fillId="2" borderId="3" xfId="20" applyNumberFormat="1" applyFont="1" applyFill="1" applyBorder="1" applyAlignment="1">
      <alignment horizontal="center" vertical="center"/>
    </xf>
    <xf numFmtId="0" fontId="32" fillId="10" borderId="0" xfId="23" applyAlignme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19" fillId="2" borderId="16" xfId="1" applyFont="1" applyBorder="1" applyAlignment="1">
      <alignment horizontal="center" vertical="center"/>
    </xf>
    <xf numFmtId="0" fontId="19" fillId="2" borderId="7" xfId="1" applyFont="1" applyBorder="1" applyAlignment="1">
      <alignment horizontal="center" vertical="center"/>
    </xf>
    <xf numFmtId="0" fontId="1" fillId="2" borderId="1" xfId="1" applyAlignment="1">
      <alignment horizontal="left"/>
    </xf>
    <xf numFmtId="0" fontId="34" fillId="0" borderId="3" xfId="0" applyFont="1" applyBorder="1" applyAlignment="1">
      <alignment horizontal="center" vertical="center"/>
    </xf>
    <xf numFmtId="0" fontId="34" fillId="2" borderId="12" xfId="1" applyFont="1" applyBorder="1" applyAlignment="1">
      <alignment horizontal="center" vertical="center"/>
    </xf>
    <xf numFmtId="0" fontId="34" fillId="2" borderId="3" xfId="1" applyFont="1" applyBorder="1" applyAlignment="1">
      <alignment horizontal="center" vertical="center"/>
    </xf>
    <xf numFmtId="0" fontId="8" fillId="0" borderId="3" xfId="0" applyFont="1" applyBorder="1"/>
    <xf numFmtId="0" fontId="8" fillId="0" borderId="0" xfId="0" applyFont="1" applyAlignment="1">
      <alignment horizontal="center"/>
    </xf>
    <xf numFmtId="0" fontId="34" fillId="0" borderId="3" xfId="0" applyFont="1" applyBorder="1" applyAlignment="1">
      <alignment horizontal="center"/>
    </xf>
    <xf numFmtId="0" fontId="37" fillId="2" borderId="3" xfId="1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3" fillId="0" borderId="0" xfId="4" applyBorder="1" applyAlignment="1">
      <alignment horizontal="center"/>
    </xf>
    <xf numFmtId="0" fontId="34" fillId="0" borderId="27" xfId="0" applyFont="1" applyBorder="1" applyAlignment="1">
      <alignment horizontal="center" vertical="center"/>
    </xf>
    <xf numFmtId="0" fontId="34" fillId="2" borderId="27" xfId="1" applyFont="1" applyBorder="1" applyAlignment="1">
      <alignment horizontal="center" vertical="center"/>
    </xf>
    <xf numFmtId="0" fontId="19" fillId="2" borderId="0" xfId="1" applyFont="1" applyBorder="1" applyAlignment="1">
      <alignment horizontal="center" vertical="center"/>
    </xf>
    <xf numFmtId="0" fontId="3" fillId="4" borderId="0" xfId="4" applyFill="1" applyBorder="1" applyAlignment="1">
      <alignment horizontal="left" vertical="center"/>
    </xf>
    <xf numFmtId="0" fontId="38" fillId="11" borderId="0" xfId="24" applyAlignment="1"/>
    <xf numFmtId="0" fontId="6" fillId="0" borderId="3" xfId="0" applyFont="1" applyBorder="1" applyAlignment="1">
      <alignment horizontal="center" vertical="center"/>
    </xf>
    <xf numFmtId="0" fontId="37" fillId="2" borderId="12" xfId="1" applyFont="1" applyBorder="1" applyAlignment="1">
      <alignment horizontal="center" vertical="center"/>
    </xf>
    <xf numFmtId="58" fontId="8" fillId="0" borderId="0" xfId="0" applyNumberFormat="1" applyFont="1"/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1" fillId="0" borderId="3" xfId="5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7" borderId="3" xfId="14" applyBorder="1" applyAlignment="1">
      <alignment horizontal="left"/>
    </xf>
    <xf numFmtId="0" fontId="15" fillId="8" borderId="3" xfId="15" applyBorder="1" applyAlignment="1">
      <alignment horizontal="left"/>
    </xf>
    <xf numFmtId="0" fontId="14" fillId="7" borderId="12" xfId="14" applyBorder="1" applyAlignment="1">
      <alignment horizontal="left"/>
    </xf>
    <xf numFmtId="0" fontId="14" fillId="7" borderId="13" xfId="14" applyBorder="1" applyAlignment="1">
      <alignment horizontal="left"/>
    </xf>
    <xf numFmtId="0" fontId="15" fillId="8" borderId="12" xfId="15" applyBorder="1" applyAlignment="1">
      <alignment horizontal="left"/>
    </xf>
    <xf numFmtId="0" fontId="15" fillId="8" borderId="13" xfId="15" applyBorder="1" applyAlignment="1">
      <alignment horizontal="left"/>
    </xf>
    <xf numFmtId="58" fontId="8" fillId="0" borderId="0" xfId="0" applyNumberFormat="1" applyFont="1" applyAlignment="1">
      <alignment horizontal="center"/>
    </xf>
  </cellXfs>
  <cellStyles count="25">
    <cellStyle name="Excel Built-in Bad" xfId="8" xr:uid="{7D38EF3C-172A-4414-B8A5-B92F4C72B4C0}"/>
    <cellStyle name="Excel Built-in Good" xfId="9" xr:uid="{4CDBBC32-E410-4602-AD4A-80D2AD3FB56A}"/>
    <cellStyle name="Excel Built-in Good 2" xfId="16" xr:uid="{B0E36362-8D56-42DA-9BD3-B79029939869}"/>
    <cellStyle name="百分比" xfId="20" builtinId="5"/>
    <cellStyle name="差" xfId="24" builtinId="27"/>
    <cellStyle name="差 2" xfId="10" xr:uid="{582BC748-F6A5-4901-B69A-B32076D7D4BB}"/>
    <cellStyle name="差 3" xfId="15" xr:uid="{43D58D40-7D9E-41DE-8AFD-40B6922D776D}"/>
    <cellStyle name="差 4" xfId="19" xr:uid="{FFDEFA15-76AD-4992-AD8D-27D0BC098897}"/>
    <cellStyle name="常规" xfId="0" builtinId="0"/>
    <cellStyle name="常规 2" xfId="11" xr:uid="{9D37C24E-A191-4528-89BB-1AEF46CA8F38}"/>
    <cellStyle name="常规 3" xfId="13" xr:uid="{31C79F39-1757-481B-9B21-1933C3F8CF60}"/>
    <cellStyle name="常规 4" xfId="17" xr:uid="{4306D6F9-78E6-48D8-99FC-F238CD1F0CAE}"/>
    <cellStyle name="常规 5" xfId="6" xr:uid="{607DA45A-57AE-4AA9-BA85-8BC2671D50FE}"/>
    <cellStyle name="常规 6" xfId="22" xr:uid="{5548426F-E1A4-4D61-88F7-1FBDB27632E6}"/>
    <cellStyle name="超链接" xfId="5" builtinId="8"/>
    <cellStyle name="超链接 2" xfId="7" xr:uid="{7A06C4F7-52C1-4978-8533-A2BEA7B46778}"/>
    <cellStyle name="超链接 3" xfId="21" xr:uid="{2179B1AB-1A2D-4178-9985-CE9007745124}"/>
    <cellStyle name="好" xfId="23" builtinId="26"/>
    <cellStyle name="好 2" xfId="12" xr:uid="{1AB8A16A-C1D9-4FC9-80A3-C5AC8A62F580}"/>
    <cellStyle name="好 3" xfId="14" xr:uid="{8D7838B8-2026-4982-8A6A-2791AC5906A5}"/>
    <cellStyle name="好 4" xfId="18" xr:uid="{99391301-1134-4A51-95CC-88383CAB5312}"/>
    <cellStyle name="解释性文本" xfId="4" builtinId="53"/>
    <cellStyle name="链接单元格" xfId="3" builtinId="24" customBuiltin="1"/>
    <cellStyle name="输出" xfId="2" builtinId="21"/>
    <cellStyle name="输入" xfId="1" builtinId="20"/>
  </cellStyles>
  <dxfs count="22">
    <dxf>
      <font>
        <color theme="0" tint="-0.2499465926084170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666750</xdr:colOff>
      <xdr:row>46</xdr:row>
      <xdr:rowOff>19051</xdr:rowOff>
    </xdr:from>
    <xdr:to>
      <xdr:col>25</xdr:col>
      <xdr:colOff>216843</xdr:colOff>
      <xdr:row>67</xdr:row>
      <xdr:rowOff>85726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1777DAC-4F1E-3A6D-1EE0-35BCE4E34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96950" y="8543926"/>
          <a:ext cx="3664893" cy="3867150"/>
        </a:xfrm>
        <a:prstGeom prst="rect">
          <a:avLst/>
        </a:prstGeom>
      </xdr:spPr>
    </xdr:pic>
    <xdr:clientData/>
  </xdr:twoCellAnchor>
  <xdr:twoCellAnchor editAs="oneCell">
    <xdr:from>
      <xdr:col>13</xdr:col>
      <xdr:colOff>542925</xdr:colOff>
      <xdr:row>46</xdr:row>
      <xdr:rowOff>1</xdr:rowOff>
    </xdr:from>
    <xdr:to>
      <xdr:col>19</xdr:col>
      <xdr:colOff>584347</xdr:colOff>
      <xdr:row>67</xdr:row>
      <xdr:rowOff>47626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FA155A0-FD9D-02E7-F122-ACE687D0E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58325" y="8524876"/>
          <a:ext cx="4156222" cy="38481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361950</xdr:colOff>
      <xdr:row>45</xdr:row>
      <xdr:rowOff>171450</xdr:rowOff>
    </xdr:from>
    <xdr:to>
      <xdr:col>31</xdr:col>
      <xdr:colOff>170729</xdr:colOff>
      <xdr:row>66</xdr:row>
      <xdr:rowOff>158588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9BE616F-B49B-C78D-2DC4-1F3A2BE17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06950" y="8515350"/>
          <a:ext cx="3923579" cy="3787613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45</xdr:row>
      <xdr:rowOff>171450</xdr:rowOff>
    </xdr:from>
    <xdr:to>
      <xdr:col>13</xdr:col>
      <xdr:colOff>540408</xdr:colOff>
      <xdr:row>81</xdr:row>
      <xdr:rowOff>119979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A6B6770-FF92-8486-09A3-9CFCB8E32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76975" y="8515350"/>
          <a:ext cx="3178833" cy="64636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295275</xdr:colOff>
      <xdr:row>191</xdr:row>
      <xdr:rowOff>66675</xdr:rowOff>
    </xdr:from>
    <xdr:to>
      <xdr:col>20</xdr:col>
      <xdr:colOff>713932</xdr:colOff>
      <xdr:row>211</xdr:row>
      <xdr:rowOff>57150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0EF1CF2-D73D-1DDC-5093-3510B6BF0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53700" y="34851975"/>
          <a:ext cx="4533457" cy="3609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#ref=waveRule@TowerDefense_MonsterWaveCallRuleCfgCategory" TargetMode="External"/><Relationship Id="rId1" Type="http://schemas.openxmlformats.org/officeDocument/2006/relationships/hyperlink" Target="mailto:string#ref=waveRule@TowerDefense_MonsterWaveCallRuleCfgCategory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"/>
  <sheetViews>
    <sheetView showGridLines="0" topLeftCell="A10" workbookViewId="0">
      <selection activeCell="O37" sqref="O37"/>
    </sheetView>
  </sheetViews>
  <sheetFormatPr defaultColWidth="9" defaultRowHeight="14.25" x14ac:dyDescent="0.2"/>
  <cols>
    <col min="1" max="16384" width="9" style="6"/>
  </cols>
  <sheetData>
    <row r="1" spans="1:6" ht="19.5" x14ac:dyDescent="0.3">
      <c r="A1" s="1" t="s">
        <v>0</v>
      </c>
    </row>
    <row r="2" spans="1:6" x14ac:dyDescent="0.2">
      <c r="A2" s="155" t="s">
        <v>8</v>
      </c>
      <c r="B2" s="12" t="s">
        <v>5</v>
      </c>
      <c r="C2" s="13"/>
      <c r="D2" s="13"/>
      <c r="E2" s="13"/>
      <c r="F2" s="14"/>
    </row>
    <row r="3" spans="1:6" x14ac:dyDescent="0.2">
      <c r="A3" s="156"/>
      <c r="B3" s="12" t="s">
        <v>6</v>
      </c>
      <c r="C3" s="13"/>
      <c r="D3" s="13"/>
      <c r="E3" s="13"/>
      <c r="F3" s="14"/>
    </row>
    <row r="5" spans="1:6" x14ac:dyDescent="0.2">
      <c r="A5" s="155" t="s">
        <v>7</v>
      </c>
      <c r="B5" s="15" t="s">
        <v>2</v>
      </c>
      <c r="C5" s="16"/>
      <c r="D5" s="17"/>
    </row>
    <row r="6" spans="1:6" x14ac:dyDescent="0.2">
      <c r="A6" s="157"/>
      <c r="B6" s="18" t="s">
        <v>3</v>
      </c>
      <c r="C6" s="19"/>
      <c r="D6" s="20"/>
    </row>
    <row r="7" spans="1:6" x14ac:dyDescent="0.2">
      <c r="A7" s="157"/>
      <c r="B7" s="21" t="s">
        <v>19</v>
      </c>
      <c r="C7" s="22"/>
      <c r="D7" s="23"/>
    </row>
    <row r="8" spans="1:6" x14ac:dyDescent="0.2">
      <c r="A8" s="156"/>
      <c r="B8" s="24" t="s">
        <v>4</v>
      </c>
      <c r="C8" s="25"/>
      <c r="D8" s="26"/>
    </row>
    <row r="10" spans="1:6" ht="19.5" x14ac:dyDescent="0.3">
      <c r="A10" s="1" t="s">
        <v>1</v>
      </c>
    </row>
    <row r="11" spans="1:6" x14ac:dyDescent="0.2">
      <c r="A11" s="2" t="s">
        <v>20</v>
      </c>
      <c r="B11" s="2" t="s">
        <v>21</v>
      </c>
      <c r="C11" s="2" t="s">
        <v>22</v>
      </c>
      <c r="D11" s="2" t="s">
        <v>23</v>
      </c>
    </row>
    <row r="12" spans="1:6" x14ac:dyDescent="0.2">
      <c r="A12" s="154" t="s">
        <v>9</v>
      </c>
      <c r="B12" s="151" t="s">
        <v>10</v>
      </c>
      <c r="C12" s="2" t="s">
        <v>25</v>
      </c>
      <c r="D12" s="42" t="s">
        <v>81</v>
      </c>
    </row>
    <row r="13" spans="1:6" x14ac:dyDescent="0.2">
      <c r="A13" s="154"/>
      <c r="B13" s="152"/>
      <c r="C13" s="2" t="s">
        <v>18</v>
      </c>
      <c r="D13" s="42" t="s">
        <v>18</v>
      </c>
    </row>
    <row r="14" spans="1:6" x14ac:dyDescent="0.2">
      <c r="A14" s="154"/>
      <c r="B14" s="152"/>
      <c r="C14" s="151" t="s">
        <v>16</v>
      </c>
      <c r="D14" s="27" t="s">
        <v>17</v>
      </c>
    </row>
    <row r="15" spans="1:6" x14ac:dyDescent="0.2">
      <c r="A15" s="154"/>
      <c r="B15" s="152"/>
      <c r="C15" s="152"/>
      <c r="D15" s="27" t="s">
        <v>12</v>
      </c>
    </row>
    <row r="16" spans="1:6" x14ac:dyDescent="0.2">
      <c r="A16" s="154"/>
      <c r="B16" s="152"/>
      <c r="C16" s="152"/>
      <c r="D16" s="42" t="s">
        <v>13</v>
      </c>
    </row>
    <row r="17" spans="1:20" x14ac:dyDescent="0.2">
      <c r="A17" s="154"/>
      <c r="B17" s="153"/>
      <c r="C17" s="153"/>
      <c r="D17" s="27" t="s">
        <v>14</v>
      </c>
    </row>
    <row r="18" spans="1:20" x14ac:dyDescent="0.2">
      <c r="A18" s="154"/>
      <c r="B18" s="2" t="s">
        <v>11</v>
      </c>
      <c r="C18" s="2"/>
      <c r="D18" s="27" t="s">
        <v>15</v>
      </c>
    </row>
    <row r="19" spans="1:20" x14ac:dyDescent="0.2">
      <c r="A19" s="154"/>
      <c r="B19" s="2" t="s">
        <v>937</v>
      </c>
      <c r="C19" s="2" t="s">
        <v>936</v>
      </c>
      <c r="D19" s="27"/>
    </row>
    <row r="21" spans="1:20" ht="19.5" x14ac:dyDescent="0.3">
      <c r="A21" s="1" t="s">
        <v>1434</v>
      </c>
    </row>
    <row r="22" spans="1:20" x14ac:dyDescent="0.2">
      <c r="A22" s="3" t="s">
        <v>1435</v>
      </c>
    </row>
    <row r="23" spans="1:20" x14ac:dyDescent="0.2">
      <c r="A23" s="6" t="s">
        <v>1436</v>
      </c>
      <c r="B23" s="6" t="s">
        <v>1452</v>
      </c>
      <c r="C23" s="6" t="s">
        <v>1439</v>
      </c>
      <c r="D23" s="6" t="s">
        <v>1472</v>
      </c>
    </row>
    <row r="24" spans="1:20" x14ac:dyDescent="0.2">
      <c r="A24" s="6" t="s">
        <v>1440</v>
      </c>
      <c r="B24" s="6" t="s">
        <v>1441</v>
      </c>
      <c r="C24" s="130" t="s">
        <v>1442</v>
      </c>
      <c r="D24" s="130"/>
      <c r="E24" s="130"/>
    </row>
    <row r="25" spans="1:20" s="128" customFormat="1" x14ac:dyDescent="0.2">
      <c r="A25" s="114" t="s">
        <v>1443</v>
      </c>
      <c r="B25" s="114" t="s">
        <v>1444</v>
      </c>
      <c r="C25" s="128" t="s">
        <v>1445</v>
      </c>
    </row>
    <row r="26" spans="1:20" x14ac:dyDescent="0.2">
      <c r="A26" s="114"/>
      <c r="B26" s="114"/>
      <c r="D26" s="128" t="s">
        <v>1474</v>
      </c>
    </row>
    <row r="27" spans="1:20" x14ac:dyDescent="0.2">
      <c r="D27" s="128" t="s">
        <v>1473</v>
      </c>
    </row>
    <row r="28" spans="1:20" x14ac:dyDescent="0.2">
      <c r="D28" s="128" t="s">
        <v>1480</v>
      </c>
    </row>
    <row r="30" spans="1:20" x14ac:dyDescent="0.2">
      <c r="A30" s="114" t="s">
        <v>1437</v>
      </c>
      <c r="B30" s="114" t="s">
        <v>1452</v>
      </c>
      <c r="C30" s="6" t="s">
        <v>1439</v>
      </c>
      <c r="D30" s="114" t="s">
        <v>1472</v>
      </c>
    </row>
    <row r="31" spans="1:20" x14ac:dyDescent="0.2">
      <c r="A31" s="114" t="s">
        <v>1448</v>
      </c>
      <c r="B31" s="114" t="s">
        <v>1446</v>
      </c>
      <c r="C31" s="130" t="s">
        <v>1447</v>
      </c>
      <c r="D31" s="130"/>
    </row>
    <row r="32" spans="1:20" x14ac:dyDescent="0.2">
      <c r="A32" s="114"/>
      <c r="B32" s="114"/>
      <c r="C32" s="128"/>
      <c r="D32" s="6" t="s">
        <v>1475</v>
      </c>
      <c r="T32" s="3" t="s">
        <v>1501</v>
      </c>
    </row>
    <row r="33" spans="1:20" x14ac:dyDescent="0.2">
      <c r="A33" s="114"/>
      <c r="B33" s="114"/>
      <c r="C33" s="128"/>
      <c r="D33" s="6" t="s">
        <v>1476</v>
      </c>
      <c r="K33" s="6" t="s">
        <v>1484</v>
      </c>
      <c r="L33" s="6" t="s">
        <v>1485</v>
      </c>
      <c r="M33" s="6" t="s">
        <v>1486</v>
      </c>
      <c r="O33" s="6" t="s">
        <v>1494</v>
      </c>
      <c r="P33" s="6" t="s">
        <v>1492</v>
      </c>
      <c r="T33" s="6" t="s">
        <v>1529</v>
      </c>
    </row>
    <row r="34" spans="1:20" x14ac:dyDescent="0.2">
      <c r="A34" s="114"/>
      <c r="B34" s="114"/>
      <c r="C34" s="128"/>
      <c r="D34" s="6" t="s">
        <v>1478</v>
      </c>
      <c r="E34" s="6" t="s">
        <v>1477</v>
      </c>
      <c r="K34" s="6" t="s">
        <v>1493</v>
      </c>
      <c r="L34" s="6" t="s">
        <v>1491</v>
      </c>
      <c r="M34" s="6" t="s">
        <v>1313</v>
      </c>
      <c r="O34" s="6" t="s">
        <v>1495</v>
      </c>
      <c r="P34" s="6" t="s">
        <v>1313</v>
      </c>
      <c r="Q34" s="6" t="s">
        <v>1490</v>
      </c>
      <c r="T34" s="6" t="s">
        <v>1526</v>
      </c>
    </row>
    <row r="35" spans="1:20" x14ac:dyDescent="0.2">
      <c r="A35" s="114"/>
      <c r="B35" s="114"/>
      <c r="C35" s="128"/>
      <c r="D35" s="6" t="s">
        <v>1481</v>
      </c>
      <c r="K35" s="6" t="s">
        <v>1487</v>
      </c>
      <c r="L35" s="6" t="s">
        <v>1490</v>
      </c>
      <c r="M35" s="6" t="s">
        <v>1492</v>
      </c>
      <c r="O35" s="6" t="s">
        <v>1496</v>
      </c>
      <c r="P35" s="6" t="s">
        <v>1485</v>
      </c>
      <c r="Q35" s="6" t="s">
        <v>1486</v>
      </c>
      <c r="R35" s="6" t="s">
        <v>1490</v>
      </c>
      <c r="S35" s="6" t="s">
        <v>1492</v>
      </c>
      <c r="T35" s="6" t="s">
        <v>1523</v>
      </c>
    </row>
    <row r="36" spans="1:20" x14ac:dyDescent="0.2">
      <c r="A36" s="114"/>
      <c r="B36" s="114"/>
      <c r="C36" s="128"/>
      <c r="K36" s="6" t="s">
        <v>1488</v>
      </c>
      <c r="L36" s="6" t="s">
        <v>1489</v>
      </c>
      <c r="M36" s="6" t="s">
        <v>976</v>
      </c>
      <c r="O36" s="6" t="s">
        <v>1497</v>
      </c>
      <c r="P36" s="6" t="s">
        <v>1498</v>
      </c>
      <c r="Q36" s="6" t="s">
        <v>1491</v>
      </c>
      <c r="T36" s="3" t="s">
        <v>1524</v>
      </c>
    </row>
    <row r="37" spans="1:20" x14ac:dyDescent="0.2">
      <c r="A37" s="114" t="s">
        <v>1449</v>
      </c>
      <c r="B37" s="114" t="s">
        <v>1450</v>
      </c>
      <c r="C37" s="114" t="s">
        <v>1451</v>
      </c>
      <c r="O37" s="6" t="s">
        <v>1499</v>
      </c>
      <c r="T37" s="6" t="s">
        <v>1525</v>
      </c>
    </row>
    <row r="38" spans="1:20" x14ac:dyDescent="0.2">
      <c r="A38" s="114"/>
      <c r="B38" s="114" t="s">
        <v>1453</v>
      </c>
      <c r="C38" s="128" t="s">
        <v>1454</v>
      </c>
      <c r="O38" s="6" t="s">
        <v>1500</v>
      </c>
      <c r="T38" s="6" t="s">
        <v>1527</v>
      </c>
    </row>
    <row r="39" spans="1:20" x14ac:dyDescent="0.2">
      <c r="A39" s="114"/>
      <c r="B39" s="114"/>
      <c r="C39" s="128"/>
      <c r="T39" s="6" t="s">
        <v>1528</v>
      </c>
    </row>
    <row r="40" spans="1:20" x14ac:dyDescent="0.2">
      <c r="A40" s="114"/>
      <c r="B40" s="114" t="s">
        <v>1455</v>
      </c>
      <c r="C40" s="128" t="s">
        <v>1456</v>
      </c>
      <c r="T40" s="6" t="s">
        <v>1530</v>
      </c>
    </row>
    <row r="41" spans="1:20" x14ac:dyDescent="0.2">
      <c r="A41" s="114"/>
      <c r="B41" s="114"/>
      <c r="C41" s="128" t="s">
        <v>1479</v>
      </c>
      <c r="T41" s="3" t="s">
        <v>1532</v>
      </c>
    </row>
    <row r="42" spans="1:20" x14ac:dyDescent="0.2">
      <c r="A42" s="114"/>
      <c r="B42" s="114"/>
      <c r="C42" s="128"/>
      <c r="T42" s="3" t="s">
        <v>1533</v>
      </c>
    </row>
    <row r="43" spans="1:20" x14ac:dyDescent="0.2">
      <c r="A43" s="114"/>
      <c r="B43" s="114"/>
      <c r="T43" s="6" t="s">
        <v>1531</v>
      </c>
    </row>
    <row r="44" spans="1:20" x14ac:dyDescent="0.2">
      <c r="A44" s="114" t="s">
        <v>1438</v>
      </c>
      <c r="B44" s="114" t="s">
        <v>1452</v>
      </c>
      <c r="C44" s="6" t="s">
        <v>1439</v>
      </c>
    </row>
    <row r="45" spans="1:20" x14ac:dyDescent="0.2">
      <c r="A45" s="114" t="s">
        <v>1457</v>
      </c>
      <c r="B45" s="114" t="s">
        <v>1458</v>
      </c>
      <c r="C45" s="128" t="s">
        <v>1462</v>
      </c>
    </row>
    <row r="46" spans="1:20" x14ac:dyDescent="0.2">
      <c r="A46" s="114" t="s">
        <v>1459</v>
      </c>
      <c r="B46" s="114" t="s">
        <v>1460</v>
      </c>
      <c r="C46" s="128" t="s">
        <v>1461</v>
      </c>
    </row>
    <row r="48" spans="1:20" x14ac:dyDescent="0.2">
      <c r="C48" s="6" t="s">
        <v>9</v>
      </c>
    </row>
    <row r="49" spans="3:9" x14ac:dyDescent="0.2">
      <c r="C49" s="6" t="s">
        <v>1314</v>
      </c>
      <c r="D49" s="6" t="s">
        <v>1504</v>
      </c>
      <c r="I49" s="6" t="s">
        <v>1502</v>
      </c>
    </row>
    <row r="50" spans="3:9" x14ac:dyDescent="0.2">
      <c r="D50" s="6" t="s">
        <v>1505</v>
      </c>
    </row>
    <row r="51" spans="3:9" x14ac:dyDescent="0.2">
      <c r="D51" s="6" t="s">
        <v>1506</v>
      </c>
    </row>
    <row r="53" spans="3:9" x14ac:dyDescent="0.2">
      <c r="C53" s="6" t="s">
        <v>1503</v>
      </c>
      <c r="D53" s="6" t="s">
        <v>1507</v>
      </c>
    </row>
    <row r="54" spans="3:9" x14ac:dyDescent="0.2">
      <c r="D54" s="6" t="s">
        <v>1508</v>
      </c>
    </row>
    <row r="55" spans="3:9" x14ac:dyDescent="0.2">
      <c r="D55" s="6" t="s">
        <v>1511</v>
      </c>
    </row>
    <row r="56" spans="3:9" x14ac:dyDescent="0.2">
      <c r="D56" s="6" t="s">
        <v>1510</v>
      </c>
    </row>
    <row r="59" spans="3:9" x14ac:dyDescent="0.2">
      <c r="C59" s="6" t="s">
        <v>1514</v>
      </c>
      <c r="D59" s="6" t="s">
        <v>1517</v>
      </c>
    </row>
    <row r="60" spans="3:9" x14ac:dyDescent="0.2">
      <c r="D60" s="6" t="s">
        <v>1512</v>
      </c>
    </row>
    <row r="61" spans="3:9" x14ac:dyDescent="0.2">
      <c r="D61" s="6" t="s">
        <v>1518</v>
      </c>
    </row>
    <row r="62" spans="3:9" x14ac:dyDescent="0.2">
      <c r="C62" s="6" t="s">
        <v>1515</v>
      </c>
      <c r="D62" s="6" t="s">
        <v>1509</v>
      </c>
    </row>
    <row r="63" spans="3:9" x14ac:dyDescent="0.2">
      <c r="D63" s="6" t="s">
        <v>1513</v>
      </c>
    </row>
    <row r="64" spans="3:9" x14ac:dyDescent="0.2">
      <c r="D64" s="6" t="s">
        <v>1519</v>
      </c>
    </row>
    <row r="65" spans="3:4" x14ac:dyDescent="0.2">
      <c r="C65" s="6" t="s">
        <v>1516</v>
      </c>
      <c r="D65" s="6" t="s">
        <v>1520</v>
      </c>
    </row>
    <row r="66" spans="3:4" x14ac:dyDescent="0.2">
      <c r="D66" s="6" t="s">
        <v>1521</v>
      </c>
    </row>
    <row r="67" spans="3:4" x14ac:dyDescent="0.2">
      <c r="D67" s="6" t="s">
        <v>1522</v>
      </c>
    </row>
    <row r="81" spans="1:3" x14ac:dyDescent="0.2">
      <c r="A81" s="129" t="s">
        <v>1463</v>
      </c>
    </row>
    <row r="82" spans="1:3" x14ac:dyDescent="0.2">
      <c r="A82" s="114" t="s">
        <v>1464</v>
      </c>
      <c r="B82" s="114" t="s">
        <v>1465</v>
      </c>
      <c r="C82" s="6" t="s">
        <v>1466</v>
      </c>
    </row>
    <row r="83" spans="1:3" x14ac:dyDescent="0.2">
      <c r="A83" s="114" t="s">
        <v>1467</v>
      </c>
      <c r="B83" s="114" t="s">
        <v>1468</v>
      </c>
      <c r="C83" s="128" t="s">
        <v>1469</v>
      </c>
    </row>
    <row r="84" spans="1:3" x14ac:dyDescent="0.2">
      <c r="A84" s="114" t="s">
        <v>1470</v>
      </c>
      <c r="B84" s="114" t="s">
        <v>936</v>
      </c>
      <c r="C84" s="128" t="s">
        <v>1471</v>
      </c>
    </row>
    <row r="85" spans="1:3" x14ac:dyDescent="0.2">
      <c r="A85" s="114" t="s">
        <v>1482</v>
      </c>
      <c r="B85" s="114" t="s">
        <v>1483</v>
      </c>
    </row>
  </sheetData>
  <mergeCells count="5">
    <mergeCell ref="C14:C17"/>
    <mergeCell ref="A12:A19"/>
    <mergeCell ref="A2:A3"/>
    <mergeCell ref="A5:A8"/>
    <mergeCell ref="B12:B17"/>
  </mergeCells>
  <phoneticPr fontId="4" type="noConversion"/>
  <hyperlinks>
    <hyperlink ref="A12:A19" location="设计!A1" display="设计" xr:uid="{9065A2BB-1888-44EA-99DB-471ED5F70E19}"/>
    <hyperlink ref="B7" location="概述!A1" display="此为链接" xr:uid="{AE3C07BB-78D3-422E-81B2-2EC613EA13A2}"/>
    <hyperlink ref="A13" location="设计!A1" display="设计" xr:uid="{9551BCA8-2975-43F1-8C4E-C58E710BFEF7}"/>
    <hyperlink ref="D12" location="战斗节奏!A1" display="战斗节奏" xr:uid="{4A920A39-9F2B-42B0-99EE-C82644AAE68A}"/>
    <hyperlink ref="D13" location="防御塔!A1" display="防御塔" xr:uid="{C0287701-1C83-4392-9EA9-D8783FC798A4}"/>
    <hyperlink ref="D16" location="无限模式!A1" display="无限模式" xr:uid="{9589CF3D-FADF-4BF7-A82A-0BF21CE6771E}"/>
    <hyperlink ref="A18" location="设计!A1" display="设计" xr:uid="{21248C4B-18BA-4499-8A28-9AE59511C028}"/>
  </hyperlink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A62D-26F6-447D-8D5F-BA731E5AB93C}">
  <dimension ref="A1:O21"/>
  <sheetViews>
    <sheetView workbookViewId="0">
      <selection activeCell="F10" sqref="F10:F19"/>
    </sheetView>
  </sheetViews>
  <sheetFormatPr defaultColWidth="10.625" defaultRowHeight="14.25" x14ac:dyDescent="0.2"/>
  <cols>
    <col min="1" max="1" width="10.5" style="57" bestFit="1" customWidth="1"/>
    <col min="2" max="2" width="27.375" style="57" bestFit="1" customWidth="1"/>
    <col min="3" max="3" width="10" style="57" bestFit="1" customWidth="1"/>
    <col min="4" max="4" width="6" style="57" bestFit="1" customWidth="1"/>
    <col min="5" max="5" width="9.875" style="57" customWidth="1"/>
    <col min="6" max="6" width="17.25" style="57" bestFit="1" customWidth="1"/>
    <col min="7" max="7" width="8.375" style="57" customWidth="1"/>
    <col min="8" max="8" width="13" style="57" bestFit="1" customWidth="1"/>
    <col min="9" max="12" width="9" style="57" customWidth="1"/>
    <col min="13" max="14" width="31.875" style="57" customWidth="1"/>
    <col min="15" max="15" width="19.625" style="57" customWidth="1"/>
    <col min="16" max="16384" width="10.625" style="57"/>
  </cols>
  <sheetData>
    <row r="1" spans="1:15" s="99" customFormat="1" x14ac:dyDescent="0.2">
      <c r="A1" s="63" t="s">
        <v>67</v>
      </c>
      <c r="B1" s="63" t="s">
        <v>68</v>
      </c>
      <c r="C1" s="63" t="s">
        <v>69</v>
      </c>
      <c r="D1" s="63" t="s">
        <v>70</v>
      </c>
      <c r="E1" s="63" t="s">
        <v>349</v>
      </c>
      <c r="F1" s="63" t="s">
        <v>350</v>
      </c>
      <c r="G1" s="63" t="s">
        <v>351</v>
      </c>
      <c r="H1" s="63" t="s">
        <v>352</v>
      </c>
      <c r="I1" s="63" t="s">
        <v>353</v>
      </c>
      <c r="J1" s="63" t="s">
        <v>354</v>
      </c>
      <c r="K1" s="63" t="s">
        <v>355</v>
      </c>
      <c r="L1" s="63" t="s">
        <v>356</v>
      </c>
      <c r="M1" s="63" t="s">
        <v>357</v>
      </c>
      <c r="N1" s="63" t="s">
        <v>358</v>
      </c>
      <c r="O1" s="63" t="s">
        <v>359</v>
      </c>
    </row>
    <row r="2" spans="1:15" s="99" customFormat="1" x14ac:dyDescent="0.2">
      <c r="A2" s="63" t="s">
        <v>67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5" s="101" customFormat="1" x14ac:dyDescent="0.2">
      <c r="A3" s="64" t="s">
        <v>71</v>
      </c>
      <c r="B3" s="64" t="s">
        <v>72</v>
      </c>
      <c r="C3" s="64" t="s">
        <v>72</v>
      </c>
      <c r="D3" s="64" t="s">
        <v>72</v>
      </c>
      <c r="E3" s="64" t="s">
        <v>360</v>
      </c>
      <c r="F3" s="64" t="s">
        <v>73</v>
      </c>
      <c r="G3" s="64" t="s">
        <v>73</v>
      </c>
      <c r="H3" s="64" t="s">
        <v>74</v>
      </c>
      <c r="I3" s="64" t="s">
        <v>73</v>
      </c>
      <c r="J3" s="64" t="s">
        <v>73</v>
      </c>
      <c r="K3" s="64" t="s">
        <v>73</v>
      </c>
      <c r="L3" s="64" t="s">
        <v>73</v>
      </c>
      <c r="M3" s="64" t="s">
        <v>361</v>
      </c>
      <c r="N3" s="100" t="s">
        <v>362</v>
      </c>
      <c r="O3" s="100" t="s">
        <v>73</v>
      </c>
    </row>
    <row r="4" spans="1:15" s="101" customFormat="1" x14ac:dyDescent="0.2">
      <c r="A4" s="64" t="s">
        <v>75</v>
      </c>
      <c r="B4" s="64"/>
      <c r="C4" s="64"/>
      <c r="D4" s="64" t="s">
        <v>76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</row>
    <row r="5" spans="1:15" s="99" customFormat="1" x14ac:dyDescent="0.2">
      <c r="A5" s="63" t="s">
        <v>77</v>
      </c>
      <c r="B5" s="63" t="s">
        <v>78</v>
      </c>
      <c r="C5" s="63" t="s">
        <v>79</v>
      </c>
      <c r="D5" s="63" t="s">
        <v>80</v>
      </c>
      <c r="E5" s="63" t="s">
        <v>363</v>
      </c>
      <c r="F5" s="63" t="s">
        <v>364</v>
      </c>
      <c r="G5" s="63" t="s">
        <v>365</v>
      </c>
      <c r="H5" s="63" t="s">
        <v>366</v>
      </c>
      <c r="I5" s="63" t="s">
        <v>367</v>
      </c>
      <c r="J5" s="63" t="s">
        <v>368</v>
      </c>
      <c r="K5" s="63" t="s">
        <v>369</v>
      </c>
      <c r="L5" s="63" t="s">
        <v>370</v>
      </c>
      <c r="M5" s="63" t="s">
        <v>371</v>
      </c>
      <c r="N5" s="63" t="s">
        <v>372</v>
      </c>
      <c r="O5" s="63" t="s">
        <v>373</v>
      </c>
    </row>
    <row r="6" spans="1:15" x14ac:dyDescent="0.2">
      <c r="B6" s="57" t="s">
        <v>1409</v>
      </c>
      <c r="C6" s="68" t="s">
        <v>1410</v>
      </c>
      <c r="E6" s="57" t="b">
        <v>0</v>
      </c>
      <c r="F6" s="102">
        <f>战斗节奏!B2</f>
        <v>450</v>
      </c>
      <c r="G6" s="57">
        <v>0</v>
      </c>
      <c r="H6" s="102">
        <v>9999</v>
      </c>
      <c r="I6" s="102">
        <f>战斗节奏!C2</f>
        <v>8</v>
      </c>
      <c r="J6" s="102">
        <v>30</v>
      </c>
      <c r="K6" s="57">
        <v>3</v>
      </c>
      <c r="L6" s="102">
        <f>战斗节奏!E2</f>
        <v>10</v>
      </c>
      <c r="M6" s="57" t="s">
        <v>1411</v>
      </c>
      <c r="N6" s="57" t="s">
        <v>1412</v>
      </c>
      <c r="O6" s="57">
        <v>0</v>
      </c>
    </row>
    <row r="7" spans="1:15" x14ac:dyDescent="0.2">
      <c r="C7" s="68"/>
    </row>
    <row r="8" spans="1:15" x14ac:dyDescent="0.2">
      <c r="B8" s="57" t="s">
        <v>374</v>
      </c>
      <c r="C8" s="57" t="s">
        <v>375</v>
      </c>
      <c r="E8" s="57" t="b">
        <v>0</v>
      </c>
      <c r="F8" s="102">
        <f>战斗节奏!B3</f>
        <v>720</v>
      </c>
      <c r="G8" s="57">
        <v>0</v>
      </c>
      <c r="H8" s="102">
        <v>120</v>
      </c>
      <c r="I8" s="102">
        <f>战斗节奏!C3</f>
        <v>8</v>
      </c>
      <c r="J8" s="102">
        <f>战斗节奏!D3</f>
        <v>30</v>
      </c>
      <c r="K8" s="57">
        <v>3</v>
      </c>
      <c r="L8" s="102">
        <f>战斗节奏!E3</f>
        <v>20</v>
      </c>
      <c r="M8" s="57" t="s">
        <v>678</v>
      </c>
      <c r="N8" s="57" t="s">
        <v>376</v>
      </c>
      <c r="O8" s="57">
        <v>0</v>
      </c>
    </row>
    <row r="10" spans="1:15" x14ac:dyDescent="0.2">
      <c r="B10" s="103" t="s">
        <v>668</v>
      </c>
      <c r="C10" s="57" t="s">
        <v>673</v>
      </c>
      <c r="E10" s="57" t="b">
        <v>0</v>
      </c>
      <c r="F10" s="102">
        <v>250</v>
      </c>
      <c r="G10" s="57">
        <v>0</v>
      </c>
      <c r="H10" s="102">
        <v>120</v>
      </c>
      <c r="I10" s="102">
        <f>战斗节奏!$C$4</f>
        <v>8</v>
      </c>
      <c r="J10" s="102">
        <f>战斗节奏!$D$4</f>
        <v>30</v>
      </c>
      <c r="K10" s="57">
        <v>3</v>
      </c>
      <c r="L10" s="102">
        <f>战斗节奏!$E$4</f>
        <v>10</v>
      </c>
      <c r="M10" s="57" t="s">
        <v>679</v>
      </c>
      <c r="N10" s="57" t="s">
        <v>680</v>
      </c>
      <c r="O10" s="57">
        <v>0</v>
      </c>
    </row>
    <row r="11" spans="1:15" x14ac:dyDescent="0.2">
      <c r="B11" s="103" t="s">
        <v>669</v>
      </c>
      <c r="C11" s="57" t="s">
        <v>674</v>
      </c>
      <c r="E11" s="57" t="b">
        <v>0</v>
      </c>
      <c r="F11" s="102">
        <v>250</v>
      </c>
      <c r="G11" s="57">
        <v>0</v>
      </c>
      <c r="H11" s="102">
        <v>120</v>
      </c>
      <c r="I11" s="102">
        <f>战斗节奏!$C$4</f>
        <v>8</v>
      </c>
      <c r="J11" s="102">
        <f>战斗节奏!$D$4</f>
        <v>30</v>
      </c>
      <c r="K11" s="57">
        <v>3</v>
      </c>
      <c r="L11" s="102">
        <f>战斗节奏!$E$4</f>
        <v>10</v>
      </c>
      <c r="M11" s="57" t="s">
        <v>681</v>
      </c>
      <c r="N11" s="57" t="s">
        <v>682</v>
      </c>
      <c r="O11" s="57">
        <v>0</v>
      </c>
    </row>
    <row r="12" spans="1:15" x14ac:dyDescent="0.2">
      <c r="B12" s="103" t="s">
        <v>670</v>
      </c>
      <c r="C12" s="57" t="s">
        <v>675</v>
      </c>
      <c r="E12" s="57" t="b">
        <v>0</v>
      </c>
      <c r="F12" s="102">
        <v>250</v>
      </c>
      <c r="G12" s="57">
        <v>0</v>
      </c>
      <c r="H12" s="102">
        <v>120</v>
      </c>
      <c r="I12" s="102">
        <f>战斗节奏!$C$4</f>
        <v>8</v>
      </c>
      <c r="J12" s="102">
        <f>战斗节奏!$D$4</f>
        <v>30</v>
      </c>
      <c r="K12" s="57">
        <v>3</v>
      </c>
      <c r="L12" s="102">
        <f>战斗节奏!$E$4</f>
        <v>10</v>
      </c>
      <c r="M12" s="57" t="s">
        <v>683</v>
      </c>
      <c r="N12" s="57" t="s">
        <v>684</v>
      </c>
      <c r="O12" s="57">
        <v>0</v>
      </c>
    </row>
    <row r="13" spans="1:15" x14ac:dyDescent="0.2">
      <c r="B13" s="103" t="s">
        <v>671</v>
      </c>
      <c r="C13" s="57" t="s">
        <v>676</v>
      </c>
      <c r="E13" s="57" t="b">
        <v>0</v>
      </c>
      <c r="F13" s="102">
        <v>250</v>
      </c>
      <c r="G13" s="57">
        <v>0</v>
      </c>
      <c r="H13" s="102">
        <v>120</v>
      </c>
      <c r="I13" s="102">
        <f>战斗节奏!$C$4</f>
        <v>8</v>
      </c>
      <c r="J13" s="102">
        <f>战斗节奏!$D$4</f>
        <v>30</v>
      </c>
      <c r="K13" s="57">
        <v>3</v>
      </c>
      <c r="L13" s="102">
        <f>战斗节奏!$E$4</f>
        <v>10</v>
      </c>
      <c r="M13" s="57" t="s">
        <v>685</v>
      </c>
      <c r="N13" s="57" t="s">
        <v>686</v>
      </c>
      <c r="O13" s="57">
        <v>0</v>
      </c>
    </row>
    <row r="14" spans="1:15" x14ac:dyDescent="0.2">
      <c r="B14" s="103" t="s">
        <v>672</v>
      </c>
      <c r="C14" s="57" t="s">
        <v>677</v>
      </c>
      <c r="E14" s="57" t="b">
        <v>0</v>
      </c>
      <c r="F14" s="102">
        <v>250</v>
      </c>
      <c r="G14" s="57">
        <v>0</v>
      </c>
      <c r="H14" s="102">
        <v>120</v>
      </c>
      <c r="I14" s="102">
        <f>战斗节奏!$C$4</f>
        <v>8</v>
      </c>
      <c r="J14" s="102">
        <f>战斗节奏!$D$4</f>
        <v>30</v>
      </c>
      <c r="K14" s="57">
        <v>3</v>
      </c>
      <c r="L14" s="102">
        <f>战斗节奏!$E$4</f>
        <v>10</v>
      </c>
      <c r="M14" s="57" t="s">
        <v>687</v>
      </c>
      <c r="N14" s="57" t="s">
        <v>688</v>
      </c>
      <c r="O14" s="57">
        <v>0</v>
      </c>
    </row>
    <row r="15" spans="1:15" x14ac:dyDescent="0.2">
      <c r="B15" s="103" t="s">
        <v>987</v>
      </c>
      <c r="C15" s="57" t="s">
        <v>982</v>
      </c>
      <c r="D15" s="57" t="s">
        <v>937</v>
      </c>
      <c r="E15" s="57" t="b">
        <v>0</v>
      </c>
      <c r="F15" s="102">
        <f>战斗节奏!$B9</f>
        <v>720</v>
      </c>
      <c r="G15" s="57">
        <v>0</v>
      </c>
      <c r="H15" s="102">
        <v>120</v>
      </c>
      <c r="I15" s="102">
        <f>战斗节奏!$C$4</f>
        <v>8</v>
      </c>
      <c r="J15" s="102">
        <f>战斗节奏!$D$4</f>
        <v>30</v>
      </c>
      <c r="K15" s="57">
        <v>3</v>
      </c>
      <c r="L15" s="102">
        <f>战斗节奏!$E$4</f>
        <v>10</v>
      </c>
      <c r="M15" s="57" t="s">
        <v>992</v>
      </c>
      <c r="N15" s="57" t="s">
        <v>993</v>
      </c>
      <c r="O15" s="57">
        <v>0</v>
      </c>
    </row>
    <row r="16" spans="1:15" x14ac:dyDescent="0.2">
      <c r="B16" s="103" t="s">
        <v>988</v>
      </c>
      <c r="C16" s="57" t="s">
        <v>983</v>
      </c>
      <c r="D16" s="57" t="s">
        <v>937</v>
      </c>
      <c r="E16" s="57" t="b">
        <v>0</v>
      </c>
      <c r="F16" s="102">
        <f>战斗节奏!$B10</f>
        <v>720</v>
      </c>
      <c r="G16" s="57">
        <v>0</v>
      </c>
      <c r="H16" s="102">
        <v>120</v>
      </c>
      <c r="I16" s="102">
        <f>战斗节奏!$C$4</f>
        <v>8</v>
      </c>
      <c r="J16" s="102">
        <f>战斗节奏!$D$4</f>
        <v>30</v>
      </c>
      <c r="K16" s="57">
        <v>3</v>
      </c>
      <c r="L16" s="102">
        <f>战斗节奏!$E$4</f>
        <v>10</v>
      </c>
      <c r="M16" s="57" t="s">
        <v>994</v>
      </c>
      <c r="N16" s="57" t="s">
        <v>995</v>
      </c>
      <c r="O16" s="57">
        <v>0</v>
      </c>
    </row>
    <row r="17" spans="2:15" x14ac:dyDescent="0.2">
      <c r="B17" s="103" t="s">
        <v>989</v>
      </c>
      <c r="C17" s="57" t="s">
        <v>984</v>
      </c>
      <c r="D17" s="57" t="s">
        <v>937</v>
      </c>
      <c r="E17" s="57" t="b">
        <v>0</v>
      </c>
      <c r="F17" s="102">
        <f>战斗节奏!$B11</f>
        <v>720</v>
      </c>
      <c r="G17" s="57">
        <v>0</v>
      </c>
      <c r="H17" s="102">
        <v>120</v>
      </c>
      <c r="I17" s="102">
        <f>战斗节奏!$C$4</f>
        <v>8</v>
      </c>
      <c r="J17" s="102">
        <f>战斗节奏!$D$4</f>
        <v>30</v>
      </c>
      <c r="K17" s="57">
        <v>3</v>
      </c>
      <c r="L17" s="102">
        <f>战斗节奏!$E$4</f>
        <v>10</v>
      </c>
      <c r="M17" s="57" t="s">
        <v>996</v>
      </c>
      <c r="N17" s="57" t="s">
        <v>997</v>
      </c>
      <c r="O17" s="57">
        <v>0</v>
      </c>
    </row>
    <row r="18" spans="2:15" x14ac:dyDescent="0.2">
      <c r="B18" s="103" t="s">
        <v>990</v>
      </c>
      <c r="C18" s="57" t="s">
        <v>985</v>
      </c>
      <c r="D18" s="57" t="s">
        <v>937</v>
      </c>
      <c r="E18" s="57" t="b">
        <v>0</v>
      </c>
      <c r="F18" s="102">
        <f>战斗节奏!$B12</f>
        <v>720</v>
      </c>
      <c r="G18" s="57">
        <v>0</v>
      </c>
      <c r="H18" s="102">
        <v>120</v>
      </c>
      <c r="I18" s="102">
        <f>战斗节奏!$C$4</f>
        <v>8</v>
      </c>
      <c r="J18" s="102">
        <f>战斗节奏!$D$4</f>
        <v>30</v>
      </c>
      <c r="K18" s="57">
        <v>3</v>
      </c>
      <c r="L18" s="102">
        <f>战斗节奏!$E$4</f>
        <v>10</v>
      </c>
      <c r="M18" s="57" t="s">
        <v>998</v>
      </c>
      <c r="N18" s="57" t="s">
        <v>999</v>
      </c>
      <c r="O18" s="57">
        <v>0</v>
      </c>
    </row>
    <row r="19" spans="2:15" x14ac:dyDescent="0.2">
      <c r="B19" s="103" t="s">
        <v>991</v>
      </c>
      <c r="C19" s="57" t="s">
        <v>986</v>
      </c>
      <c r="D19" s="57" t="s">
        <v>937</v>
      </c>
      <c r="E19" s="57" t="b">
        <v>0</v>
      </c>
      <c r="F19" s="102">
        <f>战斗节奏!$B13</f>
        <v>720</v>
      </c>
      <c r="G19" s="57">
        <v>0</v>
      </c>
      <c r="H19" s="102">
        <v>120</v>
      </c>
      <c r="I19" s="102">
        <f>战斗节奏!$C$4</f>
        <v>8</v>
      </c>
      <c r="J19" s="102">
        <f>战斗节奏!$D$4</f>
        <v>30</v>
      </c>
      <c r="K19" s="57">
        <v>3</v>
      </c>
      <c r="L19" s="102">
        <f>战斗节奏!$E$4</f>
        <v>10</v>
      </c>
      <c r="M19" s="57" t="s">
        <v>1000</v>
      </c>
      <c r="N19" s="57" t="s">
        <v>1001</v>
      </c>
      <c r="O19" s="57">
        <v>0</v>
      </c>
    </row>
    <row r="21" spans="2:15" x14ac:dyDescent="0.2">
      <c r="B21" s="57" t="s">
        <v>1969</v>
      </c>
      <c r="C21" s="57" t="s">
        <v>375</v>
      </c>
      <c r="E21" s="57" t="b">
        <v>0</v>
      </c>
      <c r="F21" s="102">
        <v>720</v>
      </c>
      <c r="G21" s="57">
        <v>0</v>
      </c>
      <c r="H21" s="102">
        <v>120</v>
      </c>
      <c r="I21" s="102">
        <v>8</v>
      </c>
      <c r="J21" s="102">
        <v>30</v>
      </c>
      <c r="K21" s="57">
        <v>3</v>
      </c>
      <c r="L21" s="102">
        <v>20</v>
      </c>
      <c r="M21" s="57" t="s">
        <v>1968</v>
      </c>
      <c r="N21" s="57" t="s">
        <v>1807</v>
      </c>
      <c r="O21" s="57">
        <v>0</v>
      </c>
    </row>
  </sheetData>
  <phoneticPr fontId="4" type="noConversion"/>
  <hyperlinks>
    <hyperlink ref="O3" r:id="rId1" xr:uid="{BF78F550-557F-4F88-AD3A-E3B89BEC1569}"/>
    <hyperlink ref="N3" r:id="rId2" xr:uid="{674519C6-2FB2-4464-85AD-EF8516B08E9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EB003-55F9-4698-8136-445024388804}">
  <dimension ref="A1:O83"/>
  <sheetViews>
    <sheetView zoomScale="85" zoomScaleNormal="85" workbookViewId="0">
      <pane xSplit="2" ySplit="5" topLeftCell="C51" activePane="bottomRight" state="frozen"/>
      <selection pane="topRight" activeCell="C1" sqref="C1"/>
      <selection pane="bottomLeft" activeCell="A6" sqref="A6"/>
      <selection pane="bottomRight" activeCell="B75" sqref="B75"/>
    </sheetView>
  </sheetViews>
  <sheetFormatPr defaultColWidth="9" defaultRowHeight="14.25" x14ac:dyDescent="0.2"/>
  <cols>
    <col min="1" max="1" width="8.75" style="57" bestFit="1" customWidth="1"/>
    <col min="2" max="2" width="26.25" style="57" bestFit="1" customWidth="1"/>
    <col min="3" max="3" width="12.125" style="57" bestFit="1" customWidth="1"/>
    <col min="4" max="4" width="22.25" style="57" bestFit="1" customWidth="1"/>
    <col min="5" max="5" width="13" style="57" bestFit="1" customWidth="1"/>
    <col min="6" max="6" width="7.25" style="57" bestFit="1" customWidth="1"/>
    <col min="7" max="7" width="36.125" style="57" bestFit="1" customWidth="1"/>
    <col min="8" max="8" width="21.25" style="57" customWidth="1"/>
    <col min="9" max="9" width="28.75" style="57" customWidth="1"/>
    <col min="10" max="11" width="8.875" customWidth="1"/>
    <col min="12" max="16384" width="9" style="57"/>
  </cols>
  <sheetData>
    <row r="1" spans="1:11" x14ac:dyDescent="0.2">
      <c r="A1" s="56" t="s">
        <v>67</v>
      </c>
      <c r="B1" s="56" t="s">
        <v>154</v>
      </c>
      <c r="C1" s="56" t="s">
        <v>69</v>
      </c>
      <c r="D1" s="56" t="s">
        <v>155</v>
      </c>
      <c r="E1" s="56" t="s">
        <v>97</v>
      </c>
      <c r="F1" s="56" t="s">
        <v>98</v>
      </c>
      <c r="G1" s="56" t="s">
        <v>99</v>
      </c>
      <c r="H1" s="56" t="s">
        <v>100</v>
      </c>
      <c r="I1" s="56" t="s">
        <v>101</v>
      </c>
    </row>
    <row r="2" spans="1:11" x14ac:dyDescent="0.2">
      <c r="A2" s="56" t="s">
        <v>67</v>
      </c>
      <c r="B2" s="56"/>
      <c r="C2" s="56"/>
      <c r="D2" s="56"/>
      <c r="E2" s="56"/>
      <c r="F2" s="56"/>
      <c r="G2" s="56"/>
      <c r="H2" s="56"/>
      <c r="I2" s="56"/>
    </row>
    <row r="3" spans="1:11" x14ac:dyDescent="0.2">
      <c r="A3" s="58" t="s">
        <v>71</v>
      </c>
      <c r="B3" s="58" t="s">
        <v>72</v>
      </c>
      <c r="C3" s="58" t="s">
        <v>72</v>
      </c>
      <c r="D3" s="58" t="s">
        <v>72</v>
      </c>
      <c r="E3" s="58" t="s">
        <v>74</v>
      </c>
      <c r="F3" s="58" t="s">
        <v>74</v>
      </c>
      <c r="G3" s="58" t="s">
        <v>1608</v>
      </c>
      <c r="H3" s="58" t="s">
        <v>102</v>
      </c>
      <c r="I3" s="58" t="s">
        <v>103</v>
      </c>
    </row>
    <row r="4" spans="1:11" x14ac:dyDescent="0.2">
      <c r="A4" s="58" t="s">
        <v>75</v>
      </c>
      <c r="B4" s="58"/>
      <c r="C4" s="58"/>
      <c r="D4" s="58" t="s">
        <v>76</v>
      </c>
      <c r="E4" s="58"/>
      <c r="F4" s="58"/>
      <c r="G4" s="58"/>
      <c r="H4" s="58"/>
      <c r="I4" s="58"/>
    </row>
    <row r="5" spans="1:11" ht="14.25" customHeight="1" x14ac:dyDescent="0.2">
      <c r="A5" s="69" t="s">
        <v>77</v>
      </c>
      <c r="B5" s="69" t="s">
        <v>104</v>
      </c>
      <c r="C5" s="69" t="s">
        <v>79</v>
      </c>
      <c r="D5" s="69" t="s">
        <v>80</v>
      </c>
      <c r="E5" s="69" t="s">
        <v>105</v>
      </c>
      <c r="F5" s="69" t="s">
        <v>106</v>
      </c>
      <c r="G5" s="70" t="s">
        <v>107</v>
      </c>
      <c r="H5" s="69" t="s">
        <v>108</v>
      </c>
      <c r="I5" s="70" t="s">
        <v>109</v>
      </c>
      <c r="J5" s="69" t="s">
        <v>453</v>
      </c>
      <c r="K5" s="69" t="s">
        <v>453</v>
      </c>
    </row>
    <row r="6" spans="1:11" x14ac:dyDescent="0.2">
      <c r="A6" s="68"/>
      <c r="B6" s="59" t="s">
        <v>110</v>
      </c>
      <c r="D6" s="60" t="s">
        <v>158</v>
      </c>
      <c r="E6" s="71">
        <f>VLOOKUP(J6,防御塔!$A$2:$N$13,7,FALSE)</f>
        <v>15</v>
      </c>
      <c r="F6" s="71">
        <f>VLOOKUP(J6,防御塔!$A$2:$N$13,5,FALSE)</f>
        <v>0.5</v>
      </c>
      <c r="G6" s="112" t="s">
        <v>1609</v>
      </c>
      <c r="H6" s="59" t="s">
        <v>111</v>
      </c>
      <c r="I6" s="57" t="s">
        <v>1551</v>
      </c>
      <c r="J6" s="110" t="s">
        <v>157</v>
      </c>
      <c r="K6" s="111">
        <v>1</v>
      </c>
    </row>
    <row r="7" spans="1:11" x14ac:dyDescent="0.2">
      <c r="A7" s="68"/>
      <c r="B7" s="59" t="s">
        <v>112</v>
      </c>
      <c r="D7" s="60" t="s">
        <v>159</v>
      </c>
      <c r="E7" s="71">
        <f>VLOOKUP(J7,防御塔!$A$2:$N$13,7,FALSE)</f>
        <v>15</v>
      </c>
      <c r="F7" s="71">
        <f>VLOOKUP(J7,防御塔!$A$2:$N$13,5,FALSE)</f>
        <v>0.5</v>
      </c>
      <c r="G7" s="112" t="s">
        <v>1610</v>
      </c>
      <c r="H7" s="59" t="s">
        <v>113</v>
      </c>
      <c r="I7" s="57" t="s">
        <v>1551</v>
      </c>
      <c r="J7" s="110" t="s">
        <v>33</v>
      </c>
      <c r="K7" s="111">
        <v>2</v>
      </c>
    </row>
    <row r="8" spans="1:11" x14ac:dyDescent="0.2">
      <c r="A8" s="68"/>
      <c r="B8" s="59" t="s">
        <v>114</v>
      </c>
      <c r="D8" s="60" t="s">
        <v>160</v>
      </c>
      <c r="E8" s="71">
        <f>VLOOKUP(J8,防御塔!$A$2:$N$13,7,FALSE)</f>
        <v>15</v>
      </c>
      <c r="F8" s="71">
        <f>VLOOKUP(J8,防御塔!$A$2:$N$13,5,FALSE)</f>
        <v>0.5</v>
      </c>
      <c r="G8" s="112" t="s">
        <v>1611</v>
      </c>
      <c r="H8" s="59" t="s">
        <v>115</v>
      </c>
      <c r="I8" s="57" t="s">
        <v>1551</v>
      </c>
      <c r="J8" s="110" t="s">
        <v>33</v>
      </c>
      <c r="K8" s="111">
        <v>3</v>
      </c>
    </row>
    <row r="9" spans="1:11" x14ac:dyDescent="0.2">
      <c r="A9" s="68"/>
      <c r="B9" s="59" t="s">
        <v>116</v>
      </c>
      <c r="D9" s="60" t="s">
        <v>161</v>
      </c>
      <c r="E9" s="71">
        <f>VLOOKUP(J9,防御塔!$A$2:$N$13,7,FALSE)</f>
        <v>15</v>
      </c>
      <c r="F9" s="71">
        <f>VLOOKUP(J9,防御塔!$A$2:$N$13,5,FALSE)</f>
        <v>0.5</v>
      </c>
      <c r="G9" s="112" t="s">
        <v>1612</v>
      </c>
      <c r="H9" s="59" t="s">
        <v>117</v>
      </c>
      <c r="I9" s="57" t="s">
        <v>1551</v>
      </c>
      <c r="J9" s="110" t="s">
        <v>34</v>
      </c>
      <c r="K9" s="111">
        <v>1</v>
      </c>
    </row>
    <row r="10" spans="1:11" x14ac:dyDescent="0.2">
      <c r="A10" s="68"/>
      <c r="B10" s="59" t="s">
        <v>118</v>
      </c>
      <c r="D10" s="60" t="s">
        <v>162</v>
      </c>
      <c r="E10" s="71">
        <f>VLOOKUP(J10,防御塔!$A$2:$N$13,7,FALSE)</f>
        <v>15</v>
      </c>
      <c r="F10" s="71">
        <f>VLOOKUP(J10,防御塔!$A$2:$N$13,5,FALSE)</f>
        <v>0.5</v>
      </c>
      <c r="G10" s="112" t="s">
        <v>1613</v>
      </c>
      <c r="H10" s="59" t="s">
        <v>119</v>
      </c>
      <c r="I10" s="57" t="s">
        <v>1551</v>
      </c>
      <c r="J10" s="110" t="s">
        <v>34</v>
      </c>
      <c r="K10" s="111">
        <v>2</v>
      </c>
    </row>
    <row r="11" spans="1:11" x14ac:dyDescent="0.2">
      <c r="A11" s="68"/>
      <c r="B11" s="59" t="s">
        <v>120</v>
      </c>
      <c r="D11" s="60" t="s">
        <v>163</v>
      </c>
      <c r="E11" s="71">
        <f>VLOOKUP(J11,防御塔!$A$2:$N$13,7,FALSE)</f>
        <v>15</v>
      </c>
      <c r="F11" s="71">
        <f>VLOOKUP(J11,防御塔!$A$2:$N$13,5,FALSE)</f>
        <v>0.5</v>
      </c>
      <c r="G11" s="112" t="s">
        <v>1614</v>
      </c>
      <c r="H11" s="59" t="s">
        <v>121</v>
      </c>
      <c r="I11" s="57" t="s">
        <v>1551</v>
      </c>
      <c r="J11" s="110" t="s">
        <v>34</v>
      </c>
      <c r="K11" s="111">
        <v>3</v>
      </c>
    </row>
    <row r="12" spans="1:11" x14ac:dyDescent="0.2">
      <c r="A12" s="68"/>
      <c r="B12" s="59" t="s">
        <v>122</v>
      </c>
      <c r="D12" s="60" t="s">
        <v>164</v>
      </c>
      <c r="E12" s="71">
        <f>VLOOKUP(J12,防御塔!$A$2:$N$13,7,FALSE)</f>
        <v>15</v>
      </c>
      <c r="F12" s="95">
        <v>0.3</v>
      </c>
      <c r="G12" s="112" t="s">
        <v>1615</v>
      </c>
      <c r="H12" s="59" t="s">
        <v>123</v>
      </c>
      <c r="I12" s="57" t="s">
        <v>1551</v>
      </c>
      <c r="J12" s="110" t="s">
        <v>35</v>
      </c>
      <c r="K12" s="111">
        <v>1</v>
      </c>
    </row>
    <row r="13" spans="1:11" x14ac:dyDescent="0.2">
      <c r="A13" s="68"/>
      <c r="B13" s="59" t="s">
        <v>124</v>
      </c>
      <c r="D13" s="60" t="s">
        <v>165</v>
      </c>
      <c r="E13" s="71">
        <f>VLOOKUP(J13,防御塔!$A$2:$N$13,7,FALSE)</f>
        <v>15</v>
      </c>
      <c r="F13" s="95">
        <v>0.3</v>
      </c>
      <c r="G13" s="112" t="s">
        <v>1616</v>
      </c>
      <c r="H13" s="59" t="s">
        <v>125</v>
      </c>
      <c r="I13" s="57" t="s">
        <v>1551</v>
      </c>
      <c r="J13" s="110" t="s">
        <v>35</v>
      </c>
      <c r="K13" s="111">
        <v>2</v>
      </c>
    </row>
    <row r="14" spans="1:11" x14ac:dyDescent="0.2">
      <c r="A14" s="68"/>
      <c r="B14" s="59" t="s">
        <v>126</v>
      </c>
      <c r="D14" s="60" t="s">
        <v>166</v>
      </c>
      <c r="E14" s="71">
        <f>VLOOKUP(J14,防御塔!$A$2:$N$13,7,FALSE)</f>
        <v>15</v>
      </c>
      <c r="F14" s="95">
        <v>0.3</v>
      </c>
      <c r="G14" s="112" t="s">
        <v>1617</v>
      </c>
      <c r="H14" s="59" t="s">
        <v>127</v>
      </c>
      <c r="I14" s="57" t="s">
        <v>1551</v>
      </c>
      <c r="J14" s="110" t="s">
        <v>35</v>
      </c>
      <c r="K14" s="111">
        <v>3</v>
      </c>
    </row>
    <row r="15" spans="1:11" x14ac:dyDescent="0.2">
      <c r="A15" s="68"/>
      <c r="B15" s="59" t="s">
        <v>128</v>
      </c>
      <c r="D15" s="60" t="s">
        <v>167</v>
      </c>
      <c r="E15" s="71">
        <f>VLOOKUP(J15,防御塔!$A$2:$N$13,7,FALSE)</f>
        <v>15</v>
      </c>
      <c r="F15" s="95">
        <v>0.3</v>
      </c>
      <c r="G15" s="112" t="s">
        <v>1618</v>
      </c>
      <c r="H15" s="59" t="s">
        <v>129</v>
      </c>
      <c r="I15" s="57" t="s">
        <v>1551</v>
      </c>
      <c r="J15" s="110" t="s">
        <v>36</v>
      </c>
      <c r="K15" s="111">
        <v>1</v>
      </c>
    </row>
    <row r="16" spans="1:11" x14ac:dyDescent="0.2">
      <c r="A16" s="68"/>
      <c r="B16" s="59" t="s">
        <v>130</v>
      </c>
      <c r="D16" s="60" t="s">
        <v>168</v>
      </c>
      <c r="E16" s="71">
        <f>VLOOKUP(J16,防御塔!$A$2:$N$13,7,FALSE)</f>
        <v>15</v>
      </c>
      <c r="F16" s="95">
        <v>0.3</v>
      </c>
      <c r="G16" s="112" t="s">
        <v>1619</v>
      </c>
      <c r="H16" s="59" t="s">
        <v>131</v>
      </c>
      <c r="I16" s="57" t="s">
        <v>1551</v>
      </c>
      <c r="J16" s="110" t="s">
        <v>36</v>
      </c>
      <c r="K16" s="111">
        <v>2</v>
      </c>
    </row>
    <row r="17" spans="1:11" x14ac:dyDescent="0.2">
      <c r="A17" s="68"/>
      <c r="B17" s="59" t="s">
        <v>132</v>
      </c>
      <c r="D17" s="60" t="s">
        <v>169</v>
      </c>
      <c r="E17" s="71">
        <f>VLOOKUP(J17,防御塔!$A$2:$N$13,7,FALSE)</f>
        <v>15</v>
      </c>
      <c r="F17" s="95">
        <v>0.3</v>
      </c>
      <c r="G17" s="112" t="s">
        <v>1620</v>
      </c>
      <c r="H17" s="59" t="s">
        <v>156</v>
      </c>
      <c r="I17" s="57" t="s">
        <v>1551</v>
      </c>
      <c r="J17" s="110" t="s">
        <v>36</v>
      </c>
      <c r="K17" s="111">
        <v>3</v>
      </c>
    </row>
    <row r="18" spans="1:11" x14ac:dyDescent="0.2">
      <c r="A18" s="68"/>
      <c r="B18" s="59" t="s">
        <v>133</v>
      </c>
      <c r="D18" s="60" t="s">
        <v>170</v>
      </c>
      <c r="E18" s="71">
        <f>VLOOKUP(J18,防御塔!$A$2:$N$13,7,FALSE)</f>
        <v>15</v>
      </c>
      <c r="F18" s="71">
        <f>VLOOKUP(J18,防御塔!$A$2:$N$13,5,FALSE)</f>
        <v>3</v>
      </c>
      <c r="G18" s="112" t="s">
        <v>1621</v>
      </c>
      <c r="H18" s="59" t="s">
        <v>134</v>
      </c>
      <c r="I18" s="57" t="s">
        <v>1551</v>
      </c>
      <c r="J18" s="110" t="s">
        <v>37</v>
      </c>
      <c r="K18" s="111">
        <v>1</v>
      </c>
    </row>
    <row r="19" spans="1:11" x14ac:dyDescent="0.2">
      <c r="A19" s="68"/>
      <c r="B19" s="59" t="s">
        <v>135</v>
      </c>
      <c r="D19" s="60" t="s">
        <v>171</v>
      </c>
      <c r="E19" s="71">
        <f>VLOOKUP(J19,防御塔!$A$2:$N$13,7,FALSE)</f>
        <v>15</v>
      </c>
      <c r="F19" s="71">
        <f>VLOOKUP(J19,防御塔!$A$2:$N$13,5,FALSE)</f>
        <v>3</v>
      </c>
      <c r="G19" s="112" t="s">
        <v>1622</v>
      </c>
      <c r="H19" s="59" t="s">
        <v>136</v>
      </c>
      <c r="I19" s="57" t="s">
        <v>1551</v>
      </c>
      <c r="J19" s="110" t="s">
        <v>37</v>
      </c>
      <c r="K19" s="111">
        <v>2</v>
      </c>
    </row>
    <row r="20" spans="1:11" x14ac:dyDescent="0.2">
      <c r="A20" s="68"/>
      <c r="B20" s="59" t="s">
        <v>137</v>
      </c>
      <c r="D20" s="60" t="s">
        <v>172</v>
      </c>
      <c r="E20" s="71">
        <f>VLOOKUP(J20,防御塔!$A$2:$N$13,7,FALSE)</f>
        <v>15</v>
      </c>
      <c r="F20" s="71">
        <f>VLOOKUP(J20,防御塔!$A$2:$N$13,5,FALSE)</f>
        <v>3</v>
      </c>
      <c r="G20" s="112" t="s">
        <v>1623</v>
      </c>
      <c r="H20" s="59" t="s">
        <v>138</v>
      </c>
      <c r="I20" s="57" t="s">
        <v>1551</v>
      </c>
      <c r="J20" s="110" t="s">
        <v>37</v>
      </c>
      <c r="K20" s="111">
        <v>3</v>
      </c>
    </row>
    <row r="21" spans="1:11" x14ac:dyDescent="0.2">
      <c r="A21" s="68"/>
      <c r="B21" s="59" t="s">
        <v>139</v>
      </c>
      <c r="D21" s="60" t="s">
        <v>173</v>
      </c>
      <c r="E21" s="71">
        <f>VLOOKUP(J21,防御塔!$A$2:$N$13,7,FALSE)</f>
        <v>10</v>
      </c>
      <c r="F21" s="71">
        <f>VLOOKUP(J21,防御塔!$A$2:$N$13,5,FALSE)</f>
        <v>1</v>
      </c>
      <c r="G21" s="112" t="s">
        <v>1624</v>
      </c>
      <c r="H21" s="59" t="s">
        <v>140</v>
      </c>
      <c r="I21" s="57" t="s">
        <v>1551</v>
      </c>
      <c r="J21" s="110" t="s">
        <v>38</v>
      </c>
      <c r="K21" s="111">
        <v>1</v>
      </c>
    </row>
    <row r="22" spans="1:11" x14ac:dyDescent="0.2">
      <c r="A22" s="68"/>
      <c r="B22" s="59" t="s">
        <v>141</v>
      </c>
      <c r="D22" s="60" t="s">
        <v>174</v>
      </c>
      <c r="E22" s="71">
        <f>VLOOKUP(J22,防御塔!$A$2:$N$13,7,FALSE)</f>
        <v>10</v>
      </c>
      <c r="F22" s="71">
        <f>VLOOKUP(J22,防御塔!$A$2:$N$13,5,FALSE)</f>
        <v>1</v>
      </c>
      <c r="G22" s="112" t="s">
        <v>1625</v>
      </c>
      <c r="H22" s="59" t="s">
        <v>142</v>
      </c>
      <c r="I22" s="57" t="s">
        <v>1551</v>
      </c>
      <c r="J22" s="110" t="s">
        <v>38</v>
      </c>
      <c r="K22" s="111">
        <v>2</v>
      </c>
    </row>
    <row r="23" spans="1:11" x14ac:dyDescent="0.2">
      <c r="A23" s="68"/>
      <c r="B23" s="59" t="s">
        <v>143</v>
      </c>
      <c r="D23" s="60" t="s">
        <v>175</v>
      </c>
      <c r="E23" s="71">
        <f>VLOOKUP(J23,防御塔!$A$2:$N$13,7,FALSE)</f>
        <v>10</v>
      </c>
      <c r="F23" s="71">
        <f>VLOOKUP(J23,防御塔!$A$2:$N$13,5,FALSE)</f>
        <v>1</v>
      </c>
      <c r="G23" s="112" t="s">
        <v>1626</v>
      </c>
      <c r="H23" s="59" t="s">
        <v>144</v>
      </c>
      <c r="I23" s="57" t="s">
        <v>1551</v>
      </c>
      <c r="J23" s="110" t="s">
        <v>38</v>
      </c>
      <c r="K23" s="111">
        <v>3</v>
      </c>
    </row>
    <row r="24" spans="1:11" x14ac:dyDescent="0.2">
      <c r="A24" s="68"/>
      <c r="B24" s="59" t="s">
        <v>145</v>
      </c>
      <c r="D24" s="60" t="s">
        <v>177</v>
      </c>
      <c r="E24" s="71">
        <f>VLOOKUP(J24,防御塔!$A$2:$N$13,7,FALSE)</f>
        <v>7.5</v>
      </c>
      <c r="F24" s="71">
        <f>VLOOKUP(J24,防御塔!$A$2:$N$13,5,FALSE)</f>
        <v>1</v>
      </c>
      <c r="G24" s="112" t="s">
        <v>1627</v>
      </c>
      <c r="H24" s="59" t="s">
        <v>146</v>
      </c>
      <c r="I24" s="57" t="s">
        <v>1551</v>
      </c>
      <c r="J24" s="110" t="s">
        <v>176</v>
      </c>
      <c r="K24" s="111">
        <v>1</v>
      </c>
    </row>
    <row r="25" spans="1:11" x14ac:dyDescent="0.2">
      <c r="A25" s="68"/>
      <c r="B25" s="59" t="s">
        <v>147</v>
      </c>
      <c r="D25" s="60" t="s">
        <v>178</v>
      </c>
      <c r="E25" s="71">
        <f>VLOOKUP(J25,防御塔!$A$2:$N$13,7,FALSE)</f>
        <v>7.5</v>
      </c>
      <c r="F25" s="71">
        <f>VLOOKUP(J25,防御塔!$A$2:$N$13,5,FALSE)</f>
        <v>1</v>
      </c>
      <c r="G25" s="112" t="s">
        <v>1628</v>
      </c>
      <c r="H25" s="59" t="s">
        <v>148</v>
      </c>
      <c r="I25" s="57" t="s">
        <v>1551</v>
      </c>
      <c r="J25" s="110" t="s">
        <v>176</v>
      </c>
      <c r="K25" s="111">
        <v>2</v>
      </c>
    </row>
    <row r="26" spans="1:11" x14ac:dyDescent="0.2">
      <c r="A26" s="68"/>
      <c r="B26" s="59" t="s">
        <v>149</v>
      </c>
      <c r="D26" s="60" t="s">
        <v>179</v>
      </c>
      <c r="E26" s="71">
        <f>VLOOKUP(J26,防御塔!$A$2:$N$13,7,FALSE)</f>
        <v>7.5</v>
      </c>
      <c r="F26" s="71">
        <f>VLOOKUP(J26,防御塔!$A$2:$N$13,5,FALSE)</f>
        <v>1</v>
      </c>
      <c r="G26" s="112" t="s">
        <v>1629</v>
      </c>
      <c r="H26" s="59" t="s">
        <v>150</v>
      </c>
      <c r="I26" s="57" t="s">
        <v>1552</v>
      </c>
      <c r="J26" s="110" t="s">
        <v>176</v>
      </c>
      <c r="K26" s="111">
        <v>3</v>
      </c>
    </row>
    <row r="27" spans="1:11" x14ac:dyDescent="0.2">
      <c r="A27" s="68"/>
      <c r="B27" s="59" t="s">
        <v>151</v>
      </c>
      <c r="D27" s="60" t="s">
        <v>222</v>
      </c>
      <c r="E27" s="71">
        <f>VLOOKUP(J27,防御塔!$A$2:$N$13,7,FALSE)</f>
        <v>7.5</v>
      </c>
      <c r="F27" s="71">
        <f>VLOOKUP(J27,防御塔!$A$2:$N$13,5,FALSE)</f>
        <v>1</v>
      </c>
      <c r="G27" s="112" t="s">
        <v>1630</v>
      </c>
      <c r="H27" s="62"/>
      <c r="I27" s="59" t="s">
        <v>1553</v>
      </c>
      <c r="J27" s="110" t="s">
        <v>40</v>
      </c>
      <c r="K27" s="111">
        <v>1</v>
      </c>
    </row>
    <row r="28" spans="1:11" x14ac:dyDescent="0.2">
      <c r="A28" s="68"/>
      <c r="B28" s="59" t="s">
        <v>152</v>
      </c>
      <c r="D28" s="60" t="s">
        <v>223</v>
      </c>
      <c r="E28" s="95">
        <v>8.75</v>
      </c>
      <c r="F28" s="71">
        <f>VLOOKUP(J28,防御塔!$A$2:$N$13,5,FALSE)</f>
        <v>1</v>
      </c>
      <c r="G28" s="112" t="s">
        <v>1630</v>
      </c>
      <c r="H28" s="62"/>
      <c r="I28" s="59" t="s">
        <v>1554</v>
      </c>
      <c r="J28" s="110" t="s">
        <v>40</v>
      </c>
      <c r="K28" s="111">
        <v>2</v>
      </c>
    </row>
    <row r="29" spans="1:11" x14ac:dyDescent="0.2">
      <c r="A29" s="68"/>
      <c r="B29" s="59" t="s">
        <v>153</v>
      </c>
      <c r="D29" s="60" t="s">
        <v>224</v>
      </c>
      <c r="E29" s="95">
        <v>10</v>
      </c>
      <c r="F29" s="71">
        <f>VLOOKUP(J29,防御塔!$A$2:$N$13,5,FALSE)</f>
        <v>1</v>
      </c>
      <c r="G29" s="112" t="s">
        <v>1630</v>
      </c>
      <c r="H29" s="62"/>
      <c r="I29" s="59" t="s">
        <v>1555</v>
      </c>
      <c r="J29" s="110" t="s">
        <v>40</v>
      </c>
      <c r="K29" s="111">
        <v>3</v>
      </c>
    </row>
    <row r="30" spans="1:11" s="94" customFormat="1" x14ac:dyDescent="0.2">
      <c r="B30" s="94" t="s">
        <v>1547</v>
      </c>
      <c r="D30" s="60" t="s">
        <v>1548</v>
      </c>
      <c r="E30" s="71">
        <f>VLOOKUP(J30,防御塔!$A$2:$N$13,7,FALSE)</f>
        <v>15</v>
      </c>
      <c r="F30" s="71">
        <f>VLOOKUP(J30,防御塔!$A$2:$N$13,5,FALSE)</f>
        <v>1</v>
      </c>
      <c r="G30" s="59" t="s">
        <v>1631</v>
      </c>
      <c r="H30" s="94" t="s">
        <v>1542</v>
      </c>
      <c r="I30" s="57" t="s">
        <v>1551</v>
      </c>
      <c r="J30" s="110" t="s">
        <v>1534</v>
      </c>
      <c r="K30" s="110">
        <v>1</v>
      </c>
    </row>
    <row r="31" spans="1:11" s="94" customFormat="1" x14ac:dyDescent="0.2">
      <c r="B31" s="94" t="s">
        <v>1543</v>
      </c>
      <c r="D31" s="60" t="s">
        <v>1549</v>
      </c>
      <c r="E31" s="71">
        <f>VLOOKUP(J31,防御塔!$A$2:$N$13,7,FALSE)</f>
        <v>15</v>
      </c>
      <c r="F31" s="71">
        <f>VLOOKUP(J31,防御塔!$A$2:$N$13,5,FALSE)</f>
        <v>1</v>
      </c>
      <c r="G31" s="59" t="s">
        <v>1632</v>
      </c>
      <c r="H31" s="94" t="s">
        <v>1544</v>
      </c>
      <c r="I31" s="57" t="s">
        <v>1551</v>
      </c>
      <c r="J31" s="110" t="s">
        <v>1534</v>
      </c>
      <c r="K31" s="110">
        <v>2</v>
      </c>
    </row>
    <row r="32" spans="1:11" s="94" customFormat="1" x14ac:dyDescent="0.2">
      <c r="B32" s="94" t="s">
        <v>1545</v>
      </c>
      <c r="D32" s="60" t="s">
        <v>1550</v>
      </c>
      <c r="E32" s="71">
        <f>VLOOKUP(J32,防御塔!$A$2:$N$13,7,FALSE)</f>
        <v>15</v>
      </c>
      <c r="F32" s="71">
        <f>VLOOKUP(J32,防御塔!$A$2:$N$13,5,FALSE)</f>
        <v>1</v>
      </c>
      <c r="G32" s="59" t="s">
        <v>1633</v>
      </c>
      <c r="H32" s="94" t="s">
        <v>1546</v>
      </c>
      <c r="I32" s="57" t="s">
        <v>1551</v>
      </c>
      <c r="J32" s="110" t="s">
        <v>1534</v>
      </c>
      <c r="K32" s="110">
        <v>3</v>
      </c>
    </row>
    <row r="33" spans="2:15" s="94" customFormat="1" x14ac:dyDescent="0.2">
      <c r="B33" s="94" t="s">
        <v>1558</v>
      </c>
      <c r="D33" s="60" t="s">
        <v>1564</v>
      </c>
      <c r="E33" s="71">
        <f>VLOOKUP(J33,防御塔!$A$2:$N$13,7,FALSE)</f>
        <v>7.5</v>
      </c>
      <c r="F33" s="71">
        <f>VLOOKUP(J33,防御塔!$A$2:$N$13,5,FALSE)</f>
        <v>1</v>
      </c>
      <c r="G33" s="59" t="s">
        <v>1634</v>
      </c>
      <c r="H33" s="94" t="s">
        <v>1559</v>
      </c>
      <c r="I33" s="57" t="s">
        <v>1551</v>
      </c>
      <c r="J33" s="110" t="s">
        <v>1535</v>
      </c>
      <c r="K33" s="110">
        <v>1</v>
      </c>
    </row>
    <row r="34" spans="2:15" s="94" customFormat="1" x14ac:dyDescent="0.2">
      <c r="B34" s="94" t="s">
        <v>1560</v>
      </c>
      <c r="D34" s="60" t="s">
        <v>1565</v>
      </c>
      <c r="E34" s="71">
        <f>VLOOKUP(J34,防御塔!$A$2:$N$13,7,FALSE)</f>
        <v>7.5</v>
      </c>
      <c r="F34" s="71">
        <f>VLOOKUP(J34,防御塔!$A$2:$N$13,5,FALSE)</f>
        <v>1</v>
      </c>
      <c r="G34" s="59" t="s">
        <v>1635</v>
      </c>
      <c r="H34" s="94" t="s">
        <v>1561</v>
      </c>
      <c r="I34" s="57" t="s">
        <v>1551</v>
      </c>
      <c r="J34" s="110" t="s">
        <v>1535</v>
      </c>
      <c r="K34" s="110">
        <v>2</v>
      </c>
    </row>
    <row r="35" spans="2:15" s="94" customFormat="1" x14ac:dyDescent="0.2">
      <c r="B35" s="94" t="s">
        <v>1562</v>
      </c>
      <c r="D35" s="60" t="s">
        <v>1566</v>
      </c>
      <c r="E35" s="71">
        <f>VLOOKUP(J35,防御塔!$A$2:$N$13,7,FALSE)</f>
        <v>7.5</v>
      </c>
      <c r="F35" s="71">
        <f>VLOOKUP(J35,防御塔!$A$2:$N$13,5,FALSE)</f>
        <v>1</v>
      </c>
      <c r="G35" s="59" t="s">
        <v>1636</v>
      </c>
      <c r="H35" s="94" t="s">
        <v>1563</v>
      </c>
      <c r="I35" s="57" t="s">
        <v>1551</v>
      </c>
      <c r="J35" s="110" t="s">
        <v>1535</v>
      </c>
      <c r="K35" s="110">
        <v>3</v>
      </c>
    </row>
    <row r="36" spans="2:15" s="94" customFormat="1" x14ac:dyDescent="0.2">
      <c r="B36" s="94" t="s">
        <v>1604</v>
      </c>
      <c r="D36" s="60" t="s">
        <v>1599</v>
      </c>
      <c r="E36" s="71">
        <f>VLOOKUP(J36,防御塔!$A$2:$N$13,7,FALSE)</f>
        <v>7.5</v>
      </c>
      <c r="F36" s="71">
        <f>VLOOKUP(J36,防御塔!$A$2:$N$13,5,FALSE)</f>
        <v>1</v>
      </c>
      <c r="G36" s="59" t="s">
        <v>1637</v>
      </c>
      <c r="H36" s="94" t="s">
        <v>1605</v>
      </c>
      <c r="I36" s="57" t="s">
        <v>1551</v>
      </c>
      <c r="J36" s="110" t="s">
        <v>1586</v>
      </c>
      <c r="K36" s="110">
        <v>1</v>
      </c>
    </row>
    <row r="37" spans="2:15" s="94" customFormat="1" x14ac:dyDescent="0.2">
      <c r="B37" s="94" t="s">
        <v>1600</v>
      </c>
      <c r="D37" s="60" t="s">
        <v>1601</v>
      </c>
      <c r="E37" s="71">
        <f>VLOOKUP(J37,防御塔!$A$2:$N$13,7,FALSE)</f>
        <v>7.5</v>
      </c>
      <c r="F37" s="71">
        <f>VLOOKUP(J37,防御塔!$A$2:$N$13,5,FALSE)</f>
        <v>1</v>
      </c>
      <c r="G37" s="59" t="s">
        <v>1638</v>
      </c>
      <c r="H37" s="94" t="s">
        <v>1606</v>
      </c>
      <c r="I37" s="57" t="s">
        <v>1551</v>
      </c>
      <c r="J37" s="110" t="s">
        <v>1586</v>
      </c>
      <c r="K37" s="110">
        <v>2</v>
      </c>
    </row>
    <row r="38" spans="2:15" s="94" customFormat="1" x14ac:dyDescent="0.2">
      <c r="B38" s="94" t="s">
        <v>1602</v>
      </c>
      <c r="D38" s="60" t="s">
        <v>1603</v>
      </c>
      <c r="E38" s="71">
        <f>VLOOKUP(J38,防御塔!$A$2:$N$13,7,FALSE)</f>
        <v>7.5</v>
      </c>
      <c r="F38" s="71">
        <f>VLOOKUP(J38,防御塔!$A$2:$N$13,5,FALSE)</f>
        <v>1</v>
      </c>
      <c r="G38" s="59" t="s">
        <v>1639</v>
      </c>
      <c r="H38" s="94" t="s">
        <v>1607</v>
      </c>
      <c r="I38" s="57" t="s">
        <v>1551</v>
      </c>
      <c r="J38" s="110" t="s">
        <v>1586</v>
      </c>
      <c r="K38" s="110">
        <v>3</v>
      </c>
    </row>
    <row r="39" spans="2:15" x14ac:dyDescent="0.2">
      <c r="B39" s="59"/>
      <c r="C39" s="60"/>
      <c r="D39" s="61"/>
      <c r="E39" s="61"/>
      <c r="F39" s="59"/>
      <c r="G39" s="59"/>
      <c r="H39" s="59"/>
      <c r="I39" s="62"/>
      <c r="J39" s="110"/>
    </row>
    <row r="40" spans="2:15" s="94" customFormat="1" x14ac:dyDescent="0.2">
      <c r="B40" s="94" t="s">
        <v>607</v>
      </c>
      <c r="D40" s="94" t="s">
        <v>1941</v>
      </c>
      <c r="E40" s="94">
        <v>5</v>
      </c>
      <c r="F40" s="94">
        <v>1</v>
      </c>
      <c r="G40" s="94" t="s">
        <v>1630</v>
      </c>
      <c r="I40" s="94" t="s">
        <v>1942</v>
      </c>
      <c r="J40" s="111"/>
      <c r="K40" s="110"/>
      <c r="O40" s="112"/>
    </row>
    <row r="41" spans="2:15" s="94" customFormat="1" x14ac:dyDescent="0.2">
      <c r="B41" s="94" t="s">
        <v>608</v>
      </c>
      <c r="D41" s="94" t="s">
        <v>1941</v>
      </c>
      <c r="E41" s="94">
        <v>5</v>
      </c>
      <c r="F41" s="94">
        <v>1</v>
      </c>
      <c r="G41" s="94" t="s">
        <v>1630</v>
      </c>
      <c r="I41" s="94" t="s">
        <v>1943</v>
      </c>
      <c r="J41" s="111"/>
      <c r="K41" s="110"/>
      <c r="O41" s="112"/>
    </row>
    <row r="42" spans="2:15" s="94" customFormat="1" x14ac:dyDescent="0.2">
      <c r="B42" s="94" t="s">
        <v>609</v>
      </c>
      <c r="D42" s="94" t="s">
        <v>1941</v>
      </c>
      <c r="E42" s="94">
        <v>5</v>
      </c>
      <c r="F42" s="94">
        <v>1</v>
      </c>
      <c r="G42" s="94" t="s">
        <v>1630</v>
      </c>
      <c r="I42" s="94" t="s">
        <v>1944</v>
      </c>
      <c r="J42" s="111"/>
      <c r="K42" s="110"/>
      <c r="O42" s="112"/>
    </row>
    <row r="43" spans="2:15" s="94" customFormat="1" x14ac:dyDescent="0.2">
      <c r="B43" s="94" t="s">
        <v>610</v>
      </c>
      <c r="D43" s="94" t="s">
        <v>1941</v>
      </c>
      <c r="E43" s="94">
        <v>5</v>
      </c>
      <c r="F43" s="94">
        <v>1</v>
      </c>
      <c r="G43" s="94" t="s">
        <v>1630</v>
      </c>
      <c r="I43" s="94" t="s">
        <v>1945</v>
      </c>
      <c r="J43" s="111"/>
      <c r="K43" s="110"/>
      <c r="O43" s="112"/>
    </row>
    <row r="44" spans="2:15" s="94" customFormat="1" x14ac:dyDescent="0.2">
      <c r="B44" s="94" t="s">
        <v>611</v>
      </c>
      <c r="D44" s="94" t="s">
        <v>1941</v>
      </c>
      <c r="E44" s="94">
        <v>5</v>
      </c>
      <c r="F44" s="94">
        <v>1</v>
      </c>
      <c r="G44" s="94" t="s">
        <v>1630</v>
      </c>
      <c r="I44" s="94" t="s">
        <v>1946</v>
      </c>
      <c r="J44" s="111"/>
      <c r="K44" s="110"/>
      <c r="O44" s="112"/>
    </row>
    <row r="45" spans="2:15" s="94" customFormat="1" x14ac:dyDescent="0.2">
      <c r="B45" s="94" t="s">
        <v>612</v>
      </c>
      <c r="D45" s="94" t="s">
        <v>1941</v>
      </c>
      <c r="E45" s="94">
        <v>5</v>
      </c>
      <c r="F45" s="94">
        <v>1</v>
      </c>
      <c r="G45" s="94" t="s">
        <v>1630</v>
      </c>
      <c r="I45" s="94" t="s">
        <v>1947</v>
      </c>
      <c r="J45" s="111"/>
      <c r="K45" s="110"/>
      <c r="O45" s="112"/>
    </row>
    <row r="46" spans="2:15" s="94" customFormat="1" x14ac:dyDescent="0.2">
      <c r="B46" s="94" t="s">
        <v>613</v>
      </c>
      <c r="D46" s="94" t="s">
        <v>1941</v>
      </c>
      <c r="E46" s="94">
        <v>5</v>
      </c>
      <c r="F46" s="94">
        <v>1</v>
      </c>
      <c r="G46" s="94" t="s">
        <v>1630</v>
      </c>
      <c r="I46" s="94" t="s">
        <v>1948</v>
      </c>
      <c r="J46" s="111"/>
      <c r="K46" s="110"/>
      <c r="O46" s="112"/>
    </row>
    <row r="47" spans="2:15" s="94" customFormat="1" x14ac:dyDescent="0.2">
      <c r="B47" s="94" t="s">
        <v>614</v>
      </c>
      <c r="D47" s="94" t="s">
        <v>1941</v>
      </c>
      <c r="E47" s="94">
        <v>5</v>
      </c>
      <c r="F47" s="94">
        <v>1</v>
      </c>
      <c r="G47" s="94" t="s">
        <v>1630</v>
      </c>
      <c r="I47" s="94" t="s">
        <v>1949</v>
      </c>
      <c r="J47" s="111"/>
      <c r="K47" s="110"/>
      <c r="O47" s="112"/>
    </row>
    <row r="48" spans="2:15" s="94" customFormat="1" x14ac:dyDescent="0.2">
      <c r="B48" s="94" t="s">
        <v>615</v>
      </c>
      <c r="D48" s="94" t="s">
        <v>1941</v>
      </c>
      <c r="E48" s="94">
        <v>5</v>
      </c>
      <c r="F48" s="94">
        <v>1</v>
      </c>
      <c r="G48" s="94" t="s">
        <v>1630</v>
      </c>
      <c r="I48" s="94" t="s">
        <v>1950</v>
      </c>
      <c r="J48" s="111"/>
      <c r="K48" s="110"/>
      <c r="O48" s="112"/>
    </row>
    <row r="49" spans="2:15" s="94" customFormat="1" x14ac:dyDescent="0.2">
      <c r="B49" s="94" t="s">
        <v>616</v>
      </c>
      <c r="D49" s="94" t="s">
        <v>1941</v>
      </c>
      <c r="E49" s="94">
        <v>5</v>
      </c>
      <c r="F49" s="94">
        <v>1</v>
      </c>
      <c r="G49" s="94" t="s">
        <v>1630</v>
      </c>
      <c r="I49" s="94" t="s">
        <v>1951</v>
      </c>
      <c r="J49" s="111"/>
      <c r="K49" s="110"/>
      <c r="O49" s="112"/>
    </row>
    <row r="50" spans="2:15" s="94" customFormat="1" x14ac:dyDescent="0.2">
      <c r="B50" s="94" t="s">
        <v>617</v>
      </c>
      <c r="D50" s="94" t="s">
        <v>1941</v>
      </c>
      <c r="E50" s="94">
        <v>5</v>
      </c>
      <c r="F50" s="94">
        <v>1</v>
      </c>
      <c r="G50" s="94" t="s">
        <v>1630</v>
      </c>
      <c r="I50" s="94" t="s">
        <v>1952</v>
      </c>
      <c r="J50" s="111"/>
      <c r="K50" s="110"/>
      <c r="O50" s="112"/>
    </row>
    <row r="51" spans="2:15" s="94" customFormat="1" x14ac:dyDescent="0.2">
      <c r="B51" s="94" t="s">
        <v>618</v>
      </c>
      <c r="D51" s="94" t="s">
        <v>1941</v>
      </c>
      <c r="E51" s="94">
        <v>5</v>
      </c>
      <c r="F51" s="94">
        <v>1</v>
      </c>
      <c r="G51" s="94" t="s">
        <v>1630</v>
      </c>
      <c r="I51" s="94" t="s">
        <v>1953</v>
      </c>
      <c r="J51" s="111"/>
      <c r="K51" s="110"/>
      <c r="O51" s="112"/>
    </row>
    <row r="52" spans="2:15" s="94" customFormat="1" x14ac:dyDescent="0.2">
      <c r="B52" s="112" t="s">
        <v>1954</v>
      </c>
      <c r="D52" s="94" t="s">
        <v>1941</v>
      </c>
      <c r="E52" s="94">
        <v>5</v>
      </c>
      <c r="F52" s="94">
        <v>1</v>
      </c>
      <c r="G52" s="94" t="s">
        <v>1630</v>
      </c>
      <c r="I52" s="112" t="s">
        <v>1955</v>
      </c>
      <c r="J52" s="111"/>
      <c r="K52" s="110"/>
      <c r="O52" s="112"/>
    </row>
    <row r="53" spans="2:15" s="94" customFormat="1" x14ac:dyDescent="0.2">
      <c r="B53" s="94" t="s">
        <v>619</v>
      </c>
      <c r="D53" s="94" t="s">
        <v>1941</v>
      </c>
      <c r="E53" s="94">
        <v>5</v>
      </c>
      <c r="F53" s="94">
        <v>1</v>
      </c>
      <c r="G53" s="94" t="s">
        <v>1630</v>
      </c>
      <c r="I53" s="94" t="s">
        <v>1956</v>
      </c>
      <c r="J53" s="111"/>
      <c r="K53" s="110"/>
      <c r="O53" s="112"/>
    </row>
    <row r="54" spans="2:15" s="94" customFormat="1" x14ac:dyDescent="0.2">
      <c r="B54" s="94" t="s">
        <v>620</v>
      </c>
      <c r="D54" s="94" t="s">
        <v>1941</v>
      </c>
      <c r="E54" s="94">
        <v>5</v>
      </c>
      <c r="F54" s="94">
        <v>1</v>
      </c>
      <c r="G54" s="94" t="s">
        <v>1630</v>
      </c>
      <c r="I54" s="94" t="s">
        <v>1957</v>
      </c>
      <c r="J54" s="111"/>
      <c r="K54" s="110"/>
      <c r="O54" s="112"/>
    </row>
    <row r="55" spans="2:15" s="94" customFormat="1" x14ac:dyDescent="0.2">
      <c r="B55" s="94" t="s">
        <v>621</v>
      </c>
      <c r="D55" s="94" t="s">
        <v>1941</v>
      </c>
      <c r="E55" s="94">
        <v>5</v>
      </c>
      <c r="F55" s="94">
        <v>1</v>
      </c>
      <c r="G55" s="94" t="s">
        <v>1630</v>
      </c>
      <c r="I55" s="94" t="s">
        <v>1958</v>
      </c>
      <c r="J55" s="111"/>
      <c r="K55" s="110"/>
      <c r="O55" s="112"/>
    </row>
    <row r="56" spans="2:15" s="94" customFormat="1" x14ac:dyDescent="0.2">
      <c r="B56" s="94" t="s">
        <v>622</v>
      </c>
      <c r="D56" s="94" t="s">
        <v>1941</v>
      </c>
      <c r="E56" s="94">
        <v>5</v>
      </c>
      <c r="F56" s="94">
        <v>1</v>
      </c>
      <c r="G56" s="94" t="s">
        <v>1630</v>
      </c>
      <c r="I56" s="94" t="s">
        <v>1959</v>
      </c>
      <c r="J56" s="111"/>
      <c r="K56" s="110"/>
      <c r="O56" s="112"/>
    </row>
    <row r="57" spans="2:15" s="94" customFormat="1" x14ac:dyDescent="0.2">
      <c r="B57" s="94" t="s">
        <v>623</v>
      </c>
      <c r="D57" s="94" t="s">
        <v>1941</v>
      </c>
      <c r="E57" s="94">
        <v>5</v>
      </c>
      <c r="F57" s="94">
        <v>1</v>
      </c>
      <c r="G57" s="94" t="s">
        <v>1630</v>
      </c>
      <c r="I57" s="94" t="s">
        <v>1960</v>
      </c>
      <c r="J57" s="111"/>
      <c r="K57" s="110"/>
      <c r="O57" s="112"/>
    </row>
    <row r="58" spans="2:15" s="94" customFormat="1" x14ac:dyDescent="0.2">
      <c r="B58" s="112" t="s">
        <v>1961</v>
      </c>
      <c r="D58" s="112" t="s">
        <v>1962</v>
      </c>
      <c r="E58" s="94">
        <v>1</v>
      </c>
      <c r="F58" s="94">
        <v>1</v>
      </c>
      <c r="G58" s="112" t="s">
        <v>1630</v>
      </c>
      <c r="I58" s="57" t="s">
        <v>1963</v>
      </c>
      <c r="J58" s="111"/>
      <c r="K58" s="110"/>
      <c r="O58" s="112"/>
    </row>
    <row r="59" spans="2:15" x14ac:dyDescent="0.2">
      <c r="B59" s="59"/>
      <c r="C59" s="60"/>
      <c r="D59" s="61"/>
      <c r="E59" s="61"/>
      <c r="F59" s="59"/>
      <c r="G59" s="59"/>
      <c r="H59" s="59"/>
      <c r="I59" s="62"/>
      <c r="J59" s="57"/>
      <c r="K59" s="57"/>
    </row>
    <row r="60" spans="2:15" x14ac:dyDescent="0.2">
      <c r="B60" s="57" t="s">
        <v>885</v>
      </c>
      <c r="D60" s="60" t="s">
        <v>920</v>
      </c>
      <c r="E60" s="61">
        <v>5</v>
      </c>
      <c r="F60" s="59">
        <v>1</v>
      </c>
      <c r="G60" s="59" t="s">
        <v>1630</v>
      </c>
      <c r="H60" s="59"/>
      <c r="I60" s="57" t="s">
        <v>892</v>
      </c>
      <c r="J60" s="60" t="s">
        <v>1964</v>
      </c>
      <c r="K60" s="110"/>
    </row>
    <row r="61" spans="2:15" x14ac:dyDescent="0.2">
      <c r="B61" s="57" t="s">
        <v>886</v>
      </c>
      <c r="D61" s="60" t="s">
        <v>920</v>
      </c>
      <c r="E61" s="61">
        <v>5</v>
      </c>
      <c r="F61" s="59">
        <v>1</v>
      </c>
      <c r="G61" s="59" t="s">
        <v>1630</v>
      </c>
      <c r="H61" s="59"/>
      <c r="I61" s="57" t="s">
        <v>893</v>
      </c>
      <c r="J61" s="111"/>
      <c r="K61" s="110"/>
    </row>
    <row r="62" spans="2:15" x14ac:dyDescent="0.2">
      <c r="B62" s="57" t="s">
        <v>887</v>
      </c>
      <c r="D62" s="60" t="s">
        <v>920</v>
      </c>
      <c r="E62" s="61">
        <v>5</v>
      </c>
      <c r="F62" s="59">
        <v>1</v>
      </c>
      <c r="G62" s="59" t="s">
        <v>1630</v>
      </c>
      <c r="H62" s="59"/>
      <c r="I62" s="57" t="s">
        <v>894</v>
      </c>
      <c r="J62" s="110"/>
      <c r="K62" s="110"/>
    </row>
    <row r="63" spans="2:15" x14ac:dyDescent="0.2">
      <c r="B63" s="57" t="s">
        <v>888</v>
      </c>
      <c r="D63" s="60" t="s">
        <v>920</v>
      </c>
      <c r="E63" s="61">
        <v>5</v>
      </c>
      <c r="F63" s="59">
        <v>1</v>
      </c>
      <c r="G63" s="59" t="s">
        <v>1630</v>
      </c>
      <c r="H63" s="59"/>
      <c r="I63" s="57" t="s">
        <v>895</v>
      </c>
      <c r="J63" s="111"/>
      <c r="K63" s="111"/>
    </row>
    <row r="64" spans="2:15" x14ac:dyDescent="0.2">
      <c r="B64" s="57" t="s">
        <v>889</v>
      </c>
      <c r="D64" s="60" t="s">
        <v>920</v>
      </c>
      <c r="E64" s="61">
        <v>5</v>
      </c>
      <c r="F64" s="59">
        <v>1</v>
      </c>
      <c r="G64" s="59" t="s">
        <v>1630</v>
      </c>
      <c r="I64" s="57" t="s">
        <v>896</v>
      </c>
      <c r="J64" s="111"/>
      <c r="K64" s="111"/>
    </row>
    <row r="65" spans="2:11" x14ac:dyDescent="0.2">
      <c r="B65" s="57" t="s">
        <v>890</v>
      </c>
      <c r="D65" s="60" t="s">
        <v>920</v>
      </c>
      <c r="E65" s="61">
        <v>5</v>
      </c>
      <c r="F65" s="59">
        <v>1</v>
      </c>
      <c r="G65" s="59" t="s">
        <v>1630</v>
      </c>
      <c r="H65" s="59"/>
      <c r="I65" s="57" t="s">
        <v>897</v>
      </c>
      <c r="J65" s="111"/>
      <c r="K65" s="111"/>
    </row>
    <row r="66" spans="2:11" x14ac:dyDescent="0.2">
      <c r="B66" s="57" t="s">
        <v>891</v>
      </c>
      <c r="D66" s="60" t="s">
        <v>920</v>
      </c>
      <c r="E66" s="61">
        <v>5</v>
      </c>
      <c r="F66" s="59">
        <v>1</v>
      </c>
      <c r="G66" s="59" t="s">
        <v>1630</v>
      </c>
      <c r="H66" s="59"/>
      <c r="I66" s="57" t="s">
        <v>898</v>
      </c>
      <c r="J66" s="111"/>
      <c r="K66" s="111"/>
    </row>
    <row r="67" spans="2:11" s="94" customFormat="1" x14ac:dyDescent="0.2">
      <c r="B67" s="57" t="s">
        <v>912</v>
      </c>
      <c r="D67" s="60" t="s">
        <v>921</v>
      </c>
      <c r="E67" s="94">
        <v>5</v>
      </c>
      <c r="F67" s="94">
        <v>1</v>
      </c>
      <c r="G67" s="94" t="s">
        <v>1630</v>
      </c>
      <c r="I67" s="57" t="s">
        <v>922</v>
      </c>
      <c r="J67" s="60" t="s">
        <v>1965</v>
      </c>
      <c r="K67" s="57"/>
    </row>
    <row r="68" spans="2:11" s="94" customFormat="1" x14ac:dyDescent="0.2">
      <c r="B68" s="57" t="s">
        <v>913</v>
      </c>
      <c r="D68" s="60" t="s">
        <v>921</v>
      </c>
      <c r="E68" s="94">
        <v>5</v>
      </c>
      <c r="F68" s="94">
        <v>1</v>
      </c>
      <c r="G68" s="94" t="s">
        <v>1630</v>
      </c>
      <c r="I68" s="57" t="s">
        <v>923</v>
      </c>
      <c r="J68" s="57"/>
      <c r="K68" s="57"/>
    </row>
    <row r="69" spans="2:11" s="94" customFormat="1" x14ac:dyDescent="0.2">
      <c r="B69" s="57" t="s">
        <v>914</v>
      </c>
      <c r="D69" s="60" t="s">
        <v>921</v>
      </c>
      <c r="E69" s="94">
        <v>5</v>
      </c>
      <c r="F69" s="94">
        <v>1</v>
      </c>
      <c r="G69" s="94" t="s">
        <v>1630</v>
      </c>
      <c r="I69" s="57" t="s">
        <v>924</v>
      </c>
      <c r="J69" s="57"/>
      <c r="K69" s="57"/>
    </row>
    <row r="70" spans="2:11" s="94" customFormat="1" x14ac:dyDescent="0.2">
      <c r="B70" s="57" t="s">
        <v>915</v>
      </c>
      <c r="D70" s="60" t="s">
        <v>921</v>
      </c>
      <c r="E70" s="94">
        <v>5</v>
      </c>
      <c r="F70" s="94">
        <v>1</v>
      </c>
      <c r="G70" s="94" t="s">
        <v>1630</v>
      </c>
      <c r="I70" s="57" t="s">
        <v>925</v>
      </c>
      <c r="J70" s="57"/>
      <c r="K70" s="57"/>
    </row>
    <row r="71" spans="2:11" s="94" customFormat="1" x14ac:dyDescent="0.2">
      <c r="B71" s="57" t="s">
        <v>916</v>
      </c>
      <c r="D71" s="60" t="s">
        <v>921</v>
      </c>
      <c r="E71" s="94">
        <v>5</v>
      </c>
      <c r="F71" s="94">
        <v>1</v>
      </c>
      <c r="G71" s="94" t="s">
        <v>1630</v>
      </c>
      <c r="I71" s="57" t="s">
        <v>926</v>
      </c>
      <c r="J71" s="57"/>
      <c r="K71" s="57"/>
    </row>
    <row r="72" spans="2:11" s="94" customFormat="1" x14ac:dyDescent="0.2">
      <c r="B72" s="57" t="s">
        <v>917</v>
      </c>
      <c r="D72" s="60" t="s">
        <v>921</v>
      </c>
      <c r="E72" s="94">
        <v>5</v>
      </c>
      <c r="F72" s="94">
        <v>1</v>
      </c>
      <c r="G72" s="94" t="s">
        <v>1630</v>
      </c>
      <c r="I72" s="57" t="s">
        <v>927</v>
      </c>
      <c r="J72" s="57"/>
      <c r="K72" s="57"/>
    </row>
    <row r="73" spans="2:11" s="94" customFormat="1" x14ac:dyDescent="0.2">
      <c r="B73" s="57" t="s">
        <v>918</v>
      </c>
      <c r="D73" s="60" t="s">
        <v>921</v>
      </c>
      <c r="E73" s="94">
        <v>5</v>
      </c>
      <c r="F73" s="94">
        <v>1</v>
      </c>
      <c r="G73" s="94" t="s">
        <v>1630</v>
      </c>
      <c r="I73" s="57" t="s">
        <v>928</v>
      </c>
      <c r="J73" s="57"/>
      <c r="K73" s="57"/>
    </row>
    <row r="74" spans="2:11" s="94" customFormat="1" x14ac:dyDescent="0.2">
      <c r="B74" s="57" t="s">
        <v>919</v>
      </c>
      <c r="D74" s="60" t="s">
        <v>921</v>
      </c>
      <c r="E74" s="94">
        <v>5</v>
      </c>
      <c r="F74" s="94">
        <v>1</v>
      </c>
      <c r="G74" s="94" t="s">
        <v>1630</v>
      </c>
      <c r="I74" s="57" t="s">
        <v>929</v>
      </c>
      <c r="J74" s="57"/>
      <c r="K74" s="57"/>
    </row>
    <row r="75" spans="2:11" s="94" customFormat="1" x14ac:dyDescent="0.2">
      <c r="B75" s="57" t="s">
        <v>930</v>
      </c>
      <c r="D75" s="60" t="s">
        <v>1934</v>
      </c>
      <c r="E75" s="94">
        <v>5</v>
      </c>
      <c r="F75" s="94">
        <v>1</v>
      </c>
      <c r="G75" s="94" t="s">
        <v>1630</v>
      </c>
      <c r="I75" s="57" t="s">
        <v>1935</v>
      </c>
      <c r="J75" s="60" t="s">
        <v>1966</v>
      </c>
      <c r="K75" s="57"/>
    </row>
    <row r="76" spans="2:11" s="94" customFormat="1" x14ac:dyDescent="0.2">
      <c r="B76" s="57" t="s">
        <v>931</v>
      </c>
      <c r="D76" s="60" t="s">
        <v>1934</v>
      </c>
      <c r="E76" s="94">
        <v>5</v>
      </c>
      <c r="F76" s="94">
        <v>1</v>
      </c>
      <c r="G76" s="94" t="s">
        <v>1630</v>
      </c>
      <c r="I76" s="57" t="s">
        <v>1936</v>
      </c>
      <c r="K76" s="57"/>
    </row>
    <row r="77" spans="2:11" s="94" customFormat="1" x14ac:dyDescent="0.2">
      <c r="B77" s="57" t="s">
        <v>932</v>
      </c>
      <c r="D77" s="60" t="s">
        <v>1934</v>
      </c>
      <c r="E77" s="94">
        <v>5</v>
      </c>
      <c r="F77" s="94">
        <v>1</v>
      </c>
      <c r="G77" s="94" t="s">
        <v>1630</v>
      </c>
      <c r="I77" s="57" t="s">
        <v>1937</v>
      </c>
      <c r="K77" s="57"/>
    </row>
    <row r="78" spans="2:11" s="94" customFormat="1" x14ac:dyDescent="0.2">
      <c r="B78" s="57" t="s">
        <v>933</v>
      </c>
      <c r="D78" s="60" t="s">
        <v>1934</v>
      </c>
      <c r="E78" s="94">
        <v>5</v>
      </c>
      <c r="F78" s="94">
        <v>1</v>
      </c>
      <c r="G78" s="94" t="s">
        <v>1630</v>
      </c>
      <c r="I78" s="57" t="s">
        <v>1938</v>
      </c>
      <c r="K78" s="57"/>
    </row>
    <row r="79" spans="2:11" s="94" customFormat="1" x14ac:dyDescent="0.2">
      <c r="B79" s="57" t="s">
        <v>934</v>
      </c>
      <c r="D79" s="60" t="s">
        <v>1934</v>
      </c>
      <c r="E79" s="94">
        <v>5</v>
      </c>
      <c r="F79" s="94">
        <v>1</v>
      </c>
      <c r="G79" s="94" t="s">
        <v>1630</v>
      </c>
      <c r="I79" s="57" t="s">
        <v>1939</v>
      </c>
      <c r="K79" s="57"/>
    </row>
    <row r="80" spans="2:11" s="94" customFormat="1" x14ac:dyDescent="0.2">
      <c r="B80" s="57" t="s">
        <v>935</v>
      </c>
      <c r="D80" s="60" t="s">
        <v>1934</v>
      </c>
      <c r="E80" s="94">
        <v>5</v>
      </c>
      <c r="F80" s="94">
        <v>1</v>
      </c>
      <c r="G80" s="94" t="s">
        <v>1630</v>
      </c>
      <c r="I80" s="57" t="s">
        <v>1940</v>
      </c>
      <c r="K80" s="57"/>
    </row>
    <row r="81" spans="2:11" s="94" customFormat="1" x14ac:dyDescent="0.2">
      <c r="B81" s="94" t="s">
        <v>1304</v>
      </c>
      <c r="D81" s="60" t="s">
        <v>1305</v>
      </c>
      <c r="E81" s="94">
        <v>3</v>
      </c>
      <c r="F81" s="94">
        <v>1</v>
      </c>
      <c r="G81" s="94" t="s">
        <v>1630</v>
      </c>
      <c r="I81" s="57" t="s">
        <v>1306</v>
      </c>
      <c r="J81" s="60" t="s">
        <v>1967</v>
      </c>
      <c r="K81" s="57"/>
    </row>
    <row r="82" spans="2:11" s="94" customFormat="1" x14ac:dyDescent="0.2">
      <c r="B82" s="94" t="s">
        <v>1307</v>
      </c>
      <c r="D82" s="60" t="s">
        <v>1305</v>
      </c>
      <c r="E82" s="94">
        <v>5</v>
      </c>
      <c r="F82" s="94">
        <v>1</v>
      </c>
      <c r="G82" s="94" t="s">
        <v>1630</v>
      </c>
      <c r="I82" s="57" t="s">
        <v>1308</v>
      </c>
      <c r="J82" s="57"/>
      <c r="K82" s="57"/>
    </row>
    <row r="83" spans="2:11" s="94" customFormat="1" x14ac:dyDescent="0.2">
      <c r="B83" s="94" t="s">
        <v>1309</v>
      </c>
      <c r="D83" s="60" t="s">
        <v>1305</v>
      </c>
      <c r="E83" s="94">
        <v>8</v>
      </c>
      <c r="F83" s="94">
        <v>1</v>
      </c>
      <c r="G83" s="94" t="s">
        <v>1630</v>
      </c>
      <c r="I83" s="57" t="s">
        <v>1310</v>
      </c>
      <c r="J83" s="57"/>
      <c r="K83" s="57"/>
    </row>
  </sheetData>
  <sortState xmlns:xlrd2="http://schemas.microsoft.com/office/spreadsheetml/2017/richdata2" ref="B60:B78">
    <sortCondition ref="B60:B78"/>
  </sortState>
  <phoneticPr fontId="4" type="noConversion"/>
  <conditionalFormatting sqref="B75:B76">
    <cfRule type="duplicateValues" dxfId="18" priority="15"/>
  </conditionalFormatting>
  <conditionalFormatting sqref="B77">
    <cfRule type="duplicateValues" dxfId="17" priority="14"/>
  </conditionalFormatting>
  <conditionalFormatting sqref="B78">
    <cfRule type="duplicateValues" dxfId="16" priority="13"/>
  </conditionalFormatting>
  <conditionalFormatting sqref="B79">
    <cfRule type="duplicateValues" dxfId="15" priority="12"/>
  </conditionalFormatting>
  <conditionalFormatting sqref="B80">
    <cfRule type="duplicateValues" dxfId="14" priority="11"/>
  </conditionalFormatting>
  <conditionalFormatting sqref="I75:I76">
    <cfRule type="duplicateValues" dxfId="13" priority="10"/>
  </conditionalFormatting>
  <conditionalFormatting sqref="I77">
    <cfRule type="duplicateValues" dxfId="12" priority="9"/>
  </conditionalFormatting>
  <conditionalFormatting sqref="I78">
    <cfRule type="duplicateValues" dxfId="11" priority="8"/>
  </conditionalFormatting>
  <conditionalFormatting sqref="I79">
    <cfRule type="duplicateValues" dxfId="10" priority="7"/>
  </conditionalFormatting>
  <conditionalFormatting sqref="I80">
    <cfRule type="duplicateValues" dxfId="9" priority="6"/>
  </conditionalFormatting>
  <conditionalFormatting sqref="I81:I83">
    <cfRule type="duplicateValues" dxfId="8" priority="5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21B9E-6CAD-4BB5-A082-DC357E5A6BFE}">
  <dimension ref="A1:T30"/>
  <sheetViews>
    <sheetView workbookViewId="0">
      <selection activeCell="F25" sqref="F25"/>
    </sheetView>
  </sheetViews>
  <sheetFormatPr defaultColWidth="9" defaultRowHeight="14.25" x14ac:dyDescent="0.2"/>
  <cols>
    <col min="1" max="1" width="8.75" style="57" customWidth="1"/>
    <col min="2" max="2" width="34" style="57" customWidth="1"/>
    <col min="3" max="3" width="6.125" style="57" customWidth="1"/>
    <col min="4" max="4" width="36.75" style="57" customWidth="1"/>
    <col min="5" max="5" width="25.125" style="57" customWidth="1"/>
    <col min="6" max="6" width="33" style="57" customWidth="1"/>
    <col min="7" max="8" width="13" style="57" customWidth="1"/>
    <col min="9" max="10" width="13.375" style="57" customWidth="1"/>
    <col min="11" max="11" width="13.875" style="57" customWidth="1"/>
    <col min="12" max="13" width="15.375" style="57" customWidth="1"/>
    <col min="14" max="16384" width="9" style="57"/>
  </cols>
  <sheetData>
    <row r="1" spans="1:20" s="99" customFormat="1" x14ac:dyDescent="0.2">
      <c r="A1" s="63" t="s">
        <v>67</v>
      </c>
      <c r="B1" s="63" t="s">
        <v>68</v>
      </c>
      <c r="C1" s="63" t="s">
        <v>69</v>
      </c>
      <c r="D1" s="63" t="s">
        <v>70</v>
      </c>
      <c r="E1" s="170" t="s">
        <v>220</v>
      </c>
      <c r="F1" s="170"/>
      <c r="G1" s="170"/>
      <c r="H1" s="170"/>
      <c r="I1" s="170"/>
      <c r="J1" s="170"/>
      <c r="K1" s="63"/>
      <c r="L1" s="63"/>
      <c r="M1" s="63"/>
      <c r="N1" s="57"/>
      <c r="O1" s="57"/>
      <c r="P1" s="57"/>
      <c r="Q1" s="57"/>
      <c r="R1" s="57"/>
      <c r="S1" s="57"/>
      <c r="T1" s="57"/>
    </row>
    <row r="2" spans="1:20" s="99" customFormat="1" x14ac:dyDescent="0.2">
      <c r="A2" s="63" t="s">
        <v>67</v>
      </c>
      <c r="B2" s="63"/>
      <c r="C2" s="63"/>
      <c r="D2" s="63"/>
      <c r="E2" s="63" t="s">
        <v>225</v>
      </c>
      <c r="F2" s="63" t="s">
        <v>226</v>
      </c>
      <c r="G2" s="63" t="s">
        <v>227</v>
      </c>
      <c r="H2" s="63" t="s">
        <v>228</v>
      </c>
      <c r="I2" s="63" t="s">
        <v>229</v>
      </c>
      <c r="J2" s="63" t="s">
        <v>230</v>
      </c>
      <c r="K2" s="63"/>
      <c r="L2" s="63"/>
      <c r="M2" s="63"/>
      <c r="N2" s="57"/>
      <c r="O2" s="57"/>
      <c r="P2" s="57"/>
      <c r="Q2" s="57"/>
      <c r="R2" s="57"/>
      <c r="S2" s="57"/>
      <c r="T2" s="57"/>
    </row>
    <row r="3" spans="1:20" s="101" customFormat="1" x14ac:dyDescent="0.2">
      <c r="A3" s="64" t="s">
        <v>71</v>
      </c>
      <c r="B3" s="64" t="s">
        <v>72</v>
      </c>
      <c r="C3" s="64" t="s">
        <v>72</v>
      </c>
      <c r="D3" s="64" t="s">
        <v>72</v>
      </c>
      <c r="E3" s="171" t="s">
        <v>231</v>
      </c>
      <c r="F3" s="171"/>
      <c r="G3" s="171"/>
      <c r="H3" s="171"/>
      <c r="I3" s="171"/>
      <c r="J3" s="171"/>
      <c r="K3" s="64"/>
      <c r="L3" s="64"/>
      <c r="M3" s="64"/>
      <c r="N3" s="57"/>
      <c r="O3" s="57"/>
      <c r="P3" s="57"/>
      <c r="Q3" s="57"/>
      <c r="R3" s="57"/>
      <c r="S3" s="57"/>
      <c r="T3" s="57"/>
    </row>
    <row r="4" spans="1:20" s="101" customFormat="1" x14ac:dyDescent="0.2">
      <c r="A4" s="64" t="s">
        <v>75</v>
      </c>
      <c r="B4" s="64"/>
      <c r="C4" s="64"/>
      <c r="D4" s="64" t="s">
        <v>76</v>
      </c>
      <c r="E4" s="64"/>
      <c r="F4" s="64"/>
      <c r="G4" s="64"/>
      <c r="H4" s="64"/>
      <c r="I4" s="64"/>
      <c r="J4" s="64"/>
      <c r="K4" s="64"/>
      <c r="L4" s="64"/>
      <c r="M4" s="64"/>
      <c r="N4" s="57"/>
      <c r="O4" s="57"/>
      <c r="P4" s="57"/>
      <c r="Q4" s="57"/>
      <c r="R4" s="57"/>
      <c r="S4" s="57"/>
      <c r="T4" s="57"/>
    </row>
    <row r="5" spans="1:20" s="99" customFormat="1" x14ac:dyDescent="0.2">
      <c r="A5" s="63" t="s">
        <v>77</v>
      </c>
      <c r="B5" s="63" t="s">
        <v>78</v>
      </c>
      <c r="C5" s="63" t="s">
        <v>79</v>
      </c>
      <c r="D5" s="63" t="s">
        <v>80</v>
      </c>
      <c r="E5" s="63" t="s">
        <v>232</v>
      </c>
      <c r="F5" s="63" t="s">
        <v>233</v>
      </c>
      <c r="G5" s="63" t="s">
        <v>234</v>
      </c>
      <c r="H5" s="63" t="s">
        <v>235</v>
      </c>
      <c r="I5" s="63" t="s">
        <v>236</v>
      </c>
      <c r="J5" s="63" t="s">
        <v>237</v>
      </c>
      <c r="K5" s="63" t="s">
        <v>453</v>
      </c>
      <c r="L5" s="63" t="s">
        <v>453</v>
      </c>
      <c r="M5" s="63" t="s">
        <v>453</v>
      </c>
      <c r="N5" s="57"/>
      <c r="O5" s="57"/>
      <c r="P5" s="57"/>
      <c r="Q5" s="57"/>
      <c r="R5" s="57"/>
      <c r="S5" s="57"/>
      <c r="T5" s="57"/>
    </row>
    <row r="6" spans="1:20" x14ac:dyDescent="0.2">
      <c r="B6" s="57" t="s">
        <v>221</v>
      </c>
      <c r="D6" s="94" t="s">
        <v>238</v>
      </c>
      <c r="E6" s="68" t="s">
        <v>239</v>
      </c>
      <c r="F6" s="57">
        <v>1</v>
      </c>
      <c r="G6" s="57">
        <v>0</v>
      </c>
      <c r="H6" s="57">
        <v>0</v>
      </c>
      <c r="I6" s="57">
        <v>0</v>
      </c>
      <c r="J6" s="57">
        <v>0</v>
      </c>
      <c r="K6" s="110" t="s">
        <v>254</v>
      </c>
      <c r="L6" s="110"/>
      <c r="M6" s="110"/>
    </row>
    <row r="7" spans="1:20" x14ac:dyDescent="0.2">
      <c r="B7" s="57" t="s">
        <v>246</v>
      </c>
      <c r="D7" s="112" t="s">
        <v>240</v>
      </c>
      <c r="E7" s="68" t="s">
        <v>239</v>
      </c>
      <c r="F7" s="57">
        <v>1</v>
      </c>
      <c r="G7" s="102">
        <f>VLOOKUP(K7,防御塔!$A$2:$N$10,11+ActionCfg_DamageUnit!L7,FALSE)*100</f>
        <v>47</v>
      </c>
      <c r="H7" s="102">
        <f>(VLOOKUP(K7,防御塔!$A$2:$N$10,3,FALSE)-VLOOKUP(K7,防御塔!$A$2:$N$10,4,FALSE))/VLOOKUP(K7,防御塔!$A$2:$N$10,4,FALSE)*100</f>
        <v>700</v>
      </c>
      <c r="I7" s="57">
        <v>0</v>
      </c>
      <c r="J7" s="57">
        <v>0</v>
      </c>
      <c r="K7" s="110" t="s">
        <v>252</v>
      </c>
      <c r="L7" s="110">
        <v>1</v>
      </c>
      <c r="M7" s="110"/>
    </row>
    <row r="8" spans="1:20" x14ac:dyDescent="0.2">
      <c r="B8" s="57" t="s">
        <v>247</v>
      </c>
      <c r="D8" s="112" t="s">
        <v>241</v>
      </c>
      <c r="E8" s="68" t="s">
        <v>239</v>
      </c>
      <c r="F8" s="57">
        <v>1</v>
      </c>
      <c r="G8" s="102">
        <f>VLOOKUP(K8,防御塔!$A$2:$N$10,11+ActionCfg_DamageUnit!L8,FALSE)*100</f>
        <v>47</v>
      </c>
      <c r="H8" s="102">
        <f>(VLOOKUP(K8,防御塔!$A$2:$N$10,3,FALSE)-VLOOKUP(K8,防御塔!$A$2:$N$10,4,FALSE))/VLOOKUP(K8,防御塔!$A$2:$N$10,4,FALSE)*100</f>
        <v>700</v>
      </c>
      <c r="I8" s="57">
        <v>0</v>
      </c>
      <c r="J8" s="57">
        <v>0</v>
      </c>
      <c r="K8" s="110" t="s">
        <v>252</v>
      </c>
      <c r="L8" s="110">
        <v>2</v>
      </c>
      <c r="M8" s="110"/>
    </row>
    <row r="9" spans="1:20" x14ac:dyDescent="0.2">
      <c r="B9" s="57" t="s">
        <v>248</v>
      </c>
      <c r="D9" s="112" t="s">
        <v>242</v>
      </c>
      <c r="E9" s="68" t="s">
        <v>239</v>
      </c>
      <c r="F9" s="57">
        <v>1</v>
      </c>
      <c r="G9" s="102">
        <f>VLOOKUP(K9,防御塔!$A$2:$N$10,11+ActionCfg_DamageUnit!L9,FALSE)*100</f>
        <v>0</v>
      </c>
      <c r="H9" s="102">
        <f>(VLOOKUP(K9,防御塔!$A$2:$N$10,3,FALSE)-VLOOKUP(K9,防御塔!$A$2:$N$10,4,FALSE))/VLOOKUP(K9,防御塔!$A$2:$N$10,4,FALSE)*100</f>
        <v>700</v>
      </c>
      <c r="I9" s="57">
        <v>0</v>
      </c>
      <c r="J9" s="57">
        <v>0</v>
      </c>
      <c r="K9" s="110" t="s">
        <v>252</v>
      </c>
      <c r="L9" s="110">
        <v>3</v>
      </c>
      <c r="M9" s="110"/>
    </row>
    <row r="10" spans="1:20" x14ac:dyDescent="0.2">
      <c r="B10" s="57" t="s">
        <v>249</v>
      </c>
      <c r="D10" s="112" t="s">
        <v>243</v>
      </c>
      <c r="E10" s="68" t="s">
        <v>239</v>
      </c>
      <c r="F10" s="57">
        <v>1</v>
      </c>
      <c r="G10" s="57">
        <v>0</v>
      </c>
      <c r="H10" s="57">
        <v>0</v>
      </c>
      <c r="I10" s="102">
        <f>0-VLOOKUP(K10,防御塔!$A$2:$N$10,11+ActionCfg_DamageUnit!L10,FALSE)*100</f>
        <v>-140</v>
      </c>
      <c r="J10" s="102">
        <f>(VLOOKUP(K10,防御塔!$A$2:$N$10,3,FALSE)-VLOOKUP(K10,防御塔!$A$2:$N$10,4,FALSE))/VLOOKUP(K10,防御塔!$A$2:$N$10,4,FALSE)*100</f>
        <v>700</v>
      </c>
      <c r="K10" s="110" t="s">
        <v>253</v>
      </c>
      <c r="L10" s="110">
        <v>1</v>
      </c>
      <c r="M10" s="110"/>
    </row>
    <row r="11" spans="1:20" x14ac:dyDescent="0.2">
      <c r="B11" s="57" t="s">
        <v>250</v>
      </c>
      <c r="D11" s="112" t="s">
        <v>244</v>
      </c>
      <c r="E11" s="68" t="s">
        <v>239</v>
      </c>
      <c r="F11" s="57">
        <v>1</v>
      </c>
      <c r="G11" s="57">
        <v>0</v>
      </c>
      <c r="H11" s="57">
        <v>0</v>
      </c>
      <c r="I11" s="102">
        <f>0-VLOOKUP(K11,防御塔!$A$2:$N$10,11+ActionCfg_DamageUnit!L11,FALSE)*100</f>
        <v>-140</v>
      </c>
      <c r="J11" s="102">
        <f>(VLOOKUP(K11,防御塔!$A$2:$N$10,3,FALSE)-VLOOKUP(K11,防御塔!$A$2:$N$10,4,FALSE))/VLOOKUP(K11,防御塔!$A$2:$N$10,4,FALSE)*100</f>
        <v>700</v>
      </c>
      <c r="K11" s="110" t="s">
        <v>253</v>
      </c>
      <c r="L11" s="110">
        <v>2</v>
      </c>
      <c r="M11" s="110"/>
    </row>
    <row r="12" spans="1:20" x14ac:dyDescent="0.2">
      <c r="B12" s="57" t="s">
        <v>251</v>
      </c>
      <c r="D12" s="112" t="s">
        <v>245</v>
      </c>
      <c r="E12" s="68" t="s">
        <v>239</v>
      </c>
      <c r="F12" s="57">
        <v>1</v>
      </c>
      <c r="G12" s="57">
        <v>0</v>
      </c>
      <c r="H12" s="57">
        <v>0</v>
      </c>
      <c r="I12" s="102">
        <f>0-VLOOKUP(K12,防御塔!$A$2:$N$10,11+ActionCfg_DamageUnit!L12,FALSE)*100</f>
        <v>-140</v>
      </c>
      <c r="J12" s="102">
        <f>(VLOOKUP(K12,防御塔!$A$2:$N$10,3,FALSE)-VLOOKUP(K12,防御塔!$A$2:$N$10,4,FALSE))/VLOOKUP(K12,防御塔!$A$2:$N$10,4,FALSE)*100</f>
        <v>700</v>
      </c>
      <c r="K12" s="110" t="s">
        <v>253</v>
      </c>
      <c r="L12" s="110">
        <v>3</v>
      </c>
      <c r="M12" s="110"/>
    </row>
    <row r="13" spans="1:20" x14ac:dyDescent="0.2">
      <c r="B13" s="57" t="s">
        <v>1328</v>
      </c>
      <c r="D13" s="94" t="s">
        <v>1329</v>
      </c>
      <c r="E13" s="68" t="s">
        <v>239</v>
      </c>
      <c r="F13" s="102">
        <f>VLOOKUP(K13,防御塔!$A$2:$O$10,15,FALSE)</f>
        <v>1</v>
      </c>
      <c r="G13" s="57">
        <v>0</v>
      </c>
      <c r="H13" s="57">
        <v>0</v>
      </c>
      <c r="I13" s="57">
        <v>0</v>
      </c>
      <c r="J13" s="57">
        <v>0</v>
      </c>
      <c r="K13" s="110" t="s">
        <v>642</v>
      </c>
      <c r="L13" s="110">
        <v>3</v>
      </c>
      <c r="M13" s="110"/>
    </row>
    <row r="14" spans="1:20" x14ac:dyDescent="0.2">
      <c r="K14" s="110"/>
      <c r="L14" s="110"/>
      <c r="M14" s="110"/>
    </row>
    <row r="15" spans="1:20" x14ac:dyDescent="0.2">
      <c r="B15" s="57" t="s">
        <v>625</v>
      </c>
      <c r="D15" s="68" t="s">
        <v>626</v>
      </c>
      <c r="E15" s="57" t="s">
        <v>624</v>
      </c>
      <c r="F15" s="102">
        <f>-ROUND(VLOOKUP(RIGHT(LEFT(B15,LEN(B15)-10),LEN(LEFT(B15,LEN(B15)-10))-20)+0,无限模式!$A$3:$B$22,2,FALSE)*3*0.075,0)</f>
        <v>-2430</v>
      </c>
      <c r="G15" s="57">
        <v>0</v>
      </c>
      <c r="H15" s="57">
        <v>0</v>
      </c>
      <c r="I15" s="57">
        <v>0</v>
      </c>
      <c r="J15" s="57">
        <v>0</v>
      </c>
      <c r="K15" s="110"/>
      <c r="L15" s="110"/>
      <c r="M15" s="110"/>
    </row>
    <row r="16" spans="1:20" x14ac:dyDescent="0.2">
      <c r="B16" s="57" t="s">
        <v>627</v>
      </c>
      <c r="D16" s="68" t="s">
        <v>626</v>
      </c>
      <c r="E16" s="57" t="s">
        <v>624</v>
      </c>
      <c r="F16" s="102">
        <f>-ROUND(VLOOKUP(RIGHT(LEFT(B16,LEN(B16)-10),LEN(LEFT(B16,LEN(B16)-10))-20)+0,无限模式!$A$3:$B$22,2,FALSE)*3*0.075,0)</f>
        <v>-2633</v>
      </c>
      <c r="G16" s="57">
        <v>0</v>
      </c>
      <c r="H16" s="57">
        <v>0</v>
      </c>
      <c r="I16" s="57">
        <v>0</v>
      </c>
      <c r="J16" s="57">
        <v>0</v>
      </c>
      <c r="K16" s="110"/>
      <c r="L16" s="110"/>
      <c r="M16" s="110"/>
    </row>
    <row r="17" spans="2:13" x14ac:dyDescent="0.2">
      <c r="B17" s="57" t="s">
        <v>628</v>
      </c>
      <c r="D17" s="68" t="s">
        <v>626</v>
      </c>
      <c r="E17" s="57" t="s">
        <v>624</v>
      </c>
      <c r="F17" s="102">
        <f>-ROUND(VLOOKUP(RIGHT(LEFT(B17,LEN(B17)-10),LEN(LEFT(B17,LEN(B17)-10))-20)+0,无限模式!$A$3:$B$22,2,FALSE)*3*0.075,0)</f>
        <v>-2835</v>
      </c>
      <c r="G17" s="57">
        <v>0</v>
      </c>
      <c r="H17" s="57">
        <v>0</v>
      </c>
      <c r="I17" s="57">
        <v>0</v>
      </c>
      <c r="J17" s="57">
        <v>0</v>
      </c>
      <c r="K17" s="110"/>
      <c r="L17" s="110"/>
      <c r="M17" s="110"/>
    </row>
    <row r="18" spans="2:13" x14ac:dyDescent="0.2">
      <c r="B18" s="57" t="s">
        <v>629</v>
      </c>
      <c r="D18" s="68" t="s">
        <v>626</v>
      </c>
      <c r="E18" s="57" t="s">
        <v>624</v>
      </c>
      <c r="F18" s="102">
        <f>-ROUND(VLOOKUP(RIGHT(LEFT(B18,LEN(B18)-10),LEN(LEFT(B18,LEN(B18)-10))-20)+0,无限模式!$A$3:$B$22,2,FALSE)*3*0.075,0)</f>
        <v>-3240</v>
      </c>
      <c r="G18" s="57">
        <v>0</v>
      </c>
      <c r="H18" s="57">
        <v>0</v>
      </c>
      <c r="I18" s="57">
        <v>0</v>
      </c>
      <c r="J18" s="57">
        <v>0</v>
      </c>
      <c r="K18" s="110"/>
      <c r="L18" s="110"/>
      <c r="M18" s="110"/>
    </row>
    <row r="19" spans="2:13" x14ac:dyDescent="0.2">
      <c r="B19" s="57" t="s">
        <v>630</v>
      </c>
      <c r="D19" s="68" t="s">
        <v>626</v>
      </c>
      <c r="E19" s="57" t="s">
        <v>624</v>
      </c>
      <c r="F19" s="102">
        <f>-ROUND(VLOOKUP(RIGHT(LEFT(B19,LEN(B19)-10),LEN(LEFT(B19,LEN(B19)-10))-20)+0,无限模式!$A$3:$B$22,2,FALSE)*3*0.075,0)</f>
        <v>-3240</v>
      </c>
      <c r="G19" s="57">
        <v>0</v>
      </c>
      <c r="H19" s="57">
        <v>0</v>
      </c>
      <c r="I19" s="57">
        <v>0</v>
      </c>
      <c r="J19" s="57">
        <v>0</v>
      </c>
      <c r="K19" s="110"/>
      <c r="L19" s="110"/>
      <c r="M19" s="110"/>
    </row>
    <row r="20" spans="2:13" x14ac:dyDescent="0.2">
      <c r="B20" s="57" t="s">
        <v>631</v>
      </c>
      <c r="D20" s="68" t="s">
        <v>626</v>
      </c>
      <c r="E20" s="57" t="s">
        <v>624</v>
      </c>
      <c r="F20" s="102">
        <f>-ROUND(VLOOKUP(RIGHT(LEFT(B20,LEN(B20)-10),LEN(LEFT(B20,LEN(B20)-10))-20)+0,无限模式!$A$3:$B$22,2,FALSE)*3*0.075,0)</f>
        <v>-4050</v>
      </c>
      <c r="G20" s="57">
        <v>0</v>
      </c>
      <c r="H20" s="57">
        <v>0</v>
      </c>
      <c r="I20" s="57">
        <v>0</v>
      </c>
      <c r="J20" s="57">
        <v>0</v>
      </c>
      <c r="K20" s="110"/>
      <c r="L20" s="110"/>
      <c r="M20" s="110"/>
    </row>
    <row r="21" spans="2:13" x14ac:dyDescent="0.2">
      <c r="B21" s="57" t="s">
        <v>632</v>
      </c>
      <c r="D21" s="68" t="s">
        <v>626</v>
      </c>
      <c r="E21" s="57" t="s">
        <v>624</v>
      </c>
      <c r="F21" s="102">
        <f>-ROUND(VLOOKUP(RIGHT(LEFT(B21,LEN(B21)-10),LEN(LEFT(B21,LEN(B21)-10))-20)+0,无限模式!$A$3:$B$22,2,FALSE)*3*0.075,0)</f>
        <v>-5063</v>
      </c>
      <c r="G21" s="57">
        <v>0</v>
      </c>
      <c r="H21" s="57">
        <v>0</v>
      </c>
      <c r="I21" s="57">
        <v>0</v>
      </c>
      <c r="J21" s="57">
        <v>0</v>
      </c>
      <c r="K21" s="110"/>
      <c r="L21" s="110"/>
      <c r="M21" s="110"/>
    </row>
    <row r="22" spans="2:13" x14ac:dyDescent="0.2">
      <c r="B22" s="57" t="s">
        <v>633</v>
      </c>
      <c r="D22" s="68" t="s">
        <v>626</v>
      </c>
      <c r="E22" s="57" t="s">
        <v>624</v>
      </c>
      <c r="F22" s="102">
        <f>-ROUND(VLOOKUP(RIGHT(LEFT(B22,LEN(B22)-10),LEN(LEFT(B22,LEN(B22)-10))-20)+0,无限模式!$A$3:$B$22,2,FALSE)*3*0.075,0)</f>
        <v>-5265</v>
      </c>
      <c r="G22" s="57">
        <v>0</v>
      </c>
      <c r="H22" s="57">
        <v>0</v>
      </c>
      <c r="I22" s="57">
        <v>0</v>
      </c>
      <c r="J22" s="57">
        <v>0</v>
      </c>
      <c r="K22" s="110"/>
      <c r="L22" s="110"/>
      <c r="M22" s="110"/>
    </row>
    <row r="23" spans="2:13" x14ac:dyDescent="0.2">
      <c r="K23" s="110"/>
      <c r="L23" s="110"/>
      <c r="M23" s="110"/>
    </row>
    <row r="24" spans="2:13" x14ac:dyDescent="0.2">
      <c r="B24" s="94" t="s">
        <v>899</v>
      </c>
      <c r="C24" s="94"/>
      <c r="D24" s="94" t="s">
        <v>900</v>
      </c>
      <c r="E24" s="94" t="s">
        <v>624</v>
      </c>
      <c r="F24" s="102">
        <f>-ROUND(VLOOKUP(K24&amp;"_"&amp;L24,挑战模式!$A$3:$Z$27,4,FALSE)*M24,0)</f>
        <v>-180</v>
      </c>
      <c r="G24" s="94">
        <v>0</v>
      </c>
      <c r="H24" s="94">
        <v>0</v>
      </c>
      <c r="I24" s="94">
        <v>0</v>
      </c>
      <c r="J24" s="94">
        <v>0</v>
      </c>
      <c r="K24" s="110">
        <v>3</v>
      </c>
      <c r="L24" s="110">
        <v>1</v>
      </c>
      <c r="M24" s="110">
        <v>0.2</v>
      </c>
    </row>
    <row r="25" spans="2:13" x14ac:dyDescent="0.2">
      <c r="B25" s="94" t="s">
        <v>901</v>
      </c>
      <c r="C25" s="94"/>
      <c r="D25" s="94" t="s">
        <v>900</v>
      </c>
      <c r="E25" s="94" t="s">
        <v>624</v>
      </c>
      <c r="F25" s="102">
        <f>-ROUND(VLOOKUP(K25&amp;"_"&amp;L25,挑战模式!$A$3:$Z$27,4,FALSE)*M25,0)</f>
        <v>-360</v>
      </c>
      <c r="G25" s="94">
        <v>0</v>
      </c>
      <c r="H25" s="94">
        <v>0</v>
      </c>
      <c r="I25" s="94">
        <v>0</v>
      </c>
      <c r="J25" s="94">
        <v>0</v>
      </c>
      <c r="K25" s="110">
        <v>3</v>
      </c>
      <c r="L25" s="110">
        <v>2</v>
      </c>
      <c r="M25" s="110">
        <v>0.2</v>
      </c>
    </row>
    <row r="26" spans="2:13" x14ac:dyDescent="0.2">
      <c r="B26" s="94" t="s">
        <v>902</v>
      </c>
      <c r="C26" s="94"/>
      <c r="D26" s="94" t="s">
        <v>900</v>
      </c>
      <c r="E26" s="94" t="s">
        <v>624</v>
      </c>
      <c r="F26" s="102">
        <f>-ROUND(VLOOKUP(K26&amp;"_"&amp;L26,挑战模式!$A$3:$Z$27,4,FALSE)*M26,0)</f>
        <v>-360</v>
      </c>
      <c r="G26" s="94">
        <v>0</v>
      </c>
      <c r="H26" s="94">
        <v>0</v>
      </c>
      <c r="I26" s="94">
        <v>0</v>
      </c>
      <c r="J26" s="94">
        <v>0</v>
      </c>
      <c r="K26" s="110">
        <v>3</v>
      </c>
      <c r="L26" s="110">
        <v>3</v>
      </c>
      <c r="M26" s="110">
        <v>0.1</v>
      </c>
    </row>
    <row r="27" spans="2:13" x14ac:dyDescent="0.2">
      <c r="B27" s="94" t="s">
        <v>903</v>
      </c>
      <c r="C27" s="94"/>
      <c r="D27" s="94" t="s">
        <v>900</v>
      </c>
      <c r="E27" s="94" t="s">
        <v>624</v>
      </c>
      <c r="F27" s="102">
        <f>-ROUND(VLOOKUP(K27&amp;"_"&amp;L27,挑战模式!$A$3:$Z$27,4,FALSE)*M27,0)</f>
        <v>-450</v>
      </c>
      <c r="G27" s="94">
        <v>0</v>
      </c>
      <c r="H27" s="94">
        <v>0</v>
      </c>
      <c r="I27" s="94">
        <v>0</v>
      </c>
      <c r="J27" s="94">
        <v>0</v>
      </c>
      <c r="K27" s="110">
        <v>3</v>
      </c>
      <c r="L27" s="110">
        <v>4</v>
      </c>
      <c r="M27" s="110">
        <v>0.1</v>
      </c>
    </row>
    <row r="28" spans="2:13" x14ac:dyDescent="0.2">
      <c r="B28" s="94" t="s">
        <v>904</v>
      </c>
      <c r="C28" s="94"/>
      <c r="D28" s="94" t="s">
        <v>900</v>
      </c>
      <c r="E28" s="94" t="s">
        <v>624</v>
      </c>
      <c r="F28" s="102">
        <f>-ROUND(VLOOKUP(K28&amp;"_"&amp;L28,挑战模式!$A$3:$Z$27,4,FALSE)*M28,0)</f>
        <v>-540</v>
      </c>
      <c r="G28" s="94">
        <v>0</v>
      </c>
      <c r="H28" s="94">
        <v>0</v>
      </c>
      <c r="I28" s="94">
        <v>0</v>
      </c>
      <c r="J28" s="94">
        <v>0</v>
      </c>
      <c r="K28" s="110">
        <v>3</v>
      </c>
      <c r="L28" s="110">
        <v>5</v>
      </c>
      <c r="M28" s="110">
        <v>0.1</v>
      </c>
    </row>
    <row r="29" spans="2:13" x14ac:dyDescent="0.2">
      <c r="B29" s="94" t="s">
        <v>905</v>
      </c>
      <c r="C29" s="94"/>
      <c r="D29" s="94" t="s">
        <v>900</v>
      </c>
      <c r="E29" s="94" t="s">
        <v>624</v>
      </c>
      <c r="F29" s="102">
        <f>-ROUND(VLOOKUP(K29&amp;"_"&amp;L29,挑战模式!$A$3:$Z$27,4,FALSE)*M29,0)</f>
        <v>-1080</v>
      </c>
      <c r="G29" s="94">
        <v>0</v>
      </c>
      <c r="H29" s="94">
        <v>0</v>
      </c>
      <c r="I29" s="94">
        <v>0</v>
      </c>
      <c r="J29" s="94">
        <v>0</v>
      </c>
      <c r="K29" s="110">
        <v>4</v>
      </c>
      <c r="L29" s="110">
        <v>5</v>
      </c>
      <c r="M29" s="110">
        <v>0.2</v>
      </c>
    </row>
    <row r="30" spans="2:13" x14ac:dyDescent="0.2">
      <c r="B30" s="94" t="s">
        <v>906</v>
      </c>
      <c r="C30" s="94"/>
      <c r="D30" s="94" t="s">
        <v>900</v>
      </c>
      <c r="E30" s="94" t="s">
        <v>624</v>
      </c>
      <c r="F30" s="102">
        <f>-ROUND(VLOOKUP(K30&amp;"_"&amp;L30,挑战模式!$A$3:$Z$27,4,FALSE)*M30,0)</f>
        <v>-1080</v>
      </c>
      <c r="G30" s="94">
        <v>0</v>
      </c>
      <c r="H30" s="94">
        <v>0</v>
      </c>
      <c r="I30" s="94">
        <v>0</v>
      </c>
      <c r="J30" s="94">
        <v>0</v>
      </c>
      <c r="K30" s="110">
        <v>5</v>
      </c>
      <c r="L30" s="110">
        <v>5</v>
      </c>
      <c r="M30" s="110">
        <v>0.2</v>
      </c>
    </row>
  </sheetData>
  <mergeCells count="2">
    <mergeCell ref="E1:J1"/>
    <mergeCell ref="E3:J3"/>
  </mergeCells>
  <phoneticPr fontId="4" type="noConversion"/>
  <conditionalFormatting sqref="B15:B23">
    <cfRule type="duplicateValues" dxfId="7" priority="2"/>
  </conditionalFormatting>
  <conditionalFormatting sqref="B24:B30">
    <cfRule type="duplicateValues" dxfId="6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9956-3830-4D5A-AE1E-B085976BE059}">
  <dimension ref="A1:T38"/>
  <sheetViews>
    <sheetView topLeftCell="A13" workbookViewId="0">
      <selection activeCell="A36" sqref="A36:XFD38"/>
    </sheetView>
  </sheetViews>
  <sheetFormatPr defaultRowHeight="14.25" x14ac:dyDescent="0.2"/>
  <sheetData>
    <row r="1" spans="1:19" x14ac:dyDescent="0.2">
      <c r="A1" s="48" t="s">
        <v>67</v>
      </c>
      <c r="B1" s="48"/>
      <c r="C1" s="48"/>
      <c r="D1" s="48" t="s">
        <v>154</v>
      </c>
      <c r="E1" s="48" t="s">
        <v>255</v>
      </c>
      <c r="F1" s="72" t="s">
        <v>256</v>
      </c>
      <c r="G1" s="72" t="s">
        <v>257</v>
      </c>
      <c r="H1" s="48" t="s">
        <v>258</v>
      </c>
      <c r="I1" s="48" t="s">
        <v>259</v>
      </c>
      <c r="J1" s="48" t="s">
        <v>260</v>
      </c>
      <c r="K1" s="48" t="s">
        <v>261</v>
      </c>
      <c r="L1" s="48" t="s">
        <v>181</v>
      </c>
      <c r="M1" s="48" t="s">
        <v>262</v>
      </c>
      <c r="N1" s="48" t="s">
        <v>263</v>
      </c>
      <c r="O1" s="48" t="s">
        <v>264</v>
      </c>
      <c r="P1" s="48" t="s">
        <v>265</v>
      </c>
      <c r="Q1" s="48" t="s">
        <v>266</v>
      </c>
      <c r="R1" s="48" t="s">
        <v>267</v>
      </c>
      <c r="S1" s="48" t="s">
        <v>268</v>
      </c>
    </row>
    <row r="2" spans="1:19" x14ac:dyDescent="0.2">
      <c r="A2" s="48" t="s">
        <v>67</v>
      </c>
      <c r="B2" s="48"/>
      <c r="C2" s="48"/>
      <c r="D2" s="48"/>
      <c r="E2" s="48"/>
      <c r="F2" s="72"/>
      <c r="G2" s="72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</row>
    <row r="3" spans="1:19" x14ac:dyDescent="0.2">
      <c r="A3" s="49" t="s">
        <v>71</v>
      </c>
      <c r="B3" s="49"/>
      <c r="C3" s="49"/>
      <c r="D3" s="49" t="s">
        <v>269</v>
      </c>
      <c r="E3" s="49" t="s">
        <v>270</v>
      </c>
      <c r="F3" s="73" t="s">
        <v>271</v>
      </c>
      <c r="G3" s="73" t="s">
        <v>272</v>
      </c>
      <c r="H3" s="49" t="s">
        <v>74</v>
      </c>
      <c r="I3" s="49" t="s">
        <v>273</v>
      </c>
      <c r="J3" s="49" t="s">
        <v>274</v>
      </c>
      <c r="K3" s="49" t="s">
        <v>275</v>
      </c>
      <c r="L3" s="49" t="s">
        <v>275</v>
      </c>
      <c r="M3" s="49" t="s">
        <v>73</v>
      </c>
      <c r="N3" s="49" t="s">
        <v>275</v>
      </c>
      <c r="O3" s="49" t="s">
        <v>73</v>
      </c>
      <c r="P3" s="49" t="s">
        <v>73</v>
      </c>
      <c r="Q3" s="49" t="s">
        <v>276</v>
      </c>
      <c r="R3" s="49" t="s">
        <v>73</v>
      </c>
      <c r="S3" s="74" t="s">
        <v>277</v>
      </c>
    </row>
    <row r="4" spans="1:19" x14ac:dyDescent="0.2">
      <c r="A4" s="49" t="s">
        <v>75</v>
      </c>
      <c r="B4" s="49"/>
      <c r="C4" s="49"/>
      <c r="D4" s="49"/>
      <c r="E4" s="49"/>
      <c r="F4" s="73"/>
      <c r="G4" s="73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x14ac:dyDescent="0.2">
      <c r="A5" s="75" t="s">
        <v>77</v>
      </c>
      <c r="B5" s="75"/>
      <c r="C5" s="75"/>
      <c r="D5" s="75" t="s">
        <v>104</v>
      </c>
      <c r="E5" s="75" t="s">
        <v>278</v>
      </c>
      <c r="F5" s="75" t="s">
        <v>279</v>
      </c>
      <c r="G5" s="75" t="s">
        <v>280</v>
      </c>
      <c r="H5" s="75" t="s">
        <v>281</v>
      </c>
      <c r="I5" s="75" t="s">
        <v>282</v>
      </c>
      <c r="J5" s="75" t="s">
        <v>260</v>
      </c>
      <c r="K5" s="75" t="s">
        <v>283</v>
      </c>
      <c r="L5" s="75" t="s">
        <v>284</v>
      </c>
      <c r="M5" s="75" t="s">
        <v>285</v>
      </c>
      <c r="N5" s="75" t="s">
        <v>286</v>
      </c>
      <c r="O5" s="75" t="s">
        <v>287</v>
      </c>
      <c r="P5" s="75" t="s">
        <v>288</v>
      </c>
      <c r="Q5" s="75" t="s">
        <v>289</v>
      </c>
      <c r="R5" s="75" t="s">
        <v>290</v>
      </c>
      <c r="S5" s="75" t="s">
        <v>268</v>
      </c>
    </row>
    <row r="6" spans="1:19" x14ac:dyDescent="0.2">
      <c r="A6" s="76"/>
      <c r="B6" s="54" t="s">
        <v>33</v>
      </c>
      <c r="C6">
        <v>1</v>
      </c>
      <c r="D6" s="76" t="s">
        <v>292</v>
      </c>
      <c r="E6" s="76" t="s">
        <v>293</v>
      </c>
      <c r="F6" s="77" t="s">
        <v>294</v>
      </c>
      <c r="G6" s="77" t="s">
        <v>291</v>
      </c>
      <c r="H6" s="78"/>
      <c r="I6" s="76"/>
      <c r="J6" s="76" t="s">
        <v>295</v>
      </c>
      <c r="K6" s="76">
        <v>1</v>
      </c>
      <c r="L6" s="76">
        <v>1</v>
      </c>
      <c r="M6" s="55">
        <f>VLOOKUP(B6,防御塔!$A$2:$N$13,2,FALSE)*3^(C6-1)</f>
        <v>150</v>
      </c>
      <c r="N6" s="76"/>
      <c r="O6" s="76">
        <v>0</v>
      </c>
      <c r="P6" s="55">
        <f>INT(M6*0.8)</f>
        <v>120</v>
      </c>
      <c r="Q6" s="76" t="s">
        <v>296</v>
      </c>
      <c r="R6" s="76">
        <v>3</v>
      </c>
      <c r="S6" s="76" t="s">
        <v>297</v>
      </c>
    </row>
    <row r="7" spans="1:19" x14ac:dyDescent="0.2">
      <c r="A7" s="76"/>
      <c r="B7" s="54" t="s">
        <v>33</v>
      </c>
      <c r="C7">
        <v>2</v>
      </c>
      <c r="D7" s="76" t="s">
        <v>296</v>
      </c>
      <c r="E7" s="76" t="s">
        <v>293</v>
      </c>
      <c r="F7" s="77" t="s">
        <v>294</v>
      </c>
      <c r="G7" s="77" t="s">
        <v>298</v>
      </c>
      <c r="H7" s="76"/>
      <c r="I7" s="76"/>
      <c r="J7" s="76" t="s">
        <v>299</v>
      </c>
      <c r="K7" s="76">
        <v>1</v>
      </c>
      <c r="L7" s="76">
        <v>2</v>
      </c>
      <c r="M7" s="55">
        <f>VLOOKUP(B7,防御塔!$A$2:$N$13,2,FALSE)*3^(C7-1)</f>
        <v>450</v>
      </c>
      <c r="N7" s="76"/>
      <c r="O7" s="76">
        <v>0</v>
      </c>
      <c r="P7" s="55">
        <f t="shared" ref="P7:P35" si="0">INT(M7*0.8)</f>
        <v>360</v>
      </c>
      <c r="Q7" s="76" t="s">
        <v>300</v>
      </c>
      <c r="R7" s="76">
        <v>3</v>
      </c>
      <c r="S7" s="76" t="s">
        <v>297</v>
      </c>
    </row>
    <row r="8" spans="1:19" x14ac:dyDescent="0.2">
      <c r="A8" s="76"/>
      <c r="B8" s="54" t="s">
        <v>33</v>
      </c>
      <c r="C8">
        <v>3</v>
      </c>
      <c r="D8" s="76" t="s">
        <v>300</v>
      </c>
      <c r="E8" s="76" t="s">
        <v>293</v>
      </c>
      <c r="F8" s="77" t="s">
        <v>294</v>
      </c>
      <c r="G8" s="77" t="s">
        <v>301</v>
      </c>
      <c r="H8" s="76"/>
      <c r="I8" s="76"/>
      <c r="J8" s="76" t="s">
        <v>302</v>
      </c>
      <c r="K8" s="76">
        <v>1</v>
      </c>
      <c r="L8" s="76">
        <v>3</v>
      </c>
      <c r="M8" s="55">
        <f>VLOOKUP(B8,防御塔!$A$2:$N$13,2,FALSE)*3^(C8-1)</f>
        <v>1350</v>
      </c>
      <c r="N8" s="76"/>
      <c r="O8" s="76">
        <v>0</v>
      </c>
      <c r="P8" s="55">
        <f t="shared" si="0"/>
        <v>1080</v>
      </c>
      <c r="Q8" s="76"/>
      <c r="R8" s="76"/>
      <c r="S8" s="76" t="s">
        <v>297</v>
      </c>
    </row>
    <row r="9" spans="1:19" x14ac:dyDescent="0.2">
      <c r="A9" s="76"/>
      <c r="B9" s="54" t="s">
        <v>34</v>
      </c>
      <c r="C9">
        <v>1</v>
      </c>
      <c r="D9" s="76" t="s">
        <v>303</v>
      </c>
      <c r="E9" s="76" t="s">
        <v>293</v>
      </c>
      <c r="F9" s="76" t="s">
        <v>304</v>
      </c>
      <c r="G9" s="76" t="s">
        <v>291</v>
      </c>
      <c r="H9" s="76"/>
      <c r="I9" s="76"/>
      <c r="J9" s="76" t="s">
        <v>305</v>
      </c>
      <c r="K9" s="76">
        <v>1</v>
      </c>
      <c r="L9" s="76">
        <v>1</v>
      </c>
      <c r="M9" s="55">
        <f>VLOOKUP(B9,防御塔!$A$2:$N$13,2,FALSE)*3^(C9-1)</f>
        <v>150</v>
      </c>
      <c r="N9" s="76"/>
      <c r="O9" s="76">
        <v>0</v>
      </c>
      <c r="P9" s="55">
        <f t="shared" si="0"/>
        <v>120</v>
      </c>
      <c r="Q9" s="76" t="s">
        <v>306</v>
      </c>
      <c r="R9" s="76">
        <v>3</v>
      </c>
      <c r="S9" s="76" t="s">
        <v>297</v>
      </c>
    </row>
    <row r="10" spans="1:19" x14ac:dyDescent="0.2">
      <c r="A10" s="76"/>
      <c r="B10" s="54" t="s">
        <v>34</v>
      </c>
      <c r="C10">
        <v>2</v>
      </c>
      <c r="D10" s="76" t="s">
        <v>306</v>
      </c>
      <c r="E10" s="76" t="s">
        <v>293</v>
      </c>
      <c r="F10" s="76" t="s">
        <v>304</v>
      </c>
      <c r="G10" s="76" t="s">
        <v>298</v>
      </c>
      <c r="H10" s="76"/>
      <c r="I10" s="76"/>
      <c r="J10" s="76" t="s">
        <v>307</v>
      </c>
      <c r="K10" s="76">
        <v>1</v>
      </c>
      <c r="L10" s="76">
        <v>2</v>
      </c>
      <c r="M10" s="55">
        <f>VLOOKUP(B10,防御塔!$A$2:$N$13,2,FALSE)*3^(C10-1)</f>
        <v>450</v>
      </c>
      <c r="N10" s="76"/>
      <c r="O10" s="76">
        <v>0</v>
      </c>
      <c r="P10" s="55">
        <f t="shared" si="0"/>
        <v>360</v>
      </c>
      <c r="Q10" s="76" t="s">
        <v>308</v>
      </c>
      <c r="R10" s="76">
        <v>3</v>
      </c>
      <c r="S10" s="76" t="s">
        <v>297</v>
      </c>
    </row>
    <row r="11" spans="1:19" x14ac:dyDescent="0.2">
      <c r="A11" s="76"/>
      <c r="B11" s="54" t="s">
        <v>34</v>
      </c>
      <c r="C11">
        <v>3</v>
      </c>
      <c r="D11" s="76" t="s">
        <v>308</v>
      </c>
      <c r="E11" s="76" t="s">
        <v>293</v>
      </c>
      <c r="F11" s="76" t="s">
        <v>304</v>
      </c>
      <c r="G11" s="76" t="s">
        <v>301</v>
      </c>
      <c r="H11" s="76"/>
      <c r="I11" s="76"/>
      <c r="J11" s="76" t="s">
        <v>309</v>
      </c>
      <c r="K11" s="76">
        <v>1</v>
      </c>
      <c r="L11" s="76">
        <v>3</v>
      </c>
      <c r="M11" s="55">
        <f>VLOOKUP(B11,防御塔!$A$2:$N$13,2,FALSE)*3^(C11-1)</f>
        <v>1350</v>
      </c>
      <c r="N11" s="76"/>
      <c r="O11" s="76">
        <v>0</v>
      </c>
      <c r="P11" s="55">
        <f t="shared" si="0"/>
        <v>1080</v>
      </c>
      <c r="Q11" s="76"/>
      <c r="R11" s="76"/>
      <c r="S11" s="76" t="s">
        <v>297</v>
      </c>
    </row>
    <row r="12" spans="1:19" x14ac:dyDescent="0.2">
      <c r="A12" s="76"/>
      <c r="B12" s="54" t="s">
        <v>35</v>
      </c>
      <c r="C12">
        <v>1</v>
      </c>
      <c r="D12" s="76" t="s">
        <v>310</v>
      </c>
      <c r="E12" s="76" t="s">
        <v>293</v>
      </c>
      <c r="F12" s="77" t="s">
        <v>311</v>
      </c>
      <c r="G12" s="77" t="s">
        <v>291</v>
      </c>
      <c r="H12" s="76"/>
      <c r="I12" s="76"/>
      <c r="J12" s="76" t="s">
        <v>312</v>
      </c>
      <c r="K12" s="76">
        <v>1</v>
      </c>
      <c r="L12" s="76">
        <v>1</v>
      </c>
      <c r="M12" s="55">
        <f>VLOOKUP(B12,防御塔!$A$2:$N$13,2,FALSE)*3^(C12-1)</f>
        <v>200</v>
      </c>
      <c r="N12" s="76"/>
      <c r="O12" s="76">
        <v>0</v>
      </c>
      <c r="P12" s="55">
        <f t="shared" si="0"/>
        <v>160</v>
      </c>
      <c r="Q12" s="76" t="s">
        <v>313</v>
      </c>
      <c r="R12" s="76">
        <v>3</v>
      </c>
      <c r="S12" s="76" t="s">
        <v>297</v>
      </c>
    </row>
    <row r="13" spans="1:19" x14ac:dyDescent="0.2">
      <c r="A13" s="76"/>
      <c r="B13" s="54" t="s">
        <v>35</v>
      </c>
      <c r="C13">
        <v>2</v>
      </c>
      <c r="D13" s="76" t="s">
        <v>313</v>
      </c>
      <c r="E13" s="76" t="s">
        <v>293</v>
      </c>
      <c r="F13" s="77" t="s">
        <v>311</v>
      </c>
      <c r="G13" s="77" t="s">
        <v>298</v>
      </c>
      <c r="H13" s="76"/>
      <c r="I13" s="76"/>
      <c r="J13" s="76" t="s">
        <v>314</v>
      </c>
      <c r="K13" s="76">
        <v>1</v>
      </c>
      <c r="L13" s="76">
        <v>2</v>
      </c>
      <c r="M13" s="55">
        <f>VLOOKUP(B13,防御塔!$A$2:$N$13,2,FALSE)*3^(C13-1)</f>
        <v>600</v>
      </c>
      <c r="N13" s="76"/>
      <c r="O13" s="76">
        <v>0</v>
      </c>
      <c r="P13" s="55">
        <f t="shared" si="0"/>
        <v>480</v>
      </c>
      <c r="Q13" s="76" t="s">
        <v>315</v>
      </c>
      <c r="R13" s="76">
        <v>3</v>
      </c>
      <c r="S13" s="76" t="s">
        <v>297</v>
      </c>
    </row>
    <row r="14" spans="1:19" x14ac:dyDescent="0.2">
      <c r="A14" s="76"/>
      <c r="B14" s="54" t="s">
        <v>35</v>
      </c>
      <c r="C14">
        <v>3</v>
      </c>
      <c r="D14" s="76" t="s">
        <v>315</v>
      </c>
      <c r="E14" s="76" t="s">
        <v>293</v>
      </c>
      <c r="F14" s="77" t="s">
        <v>311</v>
      </c>
      <c r="G14" s="77" t="s">
        <v>301</v>
      </c>
      <c r="H14" s="76"/>
      <c r="I14" s="76"/>
      <c r="J14" s="76" t="s">
        <v>316</v>
      </c>
      <c r="K14" s="76">
        <v>1</v>
      </c>
      <c r="L14" s="76">
        <v>3</v>
      </c>
      <c r="M14" s="55">
        <f>VLOOKUP(B14,防御塔!$A$2:$N$13,2,FALSE)*3^(C14-1)</f>
        <v>1800</v>
      </c>
      <c r="N14" s="76"/>
      <c r="O14" s="76">
        <v>0</v>
      </c>
      <c r="P14" s="55">
        <f t="shared" si="0"/>
        <v>1440</v>
      </c>
      <c r="Q14" s="76"/>
      <c r="R14" s="76"/>
      <c r="S14" s="76" t="s">
        <v>297</v>
      </c>
    </row>
    <row r="15" spans="1:19" x14ac:dyDescent="0.2">
      <c r="A15" s="76"/>
      <c r="B15" s="54" t="s">
        <v>36</v>
      </c>
      <c r="C15">
        <v>1</v>
      </c>
      <c r="D15" s="76" t="s">
        <v>317</v>
      </c>
      <c r="E15" s="76" t="s">
        <v>293</v>
      </c>
      <c r="F15" s="76" t="s">
        <v>304</v>
      </c>
      <c r="G15" s="76" t="s">
        <v>291</v>
      </c>
      <c r="H15" s="76"/>
      <c r="I15" s="76"/>
      <c r="J15" s="76" t="s">
        <v>318</v>
      </c>
      <c r="K15" s="76">
        <v>1</v>
      </c>
      <c r="L15" s="76">
        <v>1</v>
      </c>
      <c r="M15" s="55">
        <f>VLOOKUP(B15,防御塔!$A$2:$N$13,2,FALSE)*3^(C15-1)</f>
        <v>200</v>
      </c>
      <c r="N15" s="76"/>
      <c r="O15" s="76">
        <v>0</v>
      </c>
      <c r="P15" s="55">
        <f t="shared" si="0"/>
        <v>160</v>
      </c>
      <c r="Q15" s="76" t="s">
        <v>319</v>
      </c>
      <c r="R15" s="76">
        <v>3</v>
      </c>
      <c r="S15" s="76" t="s">
        <v>297</v>
      </c>
    </row>
    <row r="16" spans="1:19" x14ac:dyDescent="0.2">
      <c r="A16" s="76"/>
      <c r="B16" s="54" t="s">
        <v>36</v>
      </c>
      <c r="C16">
        <v>2</v>
      </c>
      <c r="D16" s="76" t="s">
        <v>319</v>
      </c>
      <c r="E16" s="76" t="s">
        <v>293</v>
      </c>
      <c r="F16" s="76" t="s">
        <v>304</v>
      </c>
      <c r="G16" s="76" t="s">
        <v>298</v>
      </c>
      <c r="H16" s="76"/>
      <c r="I16" s="76"/>
      <c r="J16" s="76" t="s">
        <v>320</v>
      </c>
      <c r="K16" s="76">
        <v>1</v>
      </c>
      <c r="L16" s="76">
        <v>2</v>
      </c>
      <c r="M16" s="55">
        <f>VLOOKUP(B16,防御塔!$A$2:$N$13,2,FALSE)*3^(C16-1)</f>
        <v>600</v>
      </c>
      <c r="N16" s="76"/>
      <c r="O16" s="76">
        <v>0</v>
      </c>
      <c r="P16" s="55">
        <f t="shared" si="0"/>
        <v>480</v>
      </c>
      <c r="Q16" s="76" t="s">
        <v>321</v>
      </c>
      <c r="R16" s="76">
        <v>3</v>
      </c>
      <c r="S16" s="76" t="s">
        <v>297</v>
      </c>
    </row>
    <row r="17" spans="1:20" x14ac:dyDescent="0.2">
      <c r="A17" s="76"/>
      <c r="B17" s="54" t="s">
        <v>36</v>
      </c>
      <c r="C17">
        <v>3</v>
      </c>
      <c r="D17" s="76" t="s">
        <v>321</v>
      </c>
      <c r="E17" s="76" t="s">
        <v>293</v>
      </c>
      <c r="F17" s="76" t="s">
        <v>304</v>
      </c>
      <c r="G17" s="76" t="s">
        <v>301</v>
      </c>
      <c r="H17" s="76"/>
      <c r="I17" s="76"/>
      <c r="J17" s="76" t="s">
        <v>322</v>
      </c>
      <c r="K17" s="76">
        <v>1</v>
      </c>
      <c r="L17" s="76">
        <v>3</v>
      </c>
      <c r="M17" s="55">
        <f>VLOOKUP(B17,防御塔!$A$2:$N$13,2,FALSE)*3^(C17-1)</f>
        <v>1800</v>
      </c>
      <c r="N17" s="76"/>
      <c r="O17" s="76">
        <v>0</v>
      </c>
      <c r="P17" s="55">
        <f t="shared" si="0"/>
        <v>1440</v>
      </c>
      <c r="Q17" s="76"/>
      <c r="R17" s="76"/>
      <c r="S17" s="76" t="s">
        <v>297</v>
      </c>
    </row>
    <row r="18" spans="1:20" x14ac:dyDescent="0.2">
      <c r="A18" s="76"/>
      <c r="B18" s="54" t="s">
        <v>37</v>
      </c>
      <c r="C18">
        <v>1</v>
      </c>
      <c r="D18" s="76" t="s">
        <v>323</v>
      </c>
      <c r="E18" s="76" t="s">
        <v>293</v>
      </c>
      <c r="F18" s="77" t="s">
        <v>294</v>
      </c>
      <c r="G18" s="77" t="s">
        <v>291</v>
      </c>
      <c r="H18" s="76"/>
      <c r="I18" s="76"/>
      <c r="J18" s="76" t="s">
        <v>324</v>
      </c>
      <c r="K18" s="76">
        <v>1</v>
      </c>
      <c r="L18" s="76">
        <v>1</v>
      </c>
      <c r="M18" s="55">
        <f>VLOOKUP(B18,防御塔!$A$2:$N$13,2,FALSE)*3^(C18-1)</f>
        <v>200</v>
      </c>
      <c r="N18" s="76"/>
      <c r="O18" s="76">
        <v>0</v>
      </c>
      <c r="P18" s="55">
        <f t="shared" si="0"/>
        <v>160</v>
      </c>
      <c r="Q18" s="76" t="s">
        <v>325</v>
      </c>
      <c r="R18" s="76">
        <v>3</v>
      </c>
      <c r="S18" s="76" t="s">
        <v>297</v>
      </c>
    </row>
    <row r="19" spans="1:20" x14ac:dyDescent="0.2">
      <c r="A19" s="76"/>
      <c r="B19" s="54" t="s">
        <v>37</v>
      </c>
      <c r="C19">
        <v>2</v>
      </c>
      <c r="D19" s="76" t="s">
        <v>325</v>
      </c>
      <c r="E19" s="76" t="s">
        <v>293</v>
      </c>
      <c r="F19" s="77" t="s">
        <v>294</v>
      </c>
      <c r="G19" s="77" t="s">
        <v>298</v>
      </c>
      <c r="H19" s="76"/>
      <c r="I19" s="76"/>
      <c r="J19" s="76" t="s">
        <v>326</v>
      </c>
      <c r="K19" s="76">
        <v>1</v>
      </c>
      <c r="L19" s="76">
        <v>2</v>
      </c>
      <c r="M19" s="55">
        <f>VLOOKUP(B19,防御塔!$A$2:$N$13,2,FALSE)*3^(C19-1)</f>
        <v>600</v>
      </c>
      <c r="N19" s="76"/>
      <c r="O19" s="76">
        <v>0</v>
      </c>
      <c r="P19" s="55">
        <f t="shared" si="0"/>
        <v>480</v>
      </c>
      <c r="Q19" s="76" t="s">
        <v>327</v>
      </c>
      <c r="R19" s="76">
        <v>3</v>
      </c>
      <c r="S19" s="76" t="s">
        <v>297</v>
      </c>
    </row>
    <row r="20" spans="1:20" x14ac:dyDescent="0.2">
      <c r="A20" s="76"/>
      <c r="B20" s="54" t="s">
        <v>37</v>
      </c>
      <c r="C20">
        <v>3</v>
      </c>
      <c r="D20" s="76" t="s">
        <v>327</v>
      </c>
      <c r="E20" s="76" t="s">
        <v>293</v>
      </c>
      <c r="F20" s="77" t="s">
        <v>294</v>
      </c>
      <c r="G20" s="77" t="s">
        <v>301</v>
      </c>
      <c r="H20" s="76"/>
      <c r="I20" s="76"/>
      <c r="J20" s="76" t="s">
        <v>328</v>
      </c>
      <c r="K20" s="76">
        <v>1</v>
      </c>
      <c r="L20" s="76">
        <v>3</v>
      </c>
      <c r="M20" s="55">
        <f>VLOOKUP(B20,防御塔!$A$2:$N$13,2,FALSE)*3^(C20-1)</f>
        <v>1800</v>
      </c>
      <c r="N20" s="76"/>
      <c r="O20" s="76">
        <v>0</v>
      </c>
      <c r="P20" s="55">
        <f t="shared" si="0"/>
        <v>1440</v>
      </c>
      <c r="Q20" s="76"/>
      <c r="R20" s="76"/>
      <c r="S20" s="76" t="s">
        <v>297</v>
      </c>
    </row>
    <row r="21" spans="1:20" x14ac:dyDescent="0.2">
      <c r="A21" s="76"/>
      <c r="B21" s="54" t="s">
        <v>38</v>
      </c>
      <c r="C21">
        <v>1</v>
      </c>
      <c r="D21" s="76" t="s">
        <v>329</v>
      </c>
      <c r="E21" s="76" t="s">
        <v>293</v>
      </c>
      <c r="F21" s="77" t="s">
        <v>294</v>
      </c>
      <c r="G21" s="77" t="s">
        <v>291</v>
      </c>
      <c r="H21" s="76"/>
      <c r="I21" s="76"/>
      <c r="J21" s="76" t="s">
        <v>330</v>
      </c>
      <c r="K21" s="76">
        <v>1</v>
      </c>
      <c r="L21" s="76">
        <v>1</v>
      </c>
      <c r="M21" s="55">
        <f>VLOOKUP(B21,防御塔!$A$2:$N$13,2,FALSE)*3^(C21-1)</f>
        <v>200</v>
      </c>
      <c r="N21" s="76"/>
      <c r="O21" s="76">
        <v>0</v>
      </c>
      <c r="P21" s="55">
        <f t="shared" si="0"/>
        <v>160</v>
      </c>
      <c r="Q21" s="76" t="s">
        <v>331</v>
      </c>
      <c r="R21" s="76">
        <v>3</v>
      </c>
      <c r="S21" s="76" t="s">
        <v>297</v>
      </c>
    </row>
    <row r="22" spans="1:20" x14ac:dyDescent="0.2">
      <c r="A22" s="76"/>
      <c r="B22" s="54" t="s">
        <v>38</v>
      </c>
      <c r="C22">
        <v>2</v>
      </c>
      <c r="D22" s="76" t="s">
        <v>331</v>
      </c>
      <c r="E22" s="76" t="s">
        <v>293</v>
      </c>
      <c r="F22" s="77" t="s">
        <v>294</v>
      </c>
      <c r="G22" s="77" t="s">
        <v>298</v>
      </c>
      <c r="H22" s="76"/>
      <c r="I22" s="76"/>
      <c r="J22" s="76" t="s">
        <v>332</v>
      </c>
      <c r="K22" s="76">
        <v>1</v>
      </c>
      <c r="L22" s="76">
        <v>2</v>
      </c>
      <c r="M22" s="55">
        <f>VLOOKUP(B22,防御塔!$A$2:$N$13,2,FALSE)*3^(C22-1)</f>
        <v>600</v>
      </c>
      <c r="N22" s="76"/>
      <c r="O22" s="76">
        <v>0</v>
      </c>
      <c r="P22" s="55">
        <f t="shared" si="0"/>
        <v>480</v>
      </c>
      <c r="Q22" s="76" t="s">
        <v>333</v>
      </c>
      <c r="R22" s="76">
        <v>3</v>
      </c>
      <c r="S22" s="76" t="s">
        <v>297</v>
      </c>
    </row>
    <row r="23" spans="1:20" x14ac:dyDescent="0.2">
      <c r="A23" s="76"/>
      <c r="B23" s="54" t="s">
        <v>38</v>
      </c>
      <c r="C23">
        <v>3</v>
      </c>
      <c r="D23" s="76" t="s">
        <v>333</v>
      </c>
      <c r="E23" s="76" t="s">
        <v>293</v>
      </c>
      <c r="F23" s="77" t="s">
        <v>294</v>
      </c>
      <c r="G23" s="77" t="s">
        <v>301</v>
      </c>
      <c r="H23" s="76"/>
      <c r="I23" s="76"/>
      <c r="J23" s="76" t="s">
        <v>334</v>
      </c>
      <c r="K23" s="76">
        <v>1</v>
      </c>
      <c r="L23" s="76">
        <v>3</v>
      </c>
      <c r="M23" s="55">
        <f>VLOOKUP(B23,防御塔!$A$2:$N$13,2,FALSE)*3^(C23-1)</f>
        <v>1800</v>
      </c>
      <c r="N23" s="76"/>
      <c r="O23" s="76">
        <v>0</v>
      </c>
      <c r="P23" s="55">
        <f t="shared" si="0"/>
        <v>1440</v>
      </c>
      <c r="Q23" s="76"/>
      <c r="R23" s="76"/>
      <c r="S23" s="76" t="s">
        <v>297</v>
      </c>
    </row>
    <row r="24" spans="1:20" x14ac:dyDescent="0.2">
      <c r="A24" s="76"/>
      <c r="B24" s="54" t="s">
        <v>39</v>
      </c>
      <c r="C24">
        <v>1</v>
      </c>
      <c r="D24" s="76" t="s">
        <v>335</v>
      </c>
      <c r="E24" s="76" t="s">
        <v>293</v>
      </c>
      <c r="F24" s="77" t="s">
        <v>336</v>
      </c>
      <c r="G24" s="77" t="s">
        <v>291</v>
      </c>
      <c r="H24" s="76"/>
      <c r="I24" s="76"/>
      <c r="J24" s="76" t="s">
        <v>337</v>
      </c>
      <c r="K24" s="76">
        <v>1</v>
      </c>
      <c r="L24" s="76">
        <v>1</v>
      </c>
      <c r="M24" s="55">
        <f>VLOOKUP(B24,防御塔!$A$2:$N$13,2,FALSE)*3^(C24-1)</f>
        <v>250</v>
      </c>
      <c r="N24" s="76"/>
      <c r="O24" s="76">
        <v>0</v>
      </c>
      <c r="P24" s="55">
        <f t="shared" si="0"/>
        <v>200</v>
      </c>
      <c r="Q24" s="76" t="s">
        <v>338</v>
      </c>
      <c r="R24" s="76">
        <v>3</v>
      </c>
      <c r="S24" s="76" t="s">
        <v>297</v>
      </c>
    </row>
    <row r="25" spans="1:20" x14ac:dyDescent="0.2">
      <c r="A25" s="76"/>
      <c r="B25" s="54" t="s">
        <v>39</v>
      </c>
      <c r="C25">
        <v>2</v>
      </c>
      <c r="D25" s="76" t="s">
        <v>338</v>
      </c>
      <c r="E25" s="76" t="s">
        <v>293</v>
      </c>
      <c r="F25" s="77" t="s">
        <v>336</v>
      </c>
      <c r="G25" s="77" t="s">
        <v>298</v>
      </c>
      <c r="H25" s="76"/>
      <c r="I25" s="76"/>
      <c r="J25" s="76" t="s">
        <v>339</v>
      </c>
      <c r="K25" s="76">
        <v>1</v>
      </c>
      <c r="L25" s="76">
        <v>2</v>
      </c>
      <c r="M25" s="55">
        <f>VLOOKUP(B25,防御塔!$A$2:$N$13,2,FALSE)*3^(C25-1)</f>
        <v>750</v>
      </c>
      <c r="N25" s="76"/>
      <c r="O25" s="76">
        <v>0</v>
      </c>
      <c r="P25" s="55">
        <f t="shared" si="0"/>
        <v>600</v>
      </c>
      <c r="Q25" s="76" t="s">
        <v>340</v>
      </c>
      <c r="R25" s="76">
        <v>3</v>
      </c>
      <c r="S25" s="76" t="s">
        <v>297</v>
      </c>
    </row>
    <row r="26" spans="1:20" x14ac:dyDescent="0.2">
      <c r="A26" s="76"/>
      <c r="B26" s="54" t="s">
        <v>39</v>
      </c>
      <c r="C26">
        <v>3</v>
      </c>
      <c r="D26" s="76" t="s">
        <v>340</v>
      </c>
      <c r="E26" s="76" t="s">
        <v>293</v>
      </c>
      <c r="F26" s="77" t="s">
        <v>336</v>
      </c>
      <c r="G26" s="77" t="s">
        <v>301</v>
      </c>
      <c r="H26" s="76"/>
      <c r="I26" s="76"/>
      <c r="J26" s="76" t="s">
        <v>341</v>
      </c>
      <c r="K26" s="76">
        <v>1</v>
      </c>
      <c r="L26" s="76">
        <v>3</v>
      </c>
      <c r="M26" s="55">
        <f>VLOOKUP(B26,防御塔!$A$2:$N$13,2,FALSE)*3^(C26-1)</f>
        <v>2250</v>
      </c>
      <c r="N26" s="76"/>
      <c r="O26" s="76">
        <v>0</v>
      </c>
      <c r="P26" s="55">
        <f t="shared" si="0"/>
        <v>1800</v>
      </c>
      <c r="Q26" s="76"/>
      <c r="R26" s="76"/>
      <c r="S26" s="76" t="s">
        <v>297</v>
      </c>
    </row>
    <row r="27" spans="1:20" x14ac:dyDescent="0.2">
      <c r="A27" s="76"/>
      <c r="B27" s="54" t="s">
        <v>40</v>
      </c>
      <c r="C27">
        <v>1</v>
      </c>
      <c r="D27" s="76" t="s">
        <v>342</v>
      </c>
      <c r="E27" s="76" t="s">
        <v>293</v>
      </c>
      <c r="F27" s="79" t="s">
        <v>343</v>
      </c>
      <c r="G27" s="47" t="s">
        <v>291</v>
      </c>
      <c r="H27" s="76"/>
      <c r="I27" s="76"/>
      <c r="J27" s="76" t="s">
        <v>344</v>
      </c>
      <c r="K27" s="76">
        <v>1</v>
      </c>
      <c r="L27" s="76">
        <v>1</v>
      </c>
      <c r="M27" s="55">
        <f>VLOOKUP(B27,防御塔!$A$2:$N$13,2,FALSE)*3^(C27-1)</f>
        <v>250</v>
      </c>
      <c r="N27" s="76"/>
      <c r="O27" s="76">
        <v>0</v>
      </c>
      <c r="P27" s="55">
        <f t="shared" si="0"/>
        <v>200</v>
      </c>
      <c r="Q27" s="76" t="s">
        <v>345</v>
      </c>
      <c r="R27" s="76">
        <v>3</v>
      </c>
      <c r="S27" s="76" t="s">
        <v>297</v>
      </c>
    </row>
    <row r="28" spans="1:20" x14ac:dyDescent="0.2">
      <c r="A28" s="76"/>
      <c r="B28" s="54" t="s">
        <v>40</v>
      </c>
      <c r="C28">
        <v>2</v>
      </c>
      <c r="D28" s="76" t="s">
        <v>345</v>
      </c>
      <c r="E28" s="76" t="s">
        <v>293</v>
      </c>
      <c r="F28" s="79" t="s">
        <v>343</v>
      </c>
      <c r="G28" s="47" t="s">
        <v>298</v>
      </c>
      <c r="H28" s="76"/>
      <c r="I28" s="76"/>
      <c r="J28" s="76" t="s">
        <v>346</v>
      </c>
      <c r="K28" s="76">
        <v>1</v>
      </c>
      <c r="L28" s="76">
        <v>2</v>
      </c>
      <c r="M28" s="55">
        <f>VLOOKUP(B28,防御塔!$A$2:$N$13,2,FALSE)*3^(C28-1)</f>
        <v>750</v>
      </c>
      <c r="N28" s="76"/>
      <c r="O28" s="76">
        <v>0</v>
      </c>
      <c r="P28" s="55">
        <f t="shared" si="0"/>
        <v>600</v>
      </c>
      <c r="Q28" s="76" t="s">
        <v>347</v>
      </c>
      <c r="R28" s="76">
        <v>3</v>
      </c>
      <c r="S28" s="76" t="s">
        <v>297</v>
      </c>
    </row>
    <row r="29" spans="1:20" x14ac:dyDescent="0.2">
      <c r="A29" s="76"/>
      <c r="B29" s="54" t="s">
        <v>40</v>
      </c>
      <c r="C29">
        <v>3</v>
      </c>
      <c r="D29" s="76" t="s">
        <v>347</v>
      </c>
      <c r="E29" s="76" t="s">
        <v>293</v>
      </c>
      <c r="F29" s="79" t="s">
        <v>343</v>
      </c>
      <c r="G29" s="47" t="s">
        <v>301</v>
      </c>
      <c r="H29" s="76"/>
      <c r="I29" s="76"/>
      <c r="J29" s="76" t="s">
        <v>348</v>
      </c>
      <c r="K29" s="76">
        <v>1</v>
      </c>
      <c r="L29" s="76">
        <v>3</v>
      </c>
      <c r="M29" s="55">
        <f>VLOOKUP(B29,防御塔!$A$2:$N$13,2,FALSE)*3^(C29-1)</f>
        <v>2250</v>
      </c>
      <c r="N29" s="76"/>
      <c r="O29" s="76">
        <v>0</v>
      </c>
      <c r="P29" s="55">
        <f t="shared" si="0"/>
        <v>1800</v>
      </c>
      <c r="Q29" s="76"/>
      <c r="R29" s="76"/>
      <c r="S29" s="76" t="s">
        <v>297</v>
      </c>
    </row>
    <row r="30" spans="1:20" x14ac:dyDescent="0.2">
      <c r="A30" s="76"/>
      <c r="B30" s="54" t="s">
        <v>1567</v>
      </c>
      <c r="C30" s="76">
        <v>1</v>
      </c>
      <c r="D30" s="76" t="s">
        <v>1569</v>
      </c>
      <c r="E30" s="76" t="s">
        <v>293</v>
      </c>
      <c r="F30" s="77" t="s">
        <v>1570</v>
      </c>
      <c r="G30" s="77" t="s">
        <v>291</v>
      </c>
      <c r="H30" s="76"/>
      <c r="I30" s="76"/>
      <c r="J30" s="76" t="s">
        <v>1571</v>
      </c>
      <c r="K30" s="76">
        <v>1</v>
      </c>
      <c r="L30" s="76">
        <v>1</v>
      </c>
      <c r="M30" s="55">
        <f>VLOOKUP(B30,防御塔!$A$2:$N$13,2,FALSE)*3^(C30-1)</f>
        <v>200</v>
      </c>
      <c r="N30" s="76"/>
      <c r="O30" s="76">
        <v>0</v>
      </c>
      <c r="P30" s="55">
        <f t="shared" si="0"/>
        <v>160</v>
      </c>
      <c r="Q30" s="76" t="s">
        <v>1572</v>
      </c>
      <c r="R30" s="76">
        <v>3</v>
      </c>
      <c r="S30" s="76" t="s">
        <v>297</v>
      </c>
      <c r="T30" s="76"/>
    </row>
    <row r="31" spans="1:20" x14ac:dyDescent="0.2">
      <c r="A31" s="76"/>
      <c r="B31" s="54" t="s">
        <v>1567</v>
      </c>
      <c r="C31" s="76">
        <v>2</v>
      </c>
      <c r="D31" s="76" t="s">
        <v>1572</v>
      </c>
      <c r="E31" s="76" t="s">
        <v>293</v>
      </c>
      <c r="F31" s="77" t="s">
        <v>1570</v>
      </c>
      <c r="G31" s="77" t="s">
        <v>298</v>
      </c>
      <c r="H31" s="76"/>
      <c r="I31" s="76"/>
      <c r="J31" s="76" t="s">
        <v>1573</v>
      </c>
      <c r="K31" s="76">
        <v>1</v>
      </c>
      <c r="L31" s="76">
        <v>2</v>
      </c>
      <c r="M31" s="55">
        <f>VLOOKUP(B31,防御塔!$A$2:$N$13,2,FALSE)*3^(C31-1)</f>
        <v>600</v>
      </c>
      <c r="N31" s="76"/>
      <c r="O31" s="76">
        <v>0</v>
      </c>
      <c r="P31" s="55">
        <f t="shared" si="0"/>
        <v>480</v>
      </c>
      <c r="Q31" s="76" t="s">
        <v>1574</v>
      </c>
      <c r="R31" s="76">
        <v>3</v>
      </c>
      <c r="S31" s="76" t="s">
        <v>297</v>
      </c>
      <c r="T31" s="76"/>
    </row>
    <row r="32" spans="1:20" x14ac:dyDescent="0.2">
      <c r="A32" s="76"/>
      <c r="B32" s="54" t="s">
        <v>1567</v>
      </c>
      <c r="C32" s="76">
        <v>3</v>
      </c>
      <c r="D32" s="76" t="s">
        <v>1574</v>
      </c>
      <c r="E32" s="76" t="s">
        <v>293</v>
      </c>
      <c r="F32" s="77" t="s">
        <v>1570</v>
      </c>
      <c r="G32" s="77" t="s">
        <v>301</v>
      </c>
      <c r="H32" s="76"/>
      <c r="I32" s="76"/>
      <c r="J32" s="76" t="s">
        <v>1575</v>
      </c>
      <c r="K32" s="76">
        <v>1</v>
      </c>
      <c r="L32" s="76">
        <v>3</v>
      </c>
      <c r="M32" s="55">
        <f>VLOOKUP(B32,防御塔!$A$2:$N$13,2,FALSE)*3^(C32-1)</f>
        <v>1800</v>
      </c>
      <c r="N32" s="76"/>
      <c r="O32" s="76">
        <v>0</v>
      </c>
      <c r="P32" s="55">
        <f t="shared" si="0"/>
        <v>1440</v>
      </c>
      <c r="Q32" s="76"/>
      <c r="R32" s="76"/>
      <c r="S32" s="76" t="s">
        <v>297</v>
      </c>
      <c r="T32" s="76"/>
    </row>
    <row r="33" spans="1:20" x14ac:dyDescent="0.2">
      <c r="A33" s="76"/>
      <c r="B33" s="54" t="s">
        <v>1568</v>
      </c>
      <c r="C33" s="76">
        <v>1</v>
      </c>
      <c r="D33" s="76" t="s">
        <v>1576</v>
      </c>
      <c r="E33" s="76" t="s">
        <v>293</v>
      </c>
      <c r="F33" s="77" t="s">
        <v>1577</v>
      </c>
      <c r="G33" s="77" t="s">
        <v>291</v>
      </c>
      <c r="H33" s="76"/>
      <c r="I33" s="76"/>
      <c r="J33" s="76" t="s">
        <v>1578</v>
      </c>
      <c r="K33" s="76">
        <v>1</v>
      </c>
      <c r="L33" s="76">
        <v>1</v>
      </c>
      <c r="M33" s="55">
        <f>VLOOKUP(B33,防御塔!$A$2:$N$13,2,FALSE)*3^(C33-1)</f>
        <v>250</v>
      </c>
      <c r="N33" s="76"/>
      <c r="O33" s="76">
        <v>0</v>
      </c>
      <c r="P33" s="55">
        <f t="shared" si="0"/>
        <v>200</v>
      </c>
      <c r="Q33" s="76" t="s">
        <v>1579</v>
      </c>
      <c r="R33" s="76">
        <v>3</v>
      </c>
      <c r="S33" s="76" t="s">
        <v>297</v>
      </c>
      <c r="T33" s="76"/>
    </row>
    <row r="34" spans="1:20" x14ac:dyDescent="0.2">
      <c r="A34" s="76"/>
      <c r="B34" s="54" t="s">
        <v>1568</v>
      </c>
      <c r="C34" s="76">
        <v>2</v>
      </c>
      <c r="D34" s="76" t="s">
        <v>1579</v>
      </c>
      <c r="E34" s="76" t="s">
        <v>293</v>
      </c>
      <c r="F34" s="77" t="s">
        <v>1577</v>
      </c>
      <c r="G34" s="77" t="s">
        <v>298</v>
      </c>
      <c r="H34" s="76"/>
      <c r="I34" s="76"/>
      <c r="J34" s="76" t="s">
        <v>1580</v>
      </c>
      <c r="K34" s="76">
        <v>1</v>
      </c>
      <c r="L34" s="76">
        <v>2</v>
      </c>
      <c r="M34" s="55">
        <f>VLOOKUP(B34,防御塔!$A$2:$N$13,2,FALSE)*3^(C34-1)</f>
        <v>750</v>
      </c>
      <c r="N34" s="76"/>
      <c r="O34" s="76">
        <v>0</v>
      </c>
      <c r="P34" s="55">
        <f t="shared" si="0"/>
        <v>600</v>
      </c>
      <c r="Q34" s="76" t="s">
        <v>1581</v>
      </c>
      <c r="R34" s="76">
        <v>3</v>
      </c>
      <c r="S34" s="76" t="s">
        <v>297</v>
      </c>
      <c r="T34" s="76"/>
    </row>
    <row r="35" spans="1:20" x14ac:dyDescent="0.2">
      <c r="A35" s="76"/>
      <c r="B35" s="54" t="s">
        <v>1568</v>
      </c>
      <c r="C35" s="76">
        <v>3</v>
      </c>
      <c r="D35" s="76" t="s">
        <v>1581</v>
      </c>
      <c r="E35" s="76" t="s">
        <v>293</v>
      </c>
      <c r="F35" s="77" t="s">
        <v>1577</v>
      </c>
      <c r="G35" s="77" t="s">
        <v>301</v>
      </c>
      <c r="H35" s="76"/>
      <c r="I35" s="76"/>
      <c r="J35" s="76" t="s">
        <v>1582</v>
      </c>
      <c r="K35" s="76">
        <v>1</v>
      </c>
      <c r="L35" s="76">
        <v>3</v>
      </c>
      <c r="M35" s="55">
        <f>VLOOKUP(B35,防御塔!$A$2:$N$13,2,FALSE)*3^(C35-1)</f>
        <v>2250</v>
      </c>
      <c r="N35" s="76"/>
      <c r="O35" s="76">
        <v>0</v>
      </c>
      <c r="P35" s="55">
        <f t="shared" si="0"/>
        <v>1800</v>
      </c>
      <c r="Q35" s="76"/>
      <c r="R35" s="76"/>
      <c r="S35" s="76" t="s">
        <v>297</v>
      </c>
      <c r="T35" s="76"/>
    </row>
    <row r="36" spans="1:20" x14ac:dyDescent="0.2">
      <c r="B36" s="54" t="s">
        <v>1586</v>
      </c>
      <c r="C36" s="76">
        <v>1</v>
      </c>
      <c r="D36" s="76" t="s">
        <v>1587</v>
      </c>
      <c r="E36" s="76" t="s">
        <v>293</v>
      </c>
      <c r="F36" s="77" t="s">
        <v>336</v>
      </c>
      <c r="G36" s="77" t="s">
        <v>291</v>
      </c>
      <c r="J36" s="76" t="s">
        <v>1592</v>
      </c>
      <c r="K36" s="76">
        <v>1</v>
      </c>
      <c r="L36" s="76">
        <v>1</v>
      </c>
      <c r="M36" s="55">
        <f>VLOOKUP(B36,防御塔!$A$2:$N$13,2,FALSE)*3^(C36-1)</f>
        <v>50</v>
      </c>
      <c r="N36" s="76"/>
      <c r="O36" s="76">
        <v>0</v>
      </c>
      <c r="P36" s="55">
        <f t="shared" ref="P36:P38" si="1">INT(M36*0.8)</f>
        <v>40</v>
      </c>
      <c r="Q36" s="76" t="s">
        <v>1590</v>
      </c>
      <c r="R36" s="76">
        <v>3</v>
      </c>
      <c r="S36" s="76" t="s">
        <v>297</v>
      </c>
    </row>
    <row r="37" spans="1:20" x14ac:dyDescent="0.2">
      <c r="B37" s="54" t="s">
        <v>1586</v>
      </c>
      <c r="C37" s="76">
        <v>2</v>
      </c>
      <c r="D37" s="76" t="s">
        <v>1588</v>
      </c>
      <c r="E37" s="76" t="s">
        <v>293</v>
      </c>
      <c r="F37" s="77" t="s">
        <v>336</v>
      </c>
      <c r="G37" s="77" t="s">
        <v>298</v>
      </c>
      <c r="J37" s="76" t="s">
        <v>1593</v>
      </c>
      <c r="K37" s="76">
        <v>1</v>
      </c>
      <c r="L37" s="76">
        <v>2</v>
      </c>
      <c r="M37" s="55">
        <f>VLOOKUP(B37,防御塔!$A$2:$N$13,2,FALSE)*3^(C37-1)</f>
        <v>150</v>
      </c>
      <c r="N37" s="76"/>
      <c r="O37" s="76">
        <v>0</v>
      </c>
      <c r="P37" s="55">
        <f t="shared" si="1"/>
        <v>120</v>
      </c>
      <c r="Q37" s="76" t="s">
        <v>1591</v>
      </c>
      <c r="R37" s="76">
        <v>3</v>
      </c>
      <c r="S37" s="76" t="s">
        <v>297</v>
      </c>
    </row>
    <row r="38" spans="1:20" x14ac:dyDescent="0.2">
      <c r="B38" s="54" t="s">
        <v>1586</v>
      </c>
      <c r="C38" s="76">
        <v>3</v>
      </c>
      <c r="D38" s="76" t="s">
        <v>1589</v>
      </c>
      <c r="E38" s="76" t="s">
        <v>293</v>
      </c>
      <c r="F38" s="77" t="s">
        <v>336</v>
      </c>
      <c r="G38" s="77" t="s">
        <v>301</v>
      </c>
      <c r="J38" s="76" t="s">
        <v>1594</v>
      </c>
      <c r="K38" s="76">
        <v>1</v>
      </c>
      <c r="L38" s="76">
        <v>3</v>
      </c>
      <c r="M38" s="55">
        <f>VLOOKUP(B38,防御塔!$A$2:$N$13,2,FALSE)*3^(C38-1)</f>
        <v>450</v>
      </c>
      <c r="N38" s="76"/>
      <c r="O38" s="76">
        <v>0</v>
      </c>
      <c r="P38" s="55">
        <f t="shared" si="1"/>
        <v>360</v>
      </c>
      <c r="Q38" s="76"/>
      <c r="R38" s="76"/>
      <c r="S38" s="76" t="s">
        <v>297</v>
      </c>
    </row>
  </sheetData>
  <phoneticPr fontId="4" type="noConversion"/>
  <hyperlinks>
    <hyperlink ref="S3" r:id="rId1" location="ref=AIConfigId@AICfgCategory" xr:uid="{2293361B-65E7-461E-B3B9-5B4B73161BD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8CDD-ABFC-4CE9-873F-AA8F2DE5DF02}">
  <dimension ref="A1:R385"/>
  <sheetViews>
    <sheetView topLeftCell="B1" zoomScale="85" zoomScaleNormal="85" workbookViewId="0">
      <pane xSplit="1" ySplit="6" topLeftCell="C111" activePane="bottomRight" state="frozen"/>
      <selection activeCell="B1" sqref="B1"/>
      <selection pane="topRight" activeCell="C1" sqref="C1"/>
      <selection pane="bottomLeft" activeCell="B7" sqref="B7"/>
      <selection pane="bottomRight" activeCell="B124" sqref="A124:XFD135"/>
    </sheetView>
  </sheetViews>
  <sheetFormatPr defaultColWidth="9" defaultRowHeight="14.25" x14ac:dyDescent="0.2"/>
  <cols>
    <col min="1" max="1" width="9.25" style="57" customWidth="1"/>
    <col min="2" max="2" width="35" style="57" customWidth="1"/>
    <col min="3" max="3" width="11.25" style="57" customWidth="1"/>
    <col min="4" max="4" width="11" style="57" customWidth="1"/>
    <col min="5" max="7" width="13.75" style="57" customWidth="1"/>
    <col min="8" max="8" width="27.625" style="57" customWidth="1"/>
    <col min="9" max="10" width="11.125" style="57" customWidth="1"/>
    <col min="11" max="11" width="16.5" style="57" customWidth="1"/>
    <col min="12" max="12" width="21.875" style="57" customWidth="1"/>
    <col min="13" max="14" width="9.5" style="57" customWidth="1"/>
    <col min="15" max="15" width="12.375" style="57" customWidth="1"/>
    <col min="16" max="18" width="5.25" style="57" customWidth="1"/>
    <col min="19" max="16384" width="9" style="57"/>
  </cols>
  <sheetData>
    <row r="1" spans="1:18" s="106" customFormat="1" x14ac:dyDescent="0.2">
      <c r="A1" s="63" t="s">
        <v>67</v>
      </c>
      <c r="B1" s="63" t="s">
        <v>432</v>
      </c>
      <c r="C1" s="63" t="s">
        <v>433</v>
      </c>
      <c r="D1" s="63" t="s">
        <v>69</v>
      </c>
      <c r="E1" s="63" t="s">
        <v>155</v>
      </c>
      <c r="F1" s="63" t="s">
        <v>434</v>
      </c>
      <c r="G1" s="63" t="s">
        <v>435</v>
      </c>
      <c r="H1" s="172" t="s">
        <v>436</v>
      </c>
      <c r="I1" s="173"/>
      <c r="J1" s="173"/>
      <c r="K1" s="173"/>
      <c r="L1" s="173"/>
      <c r="M1" s="173"/>
      <c r="N1" s="173"/>
      <c r="O1" s="173"/>
    </row>
    <row r="2" spans="1:18" s="106" customFormat="1" x14ac:dyDescent="0.2">
      <c r="A2" s="63" t="s">
        <v>67</v>
      </c>
      <c r="B2" s="63"/>
      <c r="C2" s="63"/>
      <c r="D2" s="63"/>
      <c r="E2" s="63"/>
      <c r="F2" s="63"/>
      <c r="G2" s="63"/>
      <c r="H2" s="104" t="s">
        <v>437</v>
      </c>
      <c r="I2" s="104" t="s">
        <v>438</v>
      </c>
      <c r="J2" s="104" t="s">
        <v>439</v>
      </c>
      <c r="K2" s="104" t="s">
        <v>440</v>
      </c>
      <c r="L2" s="104" t="s">
        <v>441</v>
      </c>
      <c r="M2" s="104" t="s">
        <v>181</v>
      </c>
      <c r="N2" s="104" t="s">
        <v>1002</v>
      </c>
      <c r="O2" s="104" t="s">
        <v>263</v>
      </c>
    </row>
    <row r="3" spans="1:18" s="106" customFormat="1" x14ac:dyDescent="0.2">
      <c r="A3" s="63" t="s">
        <v>67</v>
      </c>
      <c r="B3" s="63"/>
      <c r="C3" s="63"/>
      <c r="D3" s="63"/>
      <c r="E3" s="63"/>
      <c r="F3" s="63"/>
      <c r="G3" s="63"/>
      <c r="H3" s="104"/>
      <c r="I3" s="105"/>
      <c r="J3" s="105"/>
      <c r="K3" s="105"/>
      <c r="L3" s="105"/>
      <c r="M3" s="105"/>
      <c r="N3" s="105"/>
      <c r="O3" s="105"/>
    </row>
    <row r="4" spans="1:18" s="108" customFormat="1" x14ac:dyDescent="0.2">
      <c r="A4" s="64" t="s">
        <v>71</v>
      </c>
      <c r="B4" s="64" t="s">
        <v>72</v>
      </c>
      <c r="C4" s="64" t="s">
        <v>73</v>
      </c>
      <c r="D4" s="64" t="s">
        <v>72</v>
      </c>
      <c r="E4" s="64" t="s">
        <v>72</v>
      </c>
      <c r="F4" s="64" t="s">
        <v>73</v>
      </c>
      <c r="G4" s="64" t="s">
        <v>74</v>
      </c>
      <c r="H4" s="174" t="s">
        <v>442</v>
      </c>
      <c r="I4" s="175"/>
      <c r="J4" s="175"/>
      <c r="K4" s="175"/>
      <c r="L4" s="175"/>
      <c r="M4" s="175"/>
      <c r="N4" s="175"/>
      <c r="O4" s="175"/>
    </row>
    <row r="5" spans="1:18" s="108" customFormat="1" x14ac:dyDescent="0.2">
      <c r="A5" s="64" t="s">
        <v>75</v>
      </c>
      <c r="B5" s="64"/>
      <c r="C5" s="64"/>
      <c r="D5" s="64"/>
      <c r="E5" s="64" t="s">
        <v>76</v>
      </c>
      <c r="F5" s="64"/>
      <c r="G5" s="64"/>
      <c r="H5" s="64"/>
      <c r="I5" s="64"/>
      <c r="J5" s="64"/>
      <c r="K5" s="64"/>
      <c r="L5" s="64"/>
      <c r="M5" s="64"/>
      <c r="N5" s="107"/>
      <c r="O5" s="107"/>
    </row>
    <row r="6" spans="1:18" s="106" customFormat="1" x14ac:dyDescent="0.2">
      <c r="A6" s="67" t="s">
        <v>77</v>
      </c>
      <c r="B6" s="67" t="s">
        <v>443</v>
      </c>
      <c r="C6" s="67" t="s">
        <v>395</v>
      </c>
      <c r="D6" s="67" t="s">
        <v>79</v>
      </c>
      <c r="E6" s="67" t="s">
        <v>80</v>
      </c>
      <c r="F6" s="67" t="s">
        <v>444</v>
      </c>
      <c r="G6" s="67" t="s">
        <v>943</v>
      </c>
      <c r="H6" s="67" t="s">
        <v>445</v>
      </c>
      <c r="I6" s="67" t="s">
        <v>446</v>
      </c>
      <c r="J6" s="67" t="s">
        <v>447</v>
      </c>
      <c r="K6" s="67" t="s">
        <v>448</v>
      </c>
      <c r="L6" s="67" t="s">
        <v>449</v>
      </c>
      <c r="M6" s="67" t="s">
        <v>450</v>
      </c>
      <c r="N6" s="109" t="s">
        <v>1003</v>
      </c>
      <c r="O6" s="109" t="s">
        <v>451</v>
      </c>
      <c r="P6" s="106" t="s">
        <v>453</v>
      </c>
      <c r="Q6" s="106" t="s">
        <v>453</v>
      </c>
      <c r="R6" s="106" t="s">
        <v>453</v>
      </c>
    </row>
    <row r="7" spans="1:18" x14ac:dyDescent="0.2">
      <c r="B7" s="57" t="s">
        <v>1412</v>
      </c>
      <c r="C7" s="57">
        <v>1</v>
      </c>
      <c r="D7" s="57" t="str">
        <f>IF(C7="","","新手关卡第"&amp;C7&amp;"波")</f>
        <v>新手关卡第1波</v>
      </c>
      <c r="F7" s="57">
        <f>IF(C7="","",0)</f>
        <v>0</v>
      </c>
      <c r="G7" s="102">
        <f>IF(C7="","",180)</f>
        <v>180</v>
      </c>
      <c r="H7" s="57">
        <f>IF(I7="","",0)</f>
        <v>0</v>
      </c>
      <c r="I7" s="102">
        <f>IF(VLOOKUP($P7,新手关卡!$A$3:$X$5,5,FALSE)="","",VLOOKUP($P7,新手关卡!$A$3:$X$5,6,FALSE))</f>
        <v>13</v>
      </c>
      <c r="J7" s="102">
        <f>IF(VLOOKUP($P7,新手关卡!$A$3:$X$5,5,FALSE)="","",VLOOKUP($P7,新手关卡!$A$3:$X$5,7,FALSE))</f>
        <v>0.75</v>
      </c>
      <c r="K7" s="102">
        <f>IF(I7="","",1)</f>
        <v>1</v>
      </c>
      <c r="L7" s="102" t="str">
        <f>IF(VLOOKUP($P7,新手关卡!$A$3:$X$5,5,FALSE)="","","Monster_Tutorial_"&amp;P7&amp;"_1")</f>
        <v>Monster_Tutorial_1_1</v>
      </c>
      <c r="M7" s="57">
        <f>IF(I7="","",1)</f>
        <v>1</v>
      </c>
      <c r="O7" s="102">
        <f>IF(VLOOKUP($P7,新手关卡!$A$3:$X$5,5,FALSE)="","",VLOOKUP($P7,新手关卡!$A$3:$X$5,9,FALSE))</f>
        <v>35</v>
      </c>
      <c r="P7" s="110">
        <f>IF(C7="",#REF!,C7)</f>
        <v>1</v>
      </c>
      <c r="Q7" s="110">
        <v>1</v>
      </c>
    </row>
    <row r="8" spans="1:18" x14ac:dyDescent="0.2">
      <c r="D8" s="57" t="str">
        <f t="shared" ref="D8:D18" si="0">IF(C8="","","新手关卡第"&amp;C8&amp;"波")</f>
        <v/>
      </c>
      <c r="F8" s="57" t="str">
        <f t="shared" ref="F8:F10" si="1">IF(C8="","",0)</f>
        <v/>
      </c>
      <c r="G8" s="102" t="str">
        <f t="shared" ref="G8:G10" si="2">IF(C8="","",180)</f>
        <v/>
      </c>
      <c r="H8" s="57" t="str">
        <f t="shared" ref="H8:H10" si="3">IF(I8="","",0)</f>
        <v/>
      </c>
      <c r="I8" s="102" t="str">
        <f>IF(VLOOKUP($P8,新手关卡!$A$3:$X$5,10,FALSE)="","",VLOOKUP($P8,新手关卡!$A$3:$X$5,11,FALSE))</f>
        <v/>
      </c>
      <c r="J8" s="102" t="str">
        <f>IF(VLOOKUP($P8,新手关卡!$A$3:$X$5,10,FALSE)="","",VLOOKUP($P8,新手关卡!$A$3:$X$5,12,FALSE))</f>
        <v/>
      </c>
      <c r="K8" s="102" t="str">
        <f t="shared" ref="K8:K10" si="4">IF(I8="","",1)</f>
        <v/>
      </c>
      <c r="L8" s="102" t="str">
        <f>IF(VLOOKUP($P8,新手关卡!$A$3:$X$5,10,FALSE)="","","Monster_Tutorial_"&amp;P8&amp;"_1")</f>
        <v/>
      </c>
      <c r="M8" s="57" t="str">
        <f t="shared" ref="M8:M10" si="5">IF(I8="","",1)</f>
        <v/>
      </c>
      <c r="O8" s="102" t="str">
        <f>IF(VLOOKUP($P8,新手关卡!$A$3:$X$5,10,FALSE)="","",VLOOKUP($P8,新手关卡!$A$3:$X$5,14,FALSE))</f>
        <v/>
      </c>
      <c r="P8" s="110">
        <f t="shared" ref="P8:P10" si="6">IF(C8="",P7,C8)</f>
        <v>1</v>
      </c>
      <c r="Q8" s="110">
        <v>2</v>
      </c>
    </row>
    <row r="9" spans="1:18" x14ac:dyDescent="0.2">
      <c r="D9" s="57" t="str">
        <f t="shared" si="0"/>
        <v/>
      </c>
      <c r="F9" s="57" t="str">
        <f t="shared" si="1"/>
        <v/>
      </c>
      <c r="G9" s="102" t="str">
        <f t="shared" si="2"/>
        <v/>
      </c>
      <c r="H9" s="57" t="str">
        <f t="shared" si="3"/>
        <v/>
      </c>
      <c r="I9" s="102" t="str">
        <f>IF(VLOOKUP($P9,新手关卡!$A$3:$X$5,15,FALSE)="","",VLOOKUP($P9,新手关卡!$A$3:$X$5,16,FALSE))</f>
        <v/>
      </c>
      <c r="J9" s="102" t="str">
        <f>IF(VLOOKUP($P9,新手关卡!$A$3:$X$5,15,FALSE)="","",VLOOKUP($P9,新手关卡!$A$3:$X$5,17,FALSE))</f>
        <v/>
      </c>
      <c r="K9" s="102" t="str">
        <f t="shared" si="4"/>
        <v/>
      </c>
      <c r="L9" s="102" t="str">
        <f>IF(VLOOKUP($P9,新手关卡!$A$3:$X$5,15,FALSE)="","","Monster_Tutorial_"&amp;P9&amp;"_1")</f>
        <v/>
      </c>
      <c r="M9" s="57" t="str">
        <f t="shared" si="5"/>
        <v/>
      </c>
      <c r="O9" s="102" t="str">
        <f>IF(VLOOKUP($P9,新手关卡!$A$3:$X$5,15,FALSE)="","",VLOOKUP($P9,新手关卡!$A$3:$X$5,19,FALSE))</f>
        <v/>
      </c>
      <c r="P9" s="110">
        <f t="shared" si="6"/>
        <v>1</v>
      </c>
      <c r="Q9" s="110">
        <v>3</v>
      </c>
    </row>
    <row r="10" spans="1:18" x14ac:dyDescent="0.2">
      <c r="D10" s="57" t="str">
        <f t="shared" si="0"/>
        <v/>
      </c>
      <c r="F10" s="57" t="str">
        <f t="shared" si="1"/>
        <v/>
      </c>
      <c r="G10" s="102" t="str">
        <f t="shared" si="2"/>
        <v/>
      </c>
      <c r="H10" s="57" t="str">
        <f t="shared" si="3"/>
        <v/>
      </c>
      <c r="I10" s="102" t="str">
        <f>IF(VLOOKUP($P10,新手关卡!$A$3:$X$5,20,FALSE)="","",VLOOKUP($P10,新手关卡!$A$3:$X$5,21,FALSE))</f>
        <v/>
      </c>
      <c r="J10" s="102" t="str">
        <f>IF(VLOOKUP($P10,新手关卡!$A$3:$X$5,20,FALSE)="","",VLOOKUP($P10,新手关卡!$A$3:$X$5,22,FALSE))</f>
        <v/>
      </c>
      <c r="K10" s="102" t="str">
        <f t="shared" si="4"/>
        <v/>
      </c>
      <c r="L10" s="102" t="str">
        <f>IF(VLOOKUP($P10,新手关卡!$A$3:$X$5,20,FALSE)="","","Monster_Infinite_"&amp;P10&amp;"_4")</f>
        <v/>
      </c>
      <c r="M10" s="57" t="str">
        <f t="shared" si="5"/>
        <v/>
      </c>
      <c r="O10" s="102" t="str">
        <f>IF(VLOOKUP($P10,新手关卡!$A$3:$X$5,20,FALSE)="","",VLOOKUP($P10,新手关卡!$A$3:$X$5,24,FALSE))</f>
        <v/>
      </c>
      <c r="P10" s="110">
        <f t="shared" si="6"/>
        <v>1</v>
      </c>
      <c r="Q10" s="110">
        <v>4</v>
      </c>
    </row>
    <row r="11" spans="1:18" x14ac:dyDescent="0.2">
      <c r="B11" s="57" t="s">
        <v>1412</v>
      </c>
      <c r="C11" s="57">
        <v>2</v>
      </c>
      <c r="D11" s="57" t="str">
        <f t="shared" si="0"/>
        <v>新手关卡第2波</v>
      </c>
      <c r="F11" s="57">
        <f>IF(C11="","",0)</f>
        <v>0</v>
      </c>
      <c r="G11" s="102">
        <f>IF(C11="","",180)</f>
        <v>180</v>
      </c>
      <c r="H11" s="57">
        <f>IF(I11="","",0)</f>
        <v>0</v>
      </c>
      <c r="I11" s="102">
        <f>IF(VLOOKUP($P11,新手关卡!$A$3:$X$5,5,FALSE)="","",VLOOKUP($P11,新手关卡!$A$3:$X$5,6,FALSE))</f>
        <v>7</v>
      </c>
      <c r="J11" s="102">
        <f>IF(VLOOKUP($P11,新手关卡!$A$3:$X$5,5,FALSE)="","",VLOOKUP($P11,新手关卡!$A$3:$X$5,7,FALSE))</f>
        <v>1.5</v>
      </c>
      <c r="K11" s="102">
        <f>IF(I11="","",1)</f>
        <v>1</v>
      </c>
      <c r="L11" s="102" t="str">
        <f>IF(VLOOKUP($P11,新手关卡!$A$3:$X$5,5,FALSE)="","","Monster_Tutorial_"&amp;P11&amp;"_1")</f>
        <v>Monster_Tutorial_2_1</v>
      </c>
      <c r="M11" s="57">
        <f>IF(I11="","",1)</f>
        <v>1</v>
      </c>
      <c r="O11" s="102">
        <f>IF(VLOOKUP($P11,新手关卡!$A$3:$X$5,5,FALSE)="","",VLOOKUP($P11,新手关卡!$A$3:$X$5,9,FALSE))</f>
        <v>64</v>
      </c>
      <c r="P11" s="110">
        <f>IF(C11="",#REF!,C11)</f>
        <v>2</v>
      </c>
      <c r="Q11" s="110">
        <v>1</v>
      </c>
    </row>
    <row r="12" spans="1:18" x14ac:dyDescent="0.2">
      <c r="D12" s="57" t="str">
        <f t="shared" si="0"/>
        <v/>
      </c>
      <c r="F12" s="57" t="str">
        <f t="shared" ref="F12:F14" si="7">IF(C12="","",0)</f>
        <v/>
      </c>
      <c r="G12" s="102" t="str">
        <f t="shared" ref="G12:G14" si="8">IF(C12="","",180)</f>
        <v/>
      </c>
      <c r="H12" s="57" t="str">
        <f t="shared" ref="H12:H14" si="9">IF(I12="","",0)</f>
        <v/>
      </c>
      <c r="I12" s="102" t="str">
        <f>IF(VLOOKUP($P12,新手关卡!$A$3:$X$5,10,FALSE)="","",VLOOKUP($P12,新手关卡!$A$3:$X$5,11,FALSE))</f>
        <v/>
      </c>
      <c r="J12" s="102" t="str">
        <f>IF(VLOOKUP($P12,新手关卡!$A$3:$X$5,10,FALSE)="","",VLOOKUP($P12,新手关卡!$A$3:$X$5,12,FALSE))</f>
        <v/>
      </c>
      <c r="K12" s="102" t="str">
        <f t="shared" ref="K12:K14" si="10">IF(I12="","",1)</f>
        <v/>
      </c>
      <c r="L12" s="102" t="str">
        <f>IF(VLOOKUP($P12,新手关卡!$A$3:$X$5,10,FALSE)="","","Monster_Infinite_"&amp;P12&amp;"_2")</f>
        <v/>
      </c>
      <c r="M12" s="57" t="str">
        <f t="shared" ref="M12:M14" si="11">IF(I12="","",1)</f>
        <v/>
      </c>
      <c r="O12" s="102" t="str">
        <f>IF(VLOOKUP($P12,新手关卡!$A$3:$X$5,10,FALSE)="","",VLOOKUP($P12,新手关卡!$A$3:$X$5,14,FALSE))</f>
        <v/>
      </c>
      <c r="P12" s="110">
        <f t="shared" ref="P12:P14" si="12">IF(C12="",P11,C12)</f>
        <v>2</v>
      </c>
      <c r="Q12" s="110">
        <v>2</v>
      </c>
    </row>
    <row r="13" spans="1:18" x14ac:dyDescent="0.2">
      <c r="D13" s="57" t="str">
        <f t="shared" si="0"/>
        <v/>
      </c>
      <c r="F13" s="57" t="str">
        <f t="shared" si="7"/>
        <v/>
      </c>
      <c r="G13" s="102" t="str">
        <f t="shared" si="8"/>
        <v/>
      </c>
      <c r="H13" s="57" t="str">
        <f t="shared" si="9"/>
        <v/>
      </c>
      <c r="I13" s="102" t="str">
        <f>IF(VLOOKUP($P13,新手关卡!$A$3:$X$5,15,FALSE)="","",VLOOKUP($P13,新手关卡!$A$3:$X$5,16,FALSE))</f>
        <v/>
      </c>
      <c r="J13" s="102" t="str">
        <f>IF(VLOOKUP($P13,新手关卡!$A$3:$X$5,15,FALSE)="","",VLOOKUP($P13,新手关卡!$A$3:$X$5,17,FALSE))</f>
        <v/>
      </c>
      <c r="K13" s="102" t="str">
        <f t="shared" si="10"/>
        <v/>
      </c>
      <c r="L13" s="102" t="str">
        <f>IF(VLOOKUP($P13,新手关卡!$A$3:$X$5,15,FALSE)="","","Monster_Infinite_"&amp;P13&amp;"_3")</f>
        <v/>
      </c>
      <c r="M13" s="57" t="str">
        <f t="shared" si="11"/>
        <v/>
      </c>
      <c r="O13" s="102" t="str">
        <f>IF(VLOOKUP($P13,新手关卡!$A$3:$X$5,15,FALSE)="","",VLOOKUP($P13,新手关卡!$A$3:$X$5,19,FALSE))</f>
        <v/>
      </c>
      <c r="P13" s="110">
        <f t="shared" si="12"/>
        <v>2</v>
      </c>
      <c r="Q13" s="110">
        <v>3</v>
      </c>
    </row>
    <row r="14" spans="1:18" x14ac:dyDescent="0.2">
      <c r="D14" s="57" t="str">
        <f t="shared" si="0"/>
        <v/>
      </c>
      <c r="F14" s="57" t="str">
        <f t="shared" si="7"/>
        <v/>
      </c>
      <c r="G14" s="102" t="str">
        <f t="shared" si="8"/>
        <v/>
      </c>
      <c r="H14" s="57" t="str">
        <f t="shared" si="9"/>
        <v/>
      </c>
      <c r="I14" s="102" t="str">
        <f>IF(VLOOKUP($P14,新手关卡!$A$3:$X$5,20,FALSE)="","",VLOOKUP($P14,新手关卡!$A$3:$X$5,21,FALSE))</f>
        <v/>
      </c>
      <c r="J14" s="102" t="str">
        <f>IF(VLOOKUP($P14,新手关卡!$A$3:$X$5,20,FALSE)="","",VLOOKUP($P14,新手关卡!$A$3:$X$5,22,FALSE))</f>
        <v/>
      </c>
      <c r="K14" s="102" t="str">
        <f t="shared" si="10"/>
        <v/>
      </c>
      <c r="L14" s="102" t="str">
        <f>IF(VLOOKUP($P14,新手关卡!$A$3:$X$5,20,FALSE)="","","Monster_Infinite_"&amp;P14&amp;"_4")</f>
        <v/>
      </c>
      <c r="M14" s="57" t="str">
        <f t="shared" si="11"/>
        <v/>
      </c>
      <c r="O14" s="102" t="str">
        <f>IF(VLOOKUP($P14,新手关卡!$A$3:$X$5,20,FALSE)="","",VLOOKUP($P14,新手关卡!$A$3:$X$5,24,FALSE))</f>
        <v/>
      </c>
      <c r="P14" s="110">
        <f t="shared" si="12"/>
        <v>2</v>
      </c>
      <c r="Q14" s="110">
        <v>4</v>
      </c>
    </row>
    <row r="15" spans="1:18" x14ac:dyDescent="0.2">
      <c r="B15" s="57" t="s">
        <v>1412</v>
      </c>
      <c r="C15" s="57">
        <v>3</v>
      </c>
      <c r="D15" s="57" t="str">
        <f t="shared" si="0"/>
        <v>新手关卡第3波</v>
      </c>
      <c r="F15" s="57">
        <f>IF(C15="","",0)</f>
        <v>0</v>
      </c>
      <c r="G15" s="102">
        <f>IF(C15="","",180)</f>
        <v>180</v>
      </c>
      <c r="H15" s="57">
        <f>IF(I15="","",0)</f>
        <v>0</v>
      </c>
      <c r="I15" s="102">
        <f>IF(VLOOKUP($P15,新手关卡!$A$3:$X$5,5,FALSE)="","",VLOOKUP($P15,新手关卡!$A$3:$X$5,6,FALSE))</f>
        <v>16</v>
      </c>
      <c r="J15" s="102">
        <f>IF(VLOOKUP($P15,新手关卡!$A$3:$X$5,5,FALSE)="","",VLOOKUP($P15,新手关卡!$A$3:$X$5,7,FALSE))</f>
        <v>0.75</v>
      </c>
      <c r="K15" s="102">
        <f>IF(I15="","",1)</f>
        <v>1</v>
      </c>
      <c r="L15" s="102" t="str">
        <f>IF(VLOOKUP($P15,新手关卡!$A$3:$X$5,5,FALSE)="","","Monster_Tutorial_"&amp;P15&amp;"_1")</f>
        <v>Monster_Tutorial_3_1</v>
      </c>
      <c r="M15" s="57">
        <f>IF(I15="","",1)</f>
        <v>1</v>
      </c>
      <c r="O15" s="102">
        <f>IF(VLOOKUP($P15,新手关卡!$A$3:$X$5,5,FALSE)="","",VLOOKUP($P15,新手关卡!$A$3:$X$5,9,FALSE))</f>
        <v>6</v>
      </c>
      <c r="P15" s="110">
        <f>IF(C15="",#REF!,C15)</f>
        <v>3</v>
      </c>
      <c r="Q15" s="110">
        <v>1</v>
      </c>
    </row>
    <row r="16" spans="1:18" x14ac:dyDescent="0.2">
      <c r="D16" s="57" t="str">
        <f t="shared" si="0"/>
        <v/>
      </c>
      <c r="F16" s="57" t="str">
        <f t="shared" ref="F16:F18" si="13">IF(C16="","",0)</f>
        <v/>
      </c>
      <c r="G16" s="102" t="str">
        <f t="shared" ref="G16:G18" si="14">IF(C16="","",180)</f>
        <v/>
      </c>
      <c r="H16" s="57">
        <f t="shared" ref="H16:H18" si="15">IF(I16="","",0)</f>
        <v>0</v>
      </c>
      <c r="I16" s="102">
        <f>IF(VLOOKUP($P16,新手关卡!$A$3:$X$5,10,FALSE)="","",VLOOKUP($P16,新手关卡!$A$3:$X$5,11,FALSE))</f>
        <v>8</v>
      </c>
      <c r="J16" s="102">
        <f>IF(VLOOKUP($P16,新手关卡!$A$3:$X$5,10,FALSE)="","",VLOOKUP($P16,新手关卡!$A$3:$X$5,12,FALSE))</f>
        <v>1.5</v>
      </c>
      <c r="K16" s="102">
        <f t="shared" ref="K16:K18" si="16">IF(I16="","",1)</f>
        <v>1</v>
      </c>
      <c r="L16" s="102" t="str">
        <f>IF(VLOOKUP($P16,新手关卡!$A$3:$X$5,10,FALSE)="","","Monster_Tutorial_"&amp;P16&amp;"_2")</f>
        <v>Monster_Tutorial_3_2</v>
      </c>
      <c r="M16" s="57">
        <f t="shared" ref="M16:M18" si="17">IF(I16="","",1)</f>
        <v>1</v>
      </c>
      <c r="O16" s="102">
        <f>IF(VLOOKUP($P16,新手关卡!$A$3:$X$5,10,FALSE)="","",VLOOKUP($P16,新手关卡!$A$3:$X$5,14,FALSE))</f>
        <v>25</v>
      </c>
      <c r="P16" s="110">
        <f t="shared" ref="P16:P18" si="18">IF(C16="",P15,C16)</f>
        <v>3</v>
      </c>
      <c r="Q16" s="110">
        <v>2</v>
      </c>
    </row>
    <row r="17" spans="2:17" x14ac:dyDescent="0.2">
      <c r="D17" s="57" t="str">
        <f t="shared" si="0"/>
        <v/>
      </c>
      <c r="F17" s="57" t="str">
        <f t="shared" si="13"/>
        <v/>
      </c>
      <c r="G17" s="102" t="str">
        <f t="shared" si="14"/>
        <v/>
      </c>
      <c r="H17" s="57">
        <f t="shared" si="15"/>
        <v>0</v>
      </c>
      <c r="I17" s="102">
        <f>IF(VLOOKUP($P17,新手关卡!$A$3:$X$5,15,FALSE)="","",VLOOKUP($P17,新手关卡!$A$3:$X$5,16,FALSE))</f>
        <v>12</v>
      </c>
      <c r="J17" s="102">
        <f>IF(VLOOKUP($P17,新手关卡!$A$3:$X$5,15,FALSE)="","",VLOOKUP($P17,新手关卡!$A$3:$X$5,17,FALSE))</f>
        <v>1</v>
      </c>
      <c r="K17" s="102">
        <f t="shared" si="16"/>
        <v>1</v>
      </c>
      <c r="L17" s="102" t="str">
        <f>IF(VLOOKUP($P17,新手关卡!$A$3:$X$5,15,FALSE)="","","Monster_Tutorial_"&amp;P17&amp;"_3")</f>
        <v>Monster_Tutorial_3_3</v>
      </c>
      <c r="M17" s="57">
        <f t="shared" si="17"/>
        <v>1</v>
      </c>
      <c r="O17" s="102">
        <f>IF(VLOOKUP($P17,新手关卡!$A$3:$X$5,15,FALSE)="","",VLOOKUP($P17,新手关卡!$A$3:$X$5,19,FALSE))</f>
        <v>13</v>
      </c>
      <c r="P17" s="110">
        <f t="shared" si="18"/>
        <v>3</v>
      </c>
      <c r="Q17" s="110">
        <v>3</v>
      </c>
    </row>
    <row r="18" spans="2:17" x14ac:dyDescent="0.2">
      <c r="D18" s="57" t="str">
        <f t="shared" si="0"/>
        <v/>
      </c>
      <c r="F18" s="57" t="str">
        <f t="shared" si="13"/>
        <v/>
      </c>
      <c r="G18" s="102" t="str">
        <f t="shared" si="14"/>
        <v/>
      </c>
      <c r="H18" s="57" t="str">
        <f t="shared" si="15"/>
        <v/>
      </c>
      <c r="I18" s="102" t="str">
        <f>IF(VLOOKUP($P18,新手关卡!$A$3:$X$5,20,FALSE)="","",VLOOKUP($P18,新手关卡!$A$3:$X$5,21,FALSE))</f>
        <v/>
      </c>
      <c r="J18" s="102" t="str">
        <f>IF(VLOOKUP($P18,新手关卡!$A$3:$X$5,20,FALSE)="","",VLOOKUP($P18,新手关卡!$A$3:$X$5,22,FALSE))</f>
        <v/>
      </c>
      <c r="K18" s="102" t="str">
        <f t="shared" si="16"/>
        <v/>
      </c>
      <c r="L18" s="102" t="str">
        <f>IF(VLOOKUP($P18,新手关卡!$A$3:$X$5,20,FALSE)="","","Monster_Infinite_"&amp;P18&amp;"_4")</f>
        <v/>
      </c>
      <c r="M18" s="57" t="str">
        <f t="shared" si="17"/>
        <v/>
      </c>
      <c r="O18" s="102" t="str">
        <f>IF(VLOOKUP($P18,新手关卡!$A$3:$X$5,20,FALSE)="","",VLOOKUP($P18,新手关卡!$A$3:$X$5,24,FALSE))</f>
        <v/>
      </c>
      <c r="P18" s="110">
        <f t="shared" si="18"/>
        <v>3</v>
      </c>
      <c r="Q18" s="110">
        <v>4</v>
      </c>
    </row>
    <row r="23" spans="2:17" x14ac:dyDescent="0.2">
      <c r="B23" s="57" t="s">
        <v>452</v>
      </c>
      <c r="C23" s="57">
        <v>1</v>
      </c>
      <c r="D23" s="57" t="str">
        <f t="shared" ref="D23:D54" si="19">IF(C23="","","无限模式第"&amp;C23&amp;"波")</f>
        <v>无限模式第1波</v>
      </c>
      <c r="F23" s="57">
        <f>IF(C23="","",0)</f>
        <v>0</v>
      </c>
      <c r="G23" s="102">
        <f>IF(C23="","",180)</f>
        <v>180</v>
      </c>
      <c r="H23" s="57">
        <f>IF(I23="","",0)</f>
        <v>0</v>
      </c>
      <c r="I23" s="102">
        <f>IF(VLOOKUP($P23,无限模式!$A$3:$X$22,5,FALSE)="","",VLOOKUP($P23,无限模式!$A$3:$X$22,6,FALSE))</f>
        <v>13</v>
      </c>
      <c r="J23" s="102">
        <f>IF(VLOOKUP($P23,无限模式!$A$3:$X$22,5,FALSE)="","",VLOOKUP($P23,无限模式!$A$3:$X$22,7,FALSE))</f>
        <v>0.75</v>
      </c>
      <c r="K23" s="102">
        <f>IF(I23="","",1)</f>
        <v>1</v>
      </c>
      <c r="L23" s="102" t="str">
        <f>IF(VLOOKUP($P23,无限模式!$A$3:$X$22,5,FALSE)="","","Monster_Infinite_"&amp;P23&amp;"_1")</f>
        <v>Monster_Infinite_1_1</v>
      </c>
      <c r="M23" s="57">
        <f>IF(I23="","",1)</f>
        <v>1</v>
      </c>
      <c r="O23" s="102">
        <f>IF(VLOOKUP($P23,无限模式!$A$3:$X$22,5,FALSE)="","",VLOOKUP($P23,无限模式!$A$3:$X$22,9,FALSE))</f>
        <v>55</v>
      </c>
      <c r="P23" s="110">
        <f>IF(C23="",P6,C23)</f>
        <v>1</v>
      </c>
      <c r="Q23" s="110">
        <v>1</v>
      </c>
    </row>
    <row r="24" spans="2:17" x14ac:dyDescent="0.2">
      <c r="D24" s="57" t="str">
        <f t="shared" si="19"/>
        <v/>
      </c>
      <c r="F24" s="57" t="str">
        <f t="shared" ref="F24:F87" si="20">IF(C24="","",0)</f>
        <v/>
      </c>
      <c r="G24" s="102" t="str">
        <f t="shared" ref="G24:G87" si="21">IF(C24="","",180)</f>
        <v/>
      </c>
      <c r="H24" s="57" t="str">
        <f t="shared" ref="H24:H87" si="22">IF(I24="","",0)</f>
        <v/>
      </c>
      <c r="I24" s="102" t="str">
        <f>IF(VLOOKUP($P24,无限模式!$A$3:$X$22,10,FALSE)="","",VLOOKUP($P24,无限模式!$A$3:$X$22,11,FALSE))</f>
        <v/>
      </c>
      <c r="J24" s="102" t="str">
        <f>IF(VLOOKUP($P24,无限模式!$A$3:$X$22,10,FALSE)="","",VLOOKUP($P24,无限模式!$A$3:$X$22,12,FALSE))</f>
        <v/>
      </c>
      <c r="K24" s="102" t="str">
        <f t="shared" ref="K24:K87" si="23">IF(I24="","",1)</f>
        <v/>
      </c>
      <c r="L24" s="102" t="str">
        <f>IF(VLOOKUP($P24,无限模式!$A$3:$X$22,10,FALSE)="","","Monster_Infinite_"&amp;P24&amp;"_2")</f>
        <v/>
      </c>
      <c r="M24" s="57" t="str">
        <f t="shared" ref="M24:M87" si="24">IF(I24="","",1)</f>
        <v/>
      </c>
      <c r="O24" s="102" t="str">
        <f>IF(VLOOKUP($P24,无限模式!$A$3:$X$22,10,FALSE)="","",VLOOKUP($P24,无限模式!$A$3:$X$22,14,FALSE))</f>
        <v/>
      </c>
      <c r="P24" s="110">
        <f t="shared" ref="P24:P87" si="25">IF(C24="",P23,C24)</f>
        <v>1</v>
      </c>
      <c r="Q24" s="110">
        <v>2</v>
      </c>
    </row>
    <row r="25" spans="2:17" x14ac:dyDescent="0.2">
      <c r="D25" s="57" t="str">
        <f t="shared" si="19"/>
        <v/>
      </c>
      <c r="F25" s="57" t="str">
        <f t="shared" si="20"/>
        <v/>
      </c>
      <c r="G25" s="102" t="str">
        <f t="shared" si="21"/>
        <v/>
      </c>
      <c r="H25" s="57" t="str">
        <f t="shared" si="22"/>
        <v/>
      </c>
      <c r="I25" s="102" t="str">
        <f>IF(VLOOKUP($P25,无限模式!$A$3:$X$22,15,FALSE)="","",VLOOKUP($P25,无限模式!$A$3:$X$22,16,FALSE))</f>
        <v/>
      </c>
      <c r="J25" s="102" t="str">
        <f>IF(VLOOKUP($P25,无限模式!$A$3:$X$22,15,FALSE)="","",VLOOKUP($P25,无限模式!$A$3:$X$22,17,FALSE))</f>
        <v/>
      </c>
      <c r="K25" s="102" t="str">
        <f t="shared" si="23"/>
        <v/>
      </c>
      <c r="L25" s="102" t="str">
        <f>IF(VLOOKUP($P25,无限模式!$A$3:$X$22,15,FALSE)="","","Monster_Infinite_"&amp;P25&amp;"_3")</f>
        <v/>
      </c>
      <c r="M25" s="57" t="str">
        <f t="shared" si="24"/>
        <v/>
      </c>
      <c r="O25" s="102" t="str">
        <f>IF(VLOOKUP($P25,无限模式!$A$3:$X$22,15,FALSE)="","",VLOOKUP($P25,无限模式!$A$3:$X$22,19,FALSE))</f>
        <v/>
      </c>
      <c r="P25" s="110">
        <f t="shared" si="25"/>
        <v>1</v>
      </c>
      <c r="Q25" s="110">
        <v>3</v>
      </c>
    </row>
    <row r="26" spans="2:17" x14ac:dyDescent="0.2">
      <c r="D26" s="57" t="str">
        <f t="shared" si="19"/>
        <v/>
      </c>
      <c r="F26" s="57" t="str">
        <f t="shared" si="20"/>
        <v/>
      </c>
      <c r="G26" s="102" t="str">
        <f t="shared" si="21"/>
        <v/>
      </c>
      <c r="H26" s="57" t="str">
        <f t="shared" si="22"/>
        <v/>
      </c>
      <c r="I26" s="102" t="str">
        <f>IF(VLOOKUP($P26,无限模式!$A$3:$X$22,20,FALSE)="","",VLOOKUP($P26,无限模式!$A$3:$X$22,21,FALSE))</f>
        <v/>
      </c>
      <c r="J26" s="102" t="str">
        <f>IF(VLOOKUP($P26,无限模式!$A$3:$X$22,20,FALSE)="","",VLOOKUP($P26,无限模式!$A$3:$X$22,22,FALSE))</f>
        <v/>
      </c>
      <c r="K26" s="102" t="str">
        <f t="shared" si="23"/>
        <v/>
      </c>
      <c r="L26" s="102" t="str">
        <f>IF(VLOOKUP($P26,无限模式!$A$3:$X$22,20,FALSE)="","","Monster_Infinite_"&amp;P26&amp;"_4")</f>
        <v/>
      </c>
      <c r="M26" s="57" t="str">
        <f t="shared" si="24"/>
        <v/>
      </c>
      <c r="O26" s="102" t="str">
        <f>IF(VLOOKUP($P26,无限模式!$A$3:$X$22,20,FALSE)="","",VLOOKUP($P26,无限模式!$A$3:$X$22,24,FALSE))</f>
        <v/>
      </c>
      <c r="P26" s="110">
        <f t="shared" si="25"/>
        <v>1</v>
      </c>
      <c r="Q26" s="110">
        <v>4</v>
      </c>
    </row>
    <row r="27" spans="2:17" x14ac:dyDescent="0.2">
      <c r="B27" s="57" t="s">
        <v>452</v>
      </c>
      <c r="C27" s="57">
        <v>2</v>
      </c>
      <c r="D27" s="57" t="str">
        <f t="shared" si="19"/>
        <v>无限模式第2波</v>
      </c>
      <c r="F27" s="57">
        <f t="shared" si="20"/>
        <v>0</v>
      </c>
      <c r="G27" s="102">
        <f t="shared" si="21"/>
        <v>180</v>
      </c>
      <c r="H27" s="57">
        <f t="shared" si="22"/>
        <v>0</v>
      </c>
      <c r="I27" s="102">
        <f>IF(VLOOKUP($P27,无限模式!$A$3:$X$22,5,FALSE)="","",VLOOKUP($P27,无限模式!$A$3:$X$22,6,FALSE))</f>
        <v>15</v>
      </c>
      <c r="J27" s="102">
        <f>IF(VLOOKUP($P27,无限模式!$A$3:$X$22,5,FALSE)="","",VLOOKUP($P27,无限模式!$A$3:$X$22,7,FALSE))</f>
        <v>0.75</v>
      </c>
      <c r="K27" s="102">
        <f t="shared" si="23"/>
        <v>1</v>
      </c>
      <c r="L27" s="102" t="str">
        <f>IF(VLOOKUP($P27,无限模式!$A$3:$X$22,5,FALSE)="","","Monster_Infinite_"&amp;P27&amp;"_1")</f>
        <v>Monster_Infinite_2_1</v>
      </c>
      <c r="M27" s="57">
        <f t="shared" si="24"/>
        <v>1</v>
      </c>
      <c r="O27" s="102">
        <f>IF(VLOOKUP($P27,无限模式!$A$3:$X$22,5,FALSE)="","",VLOOKUP($P27,无限模式!$A$3:$X$22,9,FALSE))</f>
        <v>17</v>
      </c>
      <c r="P27" s="110">
        <f t="shared" si="25"/>
        <v>2</v>
      </c>
      <c r="Q27" s="110">
        <v>1</v>
      </c>
    </row>
    <row r="28" spans="2:17" x14ac:dyDescent="0.2">
      <c r="D28" s="57" t="str">
        <f t="shared" si="19"/>
        <v/>
      </c>
      <c r="F28" s="57" t="str">
        <f t="shared" si="20"/>
        <v/>
      </c>
      <c r="G28" s="102" t="str">
        <f t="shared" si="21"/>
        <v/>
      </c>
      <c r="H28" s="57">
        <f t="shared" si="22"/>
        <v>0</v>
      </c>
      <c r="I28" s="102">
        <f>IF(VLOOKUP($P28,无限模式!$A$3:$X$22,10,FALSE)="","",VLOOKUP($P28,无限模式!$A$3:$X$22,11,FALSE))</f>
        <v>7</v>
      </c>
      <c r="J28" s="102">
        <f>IF(VLOOKUP($P28,无限模式!$A$3:$X$22,10,FALSE)="","",VLOOKUP($P28,无限模式!$A$3:$X$22,12,FALSE))</f>
        <v>1.5</v>
      </c>
      <c r="K28" s="102">
        <f t="shared" si="23"/>
        <v>1</v>
      </c>
      <c r="L28" s="102" t="str">
        <f>IF(VLOOKUP($P28,无限模式!$A$3:$X$22,10,FALSE)="","","Monster_Infinite_"&amp;P28&amp;"_2")</f>
        <v>Monster_Infinite_2_2</v>
      </c>
      <c r="M28" s="57">
        <f t="shared" si="24"/>
        <v>1</v>
      </c>
      <c r="O28" s="102">
        <f>IF(VLOOKUP($P28,无限模式!$A$3:$X$22,10,FALSE)="","",VLOOKUP($P28,无限模式!$A$3:$X$22,14,FALSE))</f>
        <v>67</v>
      </c>
      <c r="P28" s="110">
        <f t="shared" si="25"/>
        <v>2</v>
      </c>
      <c r="Q28" s="110">
        <v>2</v>
      </c>
    </row>
    <row r="29" spans="2:17" x14ac:dyDescent="0.2">
      <c r="D29" s="57" t="str">
        <f t="shared" si="19"/>
        <v/>
      </c>
      <c r="F29" s="57" t="str">
        <f t="shared" si="20"/>
        <v/>
      </c>
      <c r="G29" s="102" t="str">
        <f t="shared" si="21"/>
        <v/>
      </c>
      <c r="H29" s="57" t="str">
        <f t="shared" si="22"/>
        <v/>
      </c>
      <c r="I29" s="102" t="str">
        <f>IF(VLOOKUP($P29,无限模式!$A$3:$X$22,15,FALSE)="","",VLOOKUP(P29,无限模式!$A$3:$X$22,16,FALSE))</f>
        <v/>
      </c>
      <c r="J29" s="102" t="str">
        <f>IF(VLOOKUP($P29,无限模式!$A$3:$X$22,15,FALSE)="","",VLOOKUP($P29,无限模式!$A$3:$X$22,17,FALSE))</f>
        <v/>
      </c>
      <c r="K29" s="102" t="str">
        <f t="shared" si="23"/>
        <v/>
      </c>
      <c r="L29" s="102" t="str">
        <f>IF(VLOOKUP($P29,无限模式!$A$3:$X$22,15,FALSE)="","","Monster_Infinite_"&amp;P29&amp;"_3")</f>
        <v/>
      </c>
      <c r="M29" s="57" t="str">
        <f t="shared" si="24"/>
        <v/>
      </c>
      <c r="O29" s="102" t="str">
        <f>IF(VLOOKUP($P29,无限模式!$A$3:$X$22,15,FALSE)="","",VLOOKUP($P29,无限模式!$A$3:$X$22,19,FALSE))</f>
        <v/>
      </c>
      <c r="P29" s="110">
        <f t="shared" si="25"/>
        <v>2</v>
      </c>
      <c r="Q29" s="110">
        <v>3</v>
      </c>
    </row>
    <row r="30" spans="2:17" x14ac:dyDescent="0.2">
      <c r="D30" s="57" t="str">
        <f t="shared" si="19"/>
        <v/>
      </c>
      <c r="F30" s="57" t="str">
        <f t="shared" si="20"/>
        <v/>
      </c>
      <c r="G30" s="102" t="str">
        <f t="shared" si="21"/>
        <v/>
      </c>
      <c r="H30" s="57" t="str">
        <f t="shared" si="22"/>
        <v/>
      </c>
      <c r="I30" s="102" t="str">
        <f>IF(VLOOKUP($P30,无限模式!$A$3:$X$22,20,FALSE)="","",VLOOKUP($P30,无限模式!$A$3:$X$22,21,FALSE))</f>
        <v/>
      </c>
      <c r="J30" s="102" t="str">
        <f>IF(VLOOKUP($P30,无限模式!$A$3:$X$22,20,FALSE)="","",VLOOKUP($P30,无限模式!$A$3:$X$22,22,FALSE))</f>
        <v/>
      </c>
      <c r="K30" s="102" t="str">
        <f t="shared" si="23"/>
        <v/>
      </c>
      <c r="L30" s="102" t="str">
        <f>IF(VLOOKUP($P30,无限模式!$A$3:$X$22,20,FALSE)="","","Monster_Infinite_"&amp;P30&amp;"_4")</f>
        <v/>
      </c>
      <c r="M30" s="57" t="str">
        <f t="shared" si="24"/>
        <v/>
      </c>
      <c r="O30" s="102" t="str">
        <f>IF(VLOOKUP($P30,无限模式!$A$3:$X$22,20,FALSE)="","",VLOOKUP($P30,无限模式!$A$3:$X$22,24,FALSE))</f>
        <v/>
      </c>
      <c r="P30" s="110">
        <f t="shared" si="25"/>
        <v>2</v>
      </c>
      <c r="Q30" s="110">
        <v>4</v>
      </c>
    </row>
    <row r="31" spans="2:17" x14ac:dyDescent="0.2">
      <c r="B31" s="57" t="s">
        <v>452</v>
      </c>
      <c r="C31" s="57">
        <v>3</v>
      </c>
      <c r="D31" s="57" t="str">
        <f t="shared" si="19"/>
        <v>无限模式第3波</v>
      </c>
      <c r="F31" s="57">
        <f t="shared" si="20"/>
        <v>0</v>
      </c>
      <c r="G31" s="102">
        <f t="shared" si="21"/>
        <v>180</v>
      </c>
      <c r="H31" s="57">
        <f t="shared" si="22"/>
        <v>0</v>
      </c>
      <c r="I31" s="102">
        <f>IF(VLOOKUP($P31,无限模式!$A$3:$X$22,5,FALSE)="","",VLOOKUP($P31,无限模式!$A$3:$X$22,6,FALSE))</f>
        <v>8</v>
      </c>
      <c r="J31" s="102">
        <f>IF(VLOOKUP($P31,无限模式!$A$3:$X$22,5,FALSE)="","",VLOOKUP($P31,无限模式!$A$3:$X$22,7,FALSE))</f>
        <v>1.5</v>
      </c>
      <c r="K31" s="102">
        <f t="shared" si="23"/>
        <v>1</v>
      </c>
      <c r="L31" s="102" t="str">
        <f>IF(VLOOKUP($P31,无限模式!$A$3:$X$22,5,FALSE)="","","Monster_Infinite_"&amp;P31&amp;"_1")</f>
        <v>Monster_Infinite_3_1</v>
      </c>
      <c r="M31" s="57">
        <f t="shared" si="24"/>
        <v>1</v>
      </c>
      <c r="O31" s="102">
        <f>IF(VLOOKUP($P31,无限模式!$A$3:$X$22,5,FALSE)="","",VLOOKUP($P31,无限模式!$A$3:$X$22,9,FALSE))</f>
        <v>31</v>
      </c>
      <c r="P31" s="110">
        <f t="shared" si="25"/>
        <v>3</v>
      </c>
      <c r="Q31" s="110">
        <v>1</v>
      </c>
    </row>
    <row r="32" spans="2:17" x14ac:dyDescent="0.2">
      <c r="D32" s="57" t="str">
        <f t="shared" si="19"/>
        <v/>
      </c>
      <c r="F32" s="57" t="str">
        <f t="shared" si="20"/>
        <v/>
      </c>
      <c r="G32" s="102" t="str">
        <f t="shared" si="21"/>
        <v/>
      </c>
      <c r="H32" s="57">
        <f t="shared" si="22"/>
        <v>0</v>
      </c>
      <c r="I32" s="102">
        <f>IF(VLOOKUP($P32,无限模式!$A$3:$X$22,10,FALSE)="","",VLOOKUP($P32,无限模式!$A$3:$X$22,11,FALSE))</f>
        <v>60</v>
      </c>
      <c r="J32" s="102">
        <f>IF(VLOOKUP($P32,无限模式!$A$3:$X$22,10,FALSE)="","",VLOOKUP($P32,无限模式!$A$3:$X$22,12,FALSE))</f>
        <v>0.2</v>
      </c>
      <c r="K32" s="102">
        <f t="shared" si="23"/>
        <v>1</v>
      </c>
      <c r="L32" s="102" t="str">
        <f>IF(VLOOKUP($P32,无限模式!$A$3:$X$22,10,FALSE)="","","Monster_Infinite_"&amp;P32&amp;"_2")</f>
        <v>Monster_Infinite_3_2</v>
      </c>
      <c r="M32" s="57">
        <f t="shared" si="24"/>
        <v>1</v>
      </c>
      <c r="O32" s="102">
        <f>IF(VLOOKUP($P32,无限模式!$A$3:$X$22,10,FALSE)="","",VLOOKUP($P32,无限模式!$A$3:$X$22,14,FALSE))</f>
        <v>8</v>
      </c>
      <c r="P32" s="110">
        <f t="shared" si="25"/>
        <v>3</v>
      </c>
      <c r="Q32" s="110">
        <v>2</v>
      </c>
    </row>
    <row r="33" spans="2:17" x14ac:dyDescent="0.2">
      <c r="D33" s="57" t="str">
        <f t="shared" si="19"/>
        <v/>
      </c>
      <c r="F33" s="57" t="str">
        <f t="shared" si="20"/>
        <v/>
      </c>
      <c r="G33" s="102" t="str">
        <f t="shared" si="21"/>
        <v/>
      </c>
      <c r="H33" s="57" t="str">
        <f t="shared" si="22"/>
        <v/>
      </c>
      <c r="I33" s="102" t="str">
        <f>IF(VLOOKUP($P33,无限模式!$A$3:$X$22,15,FALSE)="","",VLOOKUP(P33,无限模式!$A$3:$X$22,16,FALSE))</f>
        <v/>
      </c>
      <c r="J33" s="102" t="str">
        <f>IF(VLOOKUP($P33,无限模式!$A$3:$X$22,15,FALSE)="","",VLOOKUP($P33,无限模式!$A$3:$X$22,17,FALSE))</f>
        <v/>
      </c>
      <c r="K33" s="102" t="str">
        <f t="shared" si="23"/>
        <v/>
      </c>
      <c r="L33" s="102" t="str">
        <f>IF(VLOOKUP($P33,无限模式!$A$3:$X$22,15,FALSE)="","","Monster_Infinite_"&amp;P33&amp;"_3")</f>
        <v/>
      </c>
      <c r="M33" s="57" t="str">
        <f t="shared" si="24"/>
        <v/>
      </c>
      <c r="O33" s="102" t="str">
        <f>IF(VLOOKUP($P33,无限模式!$A$3:$X$22,15,FALSE)="","",VLOOKUP($P33,无限模式!$A$3:$X$22,19,FALSE))</f>
        <v/>
      </c>
      <c r="P33" s="110">
        <f t="shared" si="25"/>
        <v>3</v>
      </c>
      <c r="Q33" s="110">
        <v>3</v>
      </c>
    </row>
    <row r="34" spans="2:17" x14ac:dyDescent="0.2">
      <c r="D34" s="57" t="str">
        <f t="shared" si="19"/>
        <v/>
      </c>
      <c r="F34" s="57" t="str">
        <f t="shared" si="20"/>
        <v/>
      </c>
      <c r="G34" s="102" t="str">
        <f t="shared" si="21"/>
        <v/>
      </c>
      <c r="H34" s="57" t="str">
        <f t="shared" si="22"/>
        <v/>
      </c>
      <c r="I34" s="102" t="str">
        <f>IF(VLOOKUP($P34,无限模式!$A$3:$X$22,20,FALSE)="","",VLOOKUP($P34,无限模式!$A$3:$X$22,21,FALSE))</f>
        <v/>
      </c>
      <c r="J34" s="102" t="str">
        <f>IF(VLOOKUP($P34,无限模式!$A$3:$X$22,20,FALSE)="","",VLOOKUP($P34,无限模式!$A$3:$X$22,22,FALSE))</f>
        <v/>
      </c>
      <c r="K34" s="102" t="str">
        <f t="shared" si="23"/>
        <v/>
      </c>
      <c r="L34" s="102" t="str">
        <f>IF(VLOOKUP($P34,无限模式!$A$3:$X$22,20,FALSE)="","","Monster_Infinite_"&amp;P34&amp;"_4")</f>
        <v/>
      </c>
      <c r="M34" s="57" t="str">
        <f t="shared" si="24"/>
        <v/>
      </c>
      <c r="O34" s="102" t="str">
        <f>IF(VLOOKUP($P34,无限模式!$A$3:$X$22,20,FALSE)="","",VLOOKUP($P34,无限模式!$A$3:$X$22,24,FALSE))</f>
        <v/>
      </c>
      <c r="P34" s="110">
        <f t="shared" si="25"/>
        <v>3</v>
      </c>
      <c r="Q34" s="110">
        <v>4</v>
      </c>
    </row>
    <row r="35" spans="2:17" x14ac:dyDescent="0.2">
      <c r="B35" s="57" t="s">
        <v>452</v>
      </c>
      <c r="C35" s="57">
        <v>4</v>
      </c>
      <c r="D35" s="57" t="str">
        <f t="shared" si="19"/>
        <v>无限模式第4波</v>
      </c>
      <c r="F35" s="57">
        <f t="shared" si="20"/>
        <v>0</v>
      </c>
      <c r="G35" s="102">
        <f t="shared" si="21"/>
        <v>180</v>
      </c>
      <c r="H35" s="57">
        <f t="shared" si="22"/>
        <v>0</v>
      </c>
      <c r="I35" s="102">
        <f>IF(VLOOKUP($P35,无限模式!$A$3:$X$22,5,FALSE)="","",VLOOKUP($P35,无限模式!$A$3:$X$22,6,FALSE))</f>
        <v>1</v>
      </c>
      <c r="J35" s="102">
        <f>IF(VLOOKUP($P35,无限模式!$A$3:$X$22,5,FALSE)="","",VLOOKUP($P35,无限模式!$A$3:$X$22,7,FALSE))</f>
        <v>0</v>
      </c>
      <c r="K35" s="102">
        <f t="shared" si="23"/>
        <v>1</v>
      </c>
      <c r="L35" s="102" t="str">
        <f>IF(VLOOKUP($P35,无限模式!$A$3:$X$22,5,FALSE)="","","Monster_Infinite_"&amp;P35&amp;"_1")</f>
        <v>Monster_Infinite_4_1</v>
      </c>
      <c r="M35" s="57">
        <f t="shared" si="24"/>
        <v>1</v>
      </c>
      <c r="O35" s="102">
        <f>IF(VLOOKUP($P35,无限模式!$A$3:$X$22,5,FALSE)="","",VLOOKUP($P35,无限模式!$A$3:$X$22,9,FALSE))</f>
        <v>397</v>
      </c>
      <c r="P35" s="110">
        <f t="shared" si="25"/>
        <v>4</v>
      </c>
      <c r="Q35" s="110">
        <v>1</v>
      </c>
    </row>
    <row r="36" spans="2:17" x14ac:dyDescent="0.2">
      <c r="D36" s="57" t="str">
        <f t="shared" si="19"/>
        <v/>
      </c>
      <c r="F36" s="57" t="str">
        <f t="shared" si="20"/>
        <v/>
      </c>
      <c r="G36" s="102" t="str">
        <f t="shared" si="21"/>
        <v/>
      </c>
      <c r="H36" s="57">
        <f t="shared" si="22"/>
        <v>0</v>
      </c>
      <c r="I36" s="102">
        <f>IF(VLOOKUP($P36,无限模式!$A$3:$X$22,10,FALSE)="","",VLOOKUP($P36,无限模式!$A$3:$X$22,11,FALSE))</f>
        <v>65</v>
      </c>
      <c r="J36" s="102">
        <f>IF(VLOOKUP($P36,无限模式!$A$3:$X$22,10,FALSE)="","",VLOOKUP($P36,无限模式!$A$3:$X$22,12,FALSE))</f>
        <v>0.2</v>
      </c>
      <c r="K36" s="102">
        <f t="shared" si="23"/>
        <v>1</v>
      </c>
      <c r="L36" s="102" t="str">
        <f>IF(VLOOKUP($P36,无限模式!$A$3:$X$22,10,FALSE)="","","Monster_Infinite_"&amp;P36&amp;"_2")</f>
        <v>Monster_Infinite_4_2</v>
      </c>
      <c r="M36" s="57">
        <f t="shared" si="24"/>
        <v>1</v>
      </c>
      <c r="O36" s="102">
        <f>IF(VLOOKUP($P36,无限模式!$A$3:$X$22,10,FALSE)="","",VLOOKUP($P36,无限模式!$A$3:$X$22,14,FALSE))</f>
        <v>5</v>
      </c>
      <c r="P36" s="110">
        <f t="shared" si="25"/>
        <v>4</v>
      </c>
      <c r="Q36" s="110">
        <v>2</v>
      </c>
    </row>
    <row r="37" spans="2:17" x14ac:dyDescent="0.2">
      <c r="D37" s="57" t="str">
        <f t="shared" si="19"/>
        <v/>
      </c>
      <c r="F37" s="57" t="str">
        <f t="shared" si="20"/>
        <v/>
      </c>
      <c r="G37" s="102" t="str">
        <f t="shared" si="21"/>
        <v/>
      </c>
      <c r="H37" s="57" t="str">
        <f t="shared" si="22"/>
        <v/>
      </c>
      <c r="I37" s="102" t="str">
        <f>IF(VLOOKUP($P37,无限模式!$A$3:$X$22,15,FALSE)="","",VLOOKUP(P37,无限模式!$A$3:$X$22,16,FALSE))</f>
        <v/>
      </c>
      <c r="J37" s="102" t="str">
        <f>IF(VLOOKUP($P37,无限模式!$A$3:$X$22,15,FALSE)="","",VLOOKUP($P37,无限模式!$A$3:$X$22,17,FALSE))</f>
        <v/>
      </c>
      <c r="K37" s="102" t="str">
        <f t="shared" si="23"/>
        <v/>
      </c>
      <c r="L37" s="102" t="str">
        <f>IF(VLOOKUP($P37,无限模式!$A$3:$X$22,15,FALSE)="","","Monster_Infinite_"&amp;P37&amp;"_3")</f>
        <v/>
      </c>
      <c r="M37" s="57" t="str">
        <f t="shared" si="24"/>
        <v/>
      </c>
      <c r="O37" s="102" t="str">
        <f>IF(VLOOKUP($P37,无限模式!$A$3:$X$22,15,FALSE)="","",VLOOKUP($P37,无限模式!$A$3:$X$22,19,FALSE))</f>
        <v/>
      </c>
      <c r="P37" s="110">
        <f t="shared" si="25"/>
        <v>4</v>
      </c>
      <c r="Q37" s="110">
        <v>3</v>
      </c>
    </row>
    <row r="38" spans="2:17" x14ac:dyDescent="0.2">
      <c r="D38" s="57" t="str">
        <f t="shared" si="19"/>
        <v/>
      </c>
      <c r="F38" s="57" t="str">
        <f t="shared" si="20"/>
        <v/>
      </c>
      <c r="G38" s="102" t="str">
        <f t="shared" si="21"/>
        <v/>
      </c>
      <c r="H38" s="57" t="str">
        <f t="shared" si="22"/>
        <v/>
      </c>
      <c r="I38" s="102" t="str">
        <f>IF(VLOOKUP($P38,无限模式!$A$3:$X$22,20,FALSE)="","",VLOOKUP($P38,无限模式!$A$3:$X$22,21,FALSE))</f>
        <v/>
      </c>
      <c r="J38" s="102" t="str">
        <f>IF(VLOOKUP($P38,无限模式!$A$3:$X$22,20,FALSE)="","",VLOOKUP($P38,无限模式!$A$3:$X$22,22,FALSE))</f>
        <v/>
      </c>
      <c r="K38" s="102" t="str">
        <f t="shared" si="23"/>
        <v/>
      </c>
      <c r="L38" s="102" t="str">
        <f>IF(VLOOKUP($P38,无限模式!$A$3:$X$22,20,FALSE)="","","Monster_Infinite_"&amp;P38&amp;"_4")</f>
        <v/>
      </c>
      <c r="M38" s="57" t="str">
        <f t="shared" si="24"/>
        <v/>
      </c>
      <c r="O38" s="102" t="str">
        <f>IF(VLOOKUP($P38,无限模式!$A$3:$X$22,20,FALSE)="","",VLOOKUP($P38,无限模式!$A$3:$X$22,24,FALSE))</f>
        <v/>
      </c>
      <c r="P38" s="110">
        <f t="shared" si="25"/>
        <v>4</v>
      </c>
      <c r="Q38" s="110">
        <v>4</v>
      </c>
    </row>
    <row r="39" spans="2:17" x14ac:dyDescent="0.2">
      <c r="B39" s="57" t="s">
        <v>452</v>
      </c>
      <c r="C39" s="57">
        <v>5</v>
      </c>
      <c r="D39" s="57" t="str">
        <f t="shared" si="19"/>
        <v>无限模式第5波</v>
      </c>
      <c r="F39" s="57">
        <f t="shared" si="20"/>
        <v>0</v>
      </c>
      <c r="G39" s="102">
        <f t="shared" si="21"/>
        <v>180</v>
      </c>
      <c r="H39" s="57">
        <f t="shared" si="22"/>
        <v>0</v>
      </c>
      <c r="I39" s="102">
        <f>IF(VLOOKUP($P39,无限模式!$A$3:$X$22,5,FALSE)="","",VLOOKUP($P39,无限模式!$A$3:$X$22,6,FALSE))</f>
        <v>19</v>
      </c>
      <c r="J39" s="102">
        <f>IF(VLOOKUP($P39,无限模式!$A$3:$X$22,5,FALSE)="","",VLOOKUP($P39,无限模式!$A$3:$X$22,7,FALSE))</f>
        <v>0.75</v>
      </c>
      <c r="K39" s="102">
        <f t="shared" si="23"/>
        <v>1</v>
      </c>
      <c r="L39" s="102" t="str">
        <f>IF(VLOOKUP($P39,无限模式!$A$3:$X$22,5,FALSE)="","","Monster_Infinite_"&amp;P39&amp;"_1")</f>
        <v>Monster_Infinite_5_1</v>
      </c>
      <c r="M39" s="57">
        <f t="shared" si="24"/>
        <v>1</v>
      </c>
      <c r="O39" s="102">
        <f>IF(VLOOKUP($P39,无限模式!$A$3:$X$22,5,FALSE)="","",VLOOKUP($P39,无限模式!$A$3:$X$22,9,FALSE))</f>
        <v>33</v>
      </c>
      <c r="P39" s="110">
        <f t="shared" si="25"/>
        <v>5</v>
      </c>
      <c r="Q39" s="110">
        <v>1</v>
      </c>
    </row>
    <row r="40" spans="2:17" x14ac:dyDescent="0.2">
      <c r="D40" s="57" t="str">
        <f t="shared" si="19"/>
        <v/>
      </c>
      <c r="F40" s="57" t="str">
        <f t="shared" si="20"/>
        <v/>
      </c>
      <c r="G40" s="102" t="str">
        <f t="shared" si="21"/>
        <v/>
      </c>
      <c r="H40" s="57">
        <f t="shared" si="22"/>
        <v>0</v>
      </c>
      <c r="I40" s="102">
        <f>IF(VLOOKUP($P40,无限模式!$A$3:$X$22,10,FALSE)="","",VLOOKUP($P40,无限模式!$A$3:$X$22,11,FALSE))</f>
        <v>5</v>
      </c>
      <c r="J40" s="102">
        <f>IF(VLOOKUP($P40,无限模式!$A$3:$X$22,10,FALSE)="","",VLOOKUP($P40,无限模式!$A$3:$X$22,12,FALSE))</f>
        <v>3</v>
      </c>
      <c r="K40" s="102">
        <f t="shared" si="23"/>
        <v>1</v>
      </c>
      <c r="L40" s="102" t="str">
        <f>IF(VLOOKUP($P40,无限模式!$A$3:$X$22,10,FALSE)="","","Monster_Infinite_"&amp;P40&amp;"_2")</f>
        <v>Monster_Infinite_5_2</v>
      </c>
      <c r="M40" s="57">
        <f t="shared" si="24"/>
        <v>1</v>
      </c>
      <c r="O40" s="102">
        <f>IF(VLOOKUP($P40,无限模式!$A$3:$X$22,10,FALSE)="","",VLOOKUP($P40,无限模式!$A$3:$X$22,14,FALSE))</f>
        <v>17</v>
      </c>
      <c r="P40" s="110">
        <f t="shared" si="25"/>
        <v>5</v>
      </c>
      <c r="Q40" s="110">
        <v>2</v>
      </c>
    </row>
    <row r="41" spans="2:17" x14ac:dyDescent="0.2">
      <c r="D41" s="57" t="str">
        <f t="shared" si="19"/>
        <v/>
      </c>
      <c r="F41" s="57" t="str">
        <f t="shared" si="20"/>
        <v/>
      </c>
      <c r="G41" s="102" t="str">
        <f t="shared" si="21"/>
        <v/>
      </c>
      <c r="H41" s="57" t="str">
        <f t="shared" si="22"/>
        <v/>
      </c>
      <c r="I41" s="102" t="str">
        <f>IF(VLOOKUP($P41,无限模式!$A$3:$X$22,15,FALSE)="","",VLOOKUP(P41,无限模式!$A$3:$X$22,16,FALSE))</f>
        <v/>
      </c>
      <c r="J41" s="102" t="str">
        <f>IF(VLOOKUP($P41,无限模式!$A$3:$X$22,15,FALSE)="","",VLOOKUP($P41,无限模式!$A$3:$X$22,17,FALSE))</f>
        <v/>
      </c>
      <c r="K41" s="102" t="str">
        <f t="shared" si="23"/>
        <v/>
      </c>
      <c r="L41" s="102" t="str">
        <f>IF(VLOOKUP($P41,无限模式!$A$3:$X$22,15,FALSE)="","","Monster_Infinite_"&amp;P41&amp;"_3")</f>
        <v/>
      </c>
      <c r="M41" s="57" t="str">
        <f t="shared" si="24"/>
        <v/>
      </c>
      <c r="O41" s="102" t="str">
        <f>IF(VLOOKUP($P41,无限模式!$A$3:$X$22,15,FALSE)="","",VLOOKUP($P41,无限模式!$A$3:$X$22,19,FALSE))</f>
        <v/>
      </c>
      <c r="P41" s="110">
        <f t="shared" si="25"/>
        <v>5</v>
      </c>
      <c r="Q41" s="110">
        <v>3</v>
      </c>
    </row>
    <row r="42" spans="2:17" x14ac:dyDescent="0.2">
      <c r="D42" s="57" t="str">
        <f t="shared" si="19"/>
        <v/>
      </c>
      <c r="F42" s="57" t="str">
        <f t="shared" si="20"/>
        <v/>
      </c>
      <c r="G42" s="102" t="str">
        <f t="shared" si="21"/>
        <v/>
      </c>
      <c r="H42" s="57" t="str">
        <f t="shared" si="22"/>
        <v/>
      </c>
      <c r="I42" s="102" t="str">
        <f>IF(VLOOKUP($P42,无限模式!$A$3:$X$22,20,FALSE)="","",VLOOKUP($P42,无限模式!$A$3:$X$22,21,FALSE))</f>
        <v/>
      </c>
      <c r="J42" s="102" t="str">
        <f>IF(VLOOKUP($P42,无限模式!$A$3:$X$22,20,FALSE)="","",VLOOKUP($P42,无限模式!$A$3:$X$22,22,FALSE))</f>
        <v/>
      </c>
      <c r="K42" s="102" t="str">
        <f t="shared" si="23"/>
        <v/>
      </c>
      <c r="L42" s="102" t="str">
        <f>IF(VLOOKUP($P42,无限模式!$A$3:$X$22,20,FALSE)="","","Monster_Infinite_"&amp;P42&amp;"_4")</f>
        <v/>
      </c>
      <c r="M42" s="57" t="str">
        <f t="shared" si="24"/>
        <v/>
      </c>
      <c r="O42" s="102" t="str">
        <f>IF(VLOOKUP($P42,无限模式!$A$3:$X$22,20,FALSE)="","",VLOOKUP($P42,无限模式!$A$3:$X$22,24,FALSE))</f>
        <v/>
      </c>
      <c r="P42" s="110">
        <f t="shared" si="25"/>
        <v>5</v>
      </c>
      <c r="Q42" s="110">
        <v>4</v>
      </c>
    </row>
    <row r="43" spans="2:17" x14ac:dyDescent="0.2">
      <c r="B43" s="57" t="s">
        <v>452</v>
      </c>
      <c r="C43" s="57">
        <v>6</v>
      </c>
      <c r="D43" s="57" t="str">
        <f t="shared" si="19"/>
        <v>无限模式第6波</v>
      </c>
      <c r="F43" s="57">
        <f t="shared" si="20"/>
        <v>0</v>
      </c>
      <c r="G43" s="102">
        <f t="shared" si="21"/>
        <v>180</v>
      </c>
      <c r="H43" s="57">
        <f t="shared" si="22"/>
        <v>0</v>
      </c>
      <c r="I43" s="102">
        <f>IF(VLOOKUP($P43,无限模式!$A$3:$X$22,5,FALSE)="","",VLOOKUP($P43,无限模式!$A$3:$X$22,6,FALSE))</f>
        <v>20</v>
      </c>
      <c r="J43" s="102">
        <f>IF(VLOOKUP($P43,无限模式!$A$3:$X$22,5,FALSE)="","",VLOOKUP($P43,无限模式!$A$3:$X$22,7,FALSE))</f>
        <v>0.75</v>
      </c>
      <c r="K43" s="102">
        <f t="shared" si="23"/>
        <v>1</v>
      </c>
      <c r="L43" s="102" t="str">
        <f>IF(VLOOKUP($P43,无限模式!$A$3:$X$22,5,FALSE)="","","Monster_Infinite_"&amp;P43&amp;"_1")</f>
        <v>Monster_Infinite_6_1</v>
      </c>
      <c r="M43" s="57">
        <f t="shared" si="24"/>
        <v>1</v>
      </c>
      <c r="O43" s="102">
        <f>IF(VLOOKUP($P43,无限模式!$A$3:$X$22,5,FALSE)="","",VLOOKUP($P43,无限模式!$A$3:$X$22,9,FALSE))</f>
        <v>24</v>
      </c>
      <c r="P43" s="110">
        <f t="shared" si="25"/>
        <v>6</v>
      </c>
      <c r="Q43" s="110">
        <v>1</v>
      </c>
    </row>
    <row r="44" spans="2:17" x14ac:dyDescent="0.2">
      <c r="D44" s="57" t="str">
        <f t="shared" si="19"/>
        <v/>
      </c>
      <c r="F44" s="57" t="str">
        <f t="shared" si="20"/>
        <v/>
      </c>
      <c r="G44" s="102" t="str">
        <f t="shared" si="21"/>
        <v/>
      </c>
      <c r="H44" s="57">
        <f t="shared" si="22"/>
        <v>0</v>
      </c>
      <c r="I44" s="102">
        <f>IF(VLOOKUP($P44,无限模式!$A$3:$X$22,10,FALSE)="","",VLOOKUP($P44,无限模式!$A$3:$X$22,11,FALSE))</f>
        <v>20</v>
      </c>
      <c r="J44" s="102">
        <f>IF(VLOOKUP($P44,无限模式!$A$3:$X$22,10,FALSE)="","",VLOOKUP($P44,无限模式!$A$3:$X$22,12,FALSE))</f>
        <v>0.75</v>
      </c>
      <c r="K44" s="102">
        <f t="shared" si="23"/>
        <v>1</v>
      </c>
      <c r="L44" s="102" t="str">
        <f>IF(VLOOKUP($P44,无限模式!$A$3:$X$22,10,FALSE)="","","Monster_Infinite_"&amp;P44&amp;"_2")</f>
        <v>Monster_Infinite_6_2</v>
      </c>
      <c r="M44" s="57">
        <f t="shared" si="24"/>
        <v>1</v>
      </c>
      <c r="O44" s="102">
        <f>IF(VLOOKUP($P44,无限模式!$A$3:$X$22,10,FALSE)="","",VLOOKUP($P44,无限模式!$A$3:$X$22,14,FALSE))</f>
        <v>12</v>
      </c>
      <c r="P44" s="110">
        <f t="shared" si="25"/>
        <v>6</v>
      </c>
      <c r="Q44" s="110">
        <v>2</v>
      </c>
    </row>
    <row r="45" spans="2:17" x14ac:dyDescent="0.2">
      <c r="D45" s="57" t="str">
        <f t="shared" si="19"/>
        <v/>
      </c>
      <c r="F45" s="57" t="str">
        <f t="shared" si="20"/>
        <v/>
      </c>
      <c r="G45" s="102" t="str">
        <f t="shared" si="21"/>
        <v/>
      </c>
      <c r="H45" s="57" t="str">
        <f t="shared" si="22"/>
        <v/>
      </c>
      <c r="I45" s="102" t="str">
        <f>IF(VLOOKUP($P45,无限模式!$A$3:$X$22,15,FALSE)="","",VLOOKUP(P45,无限模式!$A$3:$X$22,16,FALSE))</f>
        <v/>
      </c>
      <c r="J45" s="102" t="str">
        <f>IF(VLOOKUP($P45,无限模式!$A$3:$X$22,15,FALSE)="","",VLOOKUP($P45,无限模式!$A$3:$X$22,17,FALSE))</f>
        <v/>
      </c>
      <c r="K45" s="102" t="str">
        <f t="shared" si="23"/>
        <v/>
      </c>
      <c r="L45" s="102" t="str">
        <f>IF(VLOOKUP($P45,无限模式!$A$3:$X$22,15,FALSE)="","","Monster_Infinite_"&amp;P45&amp;"_3")</f>
        <v/>
      </c>
      <c r="M45" s="57" t="str">
        <f t="shared" si="24"/>
        <v/>
      </c>
      <c r="O45" s="102" t="str">
        <f>IF(VLOOKUP($P45,无限模式!$A$3:$X$22,15,FALSE)="","",VLOOKUP($P45,无限模式!$A$3:$X$22,19,FALSE))</f>
        <v/>
      </c>
      <c r="P45" s="110">
        <f t="shared" si="25"/>
        <v>6</v>
      </c>
      <c r="Q45" s="110">
        <v>3</v>
      </c>
    </row>
    <row r="46" spans="2:17" x14ac:dyDescent="0.2">
      <c r="D46" s="57" t="str">
        <f t="shared" si="19"/>
        <v/>
      </c>
      <c r="F46" s="57" t="str">
        <f t="shared" si="20"/>
        <v/>
      </c>
      <c r="G46" s="102" t="str">
        <f t="shared" si="21"/>
        <v/>
      </c>
      <c r="H46" s="57" t="str">
        <f t="shared" si="22"/>
        <v/>
      </c>
      <c r="I46" s="102" t="str">
        <f>IF(VLOOKUP($P46,无限模式!$A$3:$X$22,20,FALSE)="","",VLOOKUP($P46,无限模式!$A$3:$X$22,21,FALSE))</f>
        <v/>
      </c>
      <c r="J46" s="102" t="str">
        <f>IF(VLOOKUP($P46,无限模式!$A$3:$X$22,20,FALSE)="","",VLOOKUP($P46,无限模式!$A$3:$X$22,22,FALSE))</f>
        <v/>
      </c>
      <c r="K46" s="102" t="str">
        <f t="shared" si="23"/>
        <v/>
      </c>
      <c r="L46" s="102" t="str">
        <f>IF(VLOOKUP($P46,无限模式!$A$3:$X$22,20,FALSE)="","","Monster_Infinite_"&amp;P46&amp;"_4")</f>
        <v/>
      </c>
      <c r="M46" s="57" t="str">
        <f t="shared" si="24"/>
        <v/>
      </c>
      <c r="O46" s="102" t="str">
        <f>IF(VLOOKUP($P46,无限模式!$A$3:$X$22,20,FALSE)="","",VLOOKUP($P46,无限模式!$A$3:$X$22,24,FALSE))</f>
        <v/>
      </c>
      <c r="P46" s="110">
        <f t="shared" si="25"/>
        <v>6</v>
      </c>
      <c r="Q46" s="110">
        <v>4</v>
      </c>
    </row>
    <row r="47" spans="2:17" x14ac:dyDescent="0.2">
      <c r="B47" s="57" t="s">
        <v>452</v>
      </c>
      <c r="C47" s="57">
        <v>7</v>
      </c>
      <c r="D47" s="57" t="str">
        <f t="shared" si="19"/>
        <v>无限模式第7波</v>
      </c>
      <c r="F47" s="57">
        <f t="shared" si="20"/>
        <v>0</v>
      </c>
      <c r="G47" s="102">
        <f t="shared" si="21"/>
        <v>180</v>
      </c>
      <c r="H47" s="57">
        <f t="shared" si="22"/>
        <v>0</v>
      </c>
      <c r="I47" s="102">
        <f>IF(VLOOKUP($P47,无限模式!$A$3:$X$22,5,FALSE)="","",VLOOKUP($P47,无限模式!$A$3:$X$22,6,FALSE))</f>
        <v>80</v>
      </c>
      <c r="J47" s="102">
        <f>IF(VLOOKUP($P47,无限模式!$A$3:$X$22,5,FALSE)="","",VLOOKUP($P47,无限模式!$A$3:$X$22,7,FALSE))</f>
        <v>0.2</v>
      </c>
      <c r="K47" s="102">
        <f t="shared" si="23"/>
        <v>1</v>
      </c>
      <c r="L47" s="102" t="str">
        <f>IF(VLOOKUP($P47,无限模式!$A$3:$X$22,5,FALSE)="","","Monster_Infinite_"&amp;P47&amp;"_1")</f>
        <v>Monster_Infinite_7_1</v>
      </c>
      <c r="M47" s="57">
        <f t="shared" si="24"/>
        <v>1</v>
      </c>
      <c r="O47" s="102">
        <f>IF(VLOOKUP($P47,无限模式!$A$3:$X$22,5,FALSE)="","",VLOOKUP($P47,无限模式!$A$3:$X$22,9,FALSE))</f>
        <v>6</v>
      </c>
      <c r="P47" s="110">
        <f t="shared" si="25"/>
        <v>7</v>
      </c>
      <c r="Q47" s="110">
        <v>1</v>
      </c>
    </row>
    <row r="48" spans="2:17" x14ac:dyDescent="0.2">
      <c r="D48" s="57" t="str">
        <f t="shared" si="19"/>
        <v/>
      </c>
      <c r="F48" s="57" t="str">
        <f t="shared" si="20"/>
        <v/>
      </c>
      <c r="G48" s="102" t="str">
        <f t="shared" si="21"/>
        <v/>
      </c>
      <c r="H48" s="57">
        <f t="shared" si="22"/>
        <v>0</v>
      </c>
      <c r="I48" s="102">
        <f>IF(VLOOKUP($P48,无限模式!$A$3:$X$22,10,FALSE)="","",VLOOKUP($P48,无限模式!$A$3:$X$22,11,FALSE))</f>
        <v>21</v>
      </c>
      <c r="J48" s="102">
        <f>IF(VLOOKUP($P48,无限模式!$A$3:$X$22,10,FALSE)="","",VLOOKUP($P48,无限模式!$A$3:$X$22,12,FALSE))</f>
        <v>0.75</v>
      </c>
      <c r="K48" s="102">
        <f t="shared" si="23"/>
        <v>1</v>
      </c>
      <c r="L48" s="102" t="str">
        <f>IF(VLOOKUP($P48,无限模式!$A$3:$X$22,10,FALSE)="","","Monster_Infinite_"&amp;P48&amp;"_2")</f>
        <v>Monster_Infinite_7_2</v>
      </c>
      <c r="M48" s="57">
        <f t="shared" si="24"/>
        <v>1</v>
      </c>
      <c r="O48" s="102">
        <f>IF(VLOOKUP($P48,无限模式!$A$3:$X$22,10,FALSE)="","",VLOOKUP($P48,无限模式!$A$3:$X$22,14,FALSE))</f>
        <v>12</v>
      </c>
      <c r="P48" s="110">
        <f t="shared" si="25"/>
        <v>7</v>
      </c>
      <c r="Q48" s="110">
        <v>2</v>
      </c>
    </row>
    <row r="49" spans="2:17" x14ac:dyDescent="0.2">
      <c r="D49" s="57" t="str">
        <f t="shared" si="19"/>
        <v/>
      </c>
      <c r="F49" s="57" t="str">
        <f t="shared" si="20"/>
        <v/>
      </c>
      <c r="G49" s="102" t="str">
        <f t="shared" si="21"/>
        <v/>
      </c>
      <c r="H49" s="57" t="str">
        <f t="shared" si="22"/>
        <v/>
      </c>
      <c r="I49" s="102" t="str">
        <f>IF(VLOOKUP($P49,无限模式!$A$3:$X$22,15,FALSE)="","",VLOOKUP(P49,无限模式!$A$3:$X$22,16,FALSE))</f>
        <v/>
      </c>
      <c r="J49" s="102" t="str">
        <f>IF(VLOOKUP($P49,无限模式!$A$3:$X$22,15,FALSE)="","",VLOOKUP($P49,无限模式!$A$3:$X$22,17,FALSE))</f>
        <v/>
      </c>
      <c r="K49" s="102" t="str">
        <f t="shared" si="23"/>
        <v/>
      </c>
      <c r="L49" s="102" t="str">
        <f>IF(VLOOKUP($P49,无限模式!$A$3:$X$22,15,FALSE)="","","Monster_Infinite_"&amp;P49&amp;"_3")</f>
        <v/>
      </c>
      <c r="M49" s="57" t="str">
        <f t="shared" si="24"/>
        <v/>
      </c>
      <c r="O49" s="102" t="str">
        <f>IF(VLOOKUP($P49,无限模式!$A$3:$X$22,15,FALSE)="","",VLOOKUP($P49,无限模式!$A$3:$X$22,19,FALSE))</f>
        <v/>
      </c>
      <c r="P49" s="110">
        <f t="shared" si="25"/>
        <v>7</v>
      </c>
      <c r="Q49" s="110">
        <v>3</v>
      </c>
    </row>
    <row r="50" spans="2:17" x14ac:dyDescent="0.2">
      <c r="D50" s="57" t="str">
        <f t="shared" si="19"/>
        <v/>
      </c>
      <c r="F50" s="57" t="str">
        <f t="shared" si="20"/>
        <v/>
      </c>
      <c r="G50" s="102" t="str">
        <f t="shared" si="21"/>
        <v/>
      </c>
      <c r="H50" s="57" t="str">
        <f t="shared" si="22"/>
        <v/>
      </c>
      <c r="I50" s="102" t="str">
        <f>IF(VLOOKUP($P50,无限模式!$A$3:$X$22,20,FALSE)="","",VLOOKUP($P50,无限模式!$A$3:$X$22,21,FALSE))</f>
        <v/>
      </c>
      <c r="J50" s="102" t="str">
        <f>IF(VLOOKUP($P50,无限模式!$A$3:$X$22,20,FALSE)="","",VLOOKUP($P50,无限模式!$A$3:$X$22,22,FALSE))</f>
        <v/>
      </c>
      <c r="K50" s="102" t="str">
        <f t="shared" si="23"/>
        <v/>
      </c>
      <c r="L50" s="102" t="str">
        <f>IF(VLOOKUP($P50,无限模式!$A$3:$X$22,20,FALSE)="","","Monster_Infinite_"&amp;P50&amp;"_4")</f>
        <v/>
      </c>
      <c r="M50" s="57" t="str">
        <f t="shared" si="24"/>
        <v/>
      </c>
      <c r="O50" s="102" t="str">
        <f>IF(VLOOKUP($P50,无限模式!$A$3:$X$22,20,FALSE)="","",VLOOKUP($P50,无限模式!$A$3:$X$22,24,FALSE))</f>
        <v/>
      </c>
      <c r="P50" s="110">
        <f t="shared" si="25"/>
        <v>7</v>
      </c>
      <c r="Q50" s="110">
        <v>4</v>
      </c>
    </row>
    <row r="51" spans="2:17" x14ac:dyDescent="0.2">
      <c r="B51" s="57" t="s">
        <v>452</v>
      </c>
      <c r="C51" s="57">
        <v>8</v>
      </c>
      <c r="D51" s="57" t="str">
        <f t="shared" si="19"/>
        <v>无限模式第8波</v>
      </c>
      <c r="F51" s="57">
        <f t="shared" si="20"/>
        <v>0</v>
      </c>
      <c r="G51" s="102">
        <f t="shared" si="21"/>
        <v>180</v>
      </c>
      <c r="H51" s="57">
        <f t="shared" si="22"/>
        <v>0</v>
      </c>
      <c r="I51" s="102">
        <f>IF(VLOOKUP($P51,无限模式!$A$3:$X$22,5,FALSE)="","",VLOOKUP($P51,无限模式!$A$3:$X$22,6,FALSE))</f>
        <v>85</v>
      </c>
      <c r="J51" s="102">
        <f>IF(VLOOKUP($P51,无限模式!$A$3:$X$22,5,FALSE)="","",VLOOKUP($P51,无限模式!$A$3:$X$22,7,FALSE))</f>
        <v>0.2</v>
      </c>
      <c r="K51" s="102">
        <f t="shared" si="23"/>
        <v>1</v>
      </c>
      <c r="L51" s="102" t="str">
        <f>IF(VLOOKUP($P51,无限模式!$A$3:$X$22,5,FALSE)="","","Monster_Infinite_"&amp;P51&amp;"_1")</f>
        <v>Monster_Infinite_8_1</v>
      </c>
      <c r="M51" s="57">
        <f t="shared" si="24"/>
        <v>1</v>
      </c>
      <c r="O51" s="102">
        <f>IF(VLOOKUP($P51,无限模式!$A$3:$X$22,5,FALSE)="","",VLOOKUP($P51,无限模式!$A$3:$X$22,9,FALSE))</f>
        <v>4</v>
      </c>
      <c r="P51" s="110">
        <f t="shared" si="25"/>
        <v>8</v>
      </c>
      <c r="Q51" s="110">
        <v>1</v>
      </c>
    </row>
    <row r="52" spans="2:17" x14ac:dyDescent="0.2">
      <c r="D52" s="57" t="str">
        <f t="shared" si="19"/>
        <v/>
      </c>
      <c r="F52" s="57" t="str">
        <f t="shared" si="20"/>
        <v/>
      </c>
      <c r="G52" s="102" t="str">
        <f t="shared" si="21"/>
        <v/>
      </c>
      <c r="H52" s="57">
        <f t="shared" si="22"/>
        <v>0</v>
      </c>
      <c r="I52" s="102">
        <f>IF(VLOOKUP($P52,无限模式!$A$3:$X$22,10,FALSE)="","",VLOOKUP($P52,无限模式!$A$3:$X$22,11,FALSE))</f>
        <v>3</v>
      </c>
      <c r="J52" s="102">
        <f>IF(VLOOKUP($P52,无限模式!$A$3:$X$22,10,FALSE)="","",VLOOKUP($P52,无限模式!$A$3:$X$22,12,FALSE))</f>
        <v>5</v>
      </c>
      <c r="K52" s="102">
        <f t="shared" si="23"/>
        <v>1</v>
      </c>
      <c r="L52" s="102" t="str">
        <f>IF(VLOOKUP($P52,无限模式!$A$3:$X$22,10,FALSE)="","","Monster_Infinite_"&amp;P52&amp;"_2")</f>
        <v>Monster_Infinite_8_2</v>
      </c>
      <c r="M52" s="57">
        <f t="shared" si="24"/>
        <v>1</v>
      </c>
      <c r="O52" s="102">
        <f>IF(VLOOKUP($P52,无限模式!$A$3:$X$22,10,FALSE)="","",VLOOKUP($P52,无限模式!$A$3:$X$22,14,FALSE))</f>
        <v>140</v>
      </c>
      <c r="P52" s="110">
        <f t="shared" si="25"/>
        <v>8</v>
      </c>
      <c r="Q52" s="110">
        <v>2</v>
      </c>
    </row>
    <row r="53" spans="2:17" x14ac:dyDescent="0.2">
      <c r="D53" s="57" t="str">
        <f t="shared" si="19"/>
        <v/>
      </c>
      <c r="F53" s="57" t="str">
        <f t="shared" si="20"/>
        <v/>
      </c>
      <c r="G53" s="102" t="str">
        <f t="shared" si="21"/>
        <v/>
      </c>
      <c r="H53" s="57" t="str">
        <f t="shared" si="22"/>
        <v/>
      </c>
      <c r="I53" s="102" t="str">
        <f>IF(VLOOKUP($P53,无限模式!$A$3:$X$22,15,FALSE)="","",VLOOKUP(P53,无限模式!$A$3:$X$22,16,FALSE))</f>
        <v/>
      </c>
      <c r="J53" s="102" t="str">
        <f>IF(VLOOKUP($P53,无限模式!$A$3:$X$22,15,FALSE)="","",VLOOKUP($P53,无限模式!$A$3:$X$22,17,FALSE))</f>
        <v/>
      </c>
      <c r="K53" s="102" t="str">
        <f t="shared" si="23"/>
        <v/>
      </c>
      <c r="L53" s="102" t="str">
        <f>IF(VLOOKUP($P53,无限模式!$A$3:$X$22,15,FALSE)="","","Monster_Infinite_"&amp;P53&amp;"_3")</f>
        <v/>
      </c>
      <c r="M53" s="57" t="str">
        <f t="shared" si="24"/>
        <v/>
      </c>
      <c r="O53" s="102" t="str">
        <f>IF(VLOOKUP($P53,无限模式!$A$3:$X$22,15,FALSE)="","",VLOOKUP($P53,无限模式!$A$3:$X$22,19,FALSE))</f>
        <v/>
      </c>
      <c r="P53" s="110">
        <f t="shared" si="25"/>
        <v>8</v>
      </c>
      <c r="Q53" s="110">
        <v>3</v>
      </c>
    </row>
    <row r="54" spans="2:17" x14ac:dyDescent="0.2">
      <c r="D54" s="57" t="str">
        <f t="shared" si="19"/>
        <v/>
      </c>
      <c r="F54" s="57" t="str">
        <f t="shared" si="20"/>
        <v/>
      </c>
      <c r="G54" s="102" t="str">
        <f t="shared" si="21"/>
        <v/>
      </c>
      <c r="H54" s="57" t="str">
        <f t="shared" si="22"/>
        <v/>
      </c>
      <c r="I54" s="102" t="str">
        <f>IF(VLOOKUP($P54,无限模式!$A$3:$X$22,20,FALSE)="","",VLOOKUP($P54,无限模式!$A$3:$X$22,21,FALSE))</f>
        <v/>
      </c>
      <c r="J54" s="102" t="str">
        <f>IF(VLOOKUP($P54,无限模式!$A$3:$X$22,20,FALSE)="","",VLOOKUP($P54,无限模式!$A$3:$X$22,22,FALSE))</f>
        <v/>
      </c>
      <c r="K54" s="102" t="str">
        <f t="shared" si="23"/>
        <v/>
      </c>
      <c r="L54" s="102" t="str">
        <f>IF(VLOOKUP($P54,无限模式!$A$3:$X$22,20,FALSE)="","","Monster_Infinite_"&amp;P54&amp;"_4")</f>
        <v/>
      </c>
      <c r="M54" s="57" t="str">
        <f t="shared" si="24"/>
        <v/>
      </c>
      <c r="O54" s="102" t="str">
        <f>IF(VLOOKUP($P54,无限模式!$A$3:$X$22,20,FALSE)="","",VLOOKUP($P54,无限模式!$A$3:$X$22,24,FALSE))</f>
        <v/>
      </c>
      <c r="P54" s="110">
        <f t="shared" si="25"/>
        <v>8</v>
      </c>
      <c r="Q54" s="110">
        <v>4</v>
      </c>
    </row>
    <row r="55" spans="2:17" x14ac:dyDescent="0.2">
      <c r="B55" s="57" t="s">
        <v>452</v>
      </c>
      <c r="C55" s="57">
        <v>9</v>
      </c>
      <c r="D55" s="57" t="str">
        <f t="shared" ref="D55:D86" si="26">IF(C55="","","无限模式第"&amp;C55&amp;"波")</f>
        <v>无限模式第9波</v>
      </c>
      <c r="F55" s="57">
        <f t="shared" si="20"/>
        <v>0</v>
      </c>
      <c r="G55" s="102">
        <f t="shared" si="21"/>
        <v>180</v>
      </c>
      <c r="H55" s="57">
        <f t="shared" si="22"/>
        <v>0</v>
      </c>
      <c r="I55" s="102">
        <f>IF(VLOOKUP($P55,无限模式!$A$3:$X$22,5,FALSE)="","",VLOOKUP($P55,无限模式!$A$3:$X$22,6,FALSE))</f>
        <v>12</v>
      </c>
      <c r="J55" s="102">
        <f>IF(VLOOKUP($P55,无限模式!$A$3:$X$22,5,FALSE)="","",VLOOKUP($P55,无限模式!$A$3:$X$22,7,FALSE))</f>
        <v>1.5</v>
      </c>
      <c r="K55" s="102">
        <f t="shared" si="23"/>
        <v>1</v>
      </c>
      <c r="L55" s="102" t="str">
        <f>IF(VLOOKUP($P55,无限模式!$A$3:$X$22,5,FALSE)="","","Monster_Infinite_"&amp;P55&amp;"_1")</f>
        <v>Monster_Infinite_9_1</v>
      </c>
      <c r="M55" s="57">
        <f t="shared" si="24"/>
        <v>1</v>
      </c>
      <c r="O55" s="102">
        <f>IF(VLOOKUP($P55,无限模式!$A$3:$X$22,5,FALSE)="","",VLOOKUP($P55,无限模式!$A$3:$X$22,9,FALSE))</f>
        <v>40</v>
      </c>
      <c r="P55" s="110">
        <f t="shared" si="25"/>
        <v>9</v>
      </c>
      <c r="Q55" s="110">
        <v>1</v>
      </c>
    </row>
    <row r="56" spans="2:17" x14ac:dyDescent="0.2">
      <c r="D56" s="57" t="str">
        <f t="shared" si="26"/>
        <v/>
      </c>
      <c r="F56" s="57" t="str">
        <f t="shared" si="20"/>
        <v/>
      </c>
      <c r="G56" s="102" t="str">
        <f t="shared" si="21"/>
        <v/>
      </c>
      <c r="H56" s="57">
        <f t="shared" si="22"/>
        <v>0</v>
      </c>
      <c r="I56" s="102">
        <f>IF(VLOOKUP($P56,无限模式!$A$3:$X$22,10,FALSE)="","",VLOOKUP($P56,无限模式!$A$3:$X$22,11,FALSE))</f>
        <v>6</v>
      </c>
      <c r="J56" s="102">
        <f>IF(VLOOKUP($P56,无限模式!$A$3:$X$22,10,FALSE)="","",VLOOKUP($P56,无限模式!$A$3:$X$22,12,FALSE))</f>
        <v>3</v>
      </c>
      <c r="K56" s="102">
        <f t="shared" si="23"/>
        <v>1</v>
      </c>
      <c r="L56" s="102" t="str">
        <f>IF(VLOOKUP($P56,无限模式!$A$3:$X$22,10,FALSE)="","","Monster_Infinite_"&amp;P56&amp;"_2")</f>
        <v>Monster_Infinite_9_2</v>
      </c>
      <c r="M56" s="57">
        <f t="shared" si="24"/>
        <v>1</v>
      </c>
      <c r="O56" s="102">
        <f>IF(VLOOKUP($P56,无限模式!$A$3:$X$22,10,FALSE)="","",VLOOKUP($P56,无限模式!$A$3:$X$22,14,FALSE))</f>
        <v>40</v>
      </c>
      <c r="P56" s="110">
        <f t="shared" si="25"/>
        <v>9</v>
      </c>
      <c r="Q56" s="110">
        <v>2</v>
      </c>
    </row>
    <row r="57" spans="2:17" x14ac:dyDescent="0.2">
      <c r="D57" s="57" t="str">
        <f t="shared" si="26"/>
        <v/>
      </c>
      <c r="F57" s="57" t="str">
        <f t="shared" si="20"/>
        <v/>
      </c>
      <c r="G57" s="102" t="str">
        <f t="shared" si="21"/>
        <v/>
      </c>
      <c r="H57" s="57" t="str">
        <f t="shared" si="22"/>
        <v/>
      </c>
      <c r="I57" s="102" t="str">
        <f>IF(VLOOKUP($P57,无限模式!$A$3:$X$22,15,FALSE)="","",VLOOKUP(P57,无限模式!$A$3:$X$22,16,FALSE))</f>
        <v/>
      </c>
      <c r="J57" s="102" t="str">
        <f>IF(VLOOKUP($P57,无限模式!$A$3:$X$22,15,FALSE)="","",VLOOKUP($P57,无限模式!$A$3:$X$22,17,FALSE))</f>
        <v/>
      </c>
      <c r="K57" s="102" t="str">
        <f t="shared" si="23"/>
        <v/>
      </c>
      <c r="L57" s="102" t="str">
        <f>IF(VLOOKUP($P57,无限模式!$A$3:$X$22,15,FALSE)="","","Monster_Infinite_"&amp;P57&amp;"_3")</f>
        <v/>
      </c>
      <c r="M57" s="57" t="str">
        <f t="shared" si="24"/>
        <v/>
      </c>
      <c r="O57" s="102" t="str">
        <f>IF(VLOOKUP($P57,无限模式!$A$3:$X$22,15,FALSE)="","",VLOOKUP($P57,无限模式!$A$3:$X$22,19,FALSE))</f>
        <v/>
      </c>
      <c r="P57" s="110">
        <f t="shared" si="25"/>
        <v>9</v>
      </c>
      <c r="Q57" s="110">
        <v>3</v>
      </c>
    </row>
    <row r="58" spans="2:17" x14ac:dyDescent="0.2">
      <c r="D58" s="57" t="str">
        <f t="shared" si="26"/>
        <v/>
      </c>
      <c r="F58" s="57" t="str">
        <f t="shared" si="20"/>
        <v/>
      </c>
      <c r="G58" s="102" t="str">
        <f t="shared" si="21"/>
        <v/>
      </c>
      <c r="H58" s="57" t="str">
        <f t="shared" si="22"/>
        <v/>
      </c>
      <c r="I58" s="102" t="str">
        <f>IF(VLOOKUP($P58,无限模式!$A$3:$X$22,20,FALSE)="","",VLOOKUP($P58,无限模式!$A$3:$X$22,21,FALSE))</f>
        <v/>
      </c>
      <c r="J58" s="102" t="str">
        <f>IF(VLOOKUP($P58,无限模式!$A$3:$X$22,20,FALSE)="","",VLOOKUP($P58,无限模式!$A$3:$X$22,22,FALSE))</f>
        <v/>
      </c>
      <c r="K58" s="102" t="str">
        <f t="shared" si="23"/>
        <v/>
      </c>
      <c r="L58" s="102" t="str">
        <f>IF(VLOOKUP($P58,无限模式!$A$3:$X$22,20,FALSE)="","","Monster_Infinite_"&amp;P58&amp;"_4")</f>
        <v/>
      </c>
      <c r="M58" s="57" t="str">
        <f t="shared" si="24"/>
        <v/>
      </c>
      <c r="O58" s="102" t="str">
        <f>IF(VLOOKUP($P58,无限模式!$A$3:$X$22,20,FALSE)="","",VLOOKUP($P58,无限模式!$A$3:$X$22,24,FALSE))</f>
        <v/>
      </c>
      <c r="P58" s="110">
        <f t="shared" si="25"/>
        <v>9</v>
      </c>
      <c r="Q58" s="110">
        <v>4</v>
      </c>
    </row>
    <row r="59" spans="2:17" x14ac:dyDescent="0.2">
      <c r="B59" s="57" t="s">
        <v>452</v>
      </c>
      <c r="C59" s="57">
        <v>10</v>
      </c>
      <c r="D59" s="57" t="str">
        <f t="shared" si="26"/>
        <v>无限模式第10波</v>
      </c>
      <c r="F59" s="57">
        <f t="shared" si="20"/>
        <v>0</v>
      </c>
      <c r="G59" s="102">
        <f t="shared" si="21"/>
        <v>180</v>
      </c>
      <c r="H59" s="57">
        <f t="shared" si="22"/>
        <v>0</v>
      </c>
      <c r="I59" s="102">
        <f>IF(VLOOKUP($P59,无限模式!$A$3:$X$22,5,FALSE)="","",VLOOKUP($P59,无限模式!$A$3:$X$22,6,FALSE))</f>
        <v>95</v>
      </c>
      <c r="J59" s="102">
        <f>IF(VLOOKUP($P59,无限模式!$A$3:$X$22,5,FALSE)="","",VLOOKUP($P59,无限模式!$A$3:$X$22,7,FALSE))</f>
        <v>0.2</v>
      </c>
      <c r="K59" s="102">
        <f t="shared" si="23"/>
        <v>1</v>
      </c>
      <c r="L59" s="102" t="str">
        <f>IF(VLOOKUP($P59,无限模式!$A$3:$X$22,5,FALSE)="","","Monster_Infinite_"&amp;P59&amp;"_1")</f>
        <v>Monster_Infinite_10_1</v>
      </c>
      <c r="M59" s="57">
        <f t="shared" si="24"/>
        <v>1</v>
      </c>
      <c r="O59" s="102">
        <f>IF(VLOOKUP($P59,无限模式!$A$3:$X$22,5,FALSE)="","",VLOOKUP($P59,无限模式!$A$3:$X$22,9,FALSE))</f>
        <v>7</v>
      </c>
      <c r="P59" s="110">
        <f t="shared" si="25"/>
        <v>10</v>
      </c>
      <c r="Q59" s="110">
        <v>1</v>
      </c>
    </row>
    <row r="60" spans="2:17" x14ac:dyDescent="0.2">
      <c r="D60" s="57" t="str">
        <f t="shared" si="26"/>
        <v/>
      </c>
      <c r="F60" s="57" t="str">
        <f t="shared" si="20"/>
        <v/>
      </c>
      <c r="G60" s="102" t="str">
        <f t="shared" si="21"/>
        <v/>
      </c>
      <c r="H60" s="57">
        <f t="shared" si="22"/>
        <v>0</v>
      </c>
      <c r="I60" s="102">
        <f>IF(VLOOKUP($P60,无限模式!$A$3:$X$22,10,FALSE)="","",VLOOKUP($P60,无限模式!$A$3:$X$22,11,FALSE))</f>
        <v>6</v>
      </c>
      <c r="J60" s="102">
        <f>IF(VLOOKUP($P60,无限模式!$A$3:$X$22,10,FALSE)="","",VLOOKUP($P60,无限模式!$A$3:$X$22,12,FALSE))</f>
        <v>3</v>
      </c>
      <c r="K60" s="102">
        <f t="shared" si="23"/>
        <v>1</v>
      </c>
      <c r="L60" s="102" t="str">
        <f>IF(VLOOKUP($P60,无限模式!$A$3:$X$22,10,FALSE)="","","Monster_Infinite_"&amp;P60&amp;"_2")</f>
        <v>Monster_Infinite_10_2</v>
      </c>
      <c r="M60" s="57">
        <f t="shared" si="24"/>
        <v>1</v>
      </c>
      <c r="O60" s="102">
        <f>IF(VLOOKUP($P60,无限模式!$A$3:$X$22,10,FALSE)="","",VLOOKUP($P60,无限模式!$A$3:$X$22,14,FALSE))</f>
        <v>7</v>
      </c>
      <c r="P60" s="110">
        <f t="shared" si="25"/>
        <v>10</v>
      </c>
      <c r="Q60" s="110">
        <v>2</v>
      </c>
    </row>
    <row r="61" spans="2:17" x14ac:dyDescent="0.2">
      <c r="D61" s="57" t="str">
        <f t="shared" si="26"/>
        <v/>
      </c>
      <c r="F61" s="57" t="str">
        <f t="shared" si="20"/>
        <v/>
      </c>
      <c r="G61" s="102" t="str">
        <f t="shared" si="21"/>
        <v/>
      </c>
      <c r="H61" s="57" t="str">
        <f t="shared" si="22"/>
        <v/>
      </c>
      <c r="I61" s="102" t="str">
        <f>IF(VLOOKUP($P61,无限模式!$A$3:$X$22,15,FALSE)="","",VLOOKUP(P61,无限模式!$A$3:$X$22,16,FALSE))</f>
        <v/>
      </c>
      <c r="J61" s="102" t="str">
        <f>IF(VLOOKUP($P61,无限模式!$A$3:$X$22,15,FALSE)="","",VLOOKUP($P61,无限模式!$A$3:$X$22,17,FALSE))</f>
        <v/>
      </c>
      <c r="K61" s="102" t="str">
        <f t="shared" si="23"/>
        <v/>
      </c>
      <c r="L61" s="102" t="str">
        <f>IF(VLOOKUP($P61,无限模式!$A$3:$X$22,15,FALSE)="","","Monster_Infinite_"&amp;P61&amp;"_3")</f>
        <v/>
      </c>
      <c r="M61" s="57" t="str">
        <f t="shared" si="24"/>
        <v/>
      </c>
      <c r="O61" s="102" t="str">
        <f>IF(VLOOKUP($P61,无限模式!$A$3:$X$22,15,FALSE)="","",VLOOKUP($P61,无限模式!$A$3:$X$22,19,FALSE))</f>
        <v/>
      </c>
      <c r="P61" s="110">
        <f t="shared" si="25"/>
        <v>10</v>
      </c>
      <c r="Q61" s="110">
        <v>3</v>
      </c>
    </row>
    <row r="62" spans="2:17" x14ac:dyDescent="0.2">
      <c r="D62" s="57" t="str">
        <f t="shared" si="26"/>
        <v/>
      </c>
      <c r="F62" s="57" t="str">
        <f t="shared" si="20"/>
        <v/>
      </c>
      <c r="G62" s="102" t="str">
        <f t="shared" si="21"/>
        <v/>
      </c>
      <c r="H62" s="57" t="str">
        <f t="shared" si="22"/>
        <v/>
      </c>
      <c r="I62" s="102" t="str">
        <f>IF(VLOOKUP($P62,无限模式!$A$3:$X$22,20,FALSE)="","",VLOOKUP($P62,无限模式!$A$3:$X$22,21,FALSE))</f>
        <v/>
      </c>
      <c r="J62" s="102" t="str">
        <f>IF(VLOOKUP($P62,无限模式!$A$3:$X$22,20,FALSE)="","",VLOOKUP($P62,无限模式!$A$3:$X$22,22,FALSE))</f>
        <v/>
      </c>
      <c r="K62" s="102" t="str">
        <f t="shared" si="23"/>
        <v/>
      </c>
      <c r="L62" s="102" t="str">
        <f>IF(VLOOKUP($P62,无限模式!$A$3:$X$22,20,FALSE)="","","Monster_Infinite_"&amp;P62&amp;"_4")</f>
        <v/>
      </c>
      <c r="M62" s="57" t="str">
        <f t="shared" si="24"/>
        <v/>
      </c>
      <c r="O62" s="102" t="str">
        <f>IF(VLOOKUP($P62,无限模式!$A$3:$X$22,20,FALSE)="","",VLOOKUP($P62,无限模式!$A$3:$X$22,24,FALSE))</f>
        <v/>
      </c>
      <c r="P62" s="110">
        <f t="shared" si="25"/>
        <v>10</v>
      </c>
      <c r="Q62" s="110">
        <v>4</v>
      </c>
    </row>
    <row r="63" spans="2:17" x14ac:dyDescent="0.2">
      <c r="B63" s="57" t="s">
        <v>452</v>
      </c>
      <c r="C63" s="57">
        <v>11</v>
      </c>
      <c r="D63" s="57" t="str">
        <f t="shared" si="26"/>
        <v>无限模式第11波</v>
      </c>
      <c r="F63" s="57">
        <f t="shared" si="20"/>
        <v>0</v>
      </c>
      <c r="G63" s="102">
        <f t="shared" si="21"/>
        <v>180</v>
      </c>
      <c r="H63" s="57">
        <f t="shared" si="22"/>
        <v>0</v>
      </c>
      <c r="I63" s="102">
        <f>IF(VLOOKUP($P63,无限模式!$A$3:$X$22,5,FALSE)="","",VLOOKUP($P63,无限模式!$A$3:$X$22,6,FALSE))</f>
        <v>20</v>
      </c>
      <c r="J63" s="102">
        <f>IF(VLOOKUP($P63,无限模式!$A$3:$X$22,5,FALSE)="","",VLOOKUP($P63,无限模式!$A$3:$X$22,7,FALSE))</f>
        <v>1</v>
      </c>
      <c r="K63" s="102">
        <f t="shared" si="23"/>
        <v>1</v>
      </c>
      <c r="L63" s="102" t="str">
        <f>IF(VLOOKUP($P63,无限模式!$A$3:$X$22,5,FALSE)="","","Monster_Infinite_"&amp;P63&amp;"_1")</f>
        <v>Monster_Infinite_11_1</v>
      </c>
      <c r="M63" s="57">
        <f t="shared" si="24"/>
        <v>1</v>
      </c>
      <c r="O63" s="102">
        <f>IF(VLOOKUP($P63,无限模式!$A$3:$X$22,5,FALSE)="","",VLOOKUP($P63,无限模式!$A$3:$X$22,9,FALSE))</f>
        <v>29</v>
      </c>
      <c r="P63" s="110">
        <f t="shared" si="25"/>
        <v>11</v>
      </c>
      <c r="Q63" s="110">
        <v>1</v>
      </c>
    </row>
    <row r="64" spans="2:17" x14ac:dyDescent="0.2">
      <c r="D64" s="57" t="str">
        <f t="shared" si="26"/>
        <v/>
      </c>
      <c r="F64" s="57" t="str">
        <f t="shared" si="20"/>
        <v/>
      </c>
      <c r="G64" s="102" t="str">
        <f t="shared" si="21"/>
        <v/>
      </c>
      <c r="H64" s="57">
        <f t="shared" si="22"/>
        <v>0</v>
      </c>
      <c r="I64" s="102">
        <f>IF(VLOOKUP($P64,无限模式!$A$3:$X$22,10,FALSE)="","",VLOOKUP($P64,无限模式!$A$3:$X$22,11,FALSE))</f>
        <v>10</v>
      </c>
      <c r="J64" s="102">
        <f>IF(VLOOKUP($P64,无限模式!$A$3:$X$22,10,FALSE)="","",VLOOKUP($P64,无限模式!$A$3:$X$22,12,FALSE))</f>
        <v>2</v>
      </c>
      <c r="K64" s="102">
        <f t="shared" si="23"/>
        <v>1</v>
      </c>
      <c r="L64" s="102" t="str">
        <f>IF(VLOOKUP($P64,无限模式!$A$3:$X$22,10,FALSE)="","","Monster_Infinite_"&amp;P64&amp;"_2")</f>
        <v>Monster_Infinite_11_2</v>
      </c>
      <c r="M64" s="57">
        <f t="shared" si="24"/>
        <v>1</v>
      </c>
      <c r="O64" s="102">
        <f>IF(VLOOKUP($P64,无限模式!$A$3:$X$22,10,FALSE)="","",VLOOKUP($P64,无限模式!$A$3:$X$22,14,FALSE))</f>
        <v>14</v>
      </c>
      <c r="P64" s="110">
        <f t="shared" si="25"/>
        <v>11</v>
      </c>
      <c r="Q64" s="110">
        <v>2</v>
      </c>
    </row>
    <row r="65" spans="2:17" x14ac:dyDescent="0.2">
      <c r="D65" s="57" t="str">
        <f t="shared" si="26"/>
        <v/>
      </c>
      <c r="F65" s="57" t="str">
        <f t="shared" si="20"/>
        <v/>
      </c>
      <c r="G65" s="102" t="str">
        <f t="shared" si="21"/>
        <v/>
      </c>
      <c r="H65" s="57" t="str">
        <f t="shared" si="22"/>
        <v/>
      </c>
      <c r="I65" s="102" t="str">
        <f>IF(VLOOKUP($P65,无限模式!$A$3:$X$22,15,FALSE)="","",VLOOKUP(P65,无限模式!$A$3:$X$22,16,FALSE))</f>
        <v/>
      </c>
      <c r="J65" s="102" t="str">
        <f>IF(VLOOKUP($P65,无限模式!$A$3:$X$22,15,FALSE)="","",VLOOKUP($P65,无限模式!$A$3:$X$22,17,FALSE))</f>
        <v/>
      </c>
      <c r="K65" s="102" t="str">
        <f t="shared" si="23"/>
        <v/>
      </c>
      <c r="L65" s="102" t="str">
        <f>IF(VLOOKUP($P65,无限模式!$A$3:$X$22,15,FALSE)="","","Monster_Infinite_"&amp;P65&amp;"_3")</f>
        <v/>
      </c>
      <c r="M65" s="57" t="str">
        <f t="shared" si="24"/>
        <v/>
      </c>
      <c r="O65" s="102" t="str">
        <f>IF(VLOOKUP($P65,无限模式!$A$3:$X$22,15,FALSE)="","",VLOOKUP($P65,无限模式!$A$3:$X$22,19,FALSE))</f>
        <v/>
      </c>
      <c r="P65" s="110">
        <f t="shared" si="25"/>
        <v>11</v>
      </c>
      <c r="Q65" s="110">
        <v>3</v>
      </c>
    </row>
    <row r="66" spans="2:17" x14ac:dyDescent="0.2">
      <c r="D66" s="57" t="str">
        <f t="shared" si="26"/>
        <v/>
      </c>
      <c r="F66" s="57" t="str">
        <f t="shared" si="20"/>
        <v/>
      </c>
      <c r="G66" s="102" t="str">
        <f t="shared" si="21"/>
        <v/>
      </c>
      <c r="H66" s="57" t="str">
        <f t="shared" si="22"/>
        <v/>
      </c>
      <c r="I66" s="102" t="str">
        <f>IF(VLOOKUP($P66,无限模式!$A$3:$X$22,20,FALSE)="","",VLOOKUP($P66,无限模式!$A$3:$X$22,21,FALSE))</f>
        <v/>
      </c>
      <c r="J66" s="102" t="str">
        <f>IF(VLOOKUP($P66,无限模式!$A$3:$X$22,20,FALSE)="","",VLOOKUP($P66,无限模式!$A$3:$X$22,22,FALSE))</f>
        <v/>
      </c>
      <c r="K66" s="102" t="str">
        <f t="shared" si="23"/>
        <v/>
      </c>
      <c r="L66" s="102" t="str">
        <f>IF(VLOOKUP($P66,无限模式!$A$3:$X$22,20,FALSE)="","","Monster_Infinite_"&amp;P66&amp;"_4")</f>
        <v/>
      </c>
      <c r="M66" s="57" t="str">
        <f t="shared" si="24"/>
        <v/>
      </c>
      <c r="O66" s="102" t="str">
        <f>IF(VLOOKUP($P66,无限模式!$A$3:$X$22,20,FALSE)="","",VLOOKUP($P66,无限模式!$A$3:$X$22,24,FALSE))</f>
        <v/>
      </c>
      <c r="P66" s="110">
        <f t="shared" si="25"/>
        <v>11</v>
      </c>
      <c r="Q66" s="110">
        <v>4</v>
      </c>
    </row>
    <row r="67" spans="2:17" x14ac:dyDescent="0.2">
      <c r="B67" s="57" t="s">
        <v>452</v>
      </c>
      <c r="C67" s="57">
        <v>12</v>
      </c>
      <c r="D67" s="57" t="str">
        <f t="shared" si="26"/>
        <v>无限模式第12波</v>
      </c>
      <c r="F67" s="57">
        <f t="shared" si="20"/>
        <v>0</v>
      </c>
      <c r="G67" s="102">
        <f t="shared" si="21"/>
        <v>180</v>
      </c>
      <c r="H67" s="57">
        <f t="shared" si="22"/>
        <v>0</v>
      </c>
      <c r="I67" s="102">
        <f>IF(VLOOKUP($P67,无限模式!$A$3:$X$22,5,FALSE)="","",VLOOKUP($P67,无限模式!$A$3:$X$22,6,FALSE))</f>
        <v>105</v>
      </c>
      <c r="J67" s="102">
        <f>IF(VLOOKUP($P67,无限模式!$A$3:$X$22,5,FALSE)="","",VLOOKUP($P67,无限模式!$A$3:$X$22,7,FALSE))</f>
        <v>0.2</v>
      </c>
      <c r="K67" s="102">
        <f t="shared" si="23"/>
        <v>1</v>
      </c>
      <c r="L67" s="102" t="str">
        <f>IF(VLOOKUP($P67,无限模式!$A$3:$X$22,5,FALSE)="","","Monster_Infinite_"&amp;P67&amp;"_1")</f>
        <v>Monster_Infinite_12_1</v>
      </c>
      <c r="M67" s="57">
        <f t="shared" si="24"/>
        <v>1</v>
      </c>
      <c r="O67" s="102">
        <f>IF(VLOOKUP($P67,无限模式!$A$3:$X$22,5,FALSE)="","",VLOOKUP($P67,无限模式!$A$3:$X$22,9,FALSE))</f>
        <v>5</v>
      </c>
      <c r="P67" s="110">
        <f t="shared" si="25"/>
        <v>12</v>
      </c>
      <c r="Q67" s="110">
        <v>1</v>
      </c>
    </row>
    <row r="68" spans="2:17" x14ac:dyDescent="0.2">
      <c r="D68" s="57" t="str">
        <f t="shared" si="26"/>
        <v/>
      </c>
      <c r="F68" s="57" t="str">
        <f t="shared" si="20"/>
        <v/>
      </c>
      <c r="G68" s="102" t="str">
        <f t="shared" si="21"/>
        <v/>
      </c>
      <c r="H68" s="57">
        <f t="shared" si="22"/>
        <v>0</v>
      </c>
      <c r="I68" s="102">
        <f>IF(VLOOKUP($P68,无限模式!$A$3:$X$22,10,FALSE)="","",VLOOKUP($P68,无限模式!$A$3:$X$22,11,FALSE))</f>
        <v>7</v>
      </c>
      <c r="J68" s="102">
        <f>IF(VLOOKUP($P68,无限模式!$A$3:$X$22,10,FALSE)="","",VLOOKUP($P68,无限模式!$A$3:$X$22,12,FALSE))</f>
        <v>3</v>
      </c>
      <c r="K68" s="102">
        <f t="shared" si="23"/>
        <v>1</v>
      </c>
      <c r="L68" s="102" t="str">
        <f>IF(VLOOKUP($P68,无限模式!$A$3:$X$22,10,FALSE)="","","Monster_Infinite_"&amp;P68&amp;"_2")</f>
        <v>Monster_Infinite_12_2</v>
      </c>
      <c r="M68" s="57">
        <f t="shared" si="24"/>
        <v>1</v>
      </c>
      <c r="O68" s="102">
        <f>IF(VLOOKUP($P68,无限模式!$A$3:$X$22,10,FALSE)="","",VLOOKUP($P68,无限模式!$A$3:$X$22,14,FALSE))</f>
        <v>5</v>
      </c>
      <c r="P68" s="110">
        <f t="shared" si="25"/>
        <v>12</v>
      </c>
      <c r="Q68" s="110">
        <v>2</v>
      </c>
    </row>
    <row r="69" spans="2:17" x14ac:dyDescent="0.2">
      <c r="D69" s="57" t="str">
        <f t="shared" si="26"/>
        <v/>
      </c>
      <c r="F69" s="57" t="str">
        <f t="shared" si="20"/>
        <v/>
      </c>
      <c r="G69" s="102" t="str">
        <f t="shared" si="21"/>
        <v/>
      </c>
      <c r="H69" s="57">
        <f t="shared" si="22"/>
        <v>0</v>
      </c>
      <c r="I69" s="102">
        <f>IF(VLOOKUP($P69,无限模式!$A$3:$X$22,15,FALSE)="","",VLOOKUP(P69,无限模式!$A$3:$X$22,16,FALSE))</f>
        <v>1</v>
      </c>
      <c r="J69" s="102">
        <f>IF(VLOOKUP($P69,无限模式!$A$3:$X$22,15,FALSE)="","",VLOOKUP($P69,无限模式!$A$3:$X$22,17,FALSE))</f>
        <v>0</v>
      </c>
      <c r="K69" s="102">
        <f t="shared" si="23"/>
        <v>1</v>
      </c>
      <c r="L69" s="102" t="str">
        <f>IF(VLOOKUP($P69,无限模式!$A$3:$X$22,15,FALSE)="","","Monster_Infinite_"&amp;P69&amp;"_3")</f>
        <v>Monster_Infinite_12_3</v>
      </c>
      <c r="M69" s="57">
        <f t="shared" si="24"/>
        <v>1</v>
      </c>
      <c r="O69" s="102">
        <f>IF(VLOOKUP($P69,无限模式!$A$3:$X$22,15,FALSE)="","",VLOOKUP($P69,无限模式!$A$3:$X$22,19,FALSE))</f>
        <v>109</v>
      </c>
      <c r="P69" s="110">
        <f t="shared" si="25"/>
        <v>12</v>
      </c>
      <c r="Q69" s="110">
        <v>3</v>
      </c>
    </row>
    <row r="70" spans="2:17" x14ac:dyDescent="0.2">
      <c r="D70" s="57" t="str">
        <f t="shared" si="26"/>
        <v/>
      </c>
      <c r="F70" s="57" t="str">
        <f t="shared" si="20"/>
        <v/>
      </c>
      <c r="G70" s="102" t="str">
        <f t="shared" si="21"/>
        <v/>
      </c>
      <c r="H70" s="57" t="str">
        <f t="shared" si="22"/>
        <v/>
      </c>
      <c r="I70" s="102" t="str">
        <f>IF(VLOOKUP($P70,无限模式!$A$3:$X$22,20,FALSE)="","",VLOOKUP($P70,无限模式!$A$3:$X$22,21,FALSE))</f>
        <v/>
      </c>
      <c r="J70" s="102" t="str">
        <f>IF(VLOOKUP($P70,无限模式!$A$3:$X$22,20,FALSE)="","",VLOOKUP($P70,无限模式!$A$3:$X$22,22,FALSE))</f>
        <v/>
      </c>
      <c r="K70" s="102" t="str">
        <f t="shared" si="23"/>
        <v/>
      </c>
      <c r="L70" s="102" t="str">
        <f>IF(VLOOKUP($P70,无限模式!$A$3:$X$22,20,FALSE)="","","Monster_Infinite_"&amp;P70&amp;"_4")</f>
        <v/>
      </c>
      <c r="M70" s="57" t="str">
        <f t="shared" si="24"/>
        <v/>
      </c>
      <c r="O70" s="102" t="str">
        <f>IF(VLOOKUP($P70,无限模式!$A$3:$X$22,20,FALSE)="","",VLOOKUP($P70,无限模式!$A$3:$X$22,24,FALSE))</f>
        <v/>
      </c>
      <c r="P70" s="110">
        <f t="shared" si="25"/>
        <v>12</v>
      </c>
      <c r="Q70" s="110">
        <v>4</v>
      </c>
    </row>
    <row r="71" spans="2:17" x14ac:dyDescent="0.2">
      <c r="B71" s="57" t="s">
        <v>452</v>
      </c>
      <c r="C71" s="57">
        <v>13</v>
      </c>
      <c r="D71" s="57" t="str">
        <f t="shared" si="26"/>
        <v>无限模式第13波</v>
      </c>
      <c r="F71" s="57">
        <f t="shared" si="20"/>
        <v>0</v>
      </c>
      <c r="G71" s="102">
        <f t="shared" si="21"/>
        <v>180</v>
      </c>
      <c r="H71" s="57">
        <f t="shared" si="22"/>
        <v>0</v>
      </c>
      <c r="I71" s="102">
        <f>IF(VLOOKUP($P71,无限模式!$A$3:$X$22,5,FALSE)="","",VLOOKUP($P71,无限模式!$A$3:$X$22,6,FALSE))</f>
        <v>15</v>
      </c>
      <c r="J71" s="102">
        <f>IF(VLOOKUP($P71,无限模式!$A$3:$X$22,5,FALSE)="","",VLOOKUP($P71,无限模式!$A$3:$X$22,7,FALSE))</f>
        <v>1.5</v>
      </c>
      <c r="K71" s="102">
        <f t="shared" si="23"/>
        <v>1</v>
      </c>
      <c r="L71" s="102" t="str">
        <f>IF(VLOOKUP($P71,无限模式!$A$3:$X$22,5,FALSE)="","","Monster_Infinite_"&amp;P71&amp;"_1")</f>
        <v>Monster_Infinite_13_1</v>
      </c>
      <c r="M71" s="57">
        <f t="shared" si="24"/>
        <v>1</v>
      </c>
      <c r="O71" s="102">
        <f>IF(VLOOKUP($P71,无限模式!$A$3:$X$22,5,FALSE)="","",VLOOKUP($P71,无限模式!$A$3:$X$22,9,FALSE))</f>
        <v>48</v>
      </c>
      <c r="P71" s="110">
        <f t="shared" si="25"/>
        <v>13</v>
      </c>
      <c r="Q71" s="110">
        <v>1</v>
      </c>
    </row>
    <row r="72" spans="2:17" x14ac:dyDescent="0.2">
      <c r="D72" s="57" t="str">
        <f t="shared" si="26"/>
        <v/>
      </c>
      <c r="F72" s="57" t="str">
        <f t="shared" si="20"/>
        <v/>
      </c>
      <c r="G72" s="102" t="str">
        <f t="shared" si="21"/>
        <v/>
      </c>
      <c r="H72" s="57" t="str">
        <f t="shared" si="22"/>
        <v/>
      </c>
      <c r="I72" s="102" t="str">
        <f>IF(VLOOKUP($P72,无限模式!$A$3:$X$22,10,FALSE)="","",VLOOKUP($P72,无限模式!$A$3:$X$22,11,FALSE))</f>
        <v/>
      </c>
      <c r="J72" s="102" t="str">
        <f>IF(VLOOKUP($P72,无限模式!$A$3:$X$22,10,FALSE)="","",VLOOKUP($P72,无限模式!$A$3:$X$22,12,FALSE))</f>
        <v/>
      </c>
      <c r="K72" s="102" t="str">
        <f t="shared" si="23"/>
        <v/>
      </c>
      <c r="L72" s="102" t="str">
        <f>IF(VLOOKUP($P72,无限模式!$A$3:$X$22,10,FALSE)="","","Monster_Infinite_"&amp;P72&amp;"_2")</f>
        <v/>
      </c>
      <c r="M72" s="57" t="str">
        <f t="shared" si="24"/>
        <v/>
      </c>
      <c r="O72" s="102" t="str">
        <f>IF(VLOOKUP($P72,无限模式!$A$3:$X$22,10,FALSE)="","",VLOOKUP($P72,无限模式!$A$3:$X$22,14,FALSE))</f>
        <v/>
      </c>
      <c r="P72" s="110">
        <f t="shared" si="25"/>
        <v>13</v>
      </c>
      <c r="Q72" s="110">
        <v>2</v>
      </c>
    </row>
    <row r="73" spans="2:17" x14ac:dyDescent="0.2">
      <c r="D73" s="57" t="str">
        <f t="shared" si="26"/>
        <v/>
      </c>
      <c r="F73" s="57" t="str">
        <f t="shared" si="20"/>
        <v/>
      </c>
      <c r="G73" s="102" t="str">
        <f t="shared" si="21"/>
        <v/>
      </c>
      <c r="H73" s="57" t="str">
        <f t="shared" si="22"/>
        <v/>
      </c>
      <c r="I73" s="102" t="str">
        <f>IF(VLOOKUP($P73,无限模式!$A$3:$X$22,15,FALSE)="","",VLOOKUP(P73,无限模式!$A$3:$X$22,16,FALSE))</f>
        <v/>
      </c>
      <c r="J73" s="102" t="str">
        <f>IF(VLOOKUP($P73,无限模式!$A$3:$X$22,15,FALSE)="","",VLOOKUP($P73,无限模式!$A$3:$X$22,17,FALSE))</f>
        <v/>
      </c>
      <c r="K73" s="102" t="str">
        <f t="shared" si="23"/>
        <v/>
      </c>
      <c r="L73" s="102" t="str">
        <f>IF(VLOOKUP($P73,无限模式!$A$3:$X$22,15,FALSE)="","","Monster_Infinite_"&amp;P73&amp;"_3")</f>
        <v/>
      </c>
      <c r="M73" s="57" t="str">
        <f t="shared" si="24"/>
        <v/>
      </c>
      <c r="O73" s="102" t="str">
        <f>IF(VLOOKUP($P73,无限模式!$A$3:$X$22,15,FALSE)="","",VLOOKUP($P73,无限模式!$A$3:$X$22,19,FALSE))</f>
        <v/>
      </c>
      <c r="P73" s="110">
        <f t="shared" si="25"/>
        <v>13</v>
      </c>
      <c r="Q73" s="110">
        <v>3</v>
      </c>
    </row>
    <row r="74" spans="2:17" x14ac:dyDescent="0.2">
      <c r="D74" s="57" t="str">
        <f t="shared" si="26"/>
        <v/>
      </c>
      <c r="F74" s="57" t="str">
        <f t="shared" si="20"/>
        <v/>
      </c>
      <c r="G74" s="102" t="str">
        <f t="shared" si="21"/>
        <v/>
      </c>
      <c r="H74" s="57" t="str">
        <f t="shared" si="22"/>
        <v/>
      </c>
      <c r="I74" s="102" t="str">
        <f>IF(VLOOKUP($P74,无限模式!$A$3:$X$22,20,FALSE)="","",VLOOKUP($P74,无限模式!$A$3:$X$22,21,FALSE))</f>
        <v/>
      </c>
      <c r="J74" s="102" t="str">
        <f>IF(VLOOKUP($P74,无限模式!$A$3:$X$22,20,FALSE)="","",VLOOKUP($P74,无限模式!$A$3:$X$22,22,FALSE))</f>
        <v/>
      </c>
      <c r="K74" s="102" t="str">
        <f t="shared" si="23"/>
        <v/>
      </c>
      <c r="L74" s="102" t="str">
        <f>IF(VLOOKUP($P74,无限模式!$A$3:$X$22,20,FALSE)="","","Monster_Infinite_"&amp;P74&amp;"_4")</f>
        <v/>
      </c>
      <c r="M74" s="57" t="str">
        <f t="shared" si="24"/>
        <v/>
      </c>
      <c r="O74" s="102" t="str">
        <f>IF(VLOOKUP($P74,无限模式!$A$3:$X$22,20,FALSE)="","",VLOOKUP($P74,无限模式!$A$3:$X$22,24,FALSE))</f>
        <v/>
      </c>
      <c r="P74" s="110">
        <f t="shared" si="25"/>
        <v>13</v>
      </c>
      <c r="Q74" s="110">
        <v>4</v>
      </c>
    </row>
    <row r="75" spans="2:17" x14ac:dyDescent="0.2">
      <c r="B75" s="57" t="s">
        <v>452</v>
      </c>
      <c r="C75" s="57">
        <v>14</v>
      </c>
      <c r="D75" s="57" t="str">
        <f t="shared" si="26"/>
        <v>无限模式第14波</v>
      </c>
      <c r="F75" s="57">
        <f t="shared" si="20"/>
        <v>0</v>
      </c>
      <c r="G75" s="102">
        <f t="shared" si="21"/>
        <v>180</v>
      </c>
      <c r="H75" s="57">
        <f t="shared" si="22"/>
        <v>0</v>
      </c>
      <c r="I75" s="102">
        <f>IF(VLOOKUP($P75,无限模式!$A$3:$X$22,5,FALSE)="","",VLOOKUP($P75,无限模式!$A$3:$X$22,6,FALSE))</f>
        <v>15</v>
      </c>
      <c r="J75" s="102">
        <f>IF(VLOOKUP($P75,无限模式!$A$3:$X$22,5,FALSE)="","",VLOOKUP($P75,无限模式!$A$3:$X$22,7,FALSE))</f>
        <v>1.5</v>
      </c>
      <c r="K75" s="102">
        <f t="shared" si="23"/>
        <v>1</v>
      </c>
      <c r="L75" s="102" t="str">
        <f>IF(VLOOKUP($P75,无限模式!$A$3:$X$22,5,FALSE)="","","Monster_Infinite_"&amp;P75&amp;"_1")</f>
        <v>Monster_Infinite_14_1</v>
      </c>
      <c r="M75" s="57">
        <f t="shared" si="24"/>
        <v>1</v>
      </c>
      <c r="O75" s="102">
        <f>IF(VLOOKUP($P75,无限模式!$A$3:$X$22,5,FALSE)="","",VLOOKUP($P75,无限模式!$A$3:$X$22,9,FALSE))</f>
        <v>24</v>
      </c>
      <c r="P75" s="110">
        <f t="shared" si="25"/>
        <v>14</v>
      </c>
      <c r="Q75" s="110">
        <v>1</v>
      </c>
    </row>
    <row r="76" spans="2:17" x14ac:dyDescent="0.2">
      <c r="D76" s="57" t="str">
        <f t="shared" si="26"/>
        <v/>
      </c>
      <c r="F76" s="57" t="str">
        <f t="shared" si="20"/>
        <v/>
      </c>
      <c r="G76" s="102" t="str">
        <f t="shared" si="21"/>
        <v/>
      </c>
      <c r="H76" s="57">
        <f t="shared" si="22"/>
        <v>0</v>
      </c>
      <c r="I76" s="102">
        <f>IF(VLOOKUP($P76,无限模式!$A$3:$X$22,10,FALSE)="","",VLOOKUP($P76,无限模式!$A$3:$X$22,11,FALSE))</f>
        <v>15</v>
      </c>
      <c r="J76" s="102">
        <f>IF(VLOOKUP($P76,无限模式!$A$3:$X$22,10,FALSE)="","",VLOOKUP($P76,无限模式!$A$3:$X$22,12,FALSE))</f>
        <v>1.5</v>
      </c>
      <c r="K76" s="102">
        <f t="shared" si="23"/>
        <v>1</v>
      </c>
      <c r="L76" s="102" t="str">
        <f>IF(VLOOKUP($P76,无限模式!$A$3:$X$22,10,FALSE)="","","Monster_Infinite_"&amp;P76&amp;"_2")</f>
        <v>Monster_Infinite_14_2</v>
      </c>
      <c r="M76" s="57">
        <f t="shared" si="24"/>
        <v>1</v>
      </c>
      <c r="O76" s="102">
        <f>IF(VLOOKUP($P76,无限模式!$A$3:$X$22,10,FALSE)="","",VLOOKUP($P76,无限模式!$A$3:$X$22,14,FALSE))</f>
        <v>24</v>
      </c>
      <c r="P76" s="110">
        <f t="shared" si="25"/>
        <v>14</v>
      </c>
      <c r="Q76" s="110">
        <v>2</v>
      </c>
    </row>
    <row r="77" spans="2:17" x14ac:dyDescent="0.2">
      <c r="D77" s="57" t="str">
        <f t="shared" si="26"/>
        <v/>
      </c>
      <c r="F77" s="57" t="str">
        <f t="shared" si="20"/>
        <v/>
      </c>
      <c r="G77" s="102" t="str">
        <f t="shared" si="21"/>
        <v/>
      </c>
      <c r="H77" s="57" t="str">
        <f t="shared" si="22"/>
        <v/>
      </c>
      <c r="I77" s="102" t="str">
        <f>IF(VLOOKUP($P77,无限模式!$A$3:$X$22,15,FALSE)="","",VLOOKUP(P77,无限模式!$A$3:$X$22,16,FALSE))</f>
        <v/>
      </c>
      <c r="J77" s="102" t="str">
        <f>IF(VLOOKUP($P77,无限模式!$A$3:$X$22,15,FALSE)="","",VLOOKUP($P77,无限模式!$A$3:$X$22,17,FALSE))</f>
        <v/>
      </c>
      <c r="K77" s="102" t="str">
        <f t="shared" si="23"/>
        <v/>
      </c>
      <c r="L77" s="102" t="str">
        <f>IF(VLOOKUP($P77,无限模式!$A$3:$X$22,15,FALSE)="","","Monster_Infinite_"&amp;P77&amp;"_3")</f>
        <v/>
      </c>
      <c r="M77" s="57" t="str">
        <f t="shared" si="24"/>
        <v/>
      </c>
      <c r="O77" s="102" t="str">
        <f>IF(VLOOKUP($P77,无限模式!$A$3:$X$22,15,FALSE)="","",VLOOKUP($P77,无限模式!$A$3:$X$22,19,FALSE))</f>
        <v/>
      </c>
      <c r="P77" s="110">
        <f t="shared" si="25"/>
        <v>14</v>
      </c>
      <c r="Q77" s="110">
        <v>3</v>
      </c>
    </row>
    <row r="78" spans="2:17" x14ac:dyDescent="0.2">
      <c r="D78" s="57" t="str">
        <f t="shared" si="26"/>
        <v/>
      </c>
      <c r="F78" s="57" t="str">
        <f t="shared" si="20"/>
        <v/>
      </c>
      <c r="G78" s="102" t="str">
        <f t="shared" si="21"/>
        <v/>
      </c>
      <c r="H78" s="57" t="str">
        <f t="shared" si="22"/>
        <v/>
      </c>
      <c r="I78" s="102" t="str">
        <f>IF(VLOOKUP($P78,无限模式!$A$3:$X$22,20,FALSE)="","",VLOOKUP($P78,无限模式!$A$3:$X$22,21,FALSE))</f>
        <v/>
      </c>
      <c r="J78" s="102" t="str">
        <f>IF(VLOOKUP($P78,无限模式!$A$3:$X$22,20,FALSE)="","",VLOOKUP($P78,无限模式!$A$3:$X$22,22,FALSE))</f>
        <v/>
      </c>
      <c r="K78" s="102" t="str">
        <f t="shared" si="23"/>
        <v/>
      </c>
      <c r="L78" s="102" t="str">
        <f>IF(VLOOKUP($P78,无限模式!$A$3:$X$22,20,FALSE)="","","Monster_Infinite_"&amp;P78&amp;"_4")</f>
        <v/>
      </c>
      <c r="M78" s="57" t="str">
        <f t="shared" si="24"/>
        <v/>
      </c>
      <c r="O78" s="102" t="str">
        <f>IF(VLOOKUP($P78,无限模式!$A$3:$X$22,20,FALSE)="","",VLOOKUP($P78,无限模式!$A$3:$X$22,24,FALSE))</f>
        <v/>
      </c>
      <c r="P78" s="110">
        <f t="shared" si="25"/>
        <v>14</v>
      </c>
      <c r="Q78" s="110">
        <v>4</v>
      </c>
    </row>
    <row r="79" spans="2:17" x14ac:dyDescent="0.2">
      <c r="B79" s="57" t="s">
        <v>452</v>
      </c>
      <c r="C79" s="57">
        <v>15</v>
      </c>
      <c r="D79" s="57" t="str">
        <f t="shared" si="26"/>
        <v>无限模式第15波</v>
      </c>
      <c r="F79" s="57">
        <f t="shared" si="20"/>
        <v>0</v>
      </c>
      <c r="G79" s="102">
        <f t="shared" si="21"/>
        <v>180</v>
      </c>
      <c r="H79" s="57">
        <f t="shared" si="22"/>
        <v>0</v>
      </c>
      <c r="I79" s="102">
        <f>IF(VLOOKUP($P79,无限模式!$A$3:$X$22,5,FALSE)="","",VLOOKUP($P79,无限模式!$A$3:$X$22,6,FALSE))</f>
        <v>32</v>
      </c>
      <c r="J79" s="102">
        <f>IF(VLOOKUP($P79,无限模式!$A$3:$X$22,5,FALSE)="","",VLOOKUP($P79,无限模式!$A$3:$X$22,7,FALSE))</f>
        <v>0.75</v>
      </c>
      <c r="K79" s="102">
        <f t="shared" si="23"/>
        <v>1</v>
      </c>
      <c r="L79" s="102" t="str">
        <f>IF(VLOOKUP($P79,无限模式!$A$3:$X$22,5,FALSE)="","","Monster_Infinite_"&amp;P79&amp;"_1")</f>
        <v>Monster_Infinite_15_1</v>
      </c>
      <c r="M79" s="57">
        <f t="shared" si="24"/>
        <v>1</v>
      </c>
      <c r="O79" s="102">
        <f>IF(VLOOKUP($P79,无限模式!$A$3:$X$22,5,FALSE)="","",VLOOKUP($P79,无限模式!$A$3:$X$22,9,FALSE))</f>
        <v>15</v>
      </c>
      <c r="P79" s="110">
        <f t="shared" si="25"/>
        <v>15</v>
      </c>
      <c r="Q79" s="110">
        <v>1</v>
      </c>
    </row>
    <row r="80" spans="2:17" x14ac:dyDescent="0.2">
      <c r="D80" s="57" t="str">
        <f t="shared" si="26"/>
        <v/>
      </c>
      <c r="F80" s="57" t="str">
        <f t="shared" si="20"/>
        <v/>
      </c>
      <c r="G80" s="102" t="str">
        <f t="shared" si="21"/>
        <v/>
      </c>
      <c r="H80" s="57">
        <f t="shared" si="22"/>
        <v>0</v>
      </c>
      <c r="I80" s="102">
        <f>IF(VLOOKUP($P80,无限模式!$A$3:$X$22,10,FALSE)="","",VLOOKUP($P80,无限模式!$A$3:$X$22,11,FALSE))</f>
        <v>8</v>
      </c>
      <c r="J80" s="102">
        <f>IF(VLOOKUP($P80,无限模式!$A$3:$X$22,10,FALSE)="","",VLOOKUP($P80,无限模式!$A$3:$X$22,12,FALSE))</f>
        <v>3</v>
      </c>
      <c r="K80" s="102">
        <f t="shared" si="23"/>
        <v>1</v>
      </c>
      <c r="L80" s="102" t="str">
        <f>IF(VLOOKUP($P80,无限模式!$A$3:$X$22,10,FALSE)="","","Monster_Infinite_"&amp;P80&amp;"_2")</f>
        <v>Monster_Infinite_15_2</v>
      </c>
      <c r="M80" s="57">
        <f t="shared" si="24"/>
        <v>1</v>
      </c>
      <c r="O80" s="102">
        <f>IF(VLOOKUP($P80,无限模式!$A$3:$X$22,10,FALSE)="","",VLOOKUP($P80,无限模式!$A$3:$X$22,14,FALSE))</f>
        <v>30</v>
      </c>
      <c r="P80" s="110">
        <f t="shared" si="25"/>
        <v>15</v>
      </c>
      <c r="Q80" s="110">
        <v>2</v>
      </c>
    </row>
    <row r="81" spans="2:17" x14ac:dyDescent="0.2">
      <c r="D81" s="57" t="str">
        <f t="shared" si="26"/>
        <v/>
      </c>
      <c r="F81" s="57" t="str">
        <f t="shared" si="20"/>
        <v/>
      </c>
      <c r="G81" s="102" t="str">
        <f t="shared" si="21"/>
        <v/>
      </c>
      <c r="H81" s="57" t="str">
        <f t="shared" si="22"/>
        <v/>
      </c>
      <c r="I81" s="102" t="str">
        <f>IF(VLOOKUP($P81,无限模式!$A$3:$X$22,15,FALSE)="","",VLOOKUP(P81,无限模式!$A$3:$X$22,16,FALSE))</f>
        <v/>
      </c>
      <c r="J81" s="102" t="str">
        <f>IF(VLOOKUP($P81,无限模式!$A$3:$X$22,15,FALSE)="","",VLOOKUP($P81,无限模式!$A$3:$X$22,17,FALSE))</f>
        <v/>
      </c>
      <c r="K81" s="102" t="str">
        <f t="shared" si="23"/>
        <v/>
      </c>
      <c r="L81" s="102" t="str">
        <f>IF(VLOOKUP($P81,无限模式!$A$3:$X$22,15,FALSE)="","","Monster_Infinite_"&amp;P81&amp;"_3")</f>
        <v/>
      </c>
      <c r="M81" s="57" t="str">
        <f t="shared" si="24"/>
        <v/>
      </c>
      <c r="O81" s="102" t="str">
        <f>IF(VLOOKUP($P81,无限模式!$A$3:$X$22,15,FALSE)="","",VLOOKUP($P81,无限模式!$A$3:$X$22,19,FALSE))</f>
        <v/>
      </c>
      <c r="P81" s="110">
        <f t="shared" si="25"/>
        <v>15</v>
      </c>
      <c r="Q81" s="110">
        <v>3</v>
      </c>
    </row>
    <row r="82" spans="2:17" x14ac:dyDescent="0.2">
      <c r="D82" s="57" t="str">
        <f t="shared" si="26"/>
        <v/>
      </c>
      <c r="F82" s="57" t="str">
        <f t="shared" si="20"/>
        <v/>
      </c>
      <c r="G82" s="102" t="str">
        <f t="shared" si="21"/>
        <v/>
      </c>
      <c r="H82" s="57" t="str">
        <f t="shared" si="22"/>
        <v/>
      </c>
      <c r="I82" s="102" t="str">
        <f>IF(VLOOKUP($P82,无限模式!$A$3:$X$22,20,FALSE)="","",VLOOKUP($P82,无限模式!$A$3:$X$22,21,FALSE))</f>
        <v/>
      </c>
      <c r="J82" s="102" t="str">
        <f>IF(VLOOKUP($P82,无限模式!$A$3:$X$22,20,FALSE)="","",VLOOKUP($P82,无限模式!$A$3:$X$22,22,FALSE))</f>
        <v/>
      </c>
      <c r="K82" s="102" t="str">
        <f t="shared" si="23"/>
        <v/>
      </c>
      <c r="L82" s="102" t="str">
        <f>IF(VLOOKUP($P82,无限模式!$A$3:$X$22,20,FALSE)="","","Monster_Infinite_"&amp;P82&amp;"_4")</f>
        <v/>
      </c>
      <c r="M82" s="57" t="str">
        <f t="shared" si="24"/>
        <v/>
      </c>
      <c r="O82" s="102" t="str">
        <f>IF(VLOOKUP($P82,无限模式!$A$3:$X$22,20,FALSE)="","",VLOOKUP($P82,无限模式!$A$3:$X$22,24,FALSE))</f>
        <v/>
      </c>
      <c r="P82" s="110">
        <f t="shared" si="25"/>
        <v>15</v>
      </c>
      <c r="Q82" s="110">
        <v>4</v>
      </c>
    </row>
    <row r="83" spans="2:17" x14ac:dyDescent="0.2">
      <c r="B83" s="57" t="s">
        <v>452</v>
      </c>
      <c r="C83" s="57">
        <v>16</v>
      </c>
      <c r="D83" s="57" t="str">
        <f t="shared" si="26"/>
        <v>无限模式第16波</v>
      </c>
      <c r="F83" s="57">
        <f t="shared" si="20"/>
        <v>0</v>
      </c>
      <c r="G83" s="102">
        <f t="shared" si="21"/>
        <v>180</v>
      </c>
      <c r="H83" s="57">
        <f t="shared" si="22"/>
        <v>0</v>
      </c>
      <c r="I83" s="102">
        <f>IF(VLOOKUP($P83,无限模式!$A$3:$X$22,5,FALSE)="","",VLOOKUP($P83,无限模式!$A$3:$X$22,6,FALSE))</f>
        <v>125</v>
      </c>
      <c r="J83" s="102">
        <f>IF(VLOOKUP($P83,无限模式!$A$3:$X$22,5,FALSE)="","",VLOOKUP($P83,无限模式!$A$3:$X$22,7,FALSE))</f>
        <v>0.2</v>
      </c>
      <c r="K83" s="102">
        <f t="shared" si="23"/>
        <v>1</v>
      </c>
      <c r="L83" s="102" t="str">
        <f>IF(VLOOKUP($P83,无限模式!$A$3:$X$22,5,FALSE)="","","Monster_Infinite_"&amp;P83&amp;"_1")</f>
        <v>Monster_Infinite_16_1</v>
      </c>
      <c r="M83" s="57">
        <f t="shared" si="24"/>
        <v>1</v>
      </c>
      <c r="O83" s="102">
        <f>IF(VLOOKUP($P83,无限模式!$A$3:$X$22,5,FALSE)="","",VLOOKUP($P83,无限模式!$A$3:$X$22,9,FALSE))</f>
        <v>5</v>
      </c>
      <c r="P83" s="110">
        <f t="shared" si="25"/>
        <v>16</v>
      </c>
      <c r="Q83" s="110">
        <v>1</v>
      </c>
    </row>
    <row r="84" spans="2:17" x14ac:dyDescent="0.2">
      <c r="D84" s="57" t="str">
        <f t="shared" si="26"/>
        <v/>
      </c>
      <c r="F84" s="57" t="str">
        <f t="shared" si="20"/>
        <v/>
      </c>
      <c r="G84" s="102" t="str">
        <f t="shared" si="21"/>
        <v/>
      </c>
      <c r="H84" s="57">
        <f t="shared" si="22"/>
        <v>0</v>
      </c>
      <c r="I84" s="102">
        <f>IF(VLOOKUP($P84,无限模式!$A$3:$X$22,10,FALSE)="","",VLOOKUP($P84,无限模式!$A$3:$X$22,11,FALSE))</f>
        <v>1</v>
      </c>
      <c r="J84" s="102">
        <f>IF(VLOOKUP($P84,无限模式!$A$3:$X$22,10,FALSE)="","",VLOOKUP($P84,无限模式!$A$3:$X$22,12,FALSE))</f>
        <v>0</v>
      </c>
      <c r="K84" s="102">
        <f t="shared" si="23"/>
        <v>1</v>
      </c>
      <c r="L84" s="102" t="str">
        <f>IF(VLOOKUP($P84,无限模式!$A$3:$X$22,10,FALSE)="","","Monster_Infinite_"&amp;P84&amp;"_2")</f>
        <v>Monster_Infinite_16_2</v>
      </c>
      <c r="M84" s="57">
        <f t="shared" si="24"/>
        <v>1</v>
      </c>
      <c r="O84" s="102">
        <f>IF(VLOOKUP($P84,无限模式!$A$3:$X$22,10,FALSE)="","",VLOOKUP($P84,无限模式!$A$3:$X$22,14,FALSE))</f>
        <v>53</v>
      </c>
      <c r="P84" s="110">
        <f t="shared" si="25"/>
        <v>16</v>
      </c>
      <c r="Q84" s="110">
        <v>2</v>
      </c>
    </row>
    <row r="85" spans="2:17" x14ac:dyDescent="0.2">
      <c r="D85" s="57" t="str">
        <f t="shared" si="26"/>
        <v/>
      </c>
      <c r="F85" s="57" t="str">
        <f t="shared" si="20"/>
        <v/>
      </c>
      <c r="G85" s="102" t="str">
        <f t="shared" si="21"/>
        <v/>
      </c>
      <c r="H85" s="57" t="str">
        <f t="shared" si="22"/>
        <v/>
      </c>
      <c r="I85" s="102" t="str">
        <f>IF(VLOOKUP($P85,无限模式!$A$3:$X$22,15,FALSE)="","",VLOOKUP(P85,无限模式!$A$3:$X$22,16,FALSE))</f>
        <v/>
      </c>
      <c r="J85" s="102" t="str">
        <f>IF(VLOOKUP($P85,无限模式!$A$3:$X$22,15,FALSE)="","",VLOOKUP($P85,无限模式!$A$3:$X$22,17,FALSE))</f>
        <v/>
      </c>
      <c r="K85" s="102" t="str">
        <f t="shared" si="23"/>
        <v/>
      </c>
      <c r="L85" s="102" t="str">
        <f>IF(VLOOKUP($P85,无限模式!$A$3:$X$22,15,FALSE)="","","Monster_Infinite_"&amp;P85&amp;"_3")</f>
        <v/>
      </c>
      <c r="M85" s="57" t="str">
        <f t="shared" si="24"/>
        <v/>
      </c>
      <c r="O85" s="102" t="str">
        <f>IF(VLOOKUP($P85,无限模式!$A$3:$X$22,15,FALSE)="","",VLOOKUP($P85,无限模式!$A$3:$X$22,19,FALSE))</f>
        <v/>
      </c>
      <c r="P85" s="110">
        <f t="shared" si="25"/>
        <v>16</v>
      </c>
      <c r="Q85" s="110">
        <v>3</v>
      </c>
    </row>
    <row r="86" spans="2:17" x14ac:dyDescent="0.2">
      <c r="D86" s="57" t="str">
        <f t="shared" si="26"/>
        <v/>
      </c>
      <c r="F86" s="57" t="str">
        <f t="shared" si="20"/>
        <v/>
      </c>
      <c r="G86" s="102" t="str">
        <f t="shared" si="21"/>
        <v/>
      </c>
      <c r="H86" s="57" t="str">
        <f t="shared" si="22"/>
        <v/>
      </c>
      <c r="I86" s="102" t="str">
        <f>IF(VLOOKUP($P86,无限模式!$A$3:$X$22,20,FALSE)="","",VLOOKUP($P86,无限模式!$A$3:$X$22,21,FALSE))</f>
        <v/>
      </c>
      <c r="J86" s="102" t="str">
        <f>IF(VLOOKUP($P86,无限模式!$A$3:$X$22,20,FALSE)="","",VLOOKUP($P86,无限模式!$A$3:$X$22,22,FALSE))</f>
        <v/>
      </c>
      <c r="K86" s="102" t="str">
        <f t="shared" si="23"/>
        <v/>
      </c>
      <c r="L86" s="102" t="str">
        <f>IF(VLOOKUP($P86,无限模式!$A$3:$X$22,20,FALSE)="","","Monster_Infinite_"&amp;P86&amp;"_4")</f>
        <v/>
      </c>
      <c r="M86" s="57" t="str">
        <f t="shared" si="24"/>
        <v/>
      </c>
      <c r="O86" s="102" t="str">
        <f>IF(VLOOKUP($P86,无限模式!$A$3:$X$22,20,FALSE)="","",VLOOKUP($P86,无限模式!$A$3:$X$22,24,FALSE))</f>
        <v/>
      </c>
      <c r="P86" s="110">
        <f t="shared" si="25"/>
        <v>16</v>
      </c>
      <c r="Q86" s="110">
        <v>4</v>
      </c>
    </row>
    <row r="87" spans="2:17" x14ac:dyDescent="0.2">
      <c r="B87" s="57" t="s">
        <v>452</v>
      </c>
      <c r="C87" s="57">
        <v>17</v>
      </c>
      <c r="D87" s="57" t="str">
        <f t="shared" ref="D87:D102" si="27">IF(C87="","","无限模式第"&amp;C87&amp;"波")</f>
        <v>无限模式第17波</v>
      </c>
      <c r="F87" s="57">
        <f t="shared" si="20"/>
        <v>0</v>
      </c>
      <c r="G87" s="102">
        <f t="shared" si="21"/>
        <v>180</v>
      </c>
      <c r="H87" s="57">
        <f t="shared" si="22"/>
        <v>0</v>
      </c>
      <c r="I87" s="102">
        <f>IF(VLOOKUP($P87,无限模式!$A$3:$X$22,5,FALSE)="","",VLOOKUP($P87,无限模式!$A$3:$X$22,6,FALSE))</f>
        <v>35</v>
      </c>
      <c r="J87" s="102">
        <f>IF(VLOOKUP($P87,无限模式!$A$3:$X$22,5,FALSE)="","",VLOOKUP($P87,无限模式!$A$3:$X$22,7,FALSE))</f>
        <v>0.75</v>
      </c>
      <c r="K87" s="102">
        <f t="shared" si="23"/>
        <v>1</v>
      </c>
      <c r="L87" s="102" t="str">
        <f>IF(VLOOKUP($P87,无限模式!$A$3:$X$22,5,FALSE)="","","Monster_Infinite_"&amp;P87&amp;"_1")</f>
        <v>Monster_Infinite_17_1</v>
      </c>
      <c r="M87" s="57">
        <f t="shared" si="24"/>
        <v>1</v>
      </c>
      <c r="O87" s="102">
        <f>IF(VLOOKUP($P87,无限模式!$A$3:$X$22,5,FALSE)="","",VLOOKUP($P87,无限模式!$A$3:$X$22,9,FALSE))</f>
        <v>16</v>
      </c>
      <c r="P87" s="110">
        <f t="shared" si="25"/>
        <v>17</v>
      </c>
      <c r="Q87" s="110">
        <v>1</v>
      </c>
    </row>
    <row r="88" spans="2:17" x14ac:dyDescent="0.2">
      <c r="D88" s="57" t="str">
        <f t="shared" si="27"/>
        <v/>
      </c>
      <c r="F88" s="57" t="str">
        <f t="shared" ref="F88:F151" si="28">IF(C88="","",0)</f>
        <v/>
      </c>
      <c r="G88" s="102" t="str">
        <f t="shared" ref="G88:G102" si="29">IF(C88="","",180)</f>
        <v/>
      </c>
      <c r="H88" s="57">
        <f t="shared" ref="H88:H102" si="30">IF(I88="","",0)</f>
        <v>0</v>
      </c>
      <c r="I88" s="102">
        <f>IF(VLOOKUP($P88,无限模式!$A$3:$X$22,10,FALSE)="","",VLOOKUP($P88,无限模式!$A$3:$X$22,11,FALSE))</f>
        <v>9</v>
      </c>
      <c r="J88" s="102">
        <f>IF(VLOOKUP($P88,无限模式!$A$3:$X$22,10,FALSE)="","",VLOOKUP($P88,无限模式!$A$3:$X$22,12,FALSE))</f>
        <v>3</v>
      </c>
      <c r="K88" s="102">
        <f t="shared" ref="K88:K151" si="31">IF(I88="","",1)</f>
        <v>1</v>
      </c>
      <c r="L88" s="102" t="str">
        <f>IF(VLOOKUP($P88,无限模式!$A$3:$X$22,10,FALSE)="","","Monster_Infinite_"&amp;P88&amp;"_2")</f>
        <v>Monster_Infinite_17_2</v>
      </c>
      <c r="M88" s="57">
        <f t="shared" ref="M88:M151" si="32">IF(I88="","",1)</f>
        <v>1</v>
      </c>
      <c r="O88" s="102">
        <f>IF(VLOOKUP($P88,无限模式!$A$3:$X$22,10,FALSE)="","",VLOOKUP($P88,无限模式!$A$3:$X$22,14,FALSE))</f>
        <v>16</v>
      </c>
      <c r="P88" s="110">
        <f t="shared" ref="P88:P102" si="33">IF(C88="",P87,C88)</f>
        <v>17</v>
      </c>
      <c r="Q88" s="110">
        <v>2</v>
      </c>
    </row>
    <row r="89" spans="2:17" x14ac:dyDescent="0.2">
      <c r="D89" s="57" t="str">
        <f t="shared" si="27"/>
        <v/>
      </c>
      <c r="F89" s="57" t="str">
        <f t="shared" si="28"/>
        <v/>
      </c>
      <c r="G89" s="102" t="str">
        <f t="shared" si="29"/>
        <v/>
      </c>
      <c r="H89" s="57" t="str">
        <f t="shared" si="30"/>
        <v/>
      </c>
      <c r="I89" s="102" t="str">
        <f>IF(VLOOKUP($P89,无限模式!$A$3:$X$22,15,FALSE)="","",VLOOKUP(P89,无限模式!$A$3:$X$22,16,FALSE))</f>
        <v/>
      </c>
      <c r="J89" s="102" t="str">
        <f>IF(VLOOKUP($P89,无限模式!$A$3:$X$22,15,FALSE)="","",VLOOKUP($P89,无限模式!$A$3:$X$22,17,FALSE))</f>
        <v/>
      </c>
      <c r="K89" s="102" t="str">
        <f t="shared" si="31"/>
        <v/>
      </c>
      <c r="L89" s="102" t="str">
        <f>IF(VLOOKUP($P89,无限模式!$A$3:$X$22,15,FALSE)="","","Monster_Infinite_"&amp;P89&amp;"_3")</f>
        <v/>
      </c>
      <c r="M89" s="57" t="str">
        <f t="shared" si="32"/>
        <v/>
      </c>
      <c r="O89" s="102" t="str">
        <f>IF(VLOOKUP($P89,无限模式!$A$3:$X$22,15,FALSE)="","",VLOOKUP($P89,无限模式!$A$3:$X$22,19,FALSE))</f>
        <v/>
      </c>
      <c r="P89" s="110">
        <f t="shared" si="33"/>
        <v>17</v>
      </c>
      <c r="Q89" s="110">
        <v>3</v>
      </c>
    </row>
    <row r="90" spans="2:17" x14ac:dyDescent="0.2">
      <c r="D90" s="57" t="str">
        <f t="shared" si="27"/>
        <v/>
      </c>
      <c r="F90" s="57" t="str">
        <f t="shared" si="28"/>
        <v/>
      </c>
      <c r="G90" s="102" t="str">
        <f t="shared" si="29"/>
        <v/>
      </c>
      <c r="H90" s="57" t="str">
        <f t="shared" si="30"/>
        <v/>
      </c>
      <c r="I90" s="102" t="str">
        <f>IF(VLOOKUP($P90,无限模式!$A$3:$X$22,20,FALSE)="","",VLOOKUP($P90,无限模式!$A$3:$X$22,21,FALSE))</f>
        <v/>
      </c>
      <c r="J90" s="102" t="str">
        <f>IF(VLOOKUP($P90,无限模式!$A$3:$X$22,20,FALSE)="","",VLOOKUP($P90,无限模式!$A$3:$X$22,22,FALSE))</f>
        <v/>
      </c>
      <c r="K90" s="102" t="str">
        <f t="shared" si="31"/>
        <v/>
      </c>
      <c r="L90" s="102" t="str">
        <f>IF(VLOOKUP($P90,无限模式!$A$3:$X$22,20,FALSE)="","","Monster_Infinite_"&amp;P90&amp;"_4")</f>
        <v/>
      </c>
      <c r="M90" s="57" t="str">
        <f t="shared" si="32"/>
        <v/>
      </c>
      <c r="O90" s="102" t="str">
        <f>IF(VLOOKUP($P90,无限模式!$A$3:$X$22,20,FALSE)="","",VLOOKUP($P90,无限模式!$A$3:$X$22,24,FALSE))</f>
        <v/>
      </c>
      <c r="P90" s="110">
        <f t="shared" si="33"/>
        <v>17</v>
      </c>
      <c r="Q90" s="110">
        <v>4</v>
      </c>
    </row>
    <row r="91" spans="2:17" x14ac:dyDescent="0.2">
      <c r="B91" s="57" t="s">
        <v>452</v>
      </c>
      <c r="C91" s="57">
        <v>18</v>
      </c>
      <c r="D91" s="57" t="str">
        <f t="shared" si="27"/>
        <v>无限模式第18波</v>
      </c>
      <c r="F91" s="57">
        <f t="shared" si="28"/>
        <v>0</v>
      </c>
      <c r="G91" s="102">
        <f t="shared" si="29"/>
        <v>180</v>
      </c>
      <c r="H91" s="57">
        <f t="shared" si="30"/>
        <v>0</v>
      </c>
      <c r="I91" s="102">
        <f>IF(VLOOKUP($P91,无限模式!$A$3:$X$22,5,FALSE)="","",VLOOKUP($P91,无限模式!$A$3:$X$22,6,FALSE))</f>
        <v>18</v>
      </c>
      <c r="J91" s="102">
        <f>IF(VLOOKUP($P91,无限模式!$A$3:$X$22,5,FALSE)="","",VLOOKUP($P91,无限模式!$A$3:$X$22,7,FALSE))</f>
        <v>1.5</v>
      </c>
      <c r="K91" s="102">
        <f t="shared" si="31"/>
        <v>1</v>
      </c>
      <c r="L91" s="102" t="str">
        <f>IF(VLOOKUP($P91,无限模式!$A$3:$X$22,5,FALSE)="","","Monster_Infinite_"&amp;P91&amp;"_1")</f>
        <v>Monster_Infinite_18_1</v>
      </c>
      <c r="M91" s="57">
        <f t="shared" si="32"/>
        <v>1</v>
      </c>
      <c r="O91" s="102">
        <f>IF(VLOOKUP($P91,无限模式!$A$3:$X$22,5,FALSE)="","",VLOOKUP($P91,无限模式!$A$3:$X$22,9,FALSE))</f>
        <v>20</v>
      </c>
      <c r="P91" s="110">
        <f t="shared" si="33"/>
        <v>18</v>
      </c>
      <c r="Q91" s="110">
        <v>1</v>
      </c>
    </row>
    <row r="92" spans="2:17" x14ac:dyDescent="0.2">
      <c r="D92" s="57" t="str">
        <f t="shared" si="27"/>
        <v/>
      </c>
      <c r="F92" s="57" t="str">
        <f t="shared" si="28"/>
        <v/>
      </c>
      <c r="G92" s="102" t="str">
        <f t="shared" si="29"/>
        <v/>
      </c>
      <c r="H92" s="57">
        <f t="shared" si="30"/>
        <v>0</v>
      </c>
      <c r="I92" s="102">
        <f>IF(VLOOKUP($P92,无限模式!$A$3:$X$22,10,FALSE)="","",VLOOKUP($P92,无限模式!$A$3:$X$22,11,FALSE))</f>
        <v>36</v>
      </c>
      <c r="J92" s="102">
        <f>IF(VLOOKUP($P92,无限模式!$A$3:$X$22,10,FALSE)="","",VLOOKUP($P92,无限模式!$A$3:$X$22,12,FALSE))</f>
        <v>0.75</v>
      </c>
      <c r="K92" s="102">
        <f t="shared" si="31"/>
        <v>1</v>
      </c>
      <c r="L92" s="102" t="str">
        <f>IF(VLOOKUP($P92,无限模式!$A$3:$X$22,10,FALSE)="","","Monster_Infinite_"&amp;P92&amp;"_2")</f>
        <v>Monster_Infinite_18_2</v>
      </c>
      <c r="M92" s="57">
        <f t="shared" si="32"/>
        <v>1</v>
      </c>
      <c r="O92" s="102">
        <f>IF(VLOOKUP($P92,无限模式!$A$3:$X$22,10,FALSE)="","",VLOOKUP($P92,无限模式!$A$3:$X$22,14,FALSE))</f>
        <v>10</v>
      </c>
      <c r="P92" s="110">
        <f t="shared" si="33"/>
        <v>18</v>
      </c>
      <c r="Q92" s="110">
        <v>2</v>
      </c>
    </row>
    <row r="93" spans="2:17" x14ac:dyDescent="0.2">
      <c r="D93" s="57" t="str">
        <f t="shared" si="27"/>
        <v/>
      </c>
      <c r="F93" s="57" t="str">
        <f t="shared" si="28"/>
        <v/>
      </c>
      <c r="G93" s="102" t="str">
        <f t="shared" si="29"/>
        <v/>
      </c>
      <c r="H93" s="57" t="str">
        <f t="shared" si="30"/>
        <v/>
      </c>
      <c r="I93" s="102" t="str">
        <f>IF(VLOOKUP($P93,无限模式!$A$3:$X$22,15,FALSE)="","",VLOOKUP(P93,无限模式!$A$3:$X$22,16,FALSE))</f>
        <v/>
      </c>
      <c r="J93" s="102" t="str">
        <f>IF(VLOOKUP($P93,无限模式!$A$3:$X$22,15,FALSE)="","",VLOOKUP($P93,无限模式!$A$3:$X$22,17,FALSE))</f>
        <v/>
      </c>
      <c r="K93" s="102" t="str">
        <f t="shared" si="31"/>
        <v/>
      </c>
      <c r="L93" s="102" t="str">
        <f>IF(VLOOKUP($P93,无限模式!$A$3:$X$22,15,FALSE)="","","Monster_Infinite_"&amp;P93&amp;"_3")</f>
        <v/>
      </c>
      <c r="M93" s="57" t="str">
        <f t="shared" si="32"/>
        <v/>
      </c>
      <c r="O93" s="102" t="str">
        <f>IF(VLOOKUP($P93,无限模式!$A$3:$X$22,15,FALSE)="","",VLOOKUP($P93,无限模式!$A$3:$X$22,19,FALSE))</f>
        <v/>
      </c>
      <c r="P93" s="110">
        <f t="shared" si="33"/>
        <v>18</v>
      </c>
      <c r="Q93" s="110">
        <v>3</v>
      </c>
    </row>
    <row r="94" spans="2:17" x14ac:dyDescent="0.2">
      <c r="D94" s="57" t="str">
        <f t="shared" si="27"/>
        <v/>
      </c>
      <c r="F94" s="57" t="str">
        <f t="shared" si="28"/>
        <v/>
      </c>
      <c r="G94" s="102" t="str">
        <f t="shared" si="29"/>
        <v/>
      </c>
      <c r="H94" s="57" t="str">
        <f t="shared" si="30"/>
        <v/>
      </c>
      <c r="I94" s="102" t="str">
        <f>IF(VLOOKUP($P94,无限模式!$A$3:$X$22,20,FALSE)="","",VLOOKUP($P94,无限模式!$A$3:$X$22,21,FALSE))</f>
        <v/>
      </c>
      <c r="J94" s="102" t="str">
        <f>IF(VLOOKUP($P94,无限模式!$A$3:$X$22,20,FALSE)="","",VLOOKUP($P94,无限模式!$A$3:$X$22,22,FALSE))</f>
        <v/>
      </c>
      <c r="K94" s="102" t="str">
        <f t="shared" si="31"/>
        <v/>
      </c>
      <c r="L94" s="102" t="str">
        <f>IF(VLOOKUP($P94,无限模式!$A$3:$X$22,20,FALSE)="","","Monster_Infinite_"&amp;P94&amp;"_4")</f>
        <v/>
      </c>
      <c r="M94" s="57" t="str">
        <f t="shared" si="32"/>
        <v/>
      </c>
      <c r="O94" s="102" t="str">
        <f>IF(VLOOKUP($P94,无限模式!$A$3:$X$22,20,FALSE)="","",VLOOKUP($P94,无限模式!$A$3:$X$22,24,FALSE))</f>
        <v/>
      </c>
      <c r="P94" s="110">
        <f t="shared" si="33"/>
        <v>18</v>
      </c>
      <c r="Q94" s="110">
        <v>4</v>
      </c>
    </row>
    <row r="95" spans="2:17" x14ac:dyDescent="0.2">
      <c r="B95" s="57" t="s">
        <v>452</v>
      </c>
      <c r="C95" s="57">
        <v>19</v>
      </c>
      <c r="D95" s="57" t="str">
        <f t="shared" si="27"/>
        <v>无限模式第19波</v>
      </c>
      <c r="F95" s="57">
        <f t="shared" si="28"/>
        <v>0</v>
      </c>
      <c r="G95" s="102">
        <f t="shared" si="29"/>
        <v>180</v>
      </c>
      <c r="H95" s="57">
        <f t="shared" si="30"/>
        <v>0</v>
      </c>
      <c r="I95" s="102">
        <f>IF(VLOOKUP($P95,无限模式!$A$3:$X$22,5,FALSE)="","",VLOOKUP($P95,无限模式!$A$3:$X$22,6,FALSE))</f>
        <v>19</v>
      </c>
      <c r="J95" s="102">
        <f>IF(VLOOKUP($P95,无限模式!$A$3:$X$22,5,FALSE)="","",VLOOKUP($P95,无限模式!$A$3:$X$22,7,FALSE))</f>
        <v>1.5</v>
      </c>
      <c r="K95" s="102">
        <f t="shared" si="31"/>
        <v>1</v>
      </c>
      <c r="L95" s="102" t="str">
        <f>IF(VLOOKUP($P95,无限模式!$A$3:$X$22,5,FALSE)="","","Monster_Infinite_"&amp;P95&amp;"_1")</f>
        <v>Monster_Infinite_19_1</v>
      </c>
      <c r="M95" s="57">
        <f t="shared" si="32"/>
        <v>1</v>
      </c>
      <c r="O95" s="102">
        <f>IF(VLOOKUP($P95,无限模式!$A$3:$X$22,5,FALSE)="","",VLOOKUP($P95,无限模式!$A$3:$X$22,9,FALSE))</f>
        <v>14</v>
      </c>
      <c r="P95" s="110">
        <f t="shared" si="33"/>
        <v>19</v>
      </c>
      <c r="Q95" s="110">
        <v>1</v>
      </c>
    </row>
    <row r="96" spans="2:17" x14ac:dyDescent="0.2">
      <c r="D96" s="57" t="str">
        <f t="shared" si="27"/>
        <v/>
      </c>
      <c r="F96" s="57" t="str">
        <f t="shared" si="28"/>
        <v/>
      </c>
      <c r="G96" s="102" t="str">
        <f t="shared" si="29"/>
        <v/>
      </c>
      <c r="H96" s="57">
        <f t="shared" si="30"/>
        <v>0</v>
      </c>
      <c r="I96" s="102">
        <f>IF(VLOOKUP($P96,无限模式!$A$3:$X$22,10,FALSE)="","",VLOOKUP($P96,无限模式!$A$3:$X$22,11,FALSE))</f>
        <v>37</v>
      </c>
      <c r="J96" s="102">
        <f>IF(VLOOKUP($P96,无限模式!$A$3:$X$22,10,FALSE)="","",VLOOKUP($P96,无限模式!$A$3:$X$22,12,FALSE))</f>
        <v>0.75</v>
      </c>
      <c r="K96" s="102">
        <f t="shared" si="31"/>
        <v>1</v>
      </c>
      <c r="L96" s="102" t="str">
        <f>IF(VLOOKUP($P96,无限模式!$A$3:$X$22,10,FALSE)="","","Monster_Infinite_"&amp;P96&amp;"_2")</f>
        <v>Monster_Infinite_19_2</v>
      </c>
      <c r="M96" s="57">
        <f t="shared" si="32"/>
        <v>1</v>
      </c>
      <c r="O96" s="102">
        <f>IF(VLOOKUP($P96,无限模式!$A$3:$X$22,10,FALSE)="","",VLOOKUP($P96,无限模式!$A$3:$X$22,14,FALSE))</f>
        <v>7</v>
      </c>
      <c r="P96" s="110">
        <f t="shared" si="33"/>
        <v>19</v>
      </c>
      <c r="Q96" s="110">
        <v>2</v>
      </c>
    </row>
    <row r="97" spans="2:18" x14ac:dyDescent="0.2">
      <c r="D97" s="57" t="str">
        <f t="shared" si="27"/>
        <v/>
      </c>
      <c r="F97" s="57" t="str">
        <f t="shared" si="28"/>
        <v/>
      </c>
      <c r="G97" s="102" t="str">
        <f t="shared" si="29"/>
        <v/>
      </c>
      <c r="H97" s="57">
        <f t="shared" si="30"/>
        <v>0</v>
      </c>
      <c r="I97" s="102">
        <f>IF(VLOOKUP($P97,无限模式!$A$3:$X$22,15,FALSE)="","",VLOOKUP(P97,无限模式!$A$3:$X$22,16,FALSE))</f>
        <v>14</v>
      </c>
      <c r="J97" s="102">
        <f>IF(VLOOKUP($P97,无限模式!$A$3:$X$22,15,FALSE)="","",VLOOKUP($P97,无限模式!$A$3:$X$22,17,FALSE))</f>
        <v>2</v>
      </c>
      <c r="K97" s="102">
        <f t="shared" si="31"/>
        <v>1</v>
      </c>
      <c r="L97" s="102" t="str">
        <f>IF(VLOOKUP($P97,无限模式!$A$3:$X$22,15,FALSE)="","","Monster_Infinite_"&amp;P97&amp;"_3")</f>
        <v>Monster_Infinite_19_3</v>
      </c>
      <c r="M97" s="57">
        <f t="shared" si="32"/>
        <v>1</v>
      </c>
      <c r="O97" s="102">
        <f>IF(VLOOKUP($P97,无限模式!$A$3:$X$22,15,FALSE)="","",VLOOKUP($P97,无限模式!$A$3:$X$22,19,FALSE))</f>
        <v>14</v>
      </c>
      <c r="P97" s="110">
        <f t="shared" si="33"/>
        <v>19</v>
      </c>
      <c r="Q97" s="110">
        <v>3</v>
      </c>
    </row>
    <row r="98" spans="2:18" x14ac:dyDescent="0.2">
      <c r="D98" s="57" t="str">
        <f t="shared" si="27"/>
        <v/>
      </c>
      <c r="F98" s="57" t="str">
        <f t="shared" si="28"/>
        <v/>
      </c>
      <c r="G98" s="102" t="str">
        <f t="shared" si="29"/>
        <v/>
      </c>
      <c r="H98" s="57" t="str">
        <f t="shared" si="30"/>
        <v/>
      </c>
      <c r="I98" s="102" t="str">
        <f>IF(VLOOKUP($P98,无限模式!$A$3:$X$22,20,FALSE)="","",VLOOKUP($P98,无限模式!$A$3:$X$22,21,FALSE))</f>
        <v/>
      </c>
      <c r="J98" s="102" t="str">
        <f>IF(VLOOKUP($P98,无限模式!$A$3:$X$22,20,FALSE)="","",VLOOKUP($P98,无限模式!$A$3:$X$22,22,FALSE))</f>
        <v/>
      </c>
      <c r="K98" s="102" t="str">
        <f t="shared" si="31"/>
        <v/>
      </c>
      <c r="L98" s="102" t="str">
        <f>IF(VLOOKUP($P98,无限模式!$A$3:$X$22,20,FALSE)="","","Monster_Infinite_"&amp;P98&amp;"_4")</f>
        <v/>
      </c>
      <c r="M98" s="57" t="str">
        <f t="shared" si="32"/>
        <v/>
      </c>
      <c r="O98" s="102" t="str">
        <f>IF(VLOOKUP($P98,无限模式!$A$3:$X$22,20,FALSE)="","",VLOOKUP($P98,无限模式!$A$3:$X$22,24,FALSE))</f>
        <v/>
      </c>
      <c r="P98" s="110">
        <f t="shared" si="33"/>
        <v>19</v>
      </c>
      <c r="Q98" s="110">
        <v>4</v>
      </c>
    </row>
    <row r="99" spans="2:18" x14ac:dyDescent="0.2">
      <c r="B99" s="57" t="s">
        <v>452</v>
      </c>
      <c r="C99" s="57">
        <v>20</v>
      </c>
      <c r="D99" s="57" t="str">
        <f t="shared" si="27"/>
        <v>无限模式第20波</v>
      </c>
      <c r="F99" s="57">
        <f t="shared" si="28"/>
        <v>0</v>
      </c>
      <c r="G99" s="102">
        <f t="shared" si="29"/>
        <v>180</v>
      </c>
      <c r="H99" s="57">
        <f t="shared" si="30"/>
        <v>0</v>
      </c>
      <c r="I99" s="102">
        <f>IF(VLOOKUP($P99,无限模式!$A$3:$X$22,5,FALSE)="","",VLOOKUP($P99,无限模式!$A$3:$X$22,6,FALSE))</f>
        <v>19</v>
      </c>
      <c r="J99" s="102">
        <f>IF(VLOOKUP($P99,无限模式!$A$3:$X$22,5,FALSE)="","",VLOOKUP($P99,无限模式!$A$3:$X$22,7,FALSE))</f>
        <v>1.5</v>
      </c>
      <c r="K99" s="102">
        <f t="shared" si="31"/>
        <v>1</v>
      </c>
      <c r="L99" s="102" t="str">
        <f>IF(VLOOKUP($P99,无限模式!$A$3:$X$22,5,FALSE)="","","Monster_Infinite_"&amp;P99&amp;"_1")</f>
        <v>Monster_Infinite_20_1</v>
      </c>
      <c r="M99" s="57">
        <f t="shared" si="32"/>
        <v>1</v>
      </c>
      <c r="O99" s="102">
        <f>IF(VLOOKUP($P99,无限模式!$A$3:$X$22,5,FALSE)="","",VLOOKUP($P99,无限模式!$A$3:$X$22,9,FALSE))</f>
        <v>8</v>
      </c>
      <c r="P99" s="110">
        <f t="shared" si="33"/>
        <v>20</v>
      </c>
      <c r="Q99" s="110">
        <v>1</v>
      </c>
    </row>
    <row r="100" spans="2:18" x14ac:dyDescent="0.2">
      <c r="D100" s="57" t="str">
        <f t="shared" si="27"/>
        <v/>
      </c>
      <c r="F100" s="57" t="str">
        <f t="shared" si="28"/>
        <v/>
      </c>
      <c r="G100" s="102" t="str">
        <f t="shared" si="29"/>
        <v/>
      </c>
      <c r="H100" s="57">
        <f t="shared" si="30"/>
        <v>0</v>
      </c>
      <c r="I100" s="102">
        <f>IF(VLOOKUP($P100,无限模式!$A$3:$X$22,10,FALSE)="","",VLOOKUP($P100,无限模式!$A$3:$X$22,11,FALSE))</f>
        <v>39</v>
      </c>
      <c r="J100" s="102">
        <f>IF(VLOOKUP($P100,无限模式!$A$3:$X$22,10,FALSE)="","",VLOOKUP($P100,无限模式!$A$3:$X$22,12,FALSE))</f>
        <v>0.75</v>
      </c>
      <c r="K100" s="102">
        <f t="shared" si="31"/>
        <v>1</v>
      </c>
      <c r="L100" s="102" t="str">
        <f>IF(VLOOKUP($P100,无限模式!$A$3:$X$22,10,FALSE)="","","Monster_Infinite_"&amp;P100&amp;"_2")</f>
        <v>Monster_Infinite_20_2</v>
      </c>
      <c r="M100" s="57">
        <f t="shared" si="32"/>
        <v>1</v>
      </c>
      <c r="O100" s="102">
        <f>IF(VLOOKUP($P100,无限模式!$A$3:$X$22,10,FALSE)="","",VLOOKUP($P100,无限模式!$A$3:$X$22,14,FALSE))</f>
        <v>4</v>
      </c>
      <c r="P100" s="110">
        <f t="shared" si="33"/>
        <v>20</v>
      </c>
      <c r="Q100" s="110">
        <v>2</v>
      </c>
    </row>
    <row r="101" spans="2:18" x14ac:dyDescent="0.2">
      <c r="D101" s="57" t="str">
        <f t="shared" si="27"/>
        <v/>
      </c>
      <c r="F101" s="57" t="str">
        <f t="shared" si="28"/>
        <v/>
      </c>
      <c r="G101" s="102" t="str">
        <f t="shared" si="29"/>
        <v/>
      </c>
      <c r="H101" s="57">
        <f t="shared" si="30"/>
        <v>0</v>
      </c>
      <c r="I101" s="102">
        <f>IF(VLOOKUP($P101,无限模式!$A$3:$X$22,15,FALSE)="","",VLOOKUP(P101,无限模式!$A$3:$X$22,16,FALSE))</f>
        <v>29</v>
      </c>
      <c r="J101" s="102">
        <f>IF(VLOOKUP($P101,无限模式!$A$3:$X$22,15,FALSE)="","",VLOOKUP($P101,无限模式!$A$3:$X$22,17,FALSE))</f>
        <v>1</v>
      </c>
      <c r="K101" s="102">
        <f t="shared" si="31"/>
        <v>1</v>
      </c>
      <c r="L101" s="102" t="str">
        <f>IF(VLOOKUP($P101,无限模式!$A$3:$X$22,15,FALSE)="","","Monster_Infinite_"&amp;P101&amp;"_3")</f>
        <v>Monster_Infinite_20_3</v>
      </c>
      <c r="M101" s="57">
        <f t="shared" si="32"/>
        <v>1</v>
      </c>
      <c r="O101" s="102">
        <f>IF(VLOOKUP($P101,无限模式!$A$3:$X$22,15,FALSE)="","",VLOOKUP($P101,无限模式!$A$3:$X$22,19,FALSE))</f>
        <v>8</v>
      </c>
      <c r="P101" s="110">
        <f t="shared" si="33"/>
        <v>20</v>
      </c>
      <c r="Q101" s="110">
        <v>3</v>
      </c>
    </row>
    <row r="102" spans="2:18" x14ac:dyDescent="0.2">
      <c r="D102" s="57" t="str">
        <f t="shared" si="27"/>
        <v/>
      </c>
      <c r="F102" s="57" t="str">
        <f t="shared" si="28"/>
        <v/>
      </c>
      <c r="G102" s="102" t="str">
        <f t="shared" si="29"/>
        <v/>
      </c>
      <c r="H102" s="57">
        <f t="shared" si="30"/>
        <v>0</v>
      </c>
      <c r="I102" s="102">
        <f>IF(VLOOKUP($P102,无限模式!$A$3:$X$22,20,FALSE)="","",VLOOKUP($P102,无限模式!$A$3:$X$22,21,FALSE))</f>
        <v>1</v>
      </c>
      <c r="J102" s="102">
        <f>IF(VLOOKUP($P102,无限模式!$A$3:$X$22,20,FALSE)="","",VLOOKUP($P102,无限模式!$A$3:$X$22,22,FALSE))</f>
        <v>0</v>
      </c>
      <c r="K102" s="102">
        <f t="shared" si="31"/>
        <v>1</v>
      </c>
      <c r="L102" s="102" t="str">
        <f>IF(VLOOKUP($P102,无限模式!$A$3:$X$22,20,FALSE)="","","Monster_Infinite_"&amp;P102&amp;"_4")</f>
        <v>Monster_Infinite_20_4</v>
      </c>
      <c r="M102" s="57">
        <f t="shared" si="32"/>
        <v>1</v>
      </c>
      <c r="O102" s="102">
        <f>IF(VLOOKUP($P102,无限模式!$A$3:$X$22,20,FALSE)="","",VLOOKUP($P102,无限模式!$A$3:$X$22,24,FALSE))</f>
        <v>165</v>
      </c>
      <c r="P102" s="110">
        <f t="shared" si="33"/>
        <v>20</v>
      </c>
      <c r="Q102" s="110">
        <v>4</v>
      </c>
    </row>
    <row r="103" spans="2:18" x14ac:dyDescent="0.2">
      <c r="F103" s="57" t="str">
        <f t="shared" si="28"/>
        <v/>
      </c>
    </row>
    <row r="104" spans="2:18" x14ac:dyDescent="0.2">
      <c r="B104" s="57" t="str">
        <f>IF(C104="","","MonsterWaveCallRule_Challenge"&amp;P104)</f>
        <v>MonsterWaveCallRule_Challenge1</v>
      </c>
      <c r="C104" s="57">
        <v>1</v>
      </c>
      <c r="D104" s="57" t="str">
        <f>IF(C104="","","挑战关卡"&amp;P104&amp;"第"&amp;C104&amp;"波")</f>
        <v>挑战关卡1第1波</v>
      </c>
      <c r="F104" s="57">
        <f t="shared" si="28"/>
        <v>0</v>
      </c>
      <c r="G104" s="102">
        <f>IF(C104="","",180)</f>
        <v>180</v>
      </c>
      <c r="I104" s="102">
        <f>VLOOKUP(P104&amp;"_"&amp;Q104,挑战模式!$A$3:$Z$52,3+5*MonsterWaveCallRuleCfg!R104,FALSE)</f>
        <v>5</v>
      </c>
      <c r="J104" s="102">
        <f>VLOOKUP(P104&amp;"_"&amp;Q104,挑战模式!$A$3:$Z$52,4+5*MonsterWaveCallRuleCfg!R104,FALSE)</f>
        <v>2</v>
      </c>
      <c r="K104" s="102">
        <f t="shared" si="31"/>
        <v>1</v>
      </c>
      <c r="L104" s="102" t="str">
        <f>IF(VLOOKUP(P104&amp;"_"&amp;Q104,挑战模式!$A$3:$Z$52,2+5*R104,FALSE)="","","Monster_Challenge"&amp;P104&amp;"_"&amp;Q104&amp;"_"&amp;R104)</f>
        <v>Monster_Challenge1_1_1</v>
      </c>
      <c r="M104" s="57">
        <f t="shared" si="32"/>
        <v>1</v>
      </c>
      <c r="O104" s="102">
        <f>VLOOKUP(P104&amp;"_"&amp;Q104,挑战模式!$A$3:$Z$52,6+5*MonsterWaveCallRuleCfg!R104,FALSE)</f>
        <v>40</v>
      </c>
      <c r="P104" s="110">
        <v>1</v>
      </c>
      <c r="Q104" s="110">
        <f>C104</f>
        <v>1</v>
      </c>
      <c r="R104" s="110">
        <v>1</v>
      </c>
    </row>
    <row r="105" spans="2:18" x14ac:dyDescent="0.2">
      <c r="B105" s="57" t="str">
        <f t="shared" ref="B105:B168" si="34">IF(C105="","","MonsterWaveCallRule_Challenge"&amp;P105)</f>
        <v/>
      </c>
      <c r="D105" s="57" t="str">
        <f t="shared" ref="D105:D168" si="35">IF(C105="","","挑战关卡"&amp;P105&amp;"第"&amp;C105&amp;"波")</f>
        <v/>
      </c>
      <c r="F105" s="57" t="str">
        <f t="shared" si="28"/>
        <v/>
      </c>
      <c r="G105" s="102" t="str">
        <f t="shared" ref="G105:G168" si="36">IF(C105="","",180)</f>
        <v/>
      </c>
      <c r="I105" s="102" t="str">
        <f>VLOOKUP(P105&amp;"_"&amp;Q105,挑战模式!$A$3:$Z$52,3+5*MonsterWaveCallRuleCfg!R105,FALSE)</f>
        <v/>
      </c>
      <c r="J105" s="102" t="str">
        <f>VLOOKUP(P105&amp;"_"&amp;Q105,挑战模式!$A$3:$Z$52,4+5*MonsterWaveCallRuleCfg!R105,FALSE)</f>
        <v/>
      </c>
      <c r="K105" s="102" t="str">
        <f t="shared" si="31"/>
        <v/>
      </c>
      <c r="L105" s="102" t="str">
        <f>IF(VLOOKUP(P105&amp;"_"&amp;Q105,挑战模式!$A$3:$Z$52,2+5*R105,FALSE)="","","Monster_Challenge"&amp;P105&amp;"_"&amp;Q105&amp;"_"&amp;R105)</f>
        <v/>
      </c>
      <c r="M105" s="57" t="str">
        <f t="shared" si="32"/>
        <v/>
      </c>
      <c r="O105" s="102" t="str">
        <f>VLOOKUP(P105&amp;"_"&amp;Q105,挑战模式!$A$3:$Z$52,6+5*MonsterWaveCallRuleCfg!R105,FALSE)</f>
        <v/>
      </c>
      <c r="P105" s="110">
        <v>1</v>
      </c>
      <c r="Q105" s="110">
        <f>IF(C105="",Q104,C105)</f>
        <v>1</v>
      </c>
      <c r="R105" s="110">
        <v>2</v>
      </c>
    </row>
    <row r="106" spans="2:18" x14ac:dyDescent="0.2">
      <c r="B106" s="57" t="str">
        <f t="shared" si="34"/>
        <v/>
      </c>
      <c r="D106" s="57" t="str">
        <f t="shared" si="35"/>
        <v/>
      </c>
      <c r="F106" s="57" t="str">
        <f t="shared" si="28"/>
        <v/>
      </c>
      <c r="G106" s="102" t="str">
        <f t="shared" si="36"/>
        <v/>
      </c>
      <c r="I106" s="102" t="str">
        <f>VLOOKUP(P106&amp;"_"&amp;Q106,挑战模式!$A$3:$Z$52,3+5*MonsterWaveCallRuleCfg!R106,FALSE)</f>
        <v/>
      </c>
      <c r="J106" s="102" t="str">
        <f>VLOOKUP(P106&amp;"_"&amp;Q106,挑战模式!$A$3:$Z$52,4+5*MonsterWaveCallRuleCfg!R106,FALSE)</f>
        <v/>
      </c>
      <c r="K106" s="102" t="str">
        <f t="shared" si="31"/>
        <v/>
      </c>
      <c r="L106" s="102" t="str">
        <f>IF(VLOOKUP(P106&amp;"_"&amp;Q106,挑战模式!$A$3:$Z$52,2+5*R106,FALSE)="","","Monster_Challenge"&amp;P106&amp;"_"&amp;Q106&amp;"_"&amp;R106)</f>
        <v/>
      </c>
      <c r="M106" s="57" t="str">
        <f t="shared" si="32"/>
        <v/>
      </c>
      <c r="O106" s="102" t="str">
        <f>VLOOKUP(P106&amp;"_"&amp;Q106,挑战模式!$A$3:$Z$52,6+5*MonsterWaveCallRuleCfg!R106,FALSE)</f>
        <v/>
      </c>
      <c r="P106" s="110">
        <v>1</v>
      </c>
      <c r="Q106" s="110">
        <f t="shared" ref="Q106:Q169" si="37">IF(C106="",Q105,C106)</f>
        <v>1</v>
      </c>
      <c r="R106" s="110">
        <v>3</v>
      </c>
    </row>
    <row r="107" spans="2:18" x14ac:dyDescent="0.2">
      <c r="B107" s="57" t="str">
        <f t="shared" si="34"/>
        <v/>
      </c>
      <c r="D107" s="57" t="str">
        <f t="shared" si="35"/>
        <v/>
      </c>
      <c r="F107" s="57" t="str">
        <f t="shared" si="28"/>
        <v/>
      </c>
      <c r="G107" s="102" t="str">
        <f t="shared" si="36"/>
        <v/>
      </c>
      <c r="I107" s="102" t="str">
        <f>VLOOKUP(P107&amp;"_"&amp;Q107,挑战模式!$A$3:$Z$52,3+5*MonsterWaveCallRuleCfg!R107,FALSE)</f>
        <v/>
      </c>
      <c r="J107" s="102" t="str">
        <f>VLOOKUP(P107&amp;"_"&amp;Q107,挑战模式!$A$3:$Z$52,4+5*MonsterWaveCallRuleCfg!R107,FALSE)</f>
        <v/>
      </c>
      <c r="K107" s="102" t="str">
        <f t="shared" si="31"/>
        <v/>
      </c>
      <c r="L107" s="102" t="str">
        <f>IF(VLOOKUP(P107&amp;"_"&amp;Q107,挑战模式!$A$3:$Z$52,2+5*R107,FALSE)="","","Monster_Challenge"&amp;P107&amp;"_"&amp;Q107&amp;"_"&amp;R107)</f>
        <v/>
      </c>
      <c r="M107" s="57" t="str">
        <f t="shared" si="32"/>
        <v/>
      </c>
      <c r="O107" s="102" t="str">
        <f>VLOOKUP(P107&amp;"_"&amp;Q107,挑战模式!$A$3:$Z$52,6+5*MonsterWaveCallRuleCfg!R107,FALSE)</f>
        <v/>
      </c>
      <c r="P107" s="110">
        <v>1</v>
      </c>
      <c r="Q107" s="110">
        <f t="shared" si="37"/>
        <v>1</v>
      </c>
      <c r="R107" s="110">
        <v>4</v>
      </c>
    </row>
    <row r="108" spans="2:18" x14ac:dyDescent="0.2">
      <c r="B108" s="57" t="str">
        <f t="shared" si="34"/>
        <v>MonsterWaveCallRule_Challenge1</v>
      </c>
      <c r="C108" s="57">
        <v>2</v>
      </c>
      <c r="D108" s="57" t="str">
        <f t="shared" si="35"/>
        <v>挑战关卡1第2波</v>
      </c>
      <c r="F108" s="57">
        <f t="shared" si="28"/>
        <v>0</v>
      </c>
      <c r="G108" s="102">
        <f t="shared" si="36"/>
        <v>180</v>
      </c>
      <c r="I108" s="102">
        <f>VLOOKUP(P108&amp;"_"&amp;Q108,挑战模式!$A$3:$Z$52,3+5*MonsterWaveCallRuleCfg!R108,FALSE)</f>
        <v>25</v>
      </c>
      <c r="J108" s="102">
        <f>VLOOKUP(P108&amp;"_"&amp;Q108,挑战模式!$A$3:$Z$52,4+5*MonsterWaveCallRuleCfg!R108,FALSE)</f>
        <v>0.5</v>
      </c>
      <c r="K108" s="102">
        <f t="shared" si="31"/>
        <v>1</v>
      </c>
      <c r="L108" s="102" t="str">
        <f>IF(VLOOKUP(P108&amp;"_"&amp;Q108,挑战模式!$A$3:$Z$52,2+5*R108,FALSE)="","","Monster_Challenge"&amp;P108&amp;"_"&amp;Q108&amp;"_"&amp;R108)</f>
        <v>Monster_Challenge1_2_1</v>
      </c>
      <c r="M108" s="57">
        <f t="shared" si="32"/>
        <v>1</v>
      </c>
      <c r="O108" s="102">
        <f>VLOOKUP(P108&amp;"_"&amp;Q108,挑战模式!$A$3:$Z$52,6+5*MonsterWaveCallRuleCfg!R108,FALSE)</f>
        <v>8</v>
      </c>
      <c r="P108" s="110">
        <v>1</v>
      </c>
      <c r="Q108" s="110">
        <f t="shared" si="37"/>
        <v>2</v>
      </c>
      <c r="R108" s="110">
        <v>1</v>
      </c>
    </row>
    <row r="109" spans="2:18" x14ac:dyDescent="0.2">
      <c r="B109" s="57" t="str">
        <f t="shared" si="34"/>
        <v/>
      </c>
      <c r="D109" s="57" t="str">
        <f t="shared" si="35"/>
        <v/>
      </c>
      <c r="F109" s="57" t="str">
        <f t="shared" si="28"/>
        <v/>
      </c>
      <c r="G109" s="102" t="str">
        <f t="shared" si="36"/>
        <v/>
      </c>
      <c r="I109" s="102" t="str">
        <f>VLOOKUP(P109&amp;"_"&amp;Q109,挑战模式!$A$3:$Z$52,3+5*MonsterWaveCallRuleCfg!R109,FALSE)</f>
        <v/>
      </c>
      <c r="J109" s="102" t="str">
        <f>VLOOKUP(P109&amp;"_"&amp;Q109,挑战模式!$A$3:$Z$52,4+5*MonsterWaveCallRuleCfg!R109,FALSE)</f>
        <v/>
      </c>
      <c r="K109" s="102" t="str">
        <f t="shared" si="31"/>
        <v/>
      </c>
      <c r="L109" s="102" t="str">
        <f>IF(VLOOKUP(P109&amp;"_"&amp;Q109,挑战模式!$A$3:$Z$52,2+5*R109,FALSE)="","","Monster_Challenge"&amp;P109&amp;"_"&amp;Q109&amp;"_"&amp;R109)</f>
        <v/>
      </c>
      <c r="M109" s="57" t="str">
        <f t="shared" si="32"/>
        <v/>
      </c>
      <c r="O109" s="102" t="str">
        <f>VLOOKUP(P109&amp;"_"&amp;Q109,挑战模式!$A$3:$Z$52,6+5*MonsterWaveCallRuleCfg!R109,FALSE)</f>
        <v/>
      </c>
      <c r="P109" s="110">
        <v>1</v>
      </c>
      <c r="Q109" s="110">
        <f t="shared" si="37"/>
        <v>2</v>
      </c>
      <c r="R109" s="110">
        <v>2</v>
      </c>
    </row>
    <row r="110" spans="2:18" x14ac:dyDescent="0.2">
      <c r="B110" s="57" t="str">
        <f t="shared" si="34"/>
        <v/>
      </c>
      <c r="D110" s="57" t="str">
        <f t="shared" si="35"/>
        <v/>
      </c>
      <c r="F110" s="57" t="str">
        <f t="shared" si="28"/>
        <v/>
      </c>
      <c r="G110" s="102" t="str">
        <f t="shared" si="36"/>
        <v/>
      </c>
      <c r="I110" s="102" t="str">
        <f>VLOOKUP(P110&amp;"_"&amp;Q110,挑战模式!$A$3:$Z$52,3+5*MonsterWaveCallRuleCfg!R110,FALSE)</f>
        <v/>
      </c>
      <c r="J110" s="102" t="str">
        <f>VLOOKUP(P110&amp;"_"&amp;Q110,挑战模式!$A$3:$Z$52,4+5*MonsterWaveCallRuleCfg!R110,FALSE)</f>
        <v/>
      </c>
      <c r="K110" s="102" t="str">
        <f t="shared" si="31"/>
        <v/>
      </c>
      <c r="L110" s="102" t="str">
        <f>IF(VLOOKUP(P110&amp;"_"&amp;Q110,挑战模式!$A$3:$Z$52,2+5*R110,FALSE)="","","Monster_Challenge"&amp;P110&amp;"_"&amp;Q110&amp;"_"&amp;R110)</f>
        <v/>
      </c>
      <c r="M110" s="57" t="str">
        <f t="shared" si="32"/>
        <v/>
      </c>
      <c r="O110" s="102" t="str">
        <f>VLOOKUP(P110&amp;"_"&amp;Q110,挑战模式!$A$3:$Z$52,6+5*MonsterWaveCallRuleCfg!R110,FALSE)</f>
        <v/>
      </c>
      <c r="P110" s="110">
        <v>1</v>
      </c>
      <c r="Q110" s="110">
        <f t="shared" si="37"/>
        <v>2</v>
      </c>
      <c r="R110" s="110">
        <v>3</v>
      </c>
    </row>
    <row r="111" spans="2:18" x14ac:dyDescent="0.2">
      <c r="B111" s="57" t="str">
        <f t="shared" si="34"/>
        <v/>
      </c>
      <c r="D111" s="57" t="str">
        <f t="shared" si="35"/>
        <v/>
      </c>
      <c r="F111" s="57" t="str">
        <f t="shared" si="28"/>
        <v/>
      </c>
      <c r="G111" s="102" t="str">
        <f t="shared" si="36"/>
        <v/>
      </c>
      <c r="I111" s="102" t="str">
        <f>VLOOKUP(P111&amp;"_"&amp;Q111,挑战模式!$A$3:$Z$52,3+5*MonsterWaveCallRuleCfg!R111,FALSE)</f>
        <v/>
      </c>
      <c r="J111" s="102" t="str">
        <f>VLOOKUP(P111&amp;"_"&amp;Q111,挑战模式!$A$3:$Z$52,4+5*MonsterWaveCallRuleCfg!R111,FALSE)</f>
        <v/>
      </c>
      <c r="K111" s="102" t="str">
        <f t="shared" si="31"/>
        <v/>
      </c>
      <c r="L111" s="102" t="str">
        <f>IF(VLOOKUP(P111&amp;"_"&amp;Q111,挑战模式!$A$3:$Z$52,2+5*R111,FALSE)="","","Monster_Challenge"&amp;P111&amp;"_"&amp;Q111&amp;"_"&amp;R111)</f>
        <v/>
      </c>
      <c r="M111" s="57" t="str">
        <f t="shared" si="32"/>
        <v/>
      </c>
      <c r="O111" s="102" t="str">
        <f>VLOOKUP(P111&amp;"_"&amp;Q111,挑战模式!$A$3:$Z$52,6+5*MonsterWaveCallRuleCfg!R111,FALSE)</f>
        <v/>
      </c>
      <c r="P111" s="110">
        <v>1</v>
      </c>
      <c r="Q111" s="110">
        <f t="shared" si="37"/>
        <v>2</v>
      </c>
      <c r="R111" s="110">
        <v>4</v>
      </c>
    </row>
    <row r="112" spans="2:18" x14ac:dyDescent="0.2">
      <c r="B112" s="57" t="str">
        <f t="shared" si="34"/>
        <v>MonsterWaveCallRule_Challenge1</v>
      </c>
      <c r="C112" s="57">
        <v>3</v>
      </c>
      <c r="D112" s="57" t="str">
        <f t="shared" si="35"/>
        <v>挑战关卡1第3波</v>
      </c>
      <c r="F112" s="57">
        <f t="shared" si="28"/>
        <v>0</v>
      </c>
      <c r="G112" s="102">
        <f t="shared" si="36"/>
        <v>180</v>
      </c>
      <c r="I112" s="102">
        <f>VLOOKUP(P112&amp;"_"&amp;Q112,挑战模式!$A$3:$Z$52,3+5*MonsterWaveCallRuleCfg!R112,FALSE)</f>
        <v>30</v>
      </c>
      <c r="J112" s="102">
        <f>VLOOKUP(P112&amp;"_"&amp;Q112,挑战模式!$A$3:$Z$52,4+5*MonsterWaveCallRuleCfg!R112,FALSE)</f>
        <v>0.5</v>
      </c>
      <c r="K112" s="102">
        <f t="shared" si="31"/>
        <v>1</v>
      </c>
      <c r="L112" s="102" t="str">
        <f>IF(VLOOKUP(P112&amp;"_"&amp;Q112,挑战模式!$A$3:$Z$52,2+5*R112,FALSE)="","","Monster_Challenge"&amp;P112&amp;"_"&amp;Q112&amp;"_"&amp;R112)</f>
        <v>Monster_Challenge1_3_1</v>
      </c>
      <c r="M112" s="57">
        <f t="shared" si="32"/>
        <v>1</v>
      </c>
      <c r="O112" s="102">
        <f>VLOOKUP(P112&amp;"_"&amp;Q112,挑战模式!$A$3:$Z$52,6+5*MonsterWaveCallRuleCfg!R112,FALSE)</f>
        <v>4</v>
      </c>
      <c r="P112" s="110">
        <v>1</v>
      </c>
      <c r="Q112" s="110">
        <f t="shared" si="37"/>
        <v>3</v>
      </c>
      <c r="R112" s="110">
        <v>1</v>
      </c>
    </row>
    <row r="113" spans="2:18" x14ac:dyDescent="0.2">
      <c r="B113" s="57" t="str">
        <f t="shared" si="34"/>
        <v/>
      </c>
      <c r="D113" s="57" t="str">
        <f t="shared" si="35"/>
        <v/>
      </c>
      <c r="F113" s="57" t="str">
        <f t="shared" si="28"/>
        <v/>
      </c>
      <c r="G113" s="102" t="str">
        <f t="shared" si="36"/>
        <v/>
      </c>
      <c r="I113" s="102">
        <f>VLOOKUP(P113&amp;"_"&amp;Q113,挑战模式!$A$3:$Z$52,3+5*MonsterWaveCallRuleCfg!R113,FALSE)</f>
        <v>5</v>
      </c>
      <c r="J113" s="102">
        <f>VLOOKUP(P113&amp;"_"&amp;Q113,挑战模式!$A$3:$Z$52,4+5*MonsterWaveCallRuleCfg!R113,FALSE)</f>
        <v>3</v>
      </c>
      <c r="K113" s="102">
        <f t="shared" si="31"/>
        <v>1</v>
      </c>
      <c r="L113" s="102" t="str">
        <f>IF(VLOOKUP(P113&amp;"_"&amp;Q113,挑战模式!$A$3:$Z$52,2+5*R113,FALSE)="","","Monster_Challenge"&amp;P113&amp;"_"&amp;Q113&amp;"_"&amp;R113)</f>
        <v>Monster_Challenge1_3_2</v>
      </c>
      <c r="M113" s="57">
        <f t="shared" si="32"/>
        <v>1</v>
      </c>
      <c r="O113" s="102">
        <f>VLOOKUP(P113&amp;"_"&amp;Q113,挑战模式!$A$3:$Z$52,6+5*MonsterWaveCallRuleCfg!R113,FALSE)</f>
        <v>16</v>
      </c>
      <c r="P113" s="110">
        <v>1</v>
      </c>
      <c r="Q113" s="110">
        <f t="shared" si="37"/>
        <v>3</v>
      </c>
      <c r="R113" s="110">
        <v>2</v>
      </c>
    </row>
    <row r="114" spans="2:18" x14ac:dyDescent="0.2">
      <c r="B114" s="57" t="str">
        <f t="shared" si="34"/>
        <v/>
      </c>
      <c r="D114" s="57" t="str">
        <f t="shared" si="35"/>
        <v/>
      </c>
      <c r="F114" s="57" t="str">
        <f t="shared" si="28"/>
        <v/>
      </c>
      <c r="G114" s="102" t="str">
        <f t="shared" si="36"/>
        <v/>
      </c>
      <c r="I114" s="102" t="str">
        <f>VLOOKUP(P114&amp;"_"&amp;Q114,挑战模式!$A$3:$Z$52,3+5*MonsterWaveCallRuleCfg!R114,FALSE)</f>
        <v/>
      </c>
      <c r="J114" s="102" t="str">
        <f>VLOOKUP(P114&amp;"_"&amp;Q114,挑战模式!$A$3:$Z$52,4+5*MonsterWaveCallRuleCfg!R114,FALSE)</f>
        <v/>
      </c>
      <c r="K114" s="102" t="str">
        <f t="shared" si="31"/>
        <v/>
      </c>
      <c r="L114" s="102" t="str">
        <f>IF(VLOOKUP(P114&amp;"_"&amp;Q114,挑战模式!$A$3:$Z$52,2+5*R114,FALSE)="","","Monster_Challenge"&amp;P114&amp;"_"&amp;Q114&amp;"_"&amp;R114)</f>
        <v/>
      </c>
      <c r="M114" s="57" t="str">
        <f t="shared" si="32"/>
        <v/>
      </c>
      <c r="O114" s="102" t="str">
        <f>VLOOKUP(P114&amp;"_"&amp;Q114,挑战模式!$A$3:$Z$52,6+5*MonsterWaveCallRuleCfg!R114,FALSE)</f>
        <v/>
      </c>
      <c r="P114" s="110">
        <v>1</v>
      </c>
      <c r="Q114" s="110">
        <f t="shared" si="37"/>
        <v>3</v>
      </c>
      <c r="R114" s="110">
        <v>3</v>
      </c>
    </row>
    <row r="115" spans="2:18" x14ac:dyDescent="0.2">
      <c r="B115" s="57" t="str">
        <f t="shared" si="34"/>
        <v/>
      </c>
      <c r="D115" s="57" t="str">
        <f t="shared" si="35"/>
        <v/>
      </c>
      <c r="F115" s="57" t="str">
        <f t="shared" si="28"/>
        <v/>
      </c>
      <c r="G115" s="102" t="str">
        <f t="shared" si="36"/>
        <v/>
      </c>
      <c r="I115" s="102" t="str">
        <f>VLOOKUP(P115&amp;"_"&amp;Q115,挑战模式!$A$3:$Z$52,3+5*MonsterWaveCallRuleCfg!R115,FALSE)</f>
        <v/>
      </c>
      <c r="J115" s="102" t="str">
        <f>VLOOKUP(P115&amp;"_"&amp;Q115,挑战模式!$A$3:$Z$52,4+5*MonsterWaveCallRuleCfg!R115,FALSE)</f>
        <v/>
      </c>
      <c r="K115" s="102" t="str">
        <f t="shared" si="31"/>
        <v/>
      </c>
      <c r="L115" s="102" t="str">
        <f>IF(VLOOKUP(P115&amp;"_"&amp;Q115,挑战模式!$A$3:$Z$52,2+5*R115,FALSE)="","","Monster_Challenge"&amp;P115&amp;"_"&amp;Q115&amp;"_"&amp;R115)</f>
        <v/>
      </c>
      <c r="M115" s="57" t="str">
        <f t="shared" si="32"/>
        <v/>
      </c>
      <c r="O115" s="102" t="str">
        <f>VLOOKUP(P115&amp;"_"&amp;Q115,挑战模式!$A$3:$Z$52,6+5*MonsterWaveCallRuleCfg!R115,FALSE)</f>
        <v/>
      </c>
      <c r="P115" s="110">
        <v>1</v>
      </c>
      <c r="Q115" s="110">
        <f t="shared" si="37"/>
        <v>3</v>
      </c>
      <c r="R115" s="110">
        <v>4</v>
      </c>
    </row>
    <row r="116" spans="2:18" x14ac:dyDescent="0.2">
      <c r="B116" s="57" t="str">
        <f t="shared" si="34"/>
        <v>MonsterWaveCallRule_Challenge1</v>
      </c>
      <c r="C116" s="57">
        <v>4</v>
      </c>
      <c r="D116" s="57" t="str">
        <f t="shared" si="35"/>
        <v>挑战关卡1第4波</v>
      </c>
      <c r="F116" s="57">
        <f t="shared" si="28"/>
        <v>0</v>
      </c>
      <c r="G116" s="102">
        <f t="shared" si="36"/>
        <v>180</v>
      </c>
      <c r="I116" s="102">
        <f>VLOOKUP(P116&amp;"_"&amp;Q116,挑战模式!$A$3:$Z$52,3+5*MonsterWaveCallRuleCfg!R116,FALSE)</f>
        <v>58</v>
      </c>
      <c r="J116" s="102">
        <f>VLOOKUP(P116&amp;"_"&amp;Q116,挑战模式!$A$3:$Z$52,4+5*MonsterWaveCallRuleCfg!R116,FALSE)</f>
        <v>0.3</v>
      </c>
      <c r="K116" s="102">
        <f t="shared" si="31"/>
        <v>1</v>
      </c>
      <c r="L116" s="102" t="str">
        <f>IF(VLOOKUP(P116&amp;"_"&amp;Q116,挑战模式!$A$3:$Z$52,2+5*R116,FALSE)="","","Monster_Challenge"&amp;P116&amp;"_"&amp;Q116&amp;"_"&amp;R116)</f>
        <v>Monster_Challenge1_4_1</v>
      </c>
      <c r="M116" s="57">
        <f t="shared" si="32"/>
        <v>1</v>
      </c>
      <c r="O116" s="102">
        <f>VLOOKUP(P116&amp;"_"&amp;Q116,挑战模式!$A$3:$Z$52,6+5*MonsterWaveCallRuleCfg!R116,FALSE)</f>
        <v>2</v>
      </c>
      <c r="P116" s="110">
        <v>1</v>
      </c>
      <c r="Q116" s="110">
        <f t="shared" si="37"/>
        <v>4</v>
      </c>
      <c r="R116" s="110">
        <v>1</v>
      </c>
    </row>
    <row r="117" spans="2:18" x14ac:dyDescent="0.2">
      <c r="B117" s="57" t="str">
        <f t="shared" si="34"/>
        <v/>
      </c>
      <c r="D117" s="57" t="str">
        <f t="shared" si="35"/>
        <v/>
      </c>
      <c r="F117" s="57" t="str">
        <f t="shared" si="28"/>
        <v/>
      </c>
      <c r="G117" s="102" t="str">
        <f t="shared" si="36"/>
        <v/>
      </c>
      <c r="I117" s="102">
        <f>VLOOKUP(P117&amp;"_"&amp;Q117,挑战模式!$A$3:$Z$52,3+5*MonsterWaveCallRuleCfg!R117,FALSE)</f>
        <v>12</v>
      </c>
      <c r="J117" s="102">
        <f>VLOOKUP(P117&amp;"_"&amp;Q117,挑战模式!$A$3:$Z$52,4+5*MonsterWaveCallRuleCfg!R117,FALSE)</f>
        <v>1.5</v>
      </c>
      <c r="K117" s="102">
        <f t="shared" si="31"/>
        <v>1</v>
      </c>
      <c r="L117" s="102" t="str">
        <f>IF(VLOOKUP(P117&amp;"_"&amp;Q117,挑战模式!$A$3:$Z$52,2+5*R117,FALSE)="","","Monster_Challenge"&amp;P117&amp;"_"&amp;Q117&amp;"_"&amp;R117)</f>
        <v>Monster_Challenge1_4_2</v>
      </c>
      <c r="M117" s="57">
        <f t="shared" si="32"/>
        <v>1</v>
      </c>
      <c r="O117" s="102">
        <f>VLOOKUP(P117&amp;"_"&amp;Q117,挑战模式!$A$3:$Z$52,6+5*MonsterWaveCallRuleCfg!R117,FALSE)</f>
        <v>8</v>
      </c>
      <c r="P117" s="110">
        <v>1</v>
      </c>
      <c r="Q117" s="110">
        <f t="shared" si="37"/>
        <v>4</v>
      </c>
      <c r="R117" s="110">
        <v>2</v>
      </c>
    </row>
    <row r="118" spans="2:18" x14ac:dyDescent="0.2">
      <c r="B118" s="57" t="str">
        <f t="shared" si="34"/>
        <v/>
      </c>
      <c r="D118" s="57" t="str">
        <f t="shared" si="35"/>
        <v/>
      </c>
      <c r="F118" s="57" t="str">
        <f t="shared" si="28"/>
        <v/>
      </c>
      <c r="G118" s="102" t="str">
        <f t="shared" si="36"/>
        <v/>
      </c>
      <c r="I118" s="102" t="str">
        <f>VLOOKUP(P118&amp;"_"&amp;Q118,挑战模式!$A$3:$Z$52,3+5*MonsterWaveCallRuleCfg!R118,FALSE)</f>
        <v/>
      </c>
      <c r="J118" s="102" t="str">
        <f>VLOOKUP(P118&amp;"_"&amp;Q118,挑战模式!$A$3:$Z$52,4+5*MonsterWaveCallRuleCfg!R118,FALSE)</f>
        <v/>
      </c>
      <c r="K118" s="102" t="str">
        <f t="shared" si="31"/>
        <v/>
      </c>
      <c r="L118" s="102" t="str">
        <f>IF(VLOOKUP(P118&amp;"_"&amp;Q118,挑战模式!$A$3:$Z$52,2+5*R118,FALSE)="","","Monster_Challenge"&amp;P118&amp;"_"&amp;Q118&amp;"_"&amp;R118)</f>
        <v/>
      </c>
      <c r="M118" s="57" t="str">
        <f t="shared" si="32"/>
        <v/>
      </c>
      <c r="O118" s="102" t="str">
        <f>VLOOKUP(P118&amp;"_"&amp;Q118,挑战模式!$A$3:$Z$52,6+5*MonsterWaveCallRuleCfg!R118,FALSE)</f>
        <v/>
      </c>
      <c r="P118" s="110">
        <v>1</v>
      </c>
      <c r="Q118" s="110">
        <f t="shared" si="37"/>
        <v>4</v>
      </c>
      <c r="R118" s="110">
        <v>3</v>
      </c>
    </row>
    <row r="119" spans="2:18" x14ac:dyDescent="0.2">
      <c r="B119" s="57" t="str">
        <f t="shared" si="34"/>
        <v/>
      </c>
      <c r="D119" s="57" t="str">
        <f t="shared" si="35"/>
        <v/>
      </c>
      <c r="F119" s="57" t="str">
        <f t="shared" si="28"/>
        <v/>
      </c>
      <c r="G119" s="102" t="str">
        <f t="shared" si="36"/>
        <v/>
      </c>
      <c r="I119" s="102" t="str">
        <f>VLOOKUP(P119&amp;"_"&amp;Q119,挑战模式!$A$3:$Z$52,3+5*MonsterWaveCallRuleCfg!R119,FALSE)</f>
        <v/>
      </c>
      <c r="J119" s="102" t="str">
        <f>VLOOKUP(P119&amp;"_"&amp;Q119,挑战模式!$A$3:$Z$52,4+5*MonsterWaveCallRuleCfg!R119,FALSE)</f>
        <v/>
      </c>
      <c r="K119" s="102" t="str">
        <f t="shared" si="31"/>
        <v/>
      </c>
      <c r="L119" s="102" t="str">
        <f>IF(VLOOKUP(P119&amp;"_"&amp;Q119,挑战模式!$A$3:$Z$52,2+5*R119,FALSE)="","","Monster_Challenge"&amp;P119&amp;"_"&amp;Q119&amp;"_"&amp;R119)</f>
        <v/>
      </c>
      <c r="M119" s="57" t="str">
        <f t="shared" si="32"/>
        <v/>
      </c>
      <c r="O119" s="102" t="str">
        <f>VLOOKUP(P119&amp;"_"&amp;Q119,挑战模式!$A$3:$Z$52,6+5*MonsterWaveCallRuleCfg!R119,FALSE)</f>
        <v/>
      </c>
      <c r="P119" s="110">
        <v>1</v>
      </c>
      <c r="Q119" s="110">
        <f t="shared" si="37"/>
        <v>4</v>
      </c>
      <c r="R119" s="110">
        <v>4</v>
      </c>
    </row>
    <row r="120" spans="2:18" x14ac:dyDescent="0.2">
      <c r="B120" s="57" t="str">
        <f t="shared" si="34"/>
        <v>MonsterWaveCallRule_Challenge1</v>
      </c>
      <c r="C120" s="57">
        <v>5</v>
      </c>
      <c r="D120" s="57" t="str">
        <f t="shared" si="35"/>
        <v>挑战关卡1第5波</v>
      </c>
      <c r="F120" s="57">
        <f t="shared" si="28"/>
        <v>0</v>
      </c>
      <c r="G120" s="102">
        <f t="shared" si="36"/>
        <v>180</v>
      </c>
      <c r="I120" s="102">
        <f>VLOOKUP(P120&amp;"_"&amp;Q120,挑战模式!$A$3:$Z$52,3+5*MonsterWaveCallRuleCfg!R120,FALSE)</f>
        <v>67</v>
      </c>
      <c r="J120" s="102">
        <f>VLOOKUP(P120&amp;"_"&amp;Q120,挑战模式!$A$3:$Z$52,4+5*MonsterWaveCallRuleCfg!R120,FALSE)</f>
        <v>0.3</v>
      </c>
      <c r="K120" s="102">
        <f t="shared" si="31"/>
        <v>1</v>
      </c>
      <c r="L120" s="102" t="str">
        <f>IF(VLOOKUP(P120&amp;"_"&amp;Q120,挑战模式!$A$3:$Z$52,2+5*R120,FALSE)="","","Monster_Challenge"&amp;P120&amp;"_"&amp;Q120&amp;"_"&amp;R120)</f>
        <v>Monster_Challenge1_5_1</v>
      </c>
      <c r="M120" s="57">
        <f t="shared" si="32"/>
        <v>1</v>
      </c>
      <c r="O120" s="102">
        <f>VLOOKUP(P120&amp;"_"&amp;Q120,挑战模式!$A$3:$Z$52,6+5*MonsterWaveCallRuleCfg!R120,FALSE)</f>
        <v>1</v>
      </c>
      <c r="P120" s="110">
        <v>1</v>
      </c>
      <c r="Q120" s="110">
        <f t="shared" si="37"/>
        <v>5</v>
      </c>
      <c r="R120" s="110">
        <v>1</v>
      </c>
    </row>
    <row r="121" spans="2:18" x14ac:dyDescent="0.2">
      <c r="B121" s="57" t="str">
        <f t="shared" si="34"/>
        <v/>
      </c>
      <c r="D121" s="57" t="str">
        <f t="shared" si="35"/>
        <v/>
      </c>
      <c r="F121" s="57" t="str">
        <f t="shared" si="28"/>
        <v/>
      </c>
      <c r="G121" s="102" t="str">
        <f t="shared" si="36"/>
        <v/>
      </c>
      <c r="I121" s="102">
        <f>VLOOKUP(P121&amp;"_"&amp;Q121,挑战模式!$A$3:$Z$52,3+5*MonsterWaveCallRuleCfg!R121,FALSE)</f>
        <v>27</v>
      </c>
      <c r="J121" s="102">
        <f>VLOOKUP(P121&amp;"_"&amp;Q121,挑战模式!$A$3:$Z$52,4+5*MonsterWaveCallRuleCfg!R121,FALSE)</f>
        <v>0.75</v>
      </c>
      <c r="K121" s="102">
        <f t="shared" si="31"/>
        <v>1</v>
      </c>
      <c r="L121" s="102" t="str">
        <f>IF(VLOOKUP(P121&amp;"_"&amp;Q121,挑战模式!$A$3:$Z$52,2+5*R121,FALSE)="","","Monster_Challenge"&amp;P121&amp;"_"&amp;Q121&amp;"_"&amp;R121)</f>
        <v>Monster_Challenge1_5_2</v>
      </c>
      <c r="M121" s="57">
        <f t="shared" si="32"/>
        <v>1</v>
      </c>
      <c r="O121" s="102">
        <f>VLOOKUP(P121&amp;"_"&amp;Q121,挑战模式!$A$3:$Z$52,6+5*MonsterWaveCallRuleCfg!R121,FALSE)</f>
        <v>5</v>
      </c>
      <c r="P121" s="110">
        <v>1</v>
      </c>
      <c r="Q121" s="110">
        <f t="shared" si="37"/>
        <v>5</v>
      </c>
      <c r="R121" s="110">
        <v>2</v>
      </c>
    </row>
    <row r="122" spans="2:18" x14ac:dyDescent="0.2">
      <c r="B122" s="57" t="str">
        <f t="shared" si="34"/>
        <v/>
      </c>
      <c r="D122" s="57" t="str">
        <f t="shared" si="35"/>
        <v/>
      </c>
      <c r="F122" s="57" t="str">
        <f t="shared" si="28"/>
        <v/>
      </c>
      <c r="G122" s="102" t="str">
        <f t="shared" si="36"/>
        <v/>
      </c>
      <c r="I122" s="102" t="str">
        <f>VLOOKUP(P122&amp;"_"&amp;Q122,挑战模式!$A$3:$Z$52,3+5*MonsterWaveCallRuleCfg!R122,FALSE)</f>
        <v/>
      </c>
      <c r="J122" s="102" t="str">
        <f>VLOOKUP(P122&amp;"_"&amp;Q122,挑战模式!$A$3:$Z$52,4+5*MonsterWaveCallRuleCfg!R122,FALSE)</f>
        <v/>
      </c>
      <c r="K122" s="102" t="str">
        <f t="shared" si="31"/>
        <v/>
      </c>
      <c r="L122" s="102" t="str">
        <f>IF(VLOOKUP(P122&amp;"_"&amp;Q122,挑战模式!$A$3:$Z$52,2+5*R122,FALSE)="","","Monster_Challenge"&amp;P122&amp;"_"&amp;Q122&amp;"_"&amp;R122)</f>
        <v/>
      </c>
      <c r="M122" s="57" t="str">
        <f t="shared" si="32"/>
        <v/>
      </c>
      <c r="O122" s="102" t="str">
        <f>VLOOKUP(P122&amp;"_"&amp;Q122,挑战模式!$A$3:$Z$52,6+5*MonsterWaveCallRuleCfg!R122,FALSE)</f>
        <v/>
      </c>
      <c r="P122" s="110">
        <v>1</v>
      </c>
      <c r="Q122" s="110">
        <f t="shared" si="37"/>
        <v>5</v>
      </c>
      <c r="R122" s="110">
        <v>3</v>
      </c>
    </row>
    <row r="123" spans="2:18" x14ac:dyDescent="0.2">
      <c r="B123" s="57" t="str">
        <f t="shared" si="34"/>
        <v/>
      </c>
      <c r="D123" s="57" t="str">
        <f t="shared" si="35"/>
        <v/>
      </c>
      <c r="F123" s="57" t="str">
        <f t="shared" si="28"/>
        <v/>
      </c>
      <c r="G123" s="102" t="str">
        <f t="shared" si="36"/>
        <v/>
      </c>
      <c r="I123" s="102" t="str">
        <f>VLOOKUP(P123&amp;"_"&amp;Q123,挑战模式!$A$3:$Z$52,3+5*MonsterWaveCallRuleCfg!R123,FALSE)</f>
        <v/>
      </c>
      <c r="J123" s="102" t="str">
        <f>VLOOKUP(P123&amp;"_"&amp;Q123,挑战模式!$A$3:$Z$52,4+5*MonsterWaveCallRuleCfg!R123,FALSE)</f>
        <v/>
      </c>
      <c r="K123" s="102" t="str">
        <f t="shared" si="31"/>
        <v/>
      </c>
      <c r="L123" s="102" t="str">
        <f>IF(VLOOKUP(P123&amp;"_"&amp;Q123,挑战模式!$A$3:$Z$52,2+5*R123,FALSE)="","","Monster_Challenge"&amp;P123&amp;"_"&amp;Q123&amp;"_"&amp;R123)</f>
        <v/>
      </c>
      <c r="M123" s="57" t="str">
        <f t="shared" si="32"/>
        <v/>
      </c>
      <c r="N123" s="119"/>
      <c r="O123" s="102" t="str">
        <f>VLOOKUP(P123&amp;"_"&amp;Q123,挑战模式!$A$3:$Z$52,6+5*MonsterWaveCallRuleCfg!R123,FALSE)</f>
        <v/>
      </c>
      <c r="P123" s="110">
        <v>1</v>
      </c>
      <c r="Q123" s="110">
        <f t="shared" si="37"/>
        <v>5</v>
      </c>
      <c r="R123" s="110">
        <v>4</v>
      </c>
    </row>
    <row r="124" spans="2:18" x14ac:dyDescent="0.2">
      <c r="B124" s="57" t="str">
        <f t="shared" si="34"/>
        <v>MonsterWaveCallRule_Challenge2</v>
      </c>
      <c r="C124" s="57">
        <v>1</v>
      </c>
      <c r="D124" s="57" t="str">
        <f t="shared" si="35"/>
        <v>挑战关卡2第1波</v>
      </c>
      <c r="F124" s="57">
        <f t="shared" si="28"/>
        <v>0</v>
      </c>
      <c r="G124" s="102">
        <f t="shared" si="36"/>
        <v>180</v>
      </c>
      <c r="I124" s="102">
        <f>VLOOKUP(P124&amp;"_"&amp;Q124,挑战模式!$A$3:$Z$52,3+5*MonsterWaveCallRuleCfg!R124,FALSE)</f>
        <v>5</v>
      </c>
      <c r="J124" s="102">
        <f>VLOOKUP(P124&amp;"_"&amp;Q124,挑战模式!$A$3:$Z$52,4+5*MonsterWaveCallRuleCfg!R124,FALSE)</f>
        <v>2</v>
      </c>
      <c r="K124" s="102">
        <f t="shared" si="31"/>
        <v>1</v>
      </c>
      <c r="L124" s="102" t="str">
        <f>IF(VLOOKUP(P124&amp;"_"&amp;Q124,挑战模式!$A$3:$Z$52,2+5*R124,FALSE)="","","Monster_Challenge"&amp;P124&amp;"_"&amp;Q124&amp;"_"&amp;R124)</f>
        <v>Monster_Challenge2_1_1</v>
      </c>
      <c r="M124" s="57">
        <f t="shared" si="32"/>
        <v>1</v>
      </c>
      <c r="N124" s="119"/>
      <c r="O124" s="102">
        <f>VLOOKUP(P124&amp;"_"&amp;Q124,挑战模式!$A$3:$Z$52,6+5*MonsterWaveCallRuleCfg!R124,FALSE)</f>
        <v>40</v>
      </c>
      <c r="P124" s="110">
        <v>2</v>
      </c>
      <c r="Q124" s="110">
        <f t="shared" si="37"/>
        <v>1</v>
      </c>
      <c r="R124" s="110">
        <v>1</v>
      </c>
    </row>
    <row r="125" spans="2:18" x14ac:dyDescent="0.2">
      <c r="B125" s="57" t="str">
        <f t="shared" si="34"/>
        <v/>
      </c>
      <c r="D125" s="57" t="str">
        <f t="shared" si="35"/>
        <v/>
      </c>
      <c r="F125" s="57" t="str">
        <f t="shared" si="28"/>
        <v/>
      </c>
      <c r="G125" s="102" t="str">
        <f t="shared" si="36"/>
        <v/>
      </c>
      <c r="I125" s="102" t="str">
        <f>VLOOKUP(P125&amp;"_"&amp;Q125,挑战模式!$A$3:$Z$52,3+5*MonsterWaveCallRuleCfg!R125,FALSE)</f>
        <v/>
      </c>
      <c r="J125" s="102" t="str">
        <f>VLOOKUP(P125&amp;"_"&amp;Q125,挑战模式!$A$3:$Z$52,4+5*MonsterWaveCallRuleCfg!R125,FALSE)</f>
        <v/>
      </c>
      <c r="K125" s="102" t="str">
        <f t="shared" si="31"/>
        <v/>
      </c>
      <c r="L125" s="102" t="str">
        <f>IF(VLOOKUP(P125&amp;"_"&amp;Q125,挑战模式!$A$3:$Z$52,2+5*R125,FALSE)="","","Monster_Challenge"&amp;P125&amp;"_"&amp;Q125&amp;"_"&amp;R125)</f>
        <v/>
      </c>
      <c r="M125" s="57" t="str">
        <f t="shared" si="32"/>
        <v/>
      </c>
      <c r="N125" s="119"/>
      <c r="O125" s="102" t="str">
        <f>VLOOKUP(P125&amp;"_"&amp;Q125,挑战模式!$A$3:$Z$52,6+5*MonsterWaveCallRuleCfg!R125,FALSE)</f>
        <v/>
      </c>
      <c r="P125" s="110">
        <v>2</v>
      </c>
      <c r="Q125" s="110">
        <f t="shared" si="37"/>
        <v>1</v>
      </c>
      <c r="R125" s="110">
        <v>2</v>
      </c>
    </row>
    <row r="126" spans="2:18" x14ac:dyDescent="0.2">
      <c r="B126" s="57" t="str">
        <f t="shared" si="34"/>
        <v/>
      </c>
      <c r="D126" s="57" t="str">
        <f t="shared" si="35"/>
        <v/>
      </c>
      <c r="F126" s="57" t="str">
        <f t="shared" si="28"/>
        <v/>
      </c>
      <c r="G126" s="102" t="str">
        <f t="shared" si="36"/>
        <v/>
      </c>
      <c r="I126" s="102" t="str">
        <f>VLOOKUP(P126&amp;"_"&amp;Q126,挑战模式!$A$3:$Z$52,3+5*MonsterWaveCallRuleCfg!R126,FALSE)</f>
        <v/>
      </c>
      <c r="J126" s="102" t="str">
        <f>VLOOKUP(P126&amp;"_"&amp;Q126,挑战模式!$A$3:$Z$52,4+5*MonsterWaveCallRuleCfg!R126,FALSE)</f>
        <v/>
      </c>
      <c r="K126" s="102" t="str">
        <f t="shared" si="31"/>
        <v/>
      </c>
      <c r="L126" s="102" t="str">
        <f>IF(VLOOKUP(P126&amp;"_"&amp;Q126,挑战模式!$A$3:$Z$52,2+5*R126,FALSE)="","","Monster_Challenge"&amp;P126&amp;"_"&amp;Q126&amp;"_"&amp;R126)</f>
        <v/>
      </c>
      <c r="M126" s="57" t="str">
        <f t="shared" si="32"/>
        <v/>
      </c>
      <c r="N126" s="119"/>
      <c r="O126" s="102" t="str">
        <f>VLOOKUP(P126&amp;"_"&amp;Q126,挑战模式!$A$3:$Z$52,6+5*MonsterWaveCallRuleCfg!R126,FALSE)</f>
        <v/>
      </c>
      <c r="P126" s="110">
        <v>2</v>
      </c>
      <c r="Q126" s="110">
        <f t="shared" si="37"/>
        <v>1</v>
      </c>
      <c r="R126" s="110">
        <v>3</v>
      </c>
    </row>
    <row r="127" spans="2:18" x14ac:dyDescent="0.2">
      <c r="B127" s="57" t="str">
        <f t="shared" si="34"/>
        <v/>
      </c>
      <c r="D127" s="57" t="str">
        <f t="shared" si="35"/>
        <v/>
      </c>
      <c r="F127" s="57" t="str">
        <f t="shared" si="28"/>
        <v/>
      </c>
      <c r="G127" s="102" t="str">
        <f t="shared" si="36"/>
        <v/>
      </c>
      <c r="I127" s="102" t="str">
        <f>VLOOKUP(P127&amp;"_"&amp;Q127,挑战模式!$A$3:$Z$52,3+5*MonsterWaveCallRuleCfg!R127,FALSE)</f>
        <v/>
      </c>
      <c r="J127" s="102" t="str">
        <f>VLOOKUP(P127&amp;"_"&amp;Q127,挑战模式!$A$3:$Z$52,4+5*MonsterWaveCallRuleCfg!R127,FALSE)</f>
        <v/>
      </c>
      <c r="K127" s="102" t="str">
        <f t="shared" si="31"/>
        <v/>
      </c>
      <c r="L127" s="102" t="str">
        <f>IF(VLOOKUP(P127&amp;"_"&amp;Q127,挑战模式!$A$3:$Z$52,2+5*R127,FALSE)="","","Monster_Challenge"&amp;P127&amp;"_"&amp;Q127&amp;"_"&amp;R127)</f>
        <v/>
      </c>
      <c r="M127" s="57" t="str">
        <f t="shared" si="32"/>
        <v/>
      </c>
      <c r="N127" s="119"/>
      <c r="O127" s="102" t="str">
        <f>VLOOKUP(P127&amp;"_"&amp;Q127,挑战模式!$A$3:$Z$52,6+5*MonsterWaveCallRuleCfg!R127,FALSE)</f>
        <v/>
      </c>
      <c r="P127" s="110">
        <v>2</v>
      </c>
      <c r="Q127" s="110">
        <f t="shared" si="37"/>
        <v>1</v>
      </c>
      <c r="R127" s="110">
        <v>4</v>
      </c>
    </row>
    <row r="128" spans="2:18" x14ac:dyDescent="0.2">
      <c r="B128" s="57" t="str">
        <f t="shared" si="34"/>
        <v>MonsterWaveCallRule_Challenge2</v>
      </c>
      <c r="C128" s="57">
        <v>2</v>
      </c>
      <c r="D128" s="57" t="str">
        <f t="shared" si="35"/>
        <v>挑战关卡2第2波</v>
      </c>
      <c r="F128" s="57">
        <f t="shared" si="28"/>
        <v>0</v>
      </c>
      <c r="G128" s="102">
        <f t="shared" si="36"/>
        <v>180</v>
      </c>
      <c r="I128" s="102">
        <f>VLOOKUP(P128&amp;"_"&amp;Q128,挑战模式!$A$3:$Z$52,3+5*MonsterWaveCallRuleCfg!R128,FALSE)</f>
        <v>6</v>
      </c>
      <c r="J128" s="102">
        <f>VLOOKUP(P128&amp;"_"&amp;Q128,挑战模式!$A$3:$Z$52,4+5*MonsterWaveCallRuleCfg!R128,FALSE)</f>
        <v>2</v>
      </c>
      <c r="K128" s="102">
        <f t="shared" si="31"/>
        <v>1</v>
      </c>
      <c r="L128" s="102" t="str">
        <f>IF(VLOOKUP(P128&amp;"_"&amp;Q128,挑战模式!$A$3:$Z$52,2+5*R128,FALSE)="","","Monster_Challenge"&amp;P128&amp;"_"&amp;Q128&amp;"_"&amp;R128)</f>
        <v>Monster_Challenge2_2_1</v>
      </c>
      <c r="M128" s="57">
        <f t="shared" si="32"/>
        <v>1</v>
      </c>
      <c r="N128" s="119"/>
      <c r="O128" s="102">
        <f>VLOOKUP(P128&amp;"_"&amp;Q128,挑战模式!$A$3:$Z$52,6+5*MonsterWaveCallRuleCfg!R128,FALSE)</f>
        <v>11</v>
      </c>
      <c r="P128" s="110">
        <v>2</v>
      </c>
      <c r="Q128" s="110">
        <f t="shared" si="37"/>
        <v>2</v>
      </c>
      <c r="R128" s="110">
        <v>1</v>
      </c>
    </row>
    <row r="129" spans="2:18" x14ac:dyDescent="0.2">
      <c r="B129" s="57" t="str">
        <f t="shared" si="34"/>
        <v/>
      </c>
      <c r="D129" s="57" t="str">
        <f t="shared" si="35"/>
        <v/>
      </c>
      <c r="F129" s="57" t="str">
        <f t="shared" si="28"/>
        <v/>
      </c>
      <c r="G129" s="102" t="str">
        <f t="shared" si="36"/>
        <v/>
      </c>
      <c r="I129" s="102">
        <f>VLOOKUP(P129&amp;"_"&amp;Q129,挑战模式!$A$3:$Z$52,3+5*MonsterWaveCallRuleCfg!R129,FALSE)</f>
        <v>6</v>
      </c>
      <c r="J129" s="102">
        <f>VLOOKUP(P129&amp;"_"&amp;Q129,挑战模式!$A$3:$Z$52,4+5*MonsterWaveCallRuleCfg!R129,FALSE)</f>
        <v>2</v>
      </c>
      <c r="K129" s="102">
        <f t="shared" si="31"/>
        <v>1</v>
      </c>
      <c r="L129" s="102" t="str">
        <f>IF(VLOOKUP(P129&amp;"_"&amp;Q129,挑战模式!$A$3:$Z$52,2+5*R129,FALSE)="","","Monster_Challenge"&amp;P129&amp;"_"&amp;Q129&amp;"_"&amp;R129)</f>
        <v>Monster_Challenge2_2_2</v>
      </c>
      <c r="M129" s="57">
        <f t="shared" si="32"/>
        <v>1</v>
      </c>
      <c r="N129" s="119"/>
      <c r="O129" s="102">
        <f>VLOOKUP(P129&amp;"_"&amp;Q129,挑战模式!$A$3:$Z$52,6+5*MonsterWaveCallRuleCfg!R129,FALSE)</f>
        <v>22</v>
      </c>
      <c r="P129" s="110">
        <v>2</v>
      </c>
      <c r="Q129" s="110">
        <f t="shared" si="37"/>
        <v>2</v>
      </c>
      <c r="R129" s="110">
        <v>2</v>
      </c>
    </row>
    <row r="130" spans="2:18" x14ac:dyDescent="0.2">
      <c r="B130" s="57" t="str">
        <f t="shared" si="34"/>
        <v/>
      </c>
      <c r="D130" s="57" t="str">
        <f t="shared" si="35"/>
        <v/>
      </c>
      <c r="F130" s="57" t="str">
        <f t="shared" si="28"/>
        <v/>
      </c>
      <c r="G130" s="102" t="str">
        <f t="shared" si="36"/>
        <v/>
      </c>
      <c r="I130" s="102" t="str">
        <f>VLOOKUP(P130&amp;"_"&amp;Q130,挑战模式!$A$3:$Z$52,3+5*MonsterWaveCallRuleCfg!R130,FALSE)</f>
        <v/>
      </c>
      <c r="J130" s="102" t="str">
        <f>VLOOKUP(P130&amp;"_"&amp;Q130,挑战模式!$A$3:$Z$52,4+5*MonsterWaveCallRuleCfg!R130,FALSE)</f>
        <v/>
      </c>
      <c r="K130" s="102" t="str">
        <f t="shared" si="31"/>
        <v/>
      </c>
      <c r="L130" s="102" t="str">
        <f>IF(VLOOKUP(P130&amp;"_"&amp;Q130,挑战模式!$A$3:$Z$52,2+5*R130,FALSE)="","","Monster_Challenge"&amp;P130&amp;"_"&amp;Q130&amp;"_"&amp;R130)</f>
        <v/>
      </c>
      <c r="M130" s="57" t="str">
        <f t="shared" si="32"/>
        <v/>
      </c>
      <c r="N130" s="119"/>
      <c r="O130" s="102" t="str">
        <f>VLOOKUP(P130&amp;"_"&amp;Q130,挑战模式!$A$3:$Z$52,6+5*MonsterWaveCallRuleCfg!R130,FALSE)</f>
        <v/>
      </c>
      <c r="P130" s="110">
        <v>2</v>
      </c>
      <c r="Q130" s="110">
        <f t="shared" si="37"/>
        <v>2</v>
      </c>
      <c r="R130" s="110">
        <v>3</v>
      </c>
    </row>
    <row r="131" spans="2:18" x14ac:dyDescent="0.2">
      <c r="B131" s="57" t="str">
        <f t="shared" si="34"/>
        <v/>
      </c>
      <c r="D131" s="57" t="str">
        <f t="shared" si="35"/>
        <v/>
      </c>
      <c r="F131" s="57" t="str">
        <f t="shared" si="28"/>
        <v/>
      </c>
      <c r="G131" s="102" t="str">
        <f t="shared" si="36"/>
        <v/>
      </c>
      <c r="I131" s="102" t="str">
        <f>VLOOKUP(P131&amp;"_"&amp;Q131,挑战模式!$A$3:$Z$52,3+5*MonsterWaveCallRuleCfg!R131,FALSE)</f>
        <v/>
      </c>
      <c r="J131" s="102" t="str">
        <f>VLOOKUP(P131&amp;"_"&amp;Q131,挑战模式!$A$3:$Z$52,4+5*MonsterWaveCallRuleCfg!R131,FALSE)</f>
        <v/>
      </c>
      <c r="K131" s="102" t="str">
        <f t="shared" si="31"/>
        <v/>
      </c>
      <c r="L131" s="102" t="str">
        <f>IF(VLOOKUP(P131&amp;"_"&amp;Q131,挑战模式!$A$3:$Z$52,2+5*R131,FALSE)="","","Monster_Challenge"&amp;P131&amp;"_"&amp;Q131&amp;"_"&amp;R131)</f>
        <v/>
      </c>
      <c r="M131" s="57" t="str">
        <f t="shared" si="32"/>
        <v/>
      </c>
      <c r="N131" s="119"/>
      <c r="O131" s="102" t="str">
        <f>VLOOKUP(P131&amp;"_"&amp;Q131,挑战模式!$A$3:$Z$52,6+5*MonsterWaveCallRuleCfg!R131,FALSE)</f>
        <v/>
      </c>
      <c r="P131" s="110">
        <v>2</v>
      </c>
      <c r="Q131" s="110">
        <f t="shared" si="37"/>
        <v>2</v>
      </c>
      <c r="R131" s="110">
        <v>4</v>
      </c>
    </row>
    <row r="132" spans="2:18" x14ac:dyDescent="0.2">
      <c r="B132" s="57" t="str">
        <f t="shared" si="34"/>
        <v>MonsterWaveCallRule_Challenge2</v>
      </c>
      <c r="C132" s="57">
        <v>3</v>
      </c>
      <c r="D132" s="57" t="str">
        <f t="shared" si="35"/>
        <v>挑战关卡2第3波</v>
      </c>
      <c r="F132" s="57">
        <f t="shared" si="28"/>
        <v>0</v>
      </c>
      <c r="G132" s="102">
        <f t="shared" si="36"/>
        <v>180</v>
      </c>
      <c r="I132" s="102">
        <f>VLOOKUP(P132&amp;"_"&amp;Q132,挑战模式!$A$3:$Z$52,3+5*MonsterWaveCallRuleCfg!R132,FALSE)</f>
        <v>15</v>
      </c>
      <c r="J132" s="102">
        <f>VLOOKUP(P132&amp;"_"&amp;Q132,挑战模式!$A$3:$Z$52,4+5*MonsterWaveCallRuleCfg!R132,FALSE)</f>
        <v>1</v>
      </c>
      <c r="K132" s="102">
        <f t="shared" si="31"/>
        <v>1</v>
      </c>
      <c r="L132" s="102" t="str">
        <f>IF(VLOOKUP(P132&amp;"_"&amp;Q132,挑战模式!$A$3:$Z$52,2+5*R132,FALSE)="","","Monster_Challenge"&amp;P132&amp;"_"&amp;Q132&amp;"_"&amp;R132)</f>
        <v>Monster_Challenge2_3_1</v>
      </c>
      <c r="M132" s="57">
        <f t="shared" si="32"/>
        <v>1</v>
      </c>
      <c r="N132" s="119"/>
      <c r="O132" s="102">
        <f>VLOOKUP(P132&amp;"_"&amp;Q132,挑战模式!$A$3:$Z$52,6+5*MonsterWaveCallRuleCfg!R132,FALSE)</f>
        <v>9</v>
      </c>
      <c r="P132" s="110">
        <v>2</v>
      </c>
      <c r="Q132" s="110">
        <f t="shared" si="37"/>
        <v>3</v>
      </c>
      <c r="R132" s="110">
        <v>1</v>
      </c>
    </row>
    <row r="133" spans="2:18" x14ac:dyDescent="0.2">
      <c r="B133" s="57" t="str">
        <f t="shared" si="34"/>
        <v/>
      </c>
      <c r="D133" s="57" t="str">
        <f t="shared" si="35"/>
        <v/>
      </c>
      <c r="F133" s="57" t="str">
        <f t="shared" si="28"/>
        <v/>
      </c>
      <c r="G133" s="102" t="str">
        <f t="shared" si="36"/>
        <v/>
      </c>
      <c r="I133" s="102">
        <f>VLOOKUP(P133&amp;"_"&amp;Q133,挑战模式!$A$3:$Z$52,3+5*MonsterWaveCallRuleCfg!R133,FALSE)</f>
        <v>15</v>
      </c>
      <c r="J133" s="102">
        <f>VLOOKUP(P133&amp;"_"&amp;Q133,挑战模式!$A$3:$Z$52,4+5*MonsterWaveCallRuleCfg!R133,FALSE)</f>
        <v>1</v>
      </c>
      <c r="K133" s="102">
        <f t="shared" si="31"/>
        <v>1</v>
      </c>
      <c r="L133" s="102" t="str">
        <f>IF(VLOOKUP(P133&amp;"_"&amp;Q133,挑战模式!$A$3:$Z$52,2+5*R133,FALSE)="","","Monster_Challenge"&amp;P133&amp;"_"&amp;Q133&amp;"_"&amp;R133)</f>
        <v>Monster_Challenge2_3_2</v>
      </c>
      <c r="M133" s="57">
        <f t="shared" si="32"/>
        <v>1</v>
      </c>
      <c r="N133" s="119"/>
      <c r="O133" s="102">
        <f>VLOOKUP(P133&amp;"_"&amp;Q133,挑战模式!$A$3:$Z$52,6+5*MonsterWaveCallRuleCfg!R133,FALSE)</f>
        <v>4</v>
      </c>
      <c r="P133" s="110">
        <v>2</v>
      </c>
      <c r="Q133" s="110">
        <f t="shared" si="37"/>
        <v>3</v>
      </c>
      <c r="R133" s="110">
        <v>2</v>
      </c>
    </row>
    <row r="134" spans="2:18" x14ac:dyDescent="0.2">
      <c r="B134" s="57" t="str">
        <f t="shared" si="34"/>
        <v/>
      </c>
      <c r="D134" s="57" t="str">
        <f t="shared" si="35"/>
        <v/>
      </c>
      <c r="F134" s="57" t="str">
        <f t="shared" si="28"/>
        <v/>
      </c>
      <c r="G134" s="102" t="str">
        <f t="shared" si="36"/>
        <v/>
      </c>
      <c r="I134" s="102" t="str">
        <f>VLOOKUP(P134&amp;"_"&amp;Q134,挑战模式!$A$3:$Z$52,3+5*MonsterWaveCallRuleCfg!R134,FALSE)</f>
        <v/>
      </c>
      <c r="J134" s="102" t="str">
        <f>VLOOKUP(P134&amp;"_"&amp;Q134,挑战模式!$A$3:$Z$52,4+5*MonsterWaveCallRuleCfg!R134,FALSE)</f>
        <v/>
      </c>
      <c r="K134" s="102" t="str">
        <f t="shared" si="31"/>
        <v/>
      </c>
      <c r="L134" s="102" t="str">
        <f>IF(VLOOKUP(P134&amp;"_"&amp;Q134,挑战模式!$A$3:$Z$52,2+5*R134,FALSE)="","","Monster_Challenge"&amp;P134&amp;"_"&amp;Q134&amp;"_"&amp;R134)</f>
        <v/>
      </c>
      <c r="M134" s="57" t="str">
        <f t="shared" si="32"/>
        <v/>
      </c>
      <c r="N134" s="119"/>
      <c r="O134" s="102" t="str">
        <f>VLOOKUP(P134&amp;"_"&amp;Q134,挑战模式!$A$3:$Z$52,6+5*MonsterWaveCallRuleCfg!R134,FALSE)</f>
        <v/>
      </c>
      <c r="P134" s="110">
        <v>2</v>
      </c>
      <c r="Q134" s="110">
        <f t="shared" si="37"/>
        <v>3</v>
      </c>
      <c r="R134" s="110">
        <v>3</v>
      </c>
    </row>
    <row r="135" spans="2:18" x14ac:dyDescent="0.2">
      <c r="B135" s="57" t="str">
        <f t="shared" si="34"/>
        <v/>
      </c>
      <c r="D135" s="57" t="str">
        <f t="shared" si="35"/>
        <v/>
      </c>
      <c r="F135" s="57" t="str">
        <f t="shared" si="28"/>
        <v/>
      </c>
      <c r="G135" s="102" t="str">
        <f t="shared" si="36"/>
        <v/>
      </c>
      <c r="I135" s="102" t="str">
        <f>VLOOKUP(P135&amp;"_"&amp;Q135,挑战模式!$A$3:$Z$52,3+5*MonsterWaveCallRuleCfg!R135,FALSE)</f>
        <v/>
      </c>
      <c r="J135" s="102" t="str">
        <f>VLOOKUP(P135&amp;"_"&amp;Q135,挑战模式!$A$3:$Z$52,4+5*MonsterWaveCallRuleCfg!R135,FALSE)</f>
        <v/>
      </c>
      <c r="K135" s="102" t="str">
        <f t="shared" si="31"/>
        <v/>
      </c>
      <c r="L135" s="102" t="str">
        <f>IF(VLOOKUP(P135&amp;"_"&amp;Q135,挑战模式!$A$3:$Z$52,2+5*R135,FALSE)="","","Monster_Challenge"&amp;P135&amp;"_"&amp;Q135&amp;"_"&amp;R135)</f>
        <v/>
      </c>
      <c r="M135" s="57" t="str">
        <f t="shared" si="32"/>
        <v/>
      </c>
      <c r="N135" s="119"/>
      <c r="O135" s="102" t="str">
        <f>VLOOKUP(P135&amp;"_"&amp;Q135,挑战模式!$A$3:$Z$52,6+5*MonsterWaveCallRuleCfg!R135,FALSE)</f>
        <v/>
      </c>
      <c r="P135" s="110">
        <v>2</v>
      </c>
      <c r="Q135" s="110">
        <f t="shared" si="37"/>
        <v>3</v>
      </c>
      <c r="R135" s="110">
        <v>4</v>
      </c>
    </row>
    <row r="136" spans="2:18" x14ac:dyDescent="0.2">
      <c r="B136" s="57" t="str">
        <f t="shared" si="34"/>
        <v>MonsterWaveCallRule_Challenge2</v>
      </c>
      <c r="C136" s="57">
        <v>4</v>
      </c>
      <c r="D136" s="57" t="str">
        <f t="shared" si="35"/>
        <v>挑战关卡2第4波</v>
      </c>
      <c r="F136" s="57">
        <f t="shared" si="28"/>
        <v>0</v>
      </c>
      <c r="G136" s="102">
        <f t="shared" si="36"/>
        <v>180</v>
      </c>
      <c r="I136" s="102">
        <f>VLOOKUP(P136&amp;"_"&amp;Q136,挑战模式!$A$3:$Z$52,3+5*MonsterWaveCallRuleCfg!R136,FALSE)</f>
        <v>18</v>
      </c>
      <c r="J136" s="102">
        <f>VLOOKUP(P136&amp;"_"&amp;Q136,挑战模式!$A$3:$Z$52,4+5*MonsterWaveCallRuleCfg!R136,FALSE)</f>
        <v>1</v>
      </c>
      <c r="K136" s="102">
        <f t="shared" si="31"/>
        <v>1</v>
      </c>
      <c r="L136" s="102" t="str">
        <f>IF(VLOOKUP(P136&amp;"_"&amp;Q136,挑战模式!$A$3:$Z$52,2+5*R136,FALSE)="","","Monster_Challenge"&amp;P136&amp;"_"&amp;Q136&amp;"_"&amp;R136)</f>
        <v>Monster_Challenge2_4_1</v>
      </c>
      <c r="M136" s="57">
        <f t="shared" si="32"/>
        <v>1</v>
      </c>
      <c r="N136" s="119"/>
      <c r="O136" s="102">
        <f>VLOOKUP(P136&amp;"_"&amp;Q136,挑战模式!$A$3:$Z$52,6+5*MonsterWaveCallRuleCfg!R136,FALSE)</f>
        <v>2</v>
      </c>
      <c r="P136" s="110">
        <v>2</v>
      </c>
      <c r="Q136" s="110">
        <f t="shared" si="37"/>
        <v>4</v>
      </c>
      <c r="R136" s="110">
        <v>1</v>
      </c>
    </row>
    <row r="137" spans="2:18" x14ac:dyDescent="0.2">
      <c r="B137" s="57" t="str">
        <f t="shared" si="34"/>
        <v/>
      </c>
      <c r="D137" s="57" t="str">
        <f t="shared" si="35"/>
        <v/>
      </c>
      <c r="F137" s="57" t="str">
        <f t="shared" si="28"/>
        <v/>
      </c>
      <c r="G137" s="102" t="str">
        <f t="shared" si="36"/>
        <v/>
      </c>
      <c r="I137" s="102">
        <f>VLOOKUP(P137&amp;"_"&amp;Q137,挑战模式!$A$3:$Z$52,3+5*MonsterWaveCallRuleCfg!R137,FALSE)</f>
        <v>44</v>
      </c>
      <c r="J137" s="102">
        <f>VLOOKUP(P137&amp;"_"&amp;Q137,挑战模式!$A$3:$Z$52,4+5*MonsterWaveCallRuleCfg!R137,FALSE)</f>
        <v>0.4</v>
      </c>
      <c r="K137" s="102">
        <f t="shared" si="31"/>
        <v>1</v>
      </c>
      <c r="L137" s="102" t="str">
        <f>IF(VLOOKUP(P137&amp;"_"&amp;Q137,挑战模式!$A$3:$Z$52,2+5*R137,FALSE)="","","Monster_Challenge"&amp;P137&amp;"_"&amp;Q137&amp;"_"&amp;R137)</f>
        <v>Monster_Challenge2_4_2</v>
      </c>
      <c r="M137" s="57">
        <f t="shared" si="32"/>
        <v>1</v>
      </c>
      <c r="N137" s="119"/>
      <c r="O137" s="102">
        <f>VLOOKUP(P137&amp;"_"&amp;Q137,挑战模式!$A$3:$Z$52,6+5*MonsterWaveCallRuleCfg!R137,FALSE)</f>
        <v>1</v>
      </c>
      <c r="P137" s="110">
        <v>2</v>
      </c>
      <c r="Q137" s="110">
        <f t="shared" si="37"/>
        <v>4</v>
      </c>
      <c r="R137" s="110">
        <v>2</v>
      </c>
    </row>
    <row r="138" spans="2:18" x14ac:dyDescent="0.2">
      <c r="B138" s="57" t="str">
        <f t="shared" si="34"/>
        <v/>
      </c>
      <c r="D138" s="57" t="str">
        <f t="shared" si="35"/>
        <v/>
      </c>
      <c r="F138" s="57" t="str">
        <f t="shared" si="28"/>
        <v/>
      </c>
      <c r="G138" s="102" t="str">
        <f t="shared" si="36"/>
        <v/>
      </c>
      <c r="I138" s="102">
        <f>VLOOKUP(P138&amp;"_"&amp;Q138,挑战模式!$A$3:$Z$52,3+5*MonsterWaveCallRuleCfg!R138,FALSE)</f>
        <v>35</v>
      </c>
      <c r="J138" s="102">
        <f>VLOOKUP(P138&amp;"_"&amp;Q138,挑战模式!$A$3:$Z$52,4+5*MonsterWaveCallRuleCfg!R138,FALSE)</f>
        <v>0.5</v>
      </c>
      <c r="K138" s="102">
        <f t="shared" si="31"/>
        <v>1</v>
      </c>
      <c r="L138" s="102" t="str">
        <f>IF(VLOOKUP(P138&amp;"_"&amp;Q138,挑战模式!$A$3:$Z$52,2+5*R138,FALSE)="","","Monster_Challenge"&amp;P138&amp;"_"&amp;Q138&amp;"_"&amp;R138)</f>
        <v>Monster_Challenge2_4_3</v>
      </c>
      <c r="M138" s="57">
        <f t="shared" si="32"/>
        <v>1</v>
      </c>
      <c r="N138" s="119"/>
      <c r="O138" s="102">
        <f>VLOOKUP(P138&amp;"_"&amp;Q138,挑战模式!$A$3:$Z$52,6+5*MonsterWaveCallRuleCfg!R138,FALSE)</f>
        <v>4</v>
      </c>
      <c r="P138" s="110">
        <v>2</v>
      </c>
      <c r="Q138" s="110">
        <f t="shared" si="37"/>
        <v>4</v>
      </c>
      <c r="R138" s="110">
        <v>3</v>
      </c>
    </row>
    <row r="139" spans="2:18" x14ac:dyDescent="0.2">
      <c r="B139" s="57" t="str">
        <f t="shared" si="34"/>
        <v/>
      </c>
      <c r="D139" s="57" t="str">
        <f t="shared" si="35"/>
        <v/>
      </c>
      <c r="F139" s="57" t="str">
        <f t="shared" si="28"/>
        <v/>
      </c>
      <c r="G139" s="102" t="str">
        <f t="shared" si="36"/>
        <v/>
      </c>
      <c r="I139" s="102" t="str">
        <f>VLOOKUP(P139&amp;"_"&amp;Q139,挑战模式!$A$3:$Z$52,3+5*MonsterWaveCallRuleCfg!R139,FALSE)</f>
        <v/>
      </c>
      <c r="J139" s="102" t="str">
        <f>VLOOKUP(P139&amp;"_"&amp;Q139,挑战模式!$A$3:$Z$52,4+5*MonsterWaveCallRuleCfg!R139,FALSE)</f>
        <v/>
      </c>
      <c r="K139" s="102" t="str">
        <f t="shared" si="31"/>
        <v/>
      </c>
      <c r="L139" s="102" t="str">
        <f>IF(VLOOKUP(P139&amp;"_"&amp;Q139,挑战模式!$A$3:$Z$52,2+5*R139,FALSE)="","","Monster_Challenge"&amp;P139&amp;"_"&amp;Q139&amp;"_"&amp;R139)</f>
        <v/>
      </c>
      <c r="M139" s="57" t="str">
        <f t="shared" si="32"/>
        <v/>
      </c>
      <c r="N139" s="119"/>
      <c r="O139" s="102" t="str">
        <f>VLOOKUP(P139&amp;"_"&amp;Q139,挑战模式!$A$3:$Z$52,6+5*MonsterWaveCallRuleCfg!R139,FALSE)</f>
        <v/>
      </c>
      <c r="P139" s="110">
        <v>2</v>
      </c>
      <c r="Q139" s="110">
        <f t="shared" si="37"/>
        <v>4</v>
      </c>
      <c r="R139" s="110">
        <v>4</v>
      </c>
    </row>
    <row r="140" spans="2:18" x14ac:dyDescent="0.2">
      <c r="B140" s="57" t="str">
        <f t="shared" si="34"/>
        <v>MonsterWaveCallRule_Challenge2</v>
      </c>
      <c r="C140" s="57">
        <v>5</v>
      </c>
      <c r="D140" s="57" t="str">
        <f t="shared" si="35"/>
        <v>挑战关卡2第5波</v>
      </c>
      <c r="F140" s="57">
        <f t="shared" si="28"/>
        <v>0</v>
      </c>
      <c r="G140" s="102">
        <f t="shared" si="36"/>
        <v>180</v>
      </c>
      <c r="I140" s="102">
        <f>VLOOKUP(P140&amp;"_"&amp;Q140,挑战模式!$A$3:$Z$52,3+5*MonsterWaveCallRuleCfg!R140,FALSE)</f>
        <v>67</v>
      </c>
      <c r="J140" s="102">
        <f>VLOOKUP(P140&amp;"_"&amp;Q140,挑战模式!$A$3:$Z$52,4+5*MonsterWaveCallRuleCfg!R140,FALSE)</f>
        <v>0.3</v>
      </c>
      <c r="K140" s="102">
        <f t="shared" si="31"/>
        <v>1</v>
      </c>
      <c r="L140" s="102" t="str">
        <f>IF(VLOOKUP(P140&amp;"_"&amp;Q140,挑战模式!$A$3:$Z$52,2+5*R140,FALSE)="","","Monster_Challenge"&amp;P140&amp;"_"&amp;Q140&amp;"_"&amp;R140)</f>
        <v>Monster_Challenge2_5_1</v>
      </c>
      <c r="M140" s="57">
        <f t="shared" si="32"/>
        <v>1</v>
      </c>
      <c r="N140" s="119"/>
      <c r="O140" s="102">
        <f>VLOOKUP(P140&amp;"_"&amp;Q140,挑战模式!$A$3:$Z$52,6+5*MonsterWaveCallRuleCfg!R140,FALSE)</f>
        <v>1</v>
      </c>
      <c r="P140" s="110">
        <v>2</v>
      </c>
      <c r="Q140" s="110">
        <f t="shared" si="37"/>
        <v>5</v>
      </c>
      <c r="R140" s="110">
        <v>1</v>
      </c>
    </row>
    <row r="141" spans="2:18" x14ac:dyDescent="0.2">
      <c r="B141" s="57" t="str">
        <f t="shared" si="34"/>
        <v/>
      </c>
      <c r="D141" s="57" t="str">
        <f t="shared" si="35"/>
        <v/>
      </c>
      <c r="F141" s="57" t="str">
        <f t="shared" si="28"/>
        <v/>
      </c>
      <c r="G141" s="102" t="str">
        <f t="shared" si="36"/>
        <v/>
      </c>
      <c r="I141" s="102">
        <f>VLOOKUP(P141&amp;"_"&amp;Q141,挑战模式!$A$3:$Z$52,3+5*MonsterWaveCallRuleCfg!R141,FALSE)</f>
        <v>100</v>
      </c>
      <c r="J141" s="102">
        <f>VLOOKUP(P141&amp;"_"&amp;Q141,挑战模式!$A$3:$Z$52,4+5*MonsterWaveCallRuleCfg!R141,FALSE)</f>
        <v>0.2</v>
      </c>
      <c r="K141" s="102">
        <f t="shared" si="31"/>
        <v>1</v>
      </c>
      <c r="L141" s="102" t="str">
        <f>IF(VLOOKUP(P141&amp;"_"&amp;Q141,挑战模式!$A$3:$Z$52,2+5*R141,FALSE)="","","Monster_Challenge"&amp;P141&amp;"_"&amp;Q141&amp;"_"&amp;R141)</f>
        <v>Monster_Challenge2_5_2</v>
      </c>
      <c r="M141" s="57">
        <f t="shared" si="32"/>
        <v>1</v>
      </c>
      <c r="N141" s="119"/>
      <c r="O141" s="102">
        <f>VLOOKUP(P141&amp;"_"&amp;Q141,挑战模式!$A$3:$Z$52,6+5*MonsterWaveCallRuleCfg!R141,FALSE)</f>
        <v>1</v>
      </c>
      <c r="P141" s="110">
        <v>2</v>
      </c>
      <c r="Q141" s="110">
        <f t="shared" si="37"/>
        <v>5</v>
      </c>
      <c r="R141" s="110">
        <v>2</v>
      </c>
    </row>
    <row r="142" spans="2:18" x14ac:dyDescent="0.2">
      <c r="B142" s="57" t="str">
        <f t="shared" si="34"/>
        <v/>
      </c>
      <c r="D142" s="57" t="str">
        <f t="shared" si="35"/>
        <v/>
      </c>
      <c r="F142" s="57" t="str">
        <f t="shared" si="28"/>
        <v/>
      </c>
      <c r="G142" s="102" t="str">
        <f t="shared" si="36"/>
        <v/>
      </c>
      <c r="I142" s="102">
        <f>VLOOKUP(P142&amp;"_"&amp;Q142,挑战模式!$A$3:$Z$52,3+5*MonsterWaveCallRuleCfg!R142,FALSE)</f>
        <v>40</v>
      </c>
      <c r="J142" s="102">
        <f>VLOOKUP(P142&amp;"_"&amp;Q142,挑战模式!$A$3:$Z$52,4+5*MonsterWaveCallRuleCfg!R142,FALSE)</f>
        <v>0.5</v>
      </c>
      <c r="K142" s="102">
        <f t="shared" si="31"/>
        <v>1</v>
      </c>
      <c r="L142" s="102" t="str">
        <f>IF(VLOOKUP(P142&amp;"_"&amp;Q142,挑战模式!$A$3:$Z$52,2+5*R142,FALSE)="","","Monster_Challenge"&amp;P142&amp;"_"&amp;Q142&amp;"_"&amp;R142)</f>
        <v>Monster_Challenge2_5_3</v>
      </c>
      <c r="M142" s="57">
        <f t="shared" si="32"/>
        <v>1</v>
      </c>
      <c r="N142" s="119"/>
      <c r="O142" s="102">
        <f>VLOOKUP(P142&amp;"_"&amp;Q142,挑战模式!$A$3:$Z$52,6+5*MonsterWaveCallRuleCfg!R142,FALSE)</f>
        <v>2</v>
      </c>
      <c r="P142" s="110">
        <v>2</v>
      </c>
      <c r="Q142" s="110">
        <f t="shared" si="37"/>
        <v>5</v>
      </c>
      <c r="R142" s="110">
        <v>3</v>
      </c>
    </row>
    <row r="143" spans="2:18" x14ac:dyDescent="0.2">
      <c r="B143" s="57" t="str">
        <f t="shared" si="34"/>
        <v/>
      </c>
      <c r="D143" s="57" t="str">
        <f t="shared" si="35"/>
        <v/>
      </c>
      <c r="F143" s="57" t="str">
        <f t="shared" si="28"/>
        <v/>
      </c>
      <c r="G143" s="102" t="str">
        <f t="shared" si="36"/>
        <v/>
      </c>
      <c r="I143" s="102" t="str">
        <f>VLOOKUP(P143&amp;"_"&amp;Q143,挑战模式!$A$3:$Z$52,3+5*MonsterWaveCallRuleCfg!R143,FALSE)</f>
        <v/>
      </c>
      <c r="J143" s="102" t="str">
        <f>VLOOKUP(P143&amp;"_"&amp;Q143,挑战模式!$A$3:$Z$52,4+5*MonsterWaveCallRuleCfg!R143,FALSE)</f>
        <v/>
      </c>
      <c r="K143" s="102" t="str">
        <f t="shared" si="31"/>
        <v/>
      </c>
      <c r="L143" s="102" t="str">
        <f>IF(VLOOKUP(P143&amp;"_"&amp;Q143,挑战模式!$A$3:$Z$52,2+5*R143,FALSE)="","","Monster_Challenge"&amp;P143&amp;"_"&amp;Q143&amp;"_"&amp;R143)</f>
        <v/>
      </c>
      <c r="M143" s="57" t="str">
        <f t="shared" si="32"/>
        <v/>
      </c>
      <c r="N143" s="119"/>
      <c r="O143" s="102" t="str">
        <f>VLOOKUP(P143&amp;"_"&amp;Q143,挑战模式!$A$3:$Z$52,6+5*MonsterWaveCallRuleCfg!R143,FALSE)</f>
        <v/>
      </c>
      <c r="P143" s="110">
        <v>2</v>
      </c>
      <c r="Q143" s="110">
        <f t="shared" si="37"/>
        <v>5</v>
      </c>
      <c r="R143" s="110">
        <v>4</v>
      </c>
    </row>
    <row r="144" spans="2:18" x14ac:dyDescent="0.2">
      <c r="B144" s="57" t="str">
        <f t="shared" si="34"/>
        <v>MonsterWaveCallRule_Challenge3</v>
      </c>
      <c r="C144" s="57">
        <v>1</v>
      </c>
      <c r="D144" s="57" t="str">
        <f t="shared" si="35"/>
        <v>挑战关卡3第1波</v>
      </c>
      <c r="F144" s="57">
        <f t="shared" si="28"/>
        <v>0</v>
      </c>
      <c r="G144" s="102">
        <f t="shared" si="36"/>
        <v>180</v>
      </c>
      <c r="I144" s="102">
        <f>VLOOKUP(P144&amp;"_"&amp;Q144,挑战模式!$A$3:$Z$52,3+5*MonsterWaveCallRuleCfg!R144,FALSE)</f>
        <v>5</v>
      </c>
      <c r="J144" s="102">
        <f>VLOOKUP(P144&amp;"_"&amp;Q144,挑战模式!$A$3:$Z$52,4+5*MonsterWaveCallRuleCfg!R144,FALSE)</f>
        <v>2</v>
      </c>
      <c r="K144" s="102">
        <f t="shared" si="31"/>
        <v>1</v>
      </c>
      <c r="L144" s="102" t="str">
        <f>IF(VLOOKUP(P144&amp;"_"&amp;Q144,挑战模式!$A$3:$Z$52,2+5*R144,FALSE)="","","Monster_Challenge"&amp;P144&amp;"_"&amp;Q144&amp;"_"&amp;R144)</f>
        <v>Monster_Challenge3_1_1</v>
      </c>
      <c r="M144" s="57">
        <f t="shared" si="32"/>
        <v>1</v>
      </c>
      <c r="N144" s="119"/>
      <c r="O144" s="102">
        <f>VLOOKUP(P144&amp;"_"&amp;Q144,挑战模式!$A$3:$Z$52,6+5*MonsterWaveCallRuleCfg!R144,FALSE)</f>
        <v>80</v>
      </c>
      <c r="P144" s="110">
        <v>3</v>
      </c>
      <c r="Q144" s="110">
        <f t="shared" si="37"/>
        <v>1</v>
      </c>
      <c r="R144" s="110">
        <v>1</v>
      </c>
    </row>
    <row r="145" spans="2:18" x14ac:dyDescent="0.2">
      <c r="B145" s="57" t="str">
        <f t="shared" si="34"/>
        <v/>
      </c>
      <c r="D145" s="57" t="str">
        <f t="shared" si="35"/>
        <v/>
      </c>
      <c r="F145" s="57" t="str">
        <f t="shared" si="28"/>
        <v/>
      </c>
      <c r="G145" s="102" t="str">
        <f t="shared" si="36"/>
        <v/>
      </c>
      <c r="I145" s="102" t="str">
        <f>VLOOKUP(P145&amp;"_"&amp;Q145,挑战模式!$A$3:$Z$52,3+5*MonsterWaveCallRuleCfg!R145,FALSE)</f>
        <v/>
      </c>
      <c r="J145" s="102" t="str">
        <f>VLOOKUP(P145&amp;"_"&amp;Q145,挑战模式!$A$3:$Z$52,4+5*MonsterWaveCallRuleCfg!R145,FALSE)</f>
        <v/>
      </c>
      <c r="K145" s="102" t="str">
        <f t="shared" si="31"/>
        <v/>
      </c>
      <c r="L145" s="102" t="str">
        <f>IF(VLOOKUP(P145&amp;"_"&amp;Q145,挑战模式!$A$3:$Z$52,2+5*R145,FALSE)="","","Monster_Challenge"&amp;P145&amp;"_"&amp;Q145&amp;"_"&amp;R145)</f>
        <v/>
      </c>
      <c r="M145" s="57" t="str">
        <f t="shared" si="32"/>
        <v/>
      </c>
      <c r="N145" s="119"/>
      <c r="O145" s="102" t="str">
        <f>VLOOKUP(P145&amp;"_"&amp;Q145,挑战模式!$A$3:$Z$52,6+5*MonsterWaveCallRuleCfg!R145,FALSE)</f>
        <v/>
      </c>
      <c r="P145" s="110">
        <v>3</v>
      </c>
      <c r="Q145" s="110">
        <f t="shared" si="37"/>
        <v>1</v>
      </c>
      <c r="R145" s="110">
        <v>2</v>
      </c>
    </row>
    <row r="146" spans="2:18" x14ac:dyDescent="0.2">
      <c r="B146" s="57" t="str">
        <f t="shared" si="34"/>
        <v/>
      </c>
      <c r="D146" s="57" t="str">
        <f t="shared" si="35"/>
        <v/>
      </c>
      <c r="F146" s="57" t="str">
        <f t="shared" si="28"/>
        <v/>
      </c>
      <c r="G146" s="102" t="str">
        <f t="shared" si="36"/>
        <v/>
      </c>
      <c r="I146" s="102" t="str">
        <f>VLOOKUP(P146&amp;"_"&amp;Q146,挑战模式!$A$3:$Z$52,3+5*MonsterWaveCallRuleCfg!R146,FALSE)</f>
        <v/>
      </c>
      <c r="J146" s="102" t="str">
        <f>VLOOKUP(P146&amp;"_"&amp;Q146,挑战模式!$A$3:$Z$52,4+5*MonsterWaveCallRuleCfg!R146,FALSE)</f>
        <v/>
      </c>
      <c r="K146" s="102" t="str">
        <f t="shared" si="31"/>
        <v/>
      </c>
      <c r="L146" s="102" t="str">
        <f>IF(VLOOKUP(P146&amp;"_"&amp;Q146,挑战模式!$A$3:$Z$52,2+5*R146,FALSE)="","","Monster_Challenge"&amp;P146&amp;"_"&amp;Q146&amp;"_"&amp;R146)</f>
        <v/>
      </c>
      <c r="M146" s="57" t="str">
        <f t="shared" si="32"/>
        <v/>
      </c>
      <c r="N146" s="119"/>
      <c r="O146" s="102" t="str">
        <f>VLOOKUP(P146&amp;"_"&amp;Q146,挑战模式!$A$3:$Z$52,6+5*MonsterWaveCallRuleCfg!R146,FALSE)</f>
        <v/>
      </c>
      <c r="P146" s="110">
        <v>3</v>
      </c>
      <c r="Q146" s="110">
        <f t="shared" si="37"/>
        <v>1</v>
      </c>
      <c r="R146" s="110">
        <v>3</v>
      </c>
    </row>
    <row r="147" spans="2:18" x14ac:dyDescent="0.2">
      <c r="B147" s="57" t="str">
        <f t="shared" si="34"/>
        <v/>
      </c>
      <c r="D147" s="57" t="str">
        <f t="shared" si="35"/>
        <v/>
      </c>
      <c r="F147" s="57" t="str">
        <f t="shared" si="28"/>
        <v/>
      </c>
      <c r="G147" s="102" t="str">
        <f t="shared" si="36"/>
        <v/>
      </c>
      <c r="I147" s="102" t="str">
        <f>VLOOKUP(P147&amp;"_"&amp;Q147,挑战模式!$A$3:$Z$52,3+5*MonsterWaveCallRuleCfg!R147,FALSE)</f>
        <v/>
      </c>
      <c r="J147" s="102" t="str">
        <f>VLOOKUP(P147&amp;"_"&amp;Q147,挑战模式!$A$3:$Z$52,4+5*MonsterWaveCallRuleCfg!R147,FALSE)</f>
        <v/>
      </c>
      <c r="K147" s="102" t="str">
        <f t="shared" si="31"/>
        <v/>
      </c>
      <c r="L147" s="102" t="str">
        <f>IF(VLOOKUP(P147&amp;"_"&amp;Q147,挑战模式!$A$3:$Z$52,2+5*R147,FALSE)="","","Monster_Challenge"&amp;P147&amp;"_"&amp;Q147&amp;"_"&amp;R147)</f>
        <v/>
      </c>
      <c r="M147" s="57" t="str">
        <f t="shared" si="32"/>
        <v/>
      </c>
      <c r="N147" s="119"/>
      <c r="O147" s="102" t="str">
        <f>VLOOKUP(P147&amp;"_"&amp;Q147,挑战模式!$A$3:$Z$52,6+5*MonsterWaveCallRuleCfg!R147,FALSE)</f>
        <v/>
      </c>
      <c r="P147" s="110">
        <v>3</v>
      </c>
      <c r="Q147" s="110">
        <f t="shared" si="37"/>
        <v>1</v>
      </c>
      <c r="R147" s="110">
        <v>4</v>
      </c>
    </row>
    <row r="148" spans="2:18" x14ac:dyDescent="0.2">
      <c r="B148" s="57" t="str">
        <f t="shared" si="34"/>
        <v>MonsterWaveCallRule_Challenge3</v>
      </c>
      <c r="C148" s="57">
        <v>2</v>
      </c>
      <c r="D148" s="57" t="str">
        <f t="shared" si="35"/>
        <v>挑战关卡3第2波</v>
      </c>
      <c r="F148" s="57">
        <f t="shared" si="28"/>
        <v>0</v>
      </c>
      <c r="G148" s="102">
        <f t="shared" si="36"/>
        <v>180</v>
      </c>
      <c r="I148" s="102">
        <f>VLOOKUP(P148&amp;"_"&amp;Q148,挑战模式!$A$3:$Z$52,3+5*MonsterWaveCallRuleCfg!R148,FALSE)</f>
        <v>6</v>
      </c>
      <c r="J148" s="102">
        <f>VLOOKUP(P148&amp;"_"&amp;Q148,挑战模式!$A$3:$Z$52,4+5*MonsterWaveCallRuleCfg!R148,FALSE)</f>
        <v>2</v>
      </c>
      <c r="K148" s="102">
        <f t="shared" si="31"/>
        <v>1</v>
      </c>
      <c r="L148" s="102" t="str">
        <f>IF(VLOOKUP(P148&amp;"_"&amp;Q148,挑战模式!$A$3:$Z$52,2+5*R148,FALSE)="","","Monster_Challenge"&amp;P148&amp;"_"&amp;Q148&amp;"_"&amp;R148)</f>
        <v>Monster_Challenge3_2_1</v>
      </c>
      <c r="M148" s="57">
        <f t="shared" si="32"/>
        <v>1</v>
      </c>
      <c r="N148" s="119"/>
      <c r="O148" s="102">
        <f>VLOOKUP(P148&amp;"_"&amp;Q148,挑战模式!$A$3:$Z$52,6+5*MonsterWaveCallRuleCfg!R148,FALSE)</f>
        <v>33</v>
      </c>
      <c r="P148" s="110">
        <v>3</v>
      </c>
      <c r="Q148" s="110">
        <f t="shared" si="37"/>
        <v>2</v>
      </c>
      <c r="R148" s="110">
        <v>1</v>
      </c>
    </row>
    <row r="149" spans="2:18" x14ac:dyDescent="0.2">
      <c r="B149" s="57" t="str">
        <f t="shared" si="34"/>
        <v/>
      </c>
      <c r="D149" s="57" t="str">
        <f t="shared" si="35"/>
        <v/>
      </c>
      <c r="F149" s="57" t="str">
        <f t="shared" si="28"/>
        <v/>
      </c>
      <c r="G149" s="102" t="str">
        <f t="shared" si="36"/>
        <v/>
      </c>
      <c r="I149" s="102">
        <f>VLOOKUP(P149&amp;"_"&amp;Q149,挑战模式!$A$3:$Z$52,3+5*MonsterWaveCallRuleCfg!R149,FALSE)</f>
        <v>6</v>
      </c>
      <c r="J149" s="102">
        <f>VLOOKUP(P149&amp;"_"&amp;Q149,挑战模式!$A$3:$Z$52,4+5*MonsterWaveCallRuleCfg!R149,FALSE)</f>
        <v>2</v>
      </c>
      <c r="K149" s="102">
        <f t="shared" si="31"/>
        <v>1</v>
      </c>
      <c r="L149" s="102" t="str">
        <f>IF(VLOOKUP(P149&amp;"_"&amp;Q149,挑战模式!$A$3:$Z$52,2+5*R149,FALSE)="","","Monster_Challenge"&amp;P149&amp;"_"&amp;Q149&amp;"_"&amp;R149)</f>
        <v>Monster_Challenge3_2_2</v>
      </c>
      <c r="M149" s="57">
        <f t="shared" si="32"/>
        <v>1</v>
      </c>
      <c r="N149" s="119"/>
      <c r="O149" s="102">
        <f>VLOOKUP(P149&amp;"_"&amp;Q149,挑战模式!$A$3:$Z$52,6+5*MonsterWaveCallRuleCfg!R149,FALSE)</f>
        <v>33</v>
      </c>
      <c r="P149" s="110">
        <v>3</v>
      </c>
      <c r="Q149" s="110">
        <f t="shared" si="37"/>
        <v>2</v>
      </c>
      <c r="R149" s="110">
        <v>2</v>
      </c>
    </row>
    <row r="150" spans="2:18" x14ac:dyDescent="0.2">
      <c r="B150" s="57" t="str">
        <f t="shared" si="34"/>
        <v/>
      </c>
      <c r="D150" s="57" t="str">
        <f t="shared" si="35"/>
        <v/>
      </c>
      <c r="F150" s="57" t="str">
        <f t="shared" si="28"/>
        <v/>
      </c>
      <c r="G150" s="102" t="str">
        <f t="shared" si="36"/>
        <v/>
      </c>
      <c r="I150" s="102" t="str">
        <f>VLOOKUP(P150&amp;"_"&amp;Q150,挑战模式!$A$3:$Z$52,3+5*MonsterWaveCallRuleCfg!R150,FALSE)</f>
        <v/>
      </c>
      <c r="J150" s="102" t="str">
        <f>VLOOKUP(P150&amp;"_"&amp;Q150,挑战模式!$A$3:$Z$52,4+5*MonsterWaveCallRuleCfg!R150,FALSE)</f>
        <v/>
      </c>
      <c r="K150" s="102" t="str">
        <f t="shared" si="31"/>
        <v/>
      </c>
      <c r="L150" s="102" t="str">
        <f>IF(VLOOKUP(P150&amp;"_"&amp;Q150,挑战模式!$A$3:$Z$52,2+5*R150,FALSE)="","","Monster_Challenge"&amp;P150&amp;"_"&amp;Q150&amp;"_"&amp;R150)</f>
        <v/>
      </c>
      <c r="M150" s="57" t="str">
        <f t="shared" si="32"/>
        <v/>
      </c>
      <c r="N150" s="119"/>
      <c r="O150" s="102" t="str">
        <f>VLOOKUP(P150&amp;"_"&amp;Q150,挑战模式!$A$3:$Z$52,6+5*MonsterWaveCallRuleCfg!R150,FALSE)</f>
        <v/>
      </c>
      <c r="P150" s="110">
        <v>3</v>
      </c>
      <c r="Q150" s="110">
        <f t="shared" si="37"/>
        <v>2</v>
      </c>
      <c r="R150" s="110">
        <v>3</v>
      </c>
    </row>
    <row r="151" spans="2:18" x14ac:dyDescent="0.2">
      <c r="B151" s="57" t="str">
        <f t="shared" si="34"/>
        <v/>
      </c>
      <c r="D151" s="57" t="str">
        <f t="shared" si="35"/>
        <v/>
      </c>
      <c r="F151" s="57" t="str">
        <f t="shared" si="28"/>
        <v/>
      </c>
      <c r="G151" s="102" t="str">
        <f t="shared" si="36"/>
        <v/>
      </c>
      <c r="I151" s="102" t="str">
        <f>VLOOKUP(P151&amp;"_"&amp;Q151,挑战模式!$A$3:$Z$52,3+5*MonsterWaveCallRuleCfg!R151,FALSE)</f>
        <v/>
      </c>
      <c r="J151" s="102" t="str">
        <f>VLOOKUP(P151&amp;"_"&amp;Q151,挑战模式!$A$3:$Z$52,4+5*MonsterWaveCallRuleCfg!R151,FALSE)</f>
        <v/>
      </c>
      <c r="K151" s="102" t="str">
        <f t="shared" si="31"/>
        <v/>
      </c>
      <c r="L151" s="102" t="str">
        <f>IF(VLOOKUP(P151&amp;"_"&amp;Q151,挑战模式!$A$3:$Z$52,2+5*R151,FALSE)="","","Monster_Challenge"&amp;P151&amp;"_"&amp;Q151&amp;"_"&amp;R151)</f>
        <v/>
      </c>
      <c r="M151" s="57" t="str">
        <f t="shared" si="32"/>
        <v/>
      </c>
      <c r="N151" s="119"/>
      <c r="O151" s="102" t="str">
        <f>VLOOKUP(P151&amp;"_"&amp;Q151,挑战模式!$A$3:$Z$52,6+5*MonsterWaveCallRuleCfg!R151,FALSE)</f>
        <v/>
      </c>
      <c r="P151" s="110">
        <v>3</v>
      </c>
      <c r="Q151" s="110">
        <f t="shared" si="37"/>
        <v>2</v>
      </c>
      <c r="R151" s="110">
        <v>4</v>
      </c>
    </row>
    <row r="152" spans="2:18" x14ac:dyDescent="0.2">
      <c r="B152" s="57" t="str">
        <f t="shared" si="34"/>
        <v>MonsterWaveCallRule_Challenge3</v>
      </c>
      <c r="C152" s="57">
        <v>3</v>
      </c>
      <c r="D152" s="57" t="str">
        <f t="shared" si="35"/>
        <v>挑战关卡3第3波</v>
      </c>
      <c r="F152" s="57">
        <f t="shared" ref="F152:F215" si="38">IF(C152="","",0)</f>
        <v>0</v>
      </c>
      <c r="G152" s="102">
        <f t="shared" si="36"/>
        <v>180</v>
      </c>
      <c r="I152" s="102">
        <f>VLOOKUP(P152&amp;"_"&amp;Q152,挑战模式!$A$3:$Z$52,3+5*MonsterWaveCallRuleCfg!R152,FALSE)</f>
        <v>8</v>
      </c>
      <c r="J152" s="102">
        <f>VLOOKUP(P152&amp;"_"&amp;Q152,挑战模式!$A$3:$Z$52,4+5*MonsterWaveCallRuleCfg!R152,FALSE)</f>
        <v>2</v>
      </c>
      <c r="K152" s="102">
        <f t="shared" ref="K152:K215" si="39">IF(I152="","",1)</f>
        <v>1</v>
      </c>
      <c r="L152" s="102" t="str">
        <f>IF(VLOOKUP(P152&amp;"_"&amp;Q152,挑战模式!$A$3:$Z$52,2+5*R152,FALSE)="","","Monster_Challenge"&amp;P152&amp;"_"&amp;Q152&amp;"_"&amp;R152)</f>
        <v>Monster_Challenge3_3_1</v>
      </c>
      <c r="M152" s="57">
        <f t="shared" ref="M152:M215" si="40">IF(I152="","",1)</f>
        <v>1</v>
      </c>
      <c r="N152" s="119"/>
      <c r="O152" s="102">
        <f>VLOOKUP(P152&amp;"_"&amp;Q152,挑战模式!$A$3:$Z$52,6+5*MonsterWaveCallRuleCfg!R152,FALSE)</f>
        <v>34</v>
      </c>
      <c r="P152" s="110">
        <v>3</v>
      </c>
      <c r="Q152" s="110">
        <f t="shared" si="37"/>
        <v>3</v>
      </c>
      <c r="R152" s="110">
        <v>1</v>
      </c>
    </row>
    <row r="153" spans="2:18" x14ac:dyDescent="0.2">
      <c r="B153" s="57" t="str">
        <f t="shared" si="34"/>
        <v/>
      </c>
      <c r="D153" s="57" t="str">
        <f t="shared" si="35"/>
        <v/>
      </c>
      <c r="F153" s="57" t="str">
        <f t="shared" si="38"/>
        <v/>
      </c>
      <c r="G153" s="102" t="str">
        <f t="shared" si="36"/>
        <v/>
      </c>
      <c r="I153" s="102">
        <f>VLOOKUP(P153&amp;"_"&amp;Q153,挑战模式!$A$3:$Z$52,3+5*MonsterWaveCallRuleCfg!R153,FALSE)</f>
        <v>15</v>
      </c>
      <c r="J153" s="102">
        <f>VLOOKUP(P153&amp;"_"&amp;Q153,挑战模式!$A$3:$Z$52,4+5*MonsterWaveCallRuleCfg!R153,FALSE)</f>
        <v>1</v>
      </c>
      <c r="K153" s="102">
        <f t="shared" si="39"/>
        <v>1</v>
      </c>
      <c r="L153" s="102" t="str">
        <f>IF(VLOOKUP(P153&amp;"_"&amp;Q153,挑战模式!$A$3:$Z$52,2+5*R153,FALSE)="","","Monster_Challenge"&amp;P153&amp;"_"&amp;Q153&amp;"_"&amp;R153)</f>
        <v>Monster_Challenge3_3_2</v>
      </c>
      <c r="M153" s="57">
        <f t="shared" si="40"/>
        <v>1</v>
      </c>
      <c r="N153" s="119"/>
      <c r="O153" s="102">
        <f>VLOOKUP(P153&amp;"_"&amp;Q153,挑战模式!$A$3:$Z$52,6+5*MonsterWaveCallRuleCfg!R153,FALSE)</f>
        <v>9</v>
      </c>
      <c r="P153" s="110">
        <v>3</v>
      </c>
      <c r="Q153" s="110">
        <f t="shared" si="37"/>
        <v>3</v>
      </c>
      <c r="R153" s="110">
        <v>2</v>
      </c>
    </row>
    <row r="154" spans="2:18" x14ac:dyDescent="0.2">
      <c r="B154" s="57" t="str">
        <f t="shared" si="34"/>
        <v/>
      </c>
      <c r="D154" s="57" t="str">
        <f t="shared" si="35"/>
        <v/>
      </c>
      <c r="F154" s="57" t="str">
        <f t="shared" si="38"/>
        <v/>
      </c>
      <c r="G154" s="102" t="str">
        <f t="shared" si="36"/>
        <v/>
      </c>
      <c r="I154" s="102" t="str">
        <f>VLOOKUP(P154&amp;"_"&amp;Q154,挑战模式!$A$3:$Z$52,3+5*MonsterWaveCallRuleCfg!R154,FALSE)</f>
        <v/>
      </c>
      <c r="J154" s="102" t="str">
        <f>VLOOKUP(P154&amp;"_"&amp;Q154,挑战模式!$A$3:$Z$52,4+5*MonsterWaveCallRuleCfg!R154,FALSE)</f>
        <v/>
      </c>
      <c r="K154" s="102" t="str">
        <f t="shared" si="39"/>
        <v/>
      </c>
      <c r="L154" s="102" t="str">
        <f>IF(VLOOKUP(P154&amp;"_"&amp;Q154,挑战模式!$A$3:$Z$52,2+5*R154,FALSE)="","","Monster_Challenge"&amp;P154&amp;"_"&amp;Q154&amp;"_"&amp;R154)</f>
        <v/>
      </c>
      <c r="M154" s="57" t="str">
        <f t="shared" si="40"/>
        <v/>
      </c>
      <c r="N154" s="119"/>
      <c r="O154" s="102" t="str">
        <f>VLOOKUP(P154&amp;"_"&amp;Q154,挑战模式!$A$3:$Z$52,6+5*MonsterWaveCallRuleCfg!R154,FALSE)</f>
        <v/>
      </c>
      <c r="P154" s="110">
        <v>3</v>
      </c>
      <c r="Q154" s="110">
        <f t="shared" si="37"/>
        <v>3</v>
      </c>
      <c r="R154" s="110">
        <v>3</v>
      </c>
    </row>
    <row r="155" spans="2:18" x14ac:dyDescent="0.2">
      <c r="B155" s="57" t="str">
        <f t="shared" si="34"/>
        <v/>
      </c>
      <c r="D155" s="57" t="str">
        <f t="shared" si="35"/>
        <v/>
      </c>
      <c r="F155" s="57" t="str">
        <f t="shared" si="38"/>
        <v/>
      </c>
      <c r="G155" s="102" t="str">
        <f t="shared" si="36"/>
        <v/>
      </c>
      <c r="I155" s="102" t="str">
        <f>VLOOKUP(P155&amp;"_"&amp;Q155,挑战模式!$A$3:$Z$52,3+5*MonsterWaveCallRuleCfg!R155,FALSE)</f>
        <v/>
      </c>
      <c r="J155" s="102" t="str">
        <f>VLOOKUP(P155&amp;"_"&amp;Q155,挑战模式!$A$3:$Z$52,4+5*MonsterWaveCallRuleCfg!R155,FALSE)</f>
        <v/>
      </c>
      <c r="K155" s="102" t="str">
        <f t="shared" si="39"/>
        <v/>
      </c>
      <c r="L155" s="102" t="str">
        <f>IF(VLOOKUP(P155&amp;"_"&amp;Q155,挑战模式!$A$3:$Z$52,2+5*R155,FALSE)="","","Monster_Challenge"&amp;P155&amp;"_"&amp;Q155&amp;"_"&amp;R155)</f>
        <v/>
      </c>
      <c r="M155" s="57" t="str">
        <f t="shared" si="40"/>
        <v/>
      </c>
      <c r="N155" s="119"/>
      <c r="O155" s="102" t="str">
        <f>VLOOKUP(P155&amp;"_"&amp;Q155,挑战模式!$A$3:$Z$52,6+5*MonsterWaveCallRuleCfg!R155,FALSE)</f>
        <v/>
      </c>
      <c r="P155" s="110">
        <v>3</v>
      </c>
      <c r="Q155" s="110">
        <f t="shared" si="37"/>
        <v>3</v>
      </c>
      <c r="R155" s="110">
        <v>4</v>
      </c>
    </row>
    <row r="156" spans="2:18" x14ac:dyDescent="0.2">
      <c r="B156" s="57" t="str">
        <f t="shared" si="34"/>
        <v>MonsterWaveCallRule_Challenge3</v>
      </c>
      <c r="C156" s="57">
        <v>4</v>
      </c>
      <c r="D156" s="57" t="str">
        <f t="shared" si="35"/>
        <v>挑战关卡3第4波</v>
      </c>
      <c r="F156" s="57">
        <f t="shared" si="38"/>
        <v>0</v>
      </c>
      <c r="G156" s="102">
        <f t="shared" si="36"/>
        <v>180</v>
      </c>
      <c r="I156" s="102">
        <f>VLOOKUP(P156&amp;"_"&amp;Q156,挑战模式!$A$3:$Z$52,3+5*MonsterWaveCallRuleCfg!R156,FALSE)</f>
        <v>9</v>
      </c>
      <c r="J156" s="102">
        <f>VLOOKUP(P156&amp;"_"&amp;Q156,挑战模式!$A$3:$Z$52,4+5*MonsterWaveCallRuleCfg!R156,FALSE)</f>
        <v>2</v>
      </c>
      <c r="K156" s="102">
        <f t="shared" si="39"/>
        <v>1</v>
      </c>
      <c r="L156" s="102" t="str">
        <f>IF(VLOOKUP(P156&amp;"_"&amp;Q156,挑战模式!$A$3:$Z$52,2+5*R156,FALSE)="","","Monster_Challenge"&amp;P156&amp;"_"&amp;Q156&amp;"_"&amp;R156)</f>
        <v>Monster_Challenge3_4_1</v>
      </c>
      <c r="M156" s="57">
        <f t="shared" si="40"/>
        <v>1</v>
      </c>
      <c r="N156" s="119"/>
      <c r="O156" s="102">
        <f>VLOOKUP(P156&amp;"_"&amp;Q156,挑战模式!$A$3:$Z$52,6+5*MonsterWaveCallRuleCfg!R156,FALSE)</f>
        <v>12</v>
      </c>
      <c r="P156" s="110">
        <v>3</v>
      </c>
      <c r="Q156" s="110">
        <f t="shared" si="37"/>
        <v>4</v>
      </c>
      <c r="R156" s="110">
        <v>1</v>
      </c>
    </row>
    <row r="157" spans="2:18" x14ac:dyDescent="0.2">
      <c r="B157" s="57" t="str">
        <f t="shared" si="34"/>
        <v/>
      </c>
      <c r="D157" s="57" t="str">
        <f t="shared" si="35"/>
        <v/>
      </c>
      <c r="F157" s="57" t="str">
        <f t="shared" si="38"/>
        <v/>
      </c>
      <c r="G157" s="102" t="str">
        <f t="shared" si="36"/>
        <v/>
      </c>
      <c r="I157" s="102">
        <f>VLOOKUP(P157&amp;"_"&amp;Q157,挑战模式!$A$3:$Z$52,3+5*MonsterWaveCallRuleCfg!R157,FALSE)</f>
        <v>58</v>
      </c>
      <c r="J157" s="102">
        <f>VLOOKUP(P157&amp;"_"&amp;Q157,挑战模式!$A$3:$Z$52,4+5*MonsterWaveCallRuleCfg!R157,FALSE)</f>
        <v>0.3</v>
      </c>
      <c r="K157" s="102">
        <f t="shared" si="39"/>
        <v>1</v>
      </c>
      <c r="L157" s="102" t="str">
        <f>IF(VLOOKUP(P157&amp;"_"&amp;Q157,挑战模式!$A$3:$Z$52,2+5*R157,FALSE)="","","Monster_Challenge"&amp;P157&amp;"_"&amp;Q157&amp;"_"&amp;R157)</f>
        <v>Monster_Challenge3_4_2</v>
      </c>
      <c r="M157" s="57">
        <f t="shared" si="40"/>
        <v>1</v>
      </c>
      <c r="N157" s="119"/>
      <c r="O157" s="102">
        <f>VLOOKUP(P157&amp;"_"&amp;Q157,挑战模式!$A$3:$Z$52,6+5*MonsterWaveCallRuleCfg!R157,FALSE)</f>
        <v>3</v>
      </c>
      <c r="P157" s="110">
        <v>3</v>
      </c>
      <c r="Q157" s="110">
        <f t="shared" si="37"/>
        <v>4</v>
      </c>
      <c r="R157" s="110">
        <v>2</v>
      </c>
    </row>
    <row r="158" spans="2:18" x14ac:dyDescent="0.2">
      <c r="B158" s="57" t="str">
        <f t="shared" si="34"/>
        <v/>
      </c>
      <c r="D158" s="57" t="str">
        <f t="shared" si="35"/>
        <v/>
      </c>
      <c r="F158" s="57" t="str">
        <f t="shared" si="38"/>
        <v/>
      </c>
      <c r="G158" s="102" t="str">
        <f t="shared" si="36"/>
        <v/>
      </c>
      <c r="I158" s="102">
        <f>VLOOKUP(P158&amp;"_"&amp;Q158,挑战模式!$A$3:$Z$52,3+5*MonsterWaveCallRuleCfg!R158,FALSE)</f>
        <v>18</v>
      </c>
      <c r="J158" s="102">
        <f>VLOOKUP(P158&amp;"_"&amp;Q158,挑战模式!$A$3:$Z$52,4+5*MonsterWaveCallRuleCfg!R158,FALSE)</f>
        <v>1</v>
      </c>
      <c r="K158" s="102">
        <f t="shared" si="39"/>
        <v>1</v>
      </c>
      <c r="L158" s="102" t="str">
        <f>IF(VLOOKUP(P158&amp;"_"&amp;Q158,挑战模式!$A$3:$Z$52,2+5*R158,FALSE)="","","Monster_Challenge"&amp;P158&amp;"_"&amp;Q158&amp;"_"&amp;R158)</f>
        <v>Monster_Challenge3_4_3</v>
      </c>
      <c r="M158" s="57">
        <f t="shared" si="40"/>
        <v>1</v>
      </c>
      <c r="N158" s="119"/>
      <c r="O158" s="102">
        <f>VLOOKUP(P158&amp;"_"&amp;Q158,挑战模式!$A$3:$Z$52,6+5*MonsterWaveCallRuleCfg!R158,FALSE)</f>
        <v>6</v>
      </c>
      <c r="P158" s="110">
        <v>3</v>
      </c>
      <c r="Q158" s="110">
        <f t="shared" si="37"/>
        <v>4</v>
      </c>
      <c r="R158" s="110">
        <v>3</v>
      </c>
    </row>
    <row r="159" spans="2:18" x14ac:dyDescent="0.2">
      <c r="B159" s="57" t="str">
        <f t="shared" si="34"/>
        <v/>
      </c>
      <c r="D159" s="57" t="str">
        <f t="shared" si="35"/>
        <v/>
      </c>
      <c r="F159" s="57" t="str">
        <f t="shared" si="38"/>
        <v/>
      </c>
      <c r="G159" s="102" t="str">
        <f t="shared" si="36"/>
        <v/>
      </c>
      <c r="I159" s="102" t="str">
        <f>VLOOKUP(P159&amp;"_"&amp;Q159,挑战模式!$A$3:$Z$52,3+5*MonsterWaveCallRuleCfg!R159,FALSE)</f>
        <v/>
      </c>
      <c r="J159" s="102" t="str">
        <f>VLOOKUP(P159&amp;"_"&amp;Q159,挑战模式!$A$3:$Z$52,4+5*MonsterWaveCallRuleCfg!R159,FALSE)</f>
        <v/>
      </c>
      <c r="K159" s="102" t="str">
        <f t="shared" si="39"/>
        <v/>
      </c>
      <c r="L159" s="102" t="str">
        <f>IF(VLOOKUP(P159&amp;"_"&amp;Q159,挑战模式!$A$3:$Z$52,2+5*R159,FALSE)="","","Monster_Challenge"&amp;P159&amp;"_"&amp;Q159&amp;"_"&amp;R159)</f>
        <v/>
      </c>
      <c r="M159" s="57" t="str">
        <f t="shared" si="40"/>
        <v/>
      </c>
      <c r="N159" s="119"/>
      <c r="O159" s="102" t="str">
        <f>VLOOKUP(P159&amp;"_"&amp;Q159,挑战模式!$A$3:$Z$52,6+5*MonsterWaveCallRuleCfg!R159,FALSE)</f>
        <v/>
      </c>
      <c r="P159" s="110">
        <v>3</v>
      </c>
      <c r="Q159" s="110">
        <f t="shared" si="37"/>
        <v>4</v>
      </c>
      <c r="R159" s="110">
        <v>4</v>
      </c>
    </row>
    <row r="160" spans="2:18" x14ac:dyDescent="0.2">
      <c r="B160" s="57" t="str">
        <f t="shared" si="34"/>
        <v>MonsterWaveCallRule_Challenge3</v>
      </c>
      <c r="C160" s="57">
        <v>5</v>
      </c>
      <c r="D160" s="57" t="str">
        <f t="shared" si="35"/>
        <v>挑战关卡3第5波</v>
      </c>
      <c r="F160" s="57">
        <f t="shared" si="38"/>
        <v>0</v>
      </c>
      <c r="G160" s="102">
        <f t="shared" si="36"/>
        <v>180</v>
      </c>
      <c r="I160" s="102">
        <f>VLOOKUP(P160&amp;"_"&amp;Q160,挑战模式!$A$3:$Z$52,3+5*MonsterWaveCallRuleCfg!R160,FALSE)</f>
        <v>13</v>
      </c>
      <c r="J160" s="102">
        <f>VLOOKUP(P160&amp;"_"&amp;Q160,挑战模式!$A$3:$Z$52,4+5*MonsterWaveCallRuleCfg!R160,FALSE)</f>
        <v>1.5</v>
      </c>
      <c r="K160" s="102">
        <f t="shared" si="39"/>
        <v>1</v>
      </c>
      <c r="L160" s="102" t="str">
        <f>IF(VLOOKUP(P160&amp;"_"&amp;Q160,挑战模式!$A$3:$Z$52,2+5*R160,FALSE)="","","Monster_Challenge"&amp;P160&amp;"_"&amp;Q160&amp;"_"&amp;R160)</f>
        <v>Monster_Challenge3_5_1</v>
      </c>
      <c r="M160" s="57">
        <f t="shared" si="40"/>
        <v>1</v>
      </c>
      <c r="N160" s="119"/>
      <c r="O160" s="102">
        <f>VLOOKUP(P160&amp;"_"&amp;Q160,挑战模式!$A$3:$Z$52,6+5*MonsterWaveCallRuleCfg!R160,FALSE)</f>
        <v>6</v>
      </c>
      <c r="P160" s="110">
        <v>3</v>
      </c>
      <c r="Q160" s="110">
        <f t="shared" si="37"/>
        <v>5</v>
      </c>
      <c r="R160" s="110">
        <v>1</v>
      </c>
    </row>
    <row r="161" spans="2:18" x14ac:dyDescent="0.2">
      <c r="B161" s="57" t="str">
        <f t="shared" si="34"/>
        <v/>
      </c>
      <c r="D161" s="57" t="str">
        <f t="shared" si="35"/>
        <v/>
      </c>
      <c r="F161" s="57" t="str">
        <f t="shared" si="38"/>
        <v/>
      </c>
      <c r="G161" s="102" t="str">
        <f t="shared" si="36"/>
        <v/>
      </c>
      <c r="I161" s="102">
        <f>VLOOKUP(P161&amp;"_"&amp;Q161,挑战模式!$A$3:$Z$52,3+5*MonsterWaveCallRuleCfg!R161,FALSE)</f>
        <v>20</v>
      </c>
      <c r="J161" s="102">
        <f>VLOOKUP(P161&amp;"_"&amp;Q161,挑战模式!$A$3:$Z$52,4+5*MonsterWaveCallRuleCfg!R161,FALSE)</f>
        <v>1</v>
      </c>
      <c r="K161" s="102">
        <f t="shared" si="39"/>
        <v>1</v>
      </c>
      <c r="L161" s="102" t="str">
        <f>IF(VLOOKUP(P161&amp;"_"&amp;Q161,挑战模式!$A$3:$Z$52,2+5*R161,FALSE)="","","Monster_Challenge"&amp;P161&amp;"_"&amp;Q161&amp;"_"&amp;R161)</f>
        <v>Monster_Challenge3_5_2</v>
      </c>
      <c r="M161" s="57">
        <f t="shared" si="40"/>
        <v>1</v>
      </c>
      <c r="N161" s="119"/>
      <c r="O161" s="102">
        <f>VLOOKUP(P161&amp;"_"&amp;Q161,挑战模式!$A$3:$Z$52,6+5*MonsterWaveCallRuleCfg!R161,FALSE)</f>
        <v>6</v>
      </c>
      <c r="P161" s="110">
        <v>3</v>
      </c>
      <c r="Q161" s="110">
        <f t="shared" si="37"/>
        <v>5</v>
      </c>
      <c r="R161" s="110">
        <v>2</v>
      </c>
    </row>
    <row r="162" spans="2:18" x14ac:dyDescent="0.2">
      <c r="B162" s="57" t="str">
        <f t="shared" si="34"/>
        <v/>
      </c>
      <c r="D162" s="57" t="str">
        <f t="shared" si="35"/>
        <v/>
      </c>
      <c r="F162" s="57" t="str">
        <f t="shared" si="38"/>
        <v/>
      </c>
      <c r="G162" s="102" t="str">
        <f t="shared" si="36"/>
        <v/>
      </c>
      <c r="I162" s="102">
        <f>VLOOKUP(P162&amp;"_"&amp;Q162,挑战模式!$A$3:$Z$52,3+5*MonsterWaveCallRuleCfg!R162,FALSE)</f>
        <v>67</v>
      </c>
      <c r="J162" s="102">
        <f>VLOOKUP(P162&amp;"_"&amp;Q162,挑战模式!$A$3:$Z$52,4+5*MonsterWaveCallRuleCfg!R162,FALSE)</f>
        <v>0.3</v>
      </c>
      <c r="K162" s="102">
        <f t="shared" si="39"/>
        <v>1</v>
      </c>
      <c r="L162" s="102" t="str">
        <f>IF(VLOOKUP(P162&amp;"_"&amp;Q162,挑战模式!$A$3:$Z$52,2+5*R162,FALSE)="","","Monster_Challenge"&amp;P162&amp;"_"&amp;Q162&amp;"_"&amp;R162)</f>
        <v>Monster_Challenge3_5_3</v>
      </c>
      <c r="M162" s="57">
        <f t="shared" si="40"/>
        <v>1</v>
      </c>
      <c r="N162" s="119"/>
      <c r="O162" s="102">
        <f>VLOOKUP(P162&amp;"_"&amp;Q162,挑战模式!$A$3:$Z$52,6+5*MonsterWaveCallRuleCfg!R162,FALSE)</f>
        <v>3</v>
      </c>
      <c r="P162" s="110">
        <v>3</v>
      </c>
      <c r="Q162" s="110">
        <f t="shared" si="37"/>
        <v>5</v>
      </c>
      <c r="R162" s="110">
        <v>3</v>
      </c>
    </row>
    <row r="163" spans="2:18" x14ac:dyDescent="0.2">
      <c r="B163" s="57" t="str">
        <f t="shared" si="34"/>
        <v/>
      </c>
      <c r="D163" s="57" t="str">
        <f t="shared" si="35"/>
        <v/>
      </c>
      <c r="F163" s="57" t="str">
        <f t="shared" si="38"/>
        <v/>
      </c>
      <c r="G163" s="102" t="str">
        <f t="shared" si="36"/>
        <v/>
      </c>
      <c r="I163" s="102" t="str">
        <f>VLOOKUP(P163&amp;"_"&amp;Q163,挑战模式!$A$3:$Z$52,3+5*MonsterWaveCallRuleCfg!R163,FALSE)</f>
        <v/>
      </c>
      <c r="J163" s="102" t="str">
        <f>VLOOKUP(P163&amp;"_"&amp;Q163,挑战模式!$A$3:$Z$52,4+5*MonsterWaveCallRuleCfg!R163,FALSE)</f>
        <v/>
      </c>
      <c r="K163" s="102" t="str">
        <f t="shared" si="39"/>
        <v/>
      </c>
      <c r="L163" s="102" t="str">
        <f>IF(VLOOKUP(P163&amp;"_"&amp;Q163,挑战模式!$A$3:$Z$52,2+5*R163,FALSE)="","","Monster_Challenge"&amp;P163&amp;"_"&amp;Q163&amp;"_"&amp;R163)</f>
        <v/>
      </c>
      <c r="M163" s="57" t="str">
        <f t="shared" si="40"/>
        <v/>
      </c>
      <c r="N163" s="119"/>
      <c r="O163" s="102" t="str">
        <f>VLOOKUP(P163&amp;"_"&amp;Q163,挑战模式!$A$3:$Z$52,6+5*MonsterWaveCallRuleCfg!R163,FALSE)</f>
        <v/>
      </c>
      <c r="P163" s="110">
        <v>3</v>
      </c>
      <c r="Q163" s="110">
        <f t="shared" si="37"/>
        <v>5</v>
      </c>
      <c r="R163" s="110">
        <v>4</v>
      </c>
    </row>
    <row r="164" spans="2:18" x14ac:dyDescent="0.2">
      <c r="B164" s="57" t="str">
        <f t="shared" si="34"/>
        <v>MonsterWaveCallRule_Challenge4</v>
      </c>
      <c r="C164" s="57">
        <v>1</v>
      </c>
      <c r="D164" s="57" t="str">
        <f t="shared" si="35"/>
        <v>挑战关卡4第1波</v>
      </c>
      <c r="F164" s="57">
        <f t="shared" si="38"/>
        <v>0</v>
      </c>
      <c r="G164" s="102">
        <f t="shared" si="36"/>
        <v>180</v>
      </c>
      <c r="I164" s="102">
        <f>VLOOKUP(P164&amp;"_"&amp;Q164,挑战模式!$A$3:$Z$52,3+5*MonsterWaveCallRuleCfg!R164,FALSE)</f>
        <v>7</v>
      </c>
      <c r="J164" s="102">
        <f>VLOOKUP(P164&amp;"_"&amp;Q164,挑战模式!$A$3:$Z$52,4+5*MonsterWaveCallRuleCfg!R164,FALSE)</f>
        <v>1.5</v>
      </c>
      <c r="K164" s="102">
        <f t="shared" si="39"/>
        <v>1</v>
      </c>
      <c r="L164" s="102" t="str">
        <f>IF(VLOOKUP(P164&amp;"_"&amp;Q164,挑战模式!$A$3:$Z$52,2+5*R164,FALSE)="","","Monster_Challenge"&amp;P164&amp;"_"&amp;Q164&amp;"_"&amp;R164)</f>
        <v>Monster_Challenge4_1_1</v>
      </c>
      <c r="M164" s="57">
        <f t="shared" si="40"/>
        <v>1</v>
      </c>
      <c r="N164" s="119"/>
      <c r="O164" s="102">
        <f>VLOOKUP(P164&amp;"_"&amp;Q164,挑战模式!$A$3:$Z$52,6+5*MonsterWaveCallRuleCfg!R164,FALSE)</f>
        <v>79</v>
      </c>
      <c r="P164" s="110">
        <v>4</v>
      </c>
      <c r="Q164" s="110">
        <f t="shared" si="37"/>
        <v>1</v>
      </c>
      <c r="R164" s="110">
        <v>1</v>
      </c>
    </row>
    <row r="165" spans="2:18" x14ac:dyDescent="0.2">
      <c r="B165" s="57" t="str">
        <f t="shared" si="34"/>
        <v/>
      </c>
      <c r="D165" s="57" t="str">
        <f t="shared" si="35"/>
        <v/>
      </c>
      <c r="F165" s="57" t="str">
        <f t="shared" si="38"/>
        <v/>
      </c>
      <c r="G165" s="102" t="str">
        <f t="shared" si="36"/>
        <v/>
      </c>
      <c r="I165" s="102" t="str">
        <f>VLOOKUP(P165&amp;"_"&amp;Q165,挑战模式!$A$3:$Z$52,3+5*MonsterWaveCallRuleCfg!R165,FALSE)</f>
        <v/>
      </c>
      <c r="J165" s="102" t="str">
        <f>VLOOKUP(P165&amp;"_"&amp;Q165,挑战模式!$A$3:$Z$52,4+5*MonsterWaveCallRuleCfg!R165,FALSE)</f>
        <v/>
      </c>
      <c r="K165" s="102" t="str">
        <f t="shared" si="39"/>
        <v/>
      </c>
      <c r="L165" s="102" t="str">
        <f>IF(VLOOKUP(P165&amp;"_"&amp;Q165,挑战模式!$A$3:$Z$52,2+5*R165,FALSE)="","","Monster_Challenge"&amp;P165&amp;"_"&amp;Q165&amp;"_"&amp;R165)</f>
        <v/>
      </c>
      <c r="M165" s="57" t="str">
        <f t="shared" si="40"/>
        <v/>
      </c>
      <c r="N165" s="119"/>
      <c r="O165" s="102" t="str">
        <f>VLOOKUP(P165&amp;"_"&amp;Q165,挑战模式!$A$3:$Z$52,6+5*MonsterWaveCallRuleCfg!R165,FALSE)</f>
        <v/>
      </c>
      <c r="P165" s="110">
        <v>4</v>
      </c>
      <c r="Q165" s="110">
        <f t="shared" si="37"/>
        <v>1</v>
      </c>
      <c r="R165" s="110">
        <v>2</v>
      </c>
    </row>
    <row r="166" spans="2:18" x14ac:dyDescent="0.2">
      <c r="B166" s="57" t="str">
        <f t="shared" si="34"/>
        <v/>
      </c>
      <c r="D166" s="57" t="str">
        <f t="shared" si="35"/>
        <v/>
      </c>
      <c r="F166" s="57" t="str">
        <f t="shared" si="38"/>
        <v/>
      </c>
      <c r="G166" s="102" t="str">
        <f t="shared" si="36"/>
        <v/>
      </c>
      <c r="I166" s="102" t="str">
        <f>VLOOKUP(P166&amp;"_"&amp;Q166,挑战模式!$A$3:$Z$52,3+5*MonsterWaveCallRuleCfg!R166,FALSE)</f>
        <v/>
      </c>
      <c r="J166" s="102" t="str">
        <f>VLOOKUP(P166&amp;"_"&amp;Q166,挑战模式!$A$3:$Z$52,4+5*MonsterWaveCallRuleCfg!R166,FALSE)</f>
        <v/>
      </c>
      <c r="K166" s="102" t="str">
        <f t="shared" si="39"/>
        <v/>
      </c>
      <c r="L166" s="102" t="str">
        <f>IF(VLOOKUP(P166&amp;"_"&amp;Q166,挑战模式!$A$3:$Z$52,2+5*R166,FALSE)="","","Monster_Challenge"&amp;P166&amp;"_"&amp;Q166&amp;"_"&amp;R166)</f>
        <v/>
      </c>
      <c r="M166" s="57" t="str">
        <f t="shared" si="40"/>
        <v/>
      </c>
      <c r="N166" s="119"/>
      <c r="O166" s="102" t="str">
        <f>VLOOKUP(P166&amp;"_"&amp;Q166,挑战模式!$A$3:$Z$52,6+5*MonsterWaveCallRuleCfg!R166,FALSE)</f>
        <v/>
      </c>
      <c r="P166" s="110">
        <v>4</v>
      </c>
      <c r="Q166" s="110">
        <f t="shared" si="37"/>
        <v>1</v>
      </c>
      <c r="R166" s="110">
        <v>3</v>
      </c>
    </row>
    <row r="167" spans="2:18" x14ac:dyDescent="0.2">
      <c r="B167" s="57" t="str">
        <f t="shared" si="34"/>
        <v/>
      </c>
      <c r="D167" s="57" t="str">
        <f t="shared" si="35"/>
        <v/>
      </c>
      <c r="F167" s="57" t="str">
        <f t="shared" si="38"/>
        <v/>
      </c>
      <c r="G167" s="102" t="str">
        <f t="shared" si="36"/>
        <v/>
      </c>
      <c r="I167" s="102" t="str">
        <f>VLOOKUP(P167&amp;"_"&amp;Q167,挑战模式!$A$3:$Z$52,3+5*MonsterWaveCallRuleCfg!R167,FALSE)</f>
        <v/>
      </c>
      <c r="J167" s="102" t="str">
        <f>VLOOKUP(P167&amp;"_"&amp;Q167,挑战模式!$A$3:$Z$52,4+5*MonsterWaveCallRuleCfg!R167,FALSE)</f>
        <v/>
      </c>
      <c r="K167" s="102" t="str">
        <f t="shared" si="39"/>
        <v/>
      </c>
      <c r="L167" s="102" t="str">
        <f>IF(VLOOKUP(P167&amp;"_"&amp;Q167,挑战模式!$A$3:$Z$52,2+5*R167,FALSE)="","","Monster_Challenge"&amp;P167&amp;"_"&amp;Q167&amp;"_"&amp;R167)</f>
        <v/>
      </c>
      <c r="M167" s="57" t="str">
        <f t="shared" si="40"/>
        <v/>
      </c>
      <c r="N167" s="119"/>
      <c r="O167" s="102" t="str">
        <f>VLOOKUP(P167&amp;"_"&amp;Q167,挑战模式!$A$3:$Z$52,6+5*MonsterWaveCallRuleCfg!R167,FALSE)</f>
        <v/>
      </c>
      <c r="P167" s="110">
        <v>4</v>
      </c>
      <c r="Q167" s="110">
        <f t="shared" si="37"/>
        <v>1</v>
      </c>
      <c r="R167" s="110">
        <v>4</v>
      </c>
    </row>
    <row r="168" spans="2:18" x14ac:dyDescent="0.2">
      <c r="B168" s="57" t="str">
        <f t="shared" si="34"/>
        <v>MonsterWaveCallRule_Challenge4</v>
      </c>
      <c r="C168" s="57">
        <v>2</v>
      </c>
      <c r="D168" s="57" t="str">
        <f t="shared" si="35"/>
        <v>挑战关卡4第2波</v>
      </c>
      <c r="F168" s="57">
        <f t="shared" si="38"/>
        <v>0</v>
      </c>
      <c r="G168" s="102">
        <f t="shared" si="36"/>
        <v>180</v>
      </c>
      <c r="I168" s="102">
        <f>VLOOKUP(P168&amp;"_"&amp;Q168,挑战模式!$A$3:$Z$52,3+5*MonsterWaveCallRuleCfg!R168,FALSE)</f>
        <v>8</v>
      </c>
      <c r="J168" s="102">
        <f>VLOOKUP(P168&amp;"_"&amp;Q168,挑战模式!$A$3:$Z$52,4+5*MonsterWaveCallRuleCfg!R168,FALSE)</f>
        <v>1.5</v>
      </c>
      <c r="K168" s="102">
        <f t="shared" si="39"/>
        <v>1</v>
      </c>
      <c r="L168" s="102" t="str">
        <f>IF(VLOOKUP(P168&amp;"_"&amp;Q168,挑战模式!$A$3:$Z$52,2+5*R168,FALSE)="","","Monster_Challenge"&amp;P168&amp;"_"&amp;Q168&amp;"_"&amp;R168)</f>
        <v>Monster_Challenge4_2_1</v>
      </c>
      <c r="M168" s="57">
        <f t="shared" si="40"/>
        <v>1</v>
      </c>
      <c r="N168" s="119"/>
      <c r="O168" s="102">
        <f>VLOOKUP(P168&amp;"_"&amp;Q168,挑战模式!$A$3:$Z$52,6+5*MonsterWaveCallRuleCfg!R168,FALSE)</f>
        <v>9</v>
      </c>
      <c r="P168" s="110">
        <v>4</v>
      </c>
      <c r="Q168" s="110">
        <f t="shared" si="37"/>
        <v>2</v>
      </c>
      <c r="R168" s="110">
        <v>1</v>
      </c>
    </row>
    <row r="169" spans="2:18" x14ac:dyDescent="0.2">
      <c r="B169" s="57" t="str">
        <f t="shared" ref="B169:B232" si="41">IF(C169="","","MonsterWaveCallRule_Challenge"&amp;P169)</f>
        <v/>
      </c>
      <c r="D169" s="57" t="str">
        <f t="shared" ref="D169:D232" si="42">IF(C169="","","挑战关卡"&amp;P169&amp;"第"&amp;C169&amp;"波")</f>
        <v/>
      </c>
      <c r="F169" s="57" t="str">
        <f t="shared" si="38"/>
        <v/>
      </c>
      <c r="G169" s="102" t="str">
        <f t="shared" ref="G169:G183" si="43">IF(C169="","",180)</f>
        <v/>
      </c>
      <c r="I169" s="102">
        <f>VLOOKUP(P169&amp;"_"&amp;Q169,挑战模式!$A$3:$Z$52,3+5*MonsterWaveCallRuleCfg!R169,FALSE)</f>
        <v>25</v>
      </c>
      <c r="J169" s="102">
        <f>VLOOKUP(P169&amp;"_"&amp;Q169,挑战模式!$A$3:$Z$52,4+5*MonsterWaveCallRuleCfg!R169,FALSE)</f>
        <v>0.5</v>
      </c>
      <c r="K169" s="102">
        <f t="shared" si="39"/>
        <v>1</v>
      </c>
      <c r="L169" s="102" t="str">
        <f>IF(VLOOKUP(P169&amp;"_"&amp;Q169,挑战模式!$A$3:$Z$52,2+5*R169,FALSE)="","","Monster_Challenge"&amp;P169&amp;"_"&amp;Q169&amp;"_"&amp;R169)</f>
        <v>Monster_Challenge4_2_2</v>
      </c>
      <c r="M169" s="57">
        <f t="shared" si="40"/>
        <v>1</v>
      </c>
      <c r="N169" s="119"/>
      <c r="O169" s="102">
        <f>VLOOKUP(P169&amp;"_"&amp;Q169,挑战模式!$A$3:$Z$52,6+5*MonsterWaveCallRuleCfg!R169,FALSE)</f>
        <v>19</v>
      </c>
      <c r="P169" s="110">
        <v>4</v>
      </c>
      <c r="Q169" s="110">
        <f t="shared" si="37"/>
        <v>2</v>
      </c>
      <c r="R169" s="110">
        <v>2</v>
      </c>
    </row>
    <row r="170" spans="2:18" x14ac:dyDescent="0.2">
      <c r="B170" s="57" t="str">
        <f t="shared" si="41"/>
        <v/>
      </c>
      <c r="D170" s="57" t="str">
        <f t="shared" si="42"/>
        <v/>
      </c>
      <c r="F170" s="57" t="str">
        <f t="shared" si="38"/>
        <v/>
      </c>
      <c r="G170" s="102" t="str">
        <f t="shared" si="43"/>
        <v/>
      </c>
      <c r="I170" s="102" t="str">
        <f>VLOOKUP(P170&amp;"_"&amp;Q170,挑战模式!$A$3:$Z$52,3+5*MonsterWaveCallRuleCfg!R170,FALSE)</f>
        <v/>
      </c>
      <c r="J170" s="102" t="str">
        <f>VLOOKUP(P170&amp;"_"&amp;Q170,挑战模式!$A$3:$Z$52,4+5*MonsterWaveCallRuleCfg!R170,FALSE)</f>
        <v/>
      </c>
      <c r="K170" s="102" t="str">
        <f t="shared" si="39"/>
        <v/>
      </c>
      <c r="L170" s="102" t="str">
        <f>IF(VLOOKUP(P170&amp;"_"&amp;Q170,挑战模式!$A$3:$Z$52,2+5*R170,FALSE)="","","Monster_Challenge"&amp;P170&amp;"_"&amp;Q170&amp;"_"&amp;R170)</f>
        <v/>
      </c>
      <c r="M170" s="57" t="str">
        <f t="shared" si="40"/>
        <v/>
      </c>
      <c r="N170" s="119"/>
      <c r="O170" s="102" t="str">
        <f>VLOOKUP(P170&amp;"_"&amp;Q170,挑战模式!$A$3:$Z$52,6+5*MonsterWaveCallRuleCfg!R170,FALSE)</f>
        <v/>
      </c>
      <c r="P170" s="110">
        <v>4</v>
      </c>
      <c r="Q170" s="110">
        <f t="shared" ref="Q170:Q201" si="44">IF(C170="",Q169,C170)</f>
        <v>2</v>
      </c>
      <c r="R170" s="110">
        <v>3</v>
      </c>
    </row>
    <row r="171" spans="2:18" x14ac:dyDescent="0.2">
      <c r="B171" s="57" t="str">
        <f t="shared" si="41"/>
        <v/>
      </c>
      <c r="D171" s="57" t="str">
        <f t="shared" si="42"/>
        <v/>
      </c>
      <c r="F171" s="57" t="str">
        <f t="shared" si="38"/>
        <v/>
      </c>
      <c r="G171" s="102" t="str">
        <f t="shared" si="43"/>
        <v/>
      </c>
      <c r="I171" s="102" t="str">
        <f>VLOOKUP(P171&amp;"_"&amp;Q171,挑战模式!$A$3:$Z$52,3+5*MonsterWaveCallRuleCfg!R171,FALSE)</f>
        <v/>
      </c>
      <c r="J171" s="102" t="str">
        <f>VLOOKUP(P171&amp;"_"&amp;Q171,挑战模式!$A$3:$Z$52,4+5*MonsterWaveCallRuleCfg!R171,FALSE)</f>
        <v/>
      </c>
      <c r="K171" s="102" t="str">
        <f t="shared" si="39"/>
        <v/>
      </c>
      <c r="L171" s="102" t="str">
        <f>IF(VLOOKUP(P171&amp;"_"&amp;Q171,挑战模式!$A$3:$Z$52,2+5*R171,FALSE)="","","Monster_Challenge"&amp;P171&amp;"_"&amp;Q171&amp;"_"&amp;R171)</f>
        <v/>
      </c>
      <c r="M171" s="57" t="str">
        <f t="shared" si="40"/>
        <v/>
      </c>
      <c r="N171" s="119"/>
      <c r="O171" s="102" t="str">
        <f>VLOOKUP(P171&amp;"_"&amp;Q171,挑战模式!$A$3:$Z$52,6+5*MonsterWaveCallRuleCfg!R171,FALSE)</f>
        <v/>
      </c>
      <c r="P171" s="110">
        <v>4</v>
      </c>
      <c r="Q171" s="110">
        <f t="shared" si="44"/>
        <v>2</v>
      </c>
      <c r="R171" s="110">
        <v>4</v>
      </c>
    </row>
    <row r="172" spans="2:18" x14ac:dyDescent="0.2">
      <c r="B172" s="57" t="str">
        <f t="shared" si="41"/>
        <v>MonsterWaveCallRule_Challenge4</v>
      </c>
      <c r="C172" s="57">
        <v>3</v>
      </c>
      <c r="D172" s="57" t="str">
        <f t="shared" si="42"/>
        <v>挑战关卡4第3波</v>
      </c>
      <c r="F172" s="57">
        <f t="shared" si="38"/>
        <v>0</v>
      </c>
      <c r="G172" s="102">
        <f t="shared" si="43"/>
        <v>180</v>
      </c>
      <c r="I172" s="102">
        <f>VLOOKUP(P172&amp;"_"&amp;Q172,挑战模式!$A$3:$Z$52,3+5*MonsterWaveCallRuleCfg!R172,FALSE)</f>
        <v>10</v>
      </c>
      <c r="J172" s="102">
        <f>VLOOKUP(P172&amp;"_"&amp;Q172,挑战模式!$A$3:$Z$52,4+5*MonsterWaveCallRuleCfg!R172,FALSE)</f>
        <v>1.5</v>
      </c>
      <c r="K172" s="102">
        <f t="shared" si="39"/>
        <v>1</v>
      </c>
      <c r="L172" s="102" t="str">
        <f>IF(VLOOKUP(P172&amp;"_"&amp;Q172,挑战模式!$A$3:$Z$52,2+5*R172,FALSE)="","","Monster_Challenge"&amp;P172&amp;"_"&amp;Q172&amp;"_"&amp;R172)</f>
        <v>Monster_Challenge4_3_1</v>
      </c>
      <c r="M172" s="57">
        <f t="shared" si="40"/>
        <v>1</v>
      </c>
      <c r="N172" s="119"/>
      <c r="O172" s="102">
        <f>VLOOKUP(P172&amp;"_"&amp;Q172,挑战模式!$A$3:$Z$52,6+5*MonsterWaveCallRuleCfg!R172,FALSE)</f>
        <v>12</v>
      </c>
      <c r="P172" s="110">
        <v>4</v>
      </c>
      <c r="Q172" s="110">
        <f t="shared" si="44"/>
        <v>3</v>
      </c>
      <c r="R172" s="110">
        <v>1</v>
      </c>
    </row>
    <row r="173" spans="2:18" x14ac:dyDescent="0.2">
      <c r="B173" s="57" t="str">
        <f t="shared" si="41"/>
        <v/>
      </c>
      <c r="D173" s="57" t="str">
        <f t="shared" si="42"/>
        <v/>
      </c>
      <c r="F173" s="57" t="str">
        <f t="shared" si="38"/>
        <v/>
      </c>
      <c r="G173" s="102" t="str">
        <f t="shared" si="43"/>
        <v/>
      </c>
      <c r="I173" s="102">
        <f>VLOOKUP(P173&amp;"_"&amp;Q173,挑战模式!$A$3:$Z$52,3+5*MonsterWaveCallRuleCfg!R173,FALSE)</f>
        <v>75</v>
      </c>
      <c r="J173" s="102">
        <f>VLOOKUP(P173&amp;"_"&amp;Q173,挑战模式!$A$3:$Z$52,4+5*MonsterWaveCallRuleCfg!R173,FALSE)</f>
        <v>0.2</v>
      </c>
      <c r="K173" s="102">
        <f t="shared" si="39"/>
        <v>1</v>
      </c>
      <c r="L173" s="102" t="str">
        <f>IF(VLOOKUP(P173&amp;"_"&amp;Q173,挑战模式!$A$3:$Z$52,2+5*R173,FALSE)="","","Monster_Challenge"&amp;P173&amp;"_"&amp;Q173&amp;"_"&amp;R173)</f>
        <v>Monster_Challenge4_3_2</v>
      </c>
      <c r="M173" s="57">
        <f t="shared" si="40"/>
        <v>1</v>
      </c>
      <c r="N173" s="119"/>
      <c r="O173" s="102">
        <f>VLOOKUP(P173&amp;"_"&amp;Q173,挑战模式!$A$3:$Z$52,6+5*MonsterWaveCallRuleCfg!R173,FALSE)</f>
        <v>6</v>
      </c>
      <c r="P173" s="110">
        <v>4</v>
      </c>
      <c r="Q173" s="110">
        <f t="shared" si="44"/>
        <v>3</v>
      </c>
      <c r="R173" s="110">
        <v>2</v>
      </c>
    </row>
    <row r="174" spans="2:18" x14ac:dyDescent="0.2">
      <c r="B174" s="57" t="str">
        <f t="shared" si="41"/>
        <v/>
      </c>
      <c r="D174" s="57" t="str">
        <f t="shared" si="42"/>
        <v/>
      </c>
      <c r="F174" s="57" t="str">
        <f t="shared" si="38"/>
        <v/>
      </c>
      <c r="G174" s="102" t="str">
        <f t="shared" si="43"/>
        <v/>
      </c>
      <c r="I174" s="102" t="str">
        <f>VLOOKUP(P174&amp;"_"&amp;Q174,挑战模式!$A$3:$Z$52,3+5*MonsterWaveCallRuleCfg!R174,FALSE)</f>
        <v/>
      </c>
      <c r="J174" s="102" t="str">
        <f>VLOOKUP(P174&amp;"_"&amp;Q174,挑战模式!$A$3:$Z$52,4+5*MonsterWaveCallRuleCfg!R174,FALSE)</f>
        <v/>
      </c>
      <c r="K174" s="102" t="str">
        <f t="shared" si="39"/>
        <v/>
      </c>
      <c r="L174" s="102" t="str">
        <f>IF(VLOOKUP(P174&amp;"_"&amp;Q174,挑战模式!$A$3:$Z$52,2+5*R174,FALSE)="","","Monster_Challenge"&amp;P174&amp;"_"&amp;Q174&amp;"_"&amp;R174)</f>
        <v/>
      </c>
      <c r="M174" s="57" t="str">
        <f t="shared" si="40"/>
        <v/>
      </c>
      <c r="N174" s="119"/>
      <c r="O174" s="102" t="str">
        <f>VLOOKUP(P174&amp;"_"&amp;Q174,挑战模式!$A$3:$Z$52,6+5*MonsterWaveCallRuleCfg!R174,FALSE)</f>
        <v/>
      </c>
      <c r="P174" s="110">
        <v>4</v>
      </c>
      <c r="Q174" s="110">
        <f t="shared" si="44"/>
        <v>3</v>
      </c>
      <c r="R174" s="110">
        <v>3</v>
      </c>
    </row>
    <row r="175" spans="2:18" x14ac:dyDescent="0.2">
      <c r="B175" s="57" t="str">
        <f t="shared" si="41"/>
        <v/>
      </c>
      <c r="D175" s="57" t="str">
        <f t="shared" si="42"/>
        <v/>
      </c>
      <c r="F175" s="57" t="str">
        <f t="shared" si="38"/>
        <v/>
      </c>
      <c r="G175" s="102" t="str">
        <f t="shared" si="43"/>
        <v/>
      </c>
      <c r="I175" s="102" t="str">
        <f>VLOOKUP(P175&amp;"_"&amp;Q175,挑战模式!$A$3:$Z$52,3+5*MonsterWaveCallRuleCfg!R175,FALSE)</f>
        <v/>
      </c>
      <c r="J175" s="102" t="str">
        <f>VLOOKUP(P175&amp;"_"&amp;Q175,挑战模式!$A$3:$Z$52,4+5*MonsterWaveCallRuleCfg!R175,FALSE)</f>
        <v/>
      </c>
      <c r="K175" s="102" t="str">
        <f t="shared" si="39"/>
        <v/>
      </c>
      <c r="L175" s="102" t="str">
        <f>IF(VLOOKUP(P175&amp;"_"&amp;Q175,挑战模式!$A$3:$Z$52,2+5*R175,FALSE)="","","Monster_Challenge"&amp;P175&amp;"_"&amp;Q175&amp;"_"&amp;R175)</f>
        <v/>
      </c>
      <c r="M175" s="57" t="str">
        <f t="shared" si="40"/>
        <v/>
      </c>
      <c r="N175" s="119"/>
      <c r="O175" s="102" t="str">
        <f>VLOOKUP(P175&amp;"_"&amp;Q175,挑战模式!$A$3:$Z$52,6+5*MonsterWaveCallRuleCfg!R175,FALSE)</f>
        <v/>
      </c>
      <c r="P175" s="110">
        <v>4</v>
      </c>
      <c r="Q175" s="110">
        <f t="shared" si="44"/>
        <v>3</v>
      </c>
      <c r="R175" s="110">
        <v>4</v>
      </c>
    </row>
    <row r="176" spans="2:18" x14ac:dyDescent="0.2">
      <c r="B176" s="57" t="str">
        <f t="shared" si="41"/>
        <v>MonsterWaveCallRule_Challenge4</v>
      </c>
      <c r="C176" s="57">
        <v>4</v>
      </c>
      <c r="D176" s="57" t="str">
        <f t="shared" si="42"/>
        <v>挑战关卡4第4波</v>
      </c>
      <c r="F176" s="57">
        <f t="shared" si="38"/>
        <v>0</v>
      </c>
      <c r="G176" s="102">
        <f t="shared" si="43"/>
        <v>180</v>
      </c>
      <c r="I176" s="102">
        <f>VLOOKUP(P176&amp;"_"&amp;Q176,挑战模式!$A$3:$Z$52,3+5*MonsterWaveCallRuleCfg!R176,FALSE)</f>
        <v>12</v>
      </c>
      <c r="J176" s="102">
        <f>VLOOKUP(P176&amp;"_"&amp;Q176,挑战模式!$A$3:$Z$52,4+5*MonsterWaveCallRuleCfg!R176,FALSE)</f>
        <v>1.5</v>
      </c>
      <c r="K176" s="102">
        <f t="shared" si="39"/>
        <v>1</v>
      </c>
      <c r="L176" s="102" t="str">
        <f>IF(VLOOKUP(P176&amp;"_"&amp;Q176,挑战模式!$A$3:$Z$52,2+5*R176,FALSE)="","","Monster_Challenge"&amp;P176&amp;"_"&amp;Q176&amp;"_"&amp;R176)</f>
        <v>Monster_Challenge4_4_1</v>
      </c>
      <c r="M176" s="57">
        <f t="shared" si="40"/>
        <v>1</v>
      </c>
      <c r="N176" s="119"/>
      <c r="O176" s="102">
        <f>VLOOKUP(P176&amp;"_"&amp;Q176,挑战模式!$A$3:$Z$52,6+5*MonsterWaveCallRuleCfg!R176,FALSE)</f>
        <v>10</v>
      </c>
      <c r="P176" s="110">
        <v>4</v>
      </c>
      <c r="Q176" s="110">
        <f t="shared" si="44"/>
        <v>4</v>
      </c>
      <c r="R176" s="110">
        <v>1</v>
      </c>
    </row>
    <row r="177" spans="2:18" x14ac:dyDescent="0.2">
      <c r="B177" s="57" t="str">
        <f t="shared" si="41"/>
        <v/>
      </c>
      <c r="D177" s="57" t="str">
        <f t="shared" si="42"/>
        <v/>
      </c>
      <c r="F177" s="57" t="str">
        <f t="shared" si="38"/>
        <v/>
      </c>
      <c r="G177" s="102" t="str">
        <f t="shared" si="43"/>
        <v/>
      </c>
      <c r="I177" s="102">
        <f>VLOOKUP(P177&amp;"_"&amp;Q177,挑战模式!$A$3:$Z$52,3+5*MonsterWaveCallRuleCfg!R177,FALSE)</f>
        <v>44</v>
      </c>
      <c r="J177" s="102">
        <f>VLOOKUP(P177&amp;"_"&amp;Q177,挑战模式!$A$3:$Z$52,4+5*MonsterWaveCallRuleCfg!R177,FALSE)</f>
        <v>0.4</v>
      </c>
      <c r="K177" s="102">
        <f t="shared" si="39"/>
        <v>1</v>
      </c>
      <c r="L177" s="102" t="str">
        <f>IF(VLOOKUP(P177&amp;"_"&amp;Q177,挑战模式!$A$3:$Z$52,2+5*R177,FALSE)="","","Monster_Challenge"&amp;P177&amp;"_"&amp;Q177&amp;"_"&amp;R177)</f>
        <v>Monster_Challenge4_4_2</v>
      </c>
      <c r="M177" s="57">
        <f t="shared" si="40"/>
        <v>1</v>
      </c>
      <c r="N177" s="119"/>
      <c r="O177" s="102">
        <f>VLOOKUP(P177&amp;"_"&amp;Q177,挑战模式!$A$3:$Z$52,6+5*MonsterWaveCallRuleCfg!R177,FALSE)</f>
        <v>10</v>
      </c>
      <c r="P177" s="110">
        <v>4</v>
      </c>
      <c r="Q177" s="110">
        <f t="shared" si="44"/>
        <v>4</v>
      </c>
      <c r="R177" s="110">
        <v>2</v>
      </c>
    </row>
    <row r="178" spans="2:18" x14ac:dyDescent="0.2">
      <c r="B178" s="57" t="str">
        <f t="shared" si="41"/>
        <v/>
      </c>
      <c r="D178" s="57" t="str">
        <f t="shared" si="42"/>
        <v/>
      </c>
      <c r="F178" s="57" t="str">
        <f t="shared" si="38"/>
        <v/>
      </c>
      <c r="G178" s="102" t="str">
        <f t="shared" si="43"/>
        <v/>
      </c>
      <c r="I178" s="102" t="str">
        <f>VLOOKUP(P178&amp;"_"&amp;Q178,挑战模式!$A$3:$Z$52,3+5*MonsterWaveCallRuleCfg!R178,FALSE)</f>
        <v/>
      </c>
      <c r="J178" s="102" t="str">
        <f>VLOOKUP(P178&amp;"_"&amp;Q178,挑战模式!$A$3:$Z$52,4+5*MonsterWaveCallRuleCfg!R178,FALSE)</f>
        <v/>
      </c>
      <c r="K178" s="102" t="str">
        <f t="shared" si="39"/>
        <v/>
      </c>
      <c r="L178" s="102" t="str">
        <f>IF(VLOOKUP(P178&amp;"_"&amp;Q178,挑战模式!$A$3:$Z$52,2+5*R178,FALSE)="","","Monster_Challenge"&amp;P178&amp;"_"&amp;Q178&amp;"_"&amp;R178)</f>
        <v/>
      </c>
      <c r="M178" s="57" t="str">
        <f t="shared" si="40"/>
        <v/>
      </c>
      <c r="N178" s="119"/>
      <c r="O178" s="102" t="str">
        <f>VLOOKUP(P178&amp;"_"&amp;Q178,挑战模式!$A$3:$Z$52,6+5*MonsterWaveCallRuleCfg!R178,FALSE)</f>
        <v/>
      </c>
      <c r="P178" s="110">
        <v>4</v>
      </c>
      <c r="Q178" s="110">
        <f t="shared" si="44"/>
        <v>4</v>
      </c>
      <c r="R178" s="110">
        <v>3</v>
      </c>
    </row>
    <row r="179" spans="2:18" x14ac:dyDescent="0.2">
      <c r="B179" s="57" t="str">
        <f t="shared" si="41"/>
        <v/>
      </c>
      <c r="D179" s="57" t="str">
        <f t="shared" si="42"/>
        <v/>
      </c>
      <c r="F179" s="57" t="str">
        <f t="shared" si="38"/>
        <v/>
      </c>
      <c r="G179" s="102" t="str">
        <f t="shared" si="43"/>
        <v/>
      </c>
      <c r="I179" s="102" t="str">
        <f>VLOOKUP(P179&amp;"_"&amp;Q179,挑战模式!$A$3:$Z$52,3+5*MonsterWaveCallRuleCfg!R179,FALSE)</f>
        <v/>
      </c>
      <c r="J179" s="102" t="str">
        <f>VLOOKUP(P179&amp;"_"&amp;Q179,挑战模式!$A$3:$Z$52,4+5*MonsterWaveCallRuleCfg!R179,FALSE)</f>
        <v/>
      </c>
      <c r="K179" s="102" t="str">
        <f t="shared" si="39"/>
        <v/>
      </c>
      <c r="L179" s="102" t="str">
        <f>IF(VLOOKUP(P179&amp;"_"&amp;Q179,挑战模式!$A$3:$Z$52,2+5*R179,FALSE)="","","Monster_Challenge"&amp;P179&amp;"_"&amp;Q179&amp;"_"&amp;R179)</f>
        <v/>
      </c>
      <c r="M179" s="57" t="str">
        <f t="shared" si="40"/>
        <v/>
      </c>
      <c r="N179" s="119"/>
      <c r="O179" s="102" t="str">
        <f>VLOOKUP(P179&amp;"_"&amp;Q179,挑战模式!$A$3:$Z$52,6+5*MonsterWaveCallRuleCfg!R179,FALSE)</f>
        <v/>
      </c>
      <c r="P179" s="110">
        <v>4</v>
      </c>
      <c r="Q179" s="110">
        <f t="shared" si="44"/>
        <v>4</v>
      </c>
      <c r="R179" s="110">
        <v>4</v>
      </c>
    </row>
    <row r="180" spans="2:18" x14ac:dyDescent="0.2">
      <c r="B180" s="57" t="str">
        <f t="shared" si="41"/>
        <v>MonsterWaveCallRule_Challenge4</v>
      </c>
      <c r="C180" s="57">
        <v>5</v>
      </c>
      <c r="D180" s="57" t="str">
        <f t="shared" si="42"/>
        <v>挑战关卡4第5波</v>
      </c>
      <c r="F180" s="57">
        <f t="shared" si="38"/>
        <v>0</v>
      </c>
      <c r="G180" s="102">
        <f t="shared" si="43"/>
        <v>180</v>
      </c>
      <c r="I180" s="102">
        <f>VLOOKUP(P180&amp;"_"&amp;Q180,挑战模式!$A$3:$Z$52,3+5*MonsterWaveCallRuleCfg!R180,FALSE)</f>
        <v>40</v>
      </c>
      <c r="J180" s="102">
        <f>VLOOKUP(P180&amp;"_"&amp;Q180,挑战模式!$A$3:$Z$52,4+5*MonsterWaveCallRuleCfg!R180,FALSE)</f>
        <v>0.5</v>
      </c>
      <c r="K180" s="102">
        <f t="shared" si="39"/>
        <v>1</v>
      </c>
      <c r="L180" s="102" t="str">
        <f>IF(VLOOKUP(P180&amp;"_"&amp;Q180,挑战模式!$A$3:$Z$52,2+5*R180,FALSE)="","","Monster_Challenge"&amp;P180&amp;"_"&amp;Q180&amp;"_"&amp;R180)</f>
        <v>Monster_Challenge4_5_1</v>
      </c>
      <c r="M180" s="57">
        <f t="shared" si="40"/>
        <v>1</v>
      </c>
      <c r="N180" s="119"/>
      <c r="O180" s="102">
        <f>VLOOKUP(P180&amp;"_"&amp;Q180,挑战模式!$A$3:$Z$52,6+5*MonsterWaveCallRuleCfg!R180,FALSE)</f>
        <v>9</v>
      </c>
      <c r="P180" s="110">
        <v>4</v>
      </c>
      <c r="Q180" s="110">
        <f t="shared" si="44"/>
        <v>5</v>
      </c>
      <c r="R180" s="110">
        <v>1</v>
      </c>
    </row>
    <row r="181" spans="2:18" x14ac:dyDescent="0.2">
      <c r="B181" s="57" t="str">
        <f t="shared" si="41"/>
        <v/>
      </c>
      <c r="D181" s="57" t="str">
        <f t="shared" si="42"/>
        <v/>
      </c>
      <c r="F181" s="57" t="str">
        <f t="shared" si="38"/>
        <v/>
      </c>
      <c r="G181" s="102" t="str">
        <f t="shared" si="43"/>
        <v/>
      </c>
      <c r="I181" s="102">
        <f>VLOOKUP(P181&amp;"_"&amp;Q181,挑战模式!$A$3:$Z$52,3+5*MonsterWaveCallRuleCfg!R181,FALSE)</f>
        <v>10</v>
      </c>
      <c r="J181" s="102">
        <f>VLOOKUP(P181&amp;"_"&amp;Q181,挑战模式!$A$3:$Z$52,4+5*MonsterWaveCallRuleCfg!R181,FALSE)</f>
        <v>2</v>
      </c>
      <c r="K181" s="102">
        <f t="shared" si="39"/>
        <v>1</v>
      </c>
      <c r="L181" s="102" t="str">
        <f>IF(VLOOKUP(P181&amp;"_"&amp;Q181,挑战模式!$A$3:$Z$52,2+5*R181,FALSE)="","","Monster_Challenge"&amp;P181&amp;"_"&amp;Q181&amp;"_"&amp;R181)</f>
        <v>Monster_Challenge4_5_2</v>
      </c>
      <c r="M181" s="57">
        <f t="shared" si="40"/>
        <v>1</v>
      </c>
      <c r="N181" s="119"/>
      <c r="O181" s="102">
        <f>VLOOKUP(P181&amp;"_"&amp;Q181,挑战模式!$A$3:$Z$52,6+5*MonsterWaveCallRuleCfg!R181,FALSE)</f>
        <v>18</v>
      </c>
      <c r="P181" s="110">
        <v>4</v>
      </c>
      <c r="Q181" s="110">
        <f t="shared" si="44"/>
        <v>5</v>
      </c>
      <c r="R181" s="110">
        <v>2</v>
      </c>
    </row>
    <row r="182" spans="2:18" x14ac:dyDescent="0.2">
      <c r="B182" s="57" t="str">
        <f t="shared" si="41"/>
        <v/>
      </c>
      <c r="D182" s="57" t="str">
        <f t="shared" si="42"/>
        <v/>
      </c>
      <c r="F182" s="57" t="str">
        <f t="shared" si="38"/>
        <v/>
      </c>
      <c r="G182" s="102" t="str">
        <f t="shared" si="43"/>
        <v/>
      </c>
      <c r="I182" s="102" t="str">
        <f>VLOOKUP(P182&amp;"_"&amp;Q182,挑战模式!$A$3:$Z$52,3+5*MonsterWaveCallRuleCfg!R182,FALSE)</f>
        <v/>
      </c>
      <c r="J182" s="102" t="str">
        <f>VLOOKUP(P182&amp;"_"&amp;Q182,挑战模式!$A$3:$Z$52,4+5*MonsterWaveCallRuleCfg!R182,FALSE)</f>
        <v/>
      </c>
      <c r="K182" s="102" t="str">
        <f t="shared" si="39"/>
        <v/>
      </c>
      <c r="L182" s="102" t="str">
        <f>IF(VLOOKUP(P182&amp;"_"&amp;Q182,挑战模式!$A$3:$Z$52,2+5*R182,FALSE)="","","Monster_Challenge"&amp;P182&amp;"_"&amp;Q182&amp;"_"&amp;R182)</f>
        <v/>
      </c>
      <c r="M182" s="57" t="str">
        <f t="shared" si="40"/>
        <v/>
      </c>
      <c r="N182" s="119"/>
      <c r="O182" s="102" t="str">
        <f>VLOOKUP(P182&amp;"_"&amp;Q182,挑战模式!$A$3:$Z$52,6+5*MonsterWaveCallRuleCfg!R182,FALSE)</f>
        <v/>
      </c>
      <c r="P182" s="110">
        <v>4</v>
      </c>
      <c r="Q182" s="110">
        <f t="shared" si="44"/>
        <v>5</v>
      </c>
      <c r="R182" s="110">
        <v>3</v>
      </c>
    </row>
    <row r="183" spans="2:18" x14ac:dyDescent="0.2">
      <c r="B183" s="57" t="str">
        <f t="shared" si="41"/>
        <v/>
      </c>
      <c r="D183" s="57" t="str">
        <f t="shared" si="42"/>
        <v/>
      </c>
      <c r="F183" s="57" t="str">
        <f t="shared" si="38"/>
        <v/>
      </c>
      <c r="G183" s="102" t="str">
        <f t="shared" si="43"/>
        <v/>
      </c>
      <c r="I183" s="102" t="str">
        <f>VLOOKUP(P183&amp;"_"&amp;Q183,挑战模式!$A$3:$Z$52,3+5*MonsterWaveCallRuleCfg!R183,FALSE)</f>
        <v/>
      </c>
      <c r="J183" s="102" t="str">
        <f>VLOOKUP(P183&amp;"_"&amp;Q183,挑战模式!$A$3:$Z$52,4+5*MonsterWaveCallRuleCfg!R183,FALSE)</f>
        <v/>
      </c>
      <c r="K183" s="102" t="str">
        <f t="shared" si="39"/>
        <v/>
      </c>
      <c r="L183" s="102" t="str">
        <f>IF(VLOOKUP(P183&amp;"_"&amp;Q183,挑战模式!$A$3:$Z$52,2+5*R183,FALSE)="","","Monster_Challenge"&amp;P183&amp;"_"&amp;Q183&amp;"_"&amp;R183)</f>
        <v/>
      </c>
      <c r="M183" s="57" t="str">
        <f t="shared" si="40"/>
        <v/>
      </c>
      <c r="N183" s="119"/>
      <c r="O183" s="102" t="str">
        <f>VLOOKUP(P183&amp;"_"&amp;Q183,挑战模式!$A$3:$Z$52,6+5*MonsterWaveCallRuleCfg!R183,FALSE)</f>
        <v/>
      </c>
      <c r="P183" s="110">
        <v>4</v>
      </c>
      <c r="Q183" s="110">
        <f t="shared" si="44"/>
        <v>5</v>
      </c>
      <c r="R183" s="110">
        <v>4</v>
      </c>
    </row>
    <row r="184" spans="2:18" x14ac:dyDescent="0.2">
      <c r="B184" s="57" t="str">
        <f t="shared" si="41"/>
        <v>MonsterWaveCallRule_Challenge5</v>
      </c>
      <c r="C184" s="57">
        <v>1</v>
      </c>
      <c r="D184" s="57" t="str">
        <f t="shared" si="42"/>
        <v>挑战关卡5第1波</v>
      </c>
      <c r="F184" s="57">
        <f t="shared" si="38"/>
        <v>0</v>
      </c>
      <c r="G184" s="102">
        <f>IF(C184="","",180)</f>
        <v>180</v>
      </c>
      <c r="I184" s="102">
        <f>VLOOKUP(P184&amp;"_"&amp;Q184,挑战模式!$A$3:$Z$52,3+5*MonsterWaveCallRuleCfg!R184,FALSE)</f>
        <v>7</v>
      </c>
      <c r="J184" s="102">
        <f>VLOOKUP(P184&amp;"_"&amp;Q184,挑战模式!$A$3:$Z$52,4+5*MonsterWaveCallRuleCfg!R184,FALSE)</f>
        <v>1.5</v>
      </c>
      <c r="K184" s="102">
        <f t="shared" si="39"/>
        <v>1</v>
      </c>
      <c r="L184" s="102" t="str">
        <f>IF(VLOOKUP(P184&amp;"_"&amp;Q184,挑战模式!$A$3:$Z$52,2+5*R184,FALSE)="","","Monster_Challenge"&amp;P184&amp;"_"&amp;Q184&amp;"_"&amp;R184)</f>
        <v>Monster_Challenge5_1_1</v>
      </c>
      <c r="M184" s="57">
        <f t="shared" si="40"/>
        <v>1</v>
      </c>
      <c r="N184" s="119"/>
      <c r="O184" s="102">
        <f>VLOOKUP(P184&amp;"_"&amp;Q184,挑战模式!$A$3:$Z$52,6+5*MonsterWaveCallRuleCfg!R184,FALSE)</f>
        <v>103</v>
      </c>
      <c r="P184" s="110">
        <v>5</v>
      </c>
      <c r="Q184" s="110">
        <f t="shared" si="44"/>
        <v>1</v>
      </c>
      <c r="R184" s="110">
        <v>1</v>
      </c>
    </row>
    <row r="185" spans="2:18" x14ac:dyDescent="0.2">
      <c r="B185" s="57" t="str">
        <f t="shared" si="41"/>
        <v/>
      </c>
      <c r="D185" s="57" t="str">
        <f t="shared" si="42"/>
        <v/>
      </c>
      <c r="F185" s="57" t="str">
        <f t="shared" si="38"/>
        <v/>
      </c>
      <c r="G185" s="102" t="str">
        <f t="shared" ref="G185:G203" si="45">IF(C185="","",180)</f>
        <v/>
      </c>
      <c r="I185" s="102" t="str">
        <f>VLOOKUP(P185&amp;"_"&amp;Q185,挑战模式!$A$3:$Z$52,3+5*MonsterWaveCallRuleCfg!R185,FALSE)</f>
        <v/>
      </c>
      <c r="J185" s="102" t="str">
        <f>VLOOKUP(P185&amp;"_"&amp;Q185,挑战模式!$A$3:$Z$52,4+5*MonsterWaveCallRuleCfg!R185,FALSE)</f>
        <v/>
      </c>
      <c r="K185" s="102" t="str">
        <f t="shared" si="39"/>
        <v/>
      </c>
      <c r="L185" s="102" t="str">
        <f>IF(VLOOKUP(P185&amp;"_"&amp;Q185,挑战模式!$A$3:$Z$52,2+5*R185,FALSE)="","","Monster_Challenge"&amp;P185&amp;"_"&amp;Q185&amp;"_"&amp;R185)</f>
        <v/>
      </c>
      <c r="M185" s="57" t="str">
        <f t="shared" si="40"/>
        <v/>
      </c>
      <c r="N185" s="119"/>
      <c r="O185" s="102" t="str">
        <f>VLOOKUP(P185&amp;"_"&amp;Q185,挑战模式!$A$3:$Z$52,6+5*MonsterWaveCallRuleCfg!R185,FALSE)</f>
        <v/>
      </c>
      <c r="P185" s="110">
        <v>5</v>
      </c>
      <c r="Q185" s="110">
        <f t="shared" si="44"/>
        <v>1</v>
      </c>
      <c r="R185" s="110">
        <v>2</v>
      </c>
    </row>
    <row r="186" spans="2:18" x14ac:dyDescent="0.2">
      <c r="B186" s="57" t="str">
        <f t="shared" si="41"/>
        <v/>
      </c>
      <c r="D186" s="57" t="str">
        <f t="shared" si="42"/>
        <v/>
      </c>
      <c r="F186" s="57" t="str">
        <f t="shared" si="38"/>
        <v/>
      </c>
      <c r="G186" s="102" t="str">
        <f t="shared" si="45"/>
        <v/>
      </c>
      <c r="I186" s="102" t="str">
        <f>VLOOKUP(P186&amp;"_"&amp;Q186,挑战模式!$A$3:$Z$52,3+5*MonsterWaveCallRuleCfg!R186,FALSE)</f>
        <v/>
      </c>
      <c r="J186" s="102" t="str">
        <f>VLOOKUP(P186&amp;"_"&amp;Q186,挑战模式!$A$3:$Z$52,4+5*MonsterWaveCallRuleCfg!R186,FALSE)</f>
        <v/>
      </c>
      <c r="K186" s="102" t="str">
        <f t="shared" si="39"/>
        <v/>
      </c>
      <c r="L186" s="102" t="str">
        <f>IF(VLOOKUP(P186&amp;"_"&amp;Q186,挑战模式!$A$3:$Z$52,2+5*R186,FALSE)="","","Monster_Challenge"&amp;P186&amp;"_"&amp;Q186&amp;"_"&amp;R186)</f>
        <v/>
      </c>
      <c r="M186" s="57" t="str">
        <f t="shared" si="40"/>
        <v/>
      </c>
      <c r="N186" s="119"/>
      <c r="O186" s="102" t="str">
        <f>VLOOKUP(P186&amp;"_"&amp;Q186,挑战模式!$A$3:$Z$52,6+5*MonsterWaveCallRuleCfg!R186,FALSE)</f>
        <v/>
      </c>
      <c r="P186" s="110">
        <v>5</v>
      </c>
      <c r="Q186" s="110">
        <f t="shared" si="44"/>
        <v>1</v>
      </c>
      <c r="R186" s="110">
        <v>3</v>
      </c>
    </row>
    <row r="187" spans="2:18" x14ac:dyDescent="0.2">
      <c r="B187" s="57" t="str">
        <f t="shared" si="41"/>
        <v/>
      </c>
      <c r="D187" s="57" t="str">
        <f t="shared" si="42"/>
        <v/>
      </c>
      <c r="F187" s="57" t="str">
        <f t="shared" si="38"/>
        <v/>
      </c>
      <c r="G187" s="102" t="str">
        <f t="shared" si="45"/>
        <v/>
      </c>
      <c r="I187" s="102" t="str">
        <f>VLOOKUP(P187&amp;"_"&amp;Q187,挑战模式!$A$3:$Z$52,3+5*MonsterWaveCallRuleCfg!R187,FALSE)</f>
        <v/>
      </c>
      <c r="J187" s="102" t="str">
        <f>VLOOKUP(P187&amp;"_"&amp;Q187,挑战模式!$A$3:$Z$52,4+5*MonsterWaveCallRuleCfg!R187,FALSE)</f>
        <v/>
      </c>
      <c r="K187" s="102" t="str">
        <f t="shared" si="39"/>
        <v/>
      </c>
      <c r="L187" s="102" t="str">
        <f>IF(VLOOKUP(P187&amp;"_"&amp;Q187,挑战模式!$A$3:$Z$52,2+5*R187,FALSE)="","","Monster_Challenge"&amp;P187&amp;"_"&amp;Q187&amp;"_"&amp;R187)</f>
        <v/>
      </c>
      <c r="M187" s="57" t="str">
        <f t="shared" si="40"/>
        <v/>
      </c>
      <c r="N187" s="119"/>
      <c r="O187" s="102" t="str">
        <f>VLOOKUP(P187&amp;"_"&amp;Q187,挑战模式!$A$3:$Z$52,6+5*MonsterWaveCallRuleCfg!R187,FALSE)</f>
        <v/>
      </c>
      <c r="P187" s="110">
        <v>5</v>
      </c>
      <c r="Q187" s="110">
        <f t="shared" si="44"/>
        <v>1</v>
      </c>
      <c r="R187" s="110">
        <v>4</v>
      </c>
    </row>
    <row r="188" spans="2:18" x14ac:dyDescent="0.2">
      <c r="B188" s="57" t="str">
        <f t="shared" si="41"/>
        <v>MonsterWaveCallRule_Challenge5</v>
      </c>
      <c r="C188" s="57">
        <v>2</v>
      </c>
      <c r="D188" s="57" t="str">
        <f t="shared" si="42"/>
        <v>挑战关卡5第2波</v>
      </c>
      <c r="F188" s="57">
        <f t="shared" si="38"/>
        <v>0</v>
      </c>
      <c r="G188" s="102">
        <f t="shared" si="45"/>
        <v>180</v>
      </c>
      <c r="I188" s="102">
        <f>VLOOKUP(P188&amp;"_"&amp;Q188,挑战模式!$A$3:$Z$52,3+5*MonsterWaveCallRuleCfg!R188,FALSE)</f>
        <v>8</v>
      </c>
      <c r="J188" s="102">
        <f>VLOOKUP(P188&amp;"_"&amp;Q188,挑战模式!$A$3:$Z$52,4+5*MonsterWaveCallRuleCfg!R188,FALSE)</f>
        <v>1.5</v>
      </c>
      <c r="K188" s="102">
        <f t="shared" si="39"/>
        <v>1</v>
      </c>
      <c r="L188" s="102" t="str">
        <f>IF(VLOOKUP(P188&amp;"_"&amp;Q188,挑战模式!$A$3:$Z$52,2+5*R188,FALSE)="","","Monster_Challenge"&amp;P188&amp;"_"&amp;Q188&amp;"_"&amp;R188)</f>
        <v>Monster_Challenge5_2_1</v>
      </c>
      <c r="M188" s="57">
        <f t="shared" si="40"/>
        <v>1</v>
      </c>
      <c r="N188" s="119"/>
      <c r="O188" s="102">
        <f>VLOOKUP(P188&amp;"_"&amp;Q188,挑战模式!$A$3:$Z$52,6+5*MonsterWaveCallRuleCfg!R188,FALSE)</f>
        <v>30</v>
      </c>
      <c r="P188" s="110">
        <v>5</v>
      </c>
      <c r="Q188" s="110">
        <f t="shared" si="44"/>
        <v>2</v>
      </c>
      <c r="R188" s="110">
        <v>1</v>
      </c>
    </row>
    <row r="189" spans="2:18" x14ac:dyDescent="0.2">
      <c r="B189" s="57" t="str">
        <f t="shared" si="41"/>
        <v/>
      </c>
      <c r="D189" s="57" t="str">
        <f t="shared" si="42"/>
        <v/>
      </c>
      <c r="F189" s="57" t="str">
        <f t="shared" si="38"/>
        <v/>
      </c>
      <c r="G189" s="102" t="str">
        <f t="shared" si="45"/>
        <v/>
      </c>
      <c r="I189" s="102">
        <f>VLOOKUP(P189&amp;"_"&amp;Q189,挑战模式!$A$3:$Z$52,3+5*MonsterWaveCallRuleCfg!R189,FALSE)</f>
        <v>63</v>
      </c>
      <c r="J189" s="102">
        <f>VLOOKUP(P189&amp;"_"&amp;Q189,挑战模式!$A$3:$Z$52,4+5*MonsterWaveCallRuleCfg!R189,FALSE)</f>
        <v>0.2</v>
      </c>
      <c r="K189" s="102">
        <f t="shared" si="39"/>
        <v>1</v>
      </c>
      <c r="L189" s="102" t="str">
        <f>IF(VLOOKUP(P189&amp;"_"&amp;Q189,挑战模式!$A$3:$Z$52,2+5*R189,FALSE)="","","Monster_Challenge"&amp;P189&amp;"_"&amp;Q189&amp;"_"&amp;R189)</f>
        <v>Monster_Challenge5_2_2</v>
      </c>
      <c r="M189" s="57">
        <f t="shared" si="40"/>
        <v>1</v>
      </c>
      <c r="N189" s="119"/>
      <c r="O189" s="102">
        <f>VLOOKUP(P189&amp;"_"&amp;Q189,挑战模式!$A$3:$Z$52,6+5*MonsterWaveCallRuleCfg!R189,FALSE)</f>
        <v>8</v>
      </c>
      <c r="P189" s="110">
        <v>5</v>
      </c>
      <c r="Q189" s="110">
        <f t="shared" si="44"/>
        <v>2</v>
      </c>
      <c r="R189" s="110">
        <v>2</v>
      </c>
    </row>
    <row r="190" spans="2:18" x14ac:dyDescent="0.2">
      <c r="B190" s="57" t="str">
        <f t="shared" si="41"/>
        <v/>
      </c>
      <c r="D190" s="57" t="str">
        <f t="shared" si="42"/>
        <v/>
      </c>
      <c r="F190" s="57" t="str">
        <f t="shared" si="38"/>
        <v/>
      </c>
      <c r="G190" s="102" t="str">
        <f t="shared" si="45"/>
        <v/>
      </c>
      <c r="I190" s="102" t="str">
        <f>VLOOKUP(P190&amp;"_"&amp;Q190,挑战模式!$A$3:$Z$52,3+5*MonsterWaveCallRuleCfg!R190,FALSE)</f>
        <v/>
      </c>
      <c r="J190" s="102" t="str">
        <f>VLOOKUP(P190&amp;"_"&amp;Q190,挑战模式!$A$3:$Z$52,4+5*MonsterWaveCallRuleCfg!R190,FALSE)</f>
        <v/>
      </c>
      <c r="K190" s="102" t="str">
        <f t="shared" si="39"/>
        <v/>
      </c>
      <c r="L190" s="102" t="str">
        <f>IF(VLOOKUP(P190&amp;"_"&amp;Q190,挑战模式!$A$3:$Z$52,2+5*R190,FALSE)="","","Monster_Challenge"&amp;P190&amp;"_"&amp;Q190&amp;"_"&amp;R190)</f>
        <v/>
      </c>
      <c r="M190" s="57" t="str">
        <f t="shared" si="40"/>
        <v/>
      </c>
      <c r="N190" s="119"/>
      <c r="O190" s="102" t="str">
        <f>VLOOKUP(P190&amp;"_"&amp;Q190,挑战模式!$A$3:$Z$52,6+5*MonsterWaveCallRuleCfg!R190,FALSE)</f>
        <v/>
      </c>
      <c r="P190" s="110">
        <v>5</v>
      </c>
      <c r="Q190" s="110">
        <f t="shared" si="44"/>
        <v>2</v>
      </c>
      <c r="R190" s="110">
        <v>3</v>
      </c>
    </row>
    <row r="191" spans="2:18" x14ac:dyDescent="0.2">
      <c r="B191" s="57" t="str">
        <f t="shared" si="41"/>
        <v/>
      </c>
      <c r="D191" s="57" t="str">
        <f t="shared" si="42"/>
        <v/>
      </c>
      <c r="F191" s="57" t="str">
        <f t="shared" si="38"/>
        <v/>
      </c>
      <c r="G191" s="102" t="str">
        <f t="shared" si="45"/>
        <v/>
      </c>
      <c r="I191" s="102" t="str">
        <f>VLOOKUP(P191&amp;"_"&amp;Q191,挑战模式!$A$3:$Z$52,3+5*MonsterWaveCallRuleCfg!R191,FALSE)</f>
        <v/>
      </c>
      <c r="J191" s="102" t="str">
        <f>VLOOKUP(P191&amp;"_"&amp;Q191,挑战模式!$A$3:$Z$52,4+5*MonsterWaveCallRuleCfg!R191,FALSE)</f>
        <v/>
      </c>
      <c r="K191" s="102" t="str">
        <f t="shared" si="39"/>
        <v/>
      </c>
      <c r="L191" s="102" t="str">
        <f>IF(VLOOKUP(P191&amp;"_"&amp;Q191,挑战模式!$A$3:$Z$52,2+5*R191,FALSE)="","","Monster_Challenge"&amp;P191&amp;"_"&amp;Q191&amp;"_"&amp;R191)</f>
        <v/>
      </c>
      <c r="M191" s="57" t="str">
        <f t="shared" si="40"/>
        <v/>
      </c>
      <c r="N191" s="119"/>
      <c r="O191" s="102" t="str">
        <f>VLOOKUP(P191&amp;"_"&amp;Q191,挑战模式!$A$3:$Z$52,6+5*MonsterWaveCallRuleCfg!R191,FALSE)</f>
        <v/>
      </c>
      <c r="P191" s="110">
        <v>5</v>
      </c>
      <c r="Q191" s="110">
        <f t="shared" si="44"/>
        <v>2</v>
      </c>
      <c r="R191" s="110">
        <v>4</v>
      </c>
    </row>
    <row r="192" spans="2:18" x14ac:dyDescent="0.2">
      <c r="B192" s="57" t="str">
        <f t="shared" si="41"/>
        <v>MonsterWaveCallRule_Challenge5</v>
      </c>
      <c r="C192" s="57">
        <v>3</v>
      </c>
      <c r="D192" s="57" t="str">
        <f t="shared" si="42"/>
        <v>挑战关卡5第3波</v>
      </c>
      <c r="F192" s="57">
        <f t="shared" si="38"/>
        <v>0</v>
      </c>
      <c r="G192" s="102">
        <f t="shared" si="45"/>
        <v>180</v>
      </c>
      <c r="I192" s="102">
        <f>VLOOKUP(P192&amp;"_"&amp;Q192,挑战模式!$A$3:$Z$52,3+5*MonsterWaveCallRuleCfg!R192,FALSE)</f>
        <v>10</v>
      </c>
      <c r="J192" s="102">
        <f>VLOOKUP(P192&amp;"_"&amp;Q192,挑战模式!$A$3:$Z$52,4+5*MonsterWaveCallRuleCfg!R192,FALSE)</f>
        <v>1.5</v>
      </c>
      <c r="K192" s="102">
        <f t="shared" si="39"/>
        <v>1</v>
      </c>
      <c r="L192" s="102" t="str">
        <f>IF(VLOOKUP(P192&amp;"_"&amp;Q192,挑战模式!$A$3:$Z$52,2+5*R192,FALSE)="","","Monster_Challenge"&amp;P192&amp;"_"&amp;Q192&amp;"_"&amp;R192)</f>
        <v>Monster_Challenge5_3_1</v>
      </c>
      <c r="M192" s="57">
        <f t="shared" si="40"/>
        <v>1</v>
      </c>
      <c r="N192" s="119"/>
      <c r="O192" s="102">
        <f>VLOOKUP(P192&amp;"_"&amp;Q192,挑战模式!$A$3:$Z$52,6+5*MonsterWaveCallRuleCfg!R192,FALSE)</f>
        <v>21</v>
      </c>
      <c r="P192" s="110">
        <v>5</v>
      </c>
      <c r="Q192" s="110">
        <f t="shared" si="44"/>
        <v>3</v>
      </c>
      <c r="R192" s="110">
        <v>1</v>
      </c>
    </row>
    <row r="193" spans="2:18" x14ac:dyDescent="0.2">
      <c r="B193" s="57" t="str">
        <f t="shared" si="41"/>
        <v/>
      </c>
      <c r="D193" s="57" t="str">
        <f t="shared" si="42"/>
        <v/>
      </c>
      <c r="F193" s="57" t="str">
        <f t="shared" si="38"/>
        <v/>
      </c>
      <c r="G193" s="102" t="str">
        <f t="shared" si="45"/>
        <v/>
      </c>
      <c r="I193" s="102">
        <f>VLOOKUP(P193&amp;"_"&amp;Q193,挑战模式!$A$3:$Z$52,3+5*MonsterWaveCallRuleCfg!R193,FALSE)</f>
        <v>38</v>
      </c>
      <c r="J193" s="102">
        <f>VLOOKUP(P193&amp;"_"&amp;Q193,挑战模式!$A$3:$Z$52,4+5*MonsterWaveCallRuleCfg!R193,FALSE)</f>
        <v>0.4</v>
      </c>
      <c r="K193" s="102">
        <f t="shared" si="39"/>
        <v>1</v>
      </c>
      <c r="L193" s="102" t="str">
        <f>IF(VLOOKUP(P193&amp;"_"&amp;Q193,挑战模式!$A$3:$Z$52,2+5*R193,FALSE)="","","Monster_Challenge"&amp;P193&amp;"_"&amp;Q193&amp;"_"&amp;R193)</f>
        <v>Monster_Challenge5_3_2</v>
      </c>
      <c r="M193" s="57">
        <f t="shared" si="40"/>
        <v>1</v>
      </c>
      <c r="N193" s="119"/>
      <c r="O193" s="102">
        <f>VLOOKUP(P193&amp;"_"&amp;Q193,挑战模式!$A$3:$Z$52,6+5*MonsterWaveCallRuleCfg!R193,FALSE)</f>
        <v>11</v>
      </c>
      <c r="P193" s="110">
        <v>5</v>
      </c>
      <c r="Q193" s="110">
        <f t="shared" si="44"/>
        <v>3</v>
      </c>
      <c r="R193" s="110">
        <v>2</v>
      </c>
    </row>
    <row r="194" spans="2:18" x14ac:dyDescent="0.2">
      <c r="B194" s="57" t="str">
        <f t="shared" si="41"/>
        <v/>
      </c>
      <c r="D194" s="57" t="str">
        <f t="shared" si="42"/>
        <v/>
      </c>
      <c r="F194" s="57" t="str">
        <f t="shared" si="38"/>
        <v/>
      </c>
      <c r="G194" s="102" t="str">
        <f t="shared" si="45"/>
        <v/>
      </c>
      <c r="I194" s="102">
        <f>VLOOKUP(P194&amp;"_"&amp;Q194,挑战模式!$A$3:$Z$52,3+5*MonsterWaveCallRuleCfg!R194,FALSE)</f>
        <v>10</v>
      </c>
      <c r="J194" s="102">
        <f>VLOOKUP(P194&amp;"_"&amp;Q194,挑战模式!$A$3:$Z$52,4+5*MonsterWaveCallRuleCfg!R194,FALSE)</f>
        <v>1.5</v>
      </c>
      <c r="K194" s="102">
        <f t="shared" si="39"/>
        <v>1</v>
      </c>
      <c r="L194" s="102" t="str">
        <f>IF(VLOOKUP(P194&amp;"_"&amp;Q194,挑战模式!$A$3:$Z$52,2+5*R194,FALSE)="","","Monster_Challenge"&amp;P194&amp;"_"&amp;Q194&amp;"_"&amp;R194)</f>
        <v>Monster_Challenge5_3_3</v>
      </c>
      <c r="M194" s="57">
        <f t="shared" si="40"/>
        <v>1</v>
      </c>
      <c r="N194" s="119"/>
      <c r="O194" s="102">
        <f>VLOOKUP(P194&amp;"_"&amp;Q194,挑战模式!$A$3:$Z$52,6+5*MonsterWaveCallRuleCfg!R194,FALSE)</f>
        <v>11</v>
      </c>
      <c r="P194" s="110">
        <v>5</v>
      </c>
      <c r="Q194" s="110">
        <f t="shared" si="44"/>
        <v>3</v>
      </c>
      <c r="R194" s="110">
        <v>3</v>
      </c>
    </row>
    <row r="195" spans="2:18" x14ac:dyDescent="0.2">
      <c r="B195" s="57" t="str">
        <f t="shared" si="41"/>
        <v/>
      </c>
      <c r="D195" s="57" t="str">
        <f t="shared" si="42"/>
        <v/>
      </c>
      <c r="F195" s="57" t="str">
        <f t="shared" si="38"/>
        <v/>
      </c>
      <c r="G195" s="102" t="str">
        <f t="shared" si="45"/>
        <v/>
      </c>
      <c r="I195" s="102" t="str">
        <f>VLOOKUP(P195&amp;"_"&amp;Q195,挑战模式!$A$3:$Z$52,3+5*MonsterWaveCallRuleCfg!R195,FALSE)</f>
        <v/>
      </c>
      <c r="J195" s="102" t="str">
        <f>VLOOKUP(P195&amp;"_"&amp;Q195,挑战模式!$A$3:$Z$52,4+5*MonsterWaveCallRuleCfg!R195,FALSE)</f>
        <v/>
      </c>
      <c r="K195" s="102" t="str">
        <f t="shared" si="39"/>
        <v/>
      </c>
      <c r="L195" s="102" t="str">
        <f>IF(VLOOKUP(P195&amp;"_"&amp;Q195,挑战模式!$A$3:$Z$52,2+5*R195,FALSE)="","","Monster_Challenge"&amp;P195&amp;"_"&amp;Q195&amp;"_"&amp;R195)</f>
        <v/>
      </c>
      <c r="M195" s="57" t="str">
        <f t="shared" si="40"/>
        <v/>
      </c>
      <c r="N195" s="119"/>
      <c r="O195" s="102" t="str">
        <f>VLOOKUP(P195&amp;"_"&amp;Q195,挑战模式!$A$3:$Z$52,6+5*MonsterWaveCallRuleCfg!R195,FALSE)</f>
        <v/>
      </c>
      <c r="P195" s="110">
        <v>5</v>
      </c>
      <c r="Q195" s="110">
        <f t="shared" si="44"/>
        <v>3</v>
      </c>
      <c r="R195" s="110">
        <v>4</v>
      </c>
    </row>
    <row r="196" spans="2:18" x14ac:dyDescent="0.2">
      <c r="B196" s="57" t="str">
        <f t="shared" si="41"/>
        <v>MonsterWaveCallRule_Challenge5</v>
      </c>
      <c r="C196" s="57">
        <v>4</v>
      </c>
      <c r="D196" s="57" t="str">
        <f t="shared" si="42"/>
        <v>挑战关卡5第4波</v>
      </c>
      <c r="F196" s="57">
        <f t="shared" si="38"/>
        <v>0</v>
      </c>
      <c r="G196" s="102">
        <f t="shared" si="45"/>
        <v>180</v>
      </c>
      <c r="I196" s="102">
        <f>VLOOKUP(P196&amp;"_"&amp;Q196,挑战模式!$A$3:$Z$52,3+5*MonsterWaveCallRuleCfg!R196,FALSE)</f>
        <v>12</v>
      </c>
      <c r="J196" s="102">
        <f>VLOOKUP(P196&amp;"_"&amp;Q196,挑战模式!$A$3:$Z$52,4+5*MonsterWaveCallRuleCfg!R196,FALSE)</f>
        <v>1.5</v>
      </c>
      <c r="K196" s="102">
        <f t="shared" si="39"/>
        <v>1</v>
      </c>
      <c r="L196" s="102" t="str">
        <f>IF(VLOOKUP(P196&amp;"_"&amp;Q196,挑战模式!$A$3:$Z$52,2+5*R196,FALSE)="","","Monster_Challenge"&amp;P196&amp;"_"&amp;Q196&amp;"_"&amp;R196)</f>
        <v>Monster_Challenge5_4_1</v>
      </c>
      <c r="M196" s="57">
        <f t="shared" si="40"/>
        <v>1</v>
      </c>
      <c r="N196" s="119"/>
      <c r="O196" s="102">
        <f>VLOOKUP(P196&amp;"_"&amp;Q196,挑战模式!$A$3:$Z$52,6+5*MonsterWaveCallRuleCfg!R196,FALSE)</f>
        <v>24</v>
      </c>
      <c r="P196" s="110">
        <v>5</v>
      </c>
      <c r="Q196" s="110">
        <f t="shared" si="44"/>
        <v>4</v>
      </c>
      <c r="R196" s="110">
        <v>1</v>
      </c>
    </row>
    <row r="197" spans="2:18" x14ac:dyDescent="0.2">
      <c r="B197" s="57" t="str">
        <f t="shared" si="41"/>
        <v/>
      </c>
      <c r="D197" s="57" t="str">
        <f t="shared" si="42"/>
        <v/>
      </c>
      <c r="F197" s="57" t="str">
        <f t="shared" si="38"/>
        <v/>
      </c>
      <c r="G197" s="102" t="str">
        <f t="shared" si="45"/>
        <v/>
      </c>
      <c r="I197" s="102">
        <f>VLOOKUP(P197&amp;"_"&amp;Q197,挑战模式!$A$3:$Z$52,3+5*MonsterWaveCallRuleCfg!R197,FALSE)</f>
        <v>35</v>
      </c>
      <c r="J197" s="102">
        <f>VLOOKUP(P197&amp;"_"&amp;Q197,挑战模式!$A$3:$Z$52,4+5*MonsterWaveCallRuleCfg!R197,FALSE)</f>
        <v>0.5</v>
      </c>
      <c r="K197" s="102">
        <f t="shared" si="39"/>
        <v>1</v>
      </c>
      <c r="L197" s="102" t="str">
        <f>IF(VLOOKUP(P197&amp;"_"&amp;Q197,挑战模式!$A$3:$Z$52,2+5*R197,FALSE)="","","Monster_Challenge"&amp;P197&amp;"_"&amp;Q197&amp;"_"&amp;R197)</f>
        <v>Monster_Challenge5_4_2</v>
      </c>
      <c r="M197" s="57">
        <f t="shared" si="40"/>
        <v>1</v>
      </c>
      <c r="N197" s="119"/>
      <c r="O197" s="102">
        <f>VLOOKUP(P197&amp;"_"&amp;Q197,挑战模式!$A$3:$Z$52,6+5*MonsterWaveCallRuleCfg!R197,FALSE)</f>
        <v>12</v>
      </c>
      <c r="P197" s="110">
        <v>5</v>
      </c>
      <c r="Q197" s="110">
        <f t="shared" si="44"/>
        <v>4</v>
      </c>
      <c r="R197" s="110">
        <v>2</v>
      </c>
    </row>
    <row r="198" spans="2:18" x14ac:dyDescent="0.2">
      <c r="B198" s="57" t="str">
        <f t="shared" si="41"/>
        <v/>
      </c>
      <c r="D198" s="57" t="str">
        <f t="shared" si="42"/>
        <v/>
      </c>
      <c r="F198" s="57" t="str">
        <f t="shared" si="38"/>
        <v/>
      </c>
      <c r="G198" s="102" t="str">
        <f t="shared" si="45"/>
        <v/>
      </c>
      <c r="I198" s="102" t="str">
        <f>VLOOKUP(P198&amp;"_"&amp;Q198,挑战模式!$A$3:$Z$52,3+5*MonsterWaveCallRuleCfg!R198,FALSE)</f>
        <v/>
      </c>
      <c r="J198" s="102" t="str">
        <f>VLOOKUP(P198&amp;"_"&amp;Q198,挑战模式!$A$3:$Z$52,4+5*MonsterWaveCallRuleCfg!R198,FALSE)</f>
        <v/>
      </c>
      <c r="K198" s="102" t="str">
        <f t="shared" si="39"/>
        <v/>
      </c>
      <c r="L198" s="102" t="str">
        <f>IF(VLOOKUP(P198&amp;"_"&amp;Q198,挑战模式!$A$3:$Z$52,2+5*R198,FALSE)="","","Monster_Challenge"&amp;P198&amp;"_"&amp;Q198&amp;"_"&amp;R198)</f>
        <v/>
      </c>
      <c r="M198" s="57" t="str">
        <f t="shared" si="40"/>
        <v/>
      </c>
      <c r="N198" s="119"/>
      <c r="O198" s="102" t="str">
        <f>VLOOKUP(P198&amp;"_"&amp;Q198,挑战模式!$A$3:$Z$52,6+5*MonsterWaveCallRuleCfg!R198,FALSE)</f>
        <v/>
      </c>
      <c r="P198" s="110">
        <v>5</v>
      </c>
      <c r="Q198" s="110">
        <f t="shared" si="44"/>
        <v>4</v>
      </c>
      <c r="R198" s="110">
        <v>3</v>
      </c>
    </row>
    <row r="199" spans="2:18" x14ac:dyDescent="0.2">
      <c r="B199" s="57" t="str">
        <f t="shared" si="41"/>
        <v/>
      </c>
      <c r="D199" s="57" t="str">
        <f t="shared" si="42"/>
        <v/>
      </c>
      <c r="F199" s="57" t="str">
        <f t="shared" si="38"/>
        <v/>
      </c>
      <c r="G199" s="102" t="str">
        <f t="shared" si="45"/>
        <v/>
      </c>
      <c r="I199" s="102" t="str">
        <f>VLOOKUP(P199&amp;"_"&amp;Q199,挑战模式!$A$3:$Z$52,3+5*MonsterWaveCallRuleCfg!R199,FALSE)</f>
        <v/>
      </c>
      <c r="J199" s="102" t="str">
        <f>VLOOKUP(P199&amp;"_"&amp;Q199,挑战模式!$A$3:$Z$52,4+5*MonsterWaveCallRuleCfg!R199,FALSE)</f>
        <v/>
      </c>
      <c r="K199" s="102" t="str">
        <f t="shared" si="39"/>
        <v/>
      </c>
      <c r="L199" s="102" t="str">
        <f>IF(VLOOKUP(P199&amp;"_"&amp;Q199,挑战模式!$A$3:$Z$52,2+5*R199,FALSE)="","","Monster_Challenge"&amp;P199&amp;"_"&amp;Q199&amp;"_"&amp;R199)</f>
        <v/>
      </c>
      <c r="M199" s="57" t="str">
        <f t="shared" si="40"/>
        <v/>
      </c>
      <c r="N199" s="119"/>
      <c r="O199" s="102" t="str">
        <f>VLOOKUP(P199&amp;"_"&amp;Q199,挑战模式!$A$3:$Z$52,6+5*MonsterWaveCallRuleCfg!R199,FALSE)</f>
        <v/>
      </c>
      <c r="P199" s="110">
        <v>5</v>
      </c>
      <c r="Q199" s="110">
        <f t="shared" si="44"/>
        <v>4</v>
      </c>
      <c r="R199" s="110">
        <v>4</v>
      </c>
    </row>
    <row r="200" spans="2:18" x14ac:dyDescent="0.2">
      <c r="B200" s="57" t="str">
        <f t="shared" si="41"/>
        <v>MonsterWaveCallRule_Challenge5</v>
      </c>
      <c r="C200" s="57">
        <v>5</v>
      </c>
      <c r="D200" s="57" t="str">
        <f t="shared" si="42"/>
        <v>挑战关卡5第5波</v>
      </c>
      <c r="F200" s="57">
        <f t="shared" si="38"/>
        <v>0</v>
      </c>
      <c r="G200" s="102">
        <f t="shared" si="45"/>
        <v>180</v>
      </c>
      <c r="I200" s="102">
        <f>VLOOKUP(P200&amp;"_"&amp;Q200,挑战模式!$A$3:$Z$52,3+5*MonsterWaveCallRuleCfg!R200,FALSE)</f>
        <v>13</v>
      </c>
      <c r="J200" s="102">
        <f>VLOOKUP(P200&amp;"_"&amp;Q200,挑战模式!$A$3:$Z$52,4+5*MonsterWaveCallRuleCfg!R200,FALSE)</f>
        <v>1.5</v>
      </c>
      <c r="K200" s="102">
        <f t="shared" si="39"/>
        <v>1</v>
      </c>
      <c r="L200" s="102" t="str">
        <f>IF(VLOOKUP(P200&amp;"_"&amp;Q200,挑战模式!$A$3:$Z$52,2+5*R200,FALSE)="","","Monster_Challenge"&amp;P200&amp;"_"&amp;Q200&amp;"_"&amp;R200)</f>
        <v>Monster_Challenge5_5_1</v>
      </c>
      <c r="M200" s="57">
        <f t="shared" si="40"/>
        <v>1</v>
      </c>
      <c r="N200" s="119"/>
      <c r="O200" s="102">
        <f>VLOOKUP(P200&amp;"_"&amp;Q200,挑战模式!$A$3:$Z$52,6+5*MonsterWaveCallRuleCfg!R200,FALSE)</f>
        <v>11</v>
      </c>
      <c r="P200" s="110">
        <v>5</v>
      </c>
      <c r="Q200" s="110">
        <f t="shared" si="44"/>
        <v>5</v>
      </c>
      <c r="R200" s="110">
        <v>1</v>
      </c>
    </row>
    <row r="201" spans="2:18" x14ac:dyDescent="0.2">
      <c r="B201" s="57" t="str">
        <f t="shared" si="41"/>
        <v/>
      </c>
      <c r="D201" s="57" t="str">
        <f t="shared" si="42"/>
        <v/>
      </c>
      <c r="F201" s="57" t="str">
        <f t="shared" si="38"/>
        <v/>
      </c>
      <c r="G201" s="102" t="str">
        <f t="shared" si="45"/>
        <v/>
      </c>
      <c r="I201" s="102">
        <f>VLOOKUP(P201&amp;"_"&amp;Q201,挑战模式!$A$3:$Z$52,3+5*MonsterWaveCallRuleCfg!R201,FALSE)</f>
        <v>40</v>
      </c>
      <c r="J201" s="102">
        <f>VLOOKUP(P201&amp;"_"&amp;Q201,挑战模式!$A$3:$Z$52,4+5*MonsterWaveCallRuleCfg!R201,FALSE)</f>
        <v>0.5</v>
      </c>
      <c r="K201" s="102">
        <f t="shared" si="39"/>
        <v>1</v>
      </c>
      <c r="L201" s="102" t="str">
        <f>IF(VLOOKUP(P201&amp;"_"&amp;Q201,挑战模式!$A$3:$Z$52,2+5*R201,FALSE)="","","Monster_Challenge"&amp;P201&amp;"_"&amp;Q201&amp;"_"&amp;R201)</f>
        <v>Monster_Challenge5_5_2</v>
      </c>
      <c r="M201" s="57">
        <f t="shared" si="40"/>
        <v>1</v>
      </c>
      <c r="N201" s="119"/>
      <c r="O201" s="102">
        <f>VLOOKUP(P201&amp;"_"&amp;Q201,挑战模式!$A$3:$Z$52,6+5*MonsterWaveCallRuleCfg!R201,FALSE)</f>
        <v>6</v>
      </c>
      <c r="P201" s="110">
        <v>5</v>
      </c>
      <c r="Q201" s="110">
        <f t="shared" si="44"/>
        <v>5</v>
      </c>
      <c r="R201" s="110">
        <v>2</v>
      </c>
    </row>
    <row r="202" spans="2:18" x14ac:dyDescent="0.2">
      <c r="B202" s="57" t="str">
        <f t="shared" si="41"/>
        <v/>
      </c>
      <c r="D202" s="57" t="str">
        <f t="shared" si="42"/>
        <v/>
      </c>
      <c r="F202" s="57" t="str">
        <f t="shared" si="38"/>
        <v/>
      </c>
      <c r="G202" s="102" t="str">
        <f t="shared" si="45"/>
        <v/>
      </c>
      <c r="I202" s="102">
        <f>VLOOKUP(P202&amp;"_"&amp;Q202,挑战模式!$A$3:$Z$52,3+5*MonsterWaveCallRuleCfg!R202,FALSE)</f>
        <v>10</v>
      </c>
      <c r="J202" s="102">
        <f>VLOOKUP(P202&amp;"_"&amp;Q202,挑战模式!$A$3:$Z$52,4+5*MonsterWaveCallRuleCfg!R202,FALSE)</f>
        <v>2</v>
      </c>
      <c r="K202" s="102">
        <f t="shared" si="39"/>
        <v>1</v>
      </c>
      <c r="L202" s="102" t="str">
        <f>IF(VLOOKUP(P202&amp;"_"&amp;Q202,挑战模式!$A$3:$Z$52,2+5*R202,FALSE)="","","Monster_Challenge"&amp;P202&amp;"_"&amp;Q202&amp;"_"&amp;R202)</f>
        <v>Monster_Challenge5_5_3</v>
      </c>
      <c r="M202" s="57">
        <f t="shared" si="40"/>
        <v>1</v>
      </c>
      <c r="N202" s="119"/>
      <c r="O202" s="102">
        <f>VLOOKUP(P202&amp;"_"&amp;Q202,挑战模式!$A$3:$Z$52,6+5*MonsterWaveCallRuleCfg!R202,FALSE)</f>
        <v>11</v>
      </c>
      <c r="P202" s="110">
        <v>5</v>
      </c>
      <c r="Q202" s="110">
        <f t="shared" ref="Q202:Q233" si="46">IF(C202="",Q201,C202)</f>
        <v>5</v>
      </c>
      <c r="R202" s="110">
        <v>3</v>
      </c>
    </row>
    <row r="203" spans="2:18" x14ac:dyDescent="0.2">
      <c r="B203" s="57" t="str">
        <f t="shared" si="41"/>
        <v/>
      </c>
      <c r="D203" s="57" t="str">
        <f t="shared" si="42"/>
        <v/>
      </c>
      <c r="F203" s="57" t="str">
        <f t="shared" si="38"/>
        <v/>
      </c>
      <c r="G203" s="102" t="str">
        <f t="shared" si="45"/>
        <v/>
      </c>
      <c r="I203" s="102">
        <f>VLOOKUP(P203&amp;"_"&amp;Q203,挑战模式!$A$3:$Z$52,3+5*MonsterWaveCallRuleCfg!R203,FALSE)</f>
        <v>1</v>
      </c>
      <c r="J203" s="102">
        <f>VLOOKUP(P203&amp;"_"&amp;Q203,挑战模式!$A$3:$Z$52,4+5*MonsterWaveCallRuleCfg!R203,FALSE)</f>
        <v>0</v>
      </c>
      <c r="K203" s="102">
        <f t="shared" si="39"/>
        <v>1</v>
      </c>
      <c r="L203" s="102" t="str">
        <f>IF(VLOOKUP(P203&amp;"_"&amp;Q203,挑战模式!$A$3:$Z$52,2+5*R203,FALSE)="","","Monster_Challenge"&amp;P203&amp;"_"&amp;Q203&amp;"_"&amp;R203)</f>
        <v>Monster_Challenge5_5_4</v>
      </c>
      <c r="M203" s="57">
        <f t="shared" si="40"/>
        <v>1</v>
      </c>
      <c r="N203" s="119"/>
      <c r="O203" s="102">
        <f>VLOOKUP(P203&amp;"_"&amp;Q203,挑战模式!$A$3:$Z$52,6+5*MonsterWaveCallRuleCfg!R203,FALSE)</f>
        <v>229</v>
      </c>
      <c r="P203" s="110">
        <v>5</v>
      </c>
      <c r="Q203" s="110">
        <f t="shared" si="46"/>
        <v>5</v>
      </c>
      <c r="R203" s="110">
        <v>4</v>
      </c>
    </row>
    <row r="204" spans="2:18" x14ac:dyDescent="0.2">
      <c r="B204" s="57" t="str">
        <f t="shared" si="41"/>
        <v>MonsterWaveCallRule_Challenge6</v>
      </c>
      <c r="C204" s="57">
        <v>1</v>
      </c>
      <c r="D204" s="57" t="str">
        <f t="shared" si="42"/>
        <v>挑战关卡6第1波</v>
      </c>
      <c r="F204" s="57">
        <f t="shared" si="38"/>
        <v>0</v>
      </c>
      <c r="G204" s="102">
        <f>IF(C204="","",180)</f>
        <v>180</v>
      </c>
      <c r="I204" s="102">
        <f>VLOOKUP(P204&amp;"_"&amp;Q204,挑战模式!$A$3:$Z$52,3+5*MonsterWaveCallRuleCfg!R204,FALSE)</f>
        <v>10</v>
      </c>
      <c r="J204" s="102">
        <f>VLOOKUP(P204&amp;"_"&amp;Q204,挑战模式!$A$3:$Z$52,4+5*MonsterWaveCallRuleCfg!R204,FALSE)</f>
        <v>1</v>
      </c>
      <c r="K204" s="102">
        <f t="shared" si="39"/>
        <v>1</v>
      </c>
      <c r="L204" s="102" t="str">
        <f>IF(VLOOKUP(P204&amp;"_"&amp;Q204,挑战模式!$A$3:$Z$52,2+5*R204,FALSE)="","","Monster_Challenge"&amp;P204&amp;"_"&amp;Q204&amp;"_"&amp;R204)</f>
        <v>Monster_Challenge6_1_1</v>
      </c>
      <c r="M204" s="57">
        <f t="shared" si="40"/>
        <v>1</v>
      </c>
      <c r="N204" s="119"/>
      <c r="O204" s="102">
        <f>VLOOKUP(P204&amp;"_"&amp;Q204,挑战模式!$A$3:$Z$52,6+5*MonsterWaveCallRuleCfg!R204,FALSE)</f>
        <v>51</v>
      </c>
      <c r="P204" s="110">
        <f>P104+5</f>
        <v>6</v>
      </c>
      <c r="Q204" s="110">
        <f t="shared" si="46"/>
        <v>1</v>
      </c>
      <c r="R204" s="110">
        <v>1</v>
      </c>
    </row>
    <row r="205" spans="2:18" x14ac:dyDescent="0.2">
      <c r="B205" s="57" t="str">
        <f t="shared" si="41"/>
        <v/>
      </c>
      <c r="D205" s="57" t="str">
        <f t="shared" si="42"/>
        <v/>
      </c>
      <c r="F205" s="57" t="str">
        <f t="shared" si="38"/>
        <v/>
      </c>
      <c r="G205" s="102" t="str">
        <f t="shared" ref="G205:G268" si="47">IF(C205="","",180)</f>
        <v/>
      </c>
      <c r="I205" s="102">
        <f>VLOOKUP(P205&amp;"_"&amp;Q205,挑战模式!$A$3:$Z$52,3+5*MonsterWaveCallRuleCfg!R205,FALSE)</f>
        <v>1</v>
      </c>
      <c r="J205" s="102">
        <f>VLOOKUP(P205&amp;"_"&amp;Q205,挑战模式!$A$3:$Z$52,4+5*MonsterWaveCallRuleCfg!R205,FALSE)</f>
        <v>0</v>
      </c>
      <c r="K205" s="102">
        <f t="shared" si="39"/>
        <v>1</v>
      </c>
      <c r="L205" s="102" t="str">
        <f>IF(VLOOKUP(P205&amp;"_"&amp;Q205,挑战模式!$A$3:$Z$52,2+5*R205,FALSE)="","","Monster_Challenge"&amp;P205&amp;"_"&amp;Q205&amp;"_"&amp;R205)</f>
        <v>Monster_Challenge6_1_2</v>
      </c>
      <c r="M205" s="57">
        <f t="shared" si="40"/>
        <v>1</v>
      </c>
      <c r="N205" s="119"/>
      <c r="O205" s="102">
        <f>VLOOKUP(P205&amp;"_"&amp;Q205,挑战模式!$A$3:$Z$52,6+5*MonsterWaveCallRuleCfg!R205,FALSE)</f>
        <v>206</v>
      </c>
      <c r="P205" s="110">
        <f t="shared" ref="P205:P268" si="48">P105+5</f>
        <v>6</v>
      </c>
      <c r="Q205" s="110">
        <f t="shared" si="46"/>
        <v>1</v>
      </c>
      <c r="R205" s="110">
        <v>2</v>
      </c>
    </row>
    <row r="206" spans="2:18" x14ac:dyDescent="0.2">
      <c r="B206" s="57" t="str">
        <f t="shared" si="41"/>
        <v/>
      </c>
      <c r="D206" s="57" t="str">
        <f t="shared" si="42"/>
        <v/>
      </c>
      <c r="F206" s="57" t="str">
        <f t="shared" si="38"/>
        <v/>
      </c>
      <c r="G206" s="102" t="str">
        <f t="shared" si="47"/>
        <v/>
      </c>
      <c r="I206" s="102" t="str">
        <f>VLOOKUP(P206&amp;"_"&amp;Q206,挑战模式!$A$3:$Z$52,3+5*MonsterWaveCallRuleCfg!R206,FALSE)</f>
        <v/>
      </c>
      <c r="J206" s="102" t="str">
        <f>VLOOKUP(P206&amp;"_"&amp;Q206,挑战模式!$A$3:$Z$52,4+5*MonsterWaveCallRuleCfg!R206,FALSE)</f>
        <v/>
      </c>
      <c r="K206" s="102" t="str">
        <f t="shared" si="39"/>
        <v/>
      </c>
      <c r="L206" s="102" t="str">
        <f>IF(VLOOKUP(P206&amp;"_"&amp;Q206,挑战模式!$A$3:$Z$52,2+5*R206,FALSE)="","","Monster_Challenge"&amp;P206&amp;"_"&amp;Q206&amp;"_"&amp;R206)</f>
        <v/>
      </c>
      <c r="M206" s="57" t="str">
        <f t="shared" si="40"/>
        <v/>
      </c>
      <c r="N206" s="119"/>
      <c r="O206" s="102" t="str">
        <f>VLOOKUP(P206&amp;"_"&amp;Q206,挑战模式!$A$3:$Z$52,6+5*MonsterWaveCallRuleCfg!R206,FALSE)</f>
        <v/>
      </c>
      <c r="P206" s="110">
        <f t="shared" si="48"/>
        <v>6</v>
      </c>
      <c r="Q206" s="110">
        <f t="shared" si="46"/>
        <v>1</v>
      </c>
      <c r="R206" s="110">
        <v>3</v>
      </c>
    </row>
    <row r="207" spans="2:18" x14ac:dyDescent="0.2">
      <c r="B207" s="57" t="str">
        <f t="shared" si="41"/>
        <v/>
      </c>
      <c r="D207" s="57" t="str">
        <f t="shared" si="42"/>
        <v/>
      </c>
      <c r="F207" s="57" t="str">
        <f t="shared" si="38"/>
        <v/>
      </c>
      <c r="G207" s="102" t="str">
        <f t="shared" si="47"/>
        <v/>
      </c>
      <c r="I207" s="102" t="str">
        <f>VLOOKUP(P207&amp;"_"&amp;Q207,挑战模式!$A$3:$Z$52,3+5*MonsterWaveCallRuleCfg!R207,FALSE)</f>
        <v/>
      </c>
      <c r="J207" s="102" t="str">
        <f>VLOOKUP(P207&amp;"_"&amp;Q207,挑战模式!$A$3:$Z$52,4+5*MonsterWaveCallRuleCfg!R207,FALSE)</f>
        <v/>
      </c>
      <c r="K207" s="102" t="str">
        <f t="shared" si="39"/>
        <v/>
      </c>
      <c r="L207" s="102" t="str">
        <f>IF(VLOOKUP(P207&amp;"_"&amp;Q207,挑战模式!$A$3:$Z$52,2+5*R207,FALSE)="","","Monster_Challenge"&amp;P207&amp;"_"&amp;Q207&amp;"_"&amp;R207)</f>
        <v/>
      </c>
      <c r="M207" s="57" t="str">
        <f t="shared" si="40"/>
        <v/>
      </c>
      <c r="N207" s="119"/>
      <c r="O207" s="102" t="str">
        <f>VLOOKUP(P207&amp;"_"&amp;Q207,挑战模式!$A$3:$Z$52,6+5*MonsterWaveCallRuleCfg!R207,FALSE)</f>
        <v/>
      </c>
      <c r="P207" s="110">
        <f t="shared" si="48"/>
        <v>6</v>
      </c>
      <c r="Q207" s="110">
        <f t="shared" si="46"/>
        <v>1</v>
      </c>
      <c r="R207" s="110">
        <v>4</v>
      </c>
    </row>
    <row r="208" spans="2:18" x14ac:dyDescent="0.2">
      <c r="B208" s="57" t="str">
        <f t="shared" si="41"/>
        <v>MonsterWaveCallRule_Challenge6</v>
      </c>
      <c r="C208" s="57">
        <v>2</v>
      </c>
      <c r="D208" s="57" t="str">
        <f t="shared" si="42"/>
        <v>挑战关卡6第2波</v>
      </c>
      <c r="F208" s="57">
        <f t="shared" si="38"/>
        <v>0</v>
      </c>
      <c r="G208" s="102">
        <f t="shared" si="47"/>
        <v>180</v>
      </c>
      <c r="I208" s="102">
        <f>VLOOKUP(P208&amp;"_"&amp;Q208,挑战模式!$A$3:$Z$52,3+5*MonsterWaveCallRuleCfg!R208,FALSE)</f>
        <v>25</v>
      </c>
      <c r="J208" s="102">
        <f>VLOOKUP(P208&amp;"_"&amp;Q208,挑战模式!$A$3:$Z$52,4+5*MonsterWaveCallRuleCfg!R208,FALSE)</f>
        <v>0.5</v>
      </c>
      <c r="K208" s="102">
        <f t="shared" si="39"/>
        <v>1</v>
      </c>
      <c r="L208" s="102" t="str">
        <f>IF(VLOOKUP(P208&amp;"_"&amp;Q208,挑战模式!$A$3:$Z$52,2+5*R208,FALSE)="","","Monster_Challenge"&amp;P208&amp;"_"&amp;Q208&amp;"_"&amp;R208)</f>
        <v>Monster_Challenge6_2_1</v>
      </c>
      <c r="M208" s="57">
        <f t="shared" si="40"/>
        <v>1</v>
      </c>
      <c r="N208" s="119"/>
      <c r="O208" s="102">
        <f>VLOOKUP(P208&amp;"_"&amp;Q208,挑战模式!$A$3:$Z$52,6+5*MonsterWaveCallRuleCfg!R208,FALSE)</f>
        <v>19</v>
      </c>
      <c r="P208" s="110">
        <f t="shared" si="48"/>
        <v>6</v>
      </c>
      <c r="Q208" s="110">
        <f t="shared" si="46"/>
        <v>2</v>
      </c>
      <c r="R208" s="110">
        <v>1</v>
      </c>
    </row>
    <row r="209" spans="2:18" x14ac:dyDescent="0.2">
      <c r="B209" s="57" t="str">
        <f t="shared" si="41"/>
        <v/>
      </c>
      <c r="D209" s="57" t="str">
        <f t="shared" si="42"/>
        <v/>
      </c>
      <c r="F209" s="57" t="str">
        <f t="shared" si="38"/>
        <v/>
      </c>
      <c r="G209" s="102" t="str">
        <f t="shared" si="47"/>
        <v/>
      </c>
      <c r="I209" s="102">
        <f>VLOOKUP(P209&amp;"_"&amp;Q209,挑战模式!$A$3:$Z$52,3+5*MonsterWaveCallRuleCfg!R209,FALSE)</f>
        <v>3</v>
      </c>
      <c r="J209" s="102">
        <f>VLOOKUP(P209&amp;"_"&amp;Q209,挑战模式!$A$3:$Z$52,4+5*MonsterWaveCallRuleCfg!R209,FALSE)</f>
        <v>4</v>
      </c>
      <c r="K209" s="102">
        <f t="shared" si="39"/>
        <v>1</v>
      </c>
      <c r="L209" s="102" t="str">
        <f>IF(VLOOKUP(P209&amp;"_"&amp;Q209,挑战模式!$A$3:$Z$52,2+5*R209,FALSE)="","","Monster_Challenge"&amp;P209&amp;"_"&amp;Q209&amp;"_"&amp;R209)</f>
        <v>Monster_Challenge6_2_2</v>
      </c>
      <c r="M209" s="57">
        <f t="shared" si="40"/>
        <v>1</v>
      </c>
      <c r="N209" s="119"/>
      <c r="O209" s="102">
        <f>VLOOKUP(P209&amp;"_"&amp;Q209,挑战模式!$A$3:$Z$52,6+5*MonsterWaveCallRuleCfg!R209,FALSE)</f>
        <v>78</v>
      </c>
      <c r="P209" s="110">
        <f t="shared" si="48"/>
        <v>6</v>
      </c>
      <c r="Q209" s="110">
        <f t="shared" si="46"/>
        <v>2</v>
      </c>
      <c r="R209" s="110">
        <v>2</v>
      </c>
    </row>
    <row r="210" spans="2:18" x14ac:dyDescent="0.2">
      <c r="B210" s="57" t="str">
        <f t="shared" si="41"/>
        <v/>
      </c>
      <c r="D210" s="57" t="str">
        <f t="shared" si="42"/>
        <v/>
      </c>
      <c r="F210" s="57" t="str">
        <f t="shared" si="38"/>
        <v/>
      </c>
      <c r="G210" s="102" t="str">
        <f t="shared" si="47"/>
        <v/>
      </c>
      <c r="I210" s="102" t="str">
        <f>VLOOKUP(P210&amp;"_"&amp;Q210,挑战模式!$A$3:$Z$52,3+5*MonsterWaveCallRuleCfg!R210,FALSE)</f>
        <v/>
      </c>
      <c r="J210" s="102" t="str">
        <f>VLOOKUP(P210&amp;"_"&amp;Q210,挑战模式!$A$3:$Z$52,4+5*MonsterWaveCallRuleCfg!R210,FALSE)</f>
        <v/>
      </c>
      <c r="K210" s="102" t="str">
        <f t="shared" si="39"/>
        <v/>
      </c>
      <c r="L210" s="102" t="str">
        <f>IF(VLOOKUP(P210&amp;"_"&amp;Q210,挑战模式!$A$3:$Z$52,2+5*R210,FALSE)="","","Monster_Challenge"&amp;P210&amp;"_"&amp;Q210&amp;"_"&amp;R210)</f>
        <v/>
      </c>
      <c r="M210" s="57" t="str">
        <f t="shared" si="40"/>
        <v/>
      </c>
      <c r="N210" s="119"/>
      <c r="O210" s="102" t="str">
        <f>VLOOKUP(P210&amp;"_"&amp;Q210,挑战模式!$A$3:$Z$52,6+5*MonsterWaveCallRuleCfg!R210,FALSE)</f>
        <v/>
      </c>
      <c r="P210" s="110">
        <f t="shared" si="48"/>
        <v>6</v>
      </c>
      <c r="Q210" s="110">
        <f t="shared" si="46"/>
        <v>2</v>
      </c>
      <c r="R210" s="110">
        <v>3</v>
      </c>
    </row>
    <row r="211" spans="2:18" x14ac:dyDescent="0.2">
      <c r="B211" s="57" t="str">
        <f t="shared" si="41"/>
        <v/>
      </c>
      <c r="D211" s="57" t="str">
        <f t="shared" si="42"/>
        <v/>
      </c>
      <c r="F211" s="57" t="str">
        <f t="shared" si="38"/>
        <v/>
      </c>
      <c r="G211" s="102" t="str">
        <f t="shared" si="47"/>
        <v/>
      </c>
      <c r="I211" s="102" t="str">
        <f>VLOOKUP(P211&amp;"_"&amp;Q211,挑战模式!$A$3:$Z$52,3+5*MonsterWaveCallRuleCfg!R211,FALSE)</f>
        <v/>
      </c>
      <c r="J211" s="102" t="str">
        <f>VLOOKUP(P211&amp;"_"&amp;Q211,挑战模式!$A$3:$Z$52,4+5*MonsterWaveCallRuleCfg!R211,FALSE)</f>
        <v/>
      </c>
      <c r="K211" s="102" t="str">
        <f t="shared" si="39"/>
        <v/>
      </c>
      <c r="L211" s="102" t="str">
        <f>IF(VLOOKUP(P211&amp;"_"&amp;Q211,挑战模式!$A$3:$Z$52,2+5*R211,FALSE)="","","Monster_Challenge"&amp;P211&amp;"_"&amp;Q211&amp;"_"&amp;R211)</f>
        <v/>
      </c>
      <c r="M211" s="57" t="str">
        <f t="shared" si="40"/>
        <v/>
      </c>
      <c r="N211" s="119"/>
      <c r="O211" s="102" t="str">
        <f>VLOOKUP(P211&amp;"_"&amp;Q211,挑战模式!$A$3:$Z$52,6+5*MonsterWaveCallRuleCfg!R211,FALSE)</f>
        <v/>
      </c>
      <c r="P211" s="110">
        <f t="shared" si="48"/>
        <v>6</v>
      </c>
      <c r="Q211" s="110">
        <f t="shared" si="46"/>
        <v>2</v>
      </c>
      <c r="R211" s="110">
        <v>4</v>
      </c>
    </row>
    <row r="212" spans="2:18" x14ac:dyDescent="0.2">
      <c r="B212" s="57" t="str">
        <f t="shared" si="41"/>
        <v>MonsterWaveCallRule_Challenge6</v>
      </c>
      <c r="C212" s="57">
        <v>3</v>
      </c>
      <c r="D212" s="57" t="str">
        <f t="shared" si="42"/>
        <v>挑战关卡6第3波</v>
      </c>
      <c r="F212" s="57">
        <f t="shared" si="38"/>
        <v>0</v>
      </c>
      <c r="G212" s="102">
        <f t="shared" si="47"/>
        <v>180</v>
      </c>
      <c r="I212" s="102">
        <f>VLOOKUP(P212&amp;"_"&amp;Q212,挑战模式!$A$3:$Z$52,3+5*MonsterWaveCallRuleCfg!R212,FALSE)</f>
        <v>30</v>
      </c>
      <c r="J212" s="102">
        <f>VLOOKUP(P212&amp;"_"&amp;Q212,挑战模式!$A$3:$Z$52,4+5*MonsterWaveCallRuleCfg!R212,FALSE)</f>
        <v>0.5</v>
      </c>
      <c r="K212" s="102">
        <f t="shared" si="39"/>
        <v>1</v>
      </c>
      <c r="L212" s="102" t="str">
        <f>IF(VLOOKUP(P212&amp;"_"&amp;Q212,挑战模式!$A$3:$Z$52,2+5*R212,FALSE)="","","Monster_Challenge"&amp;P212&amp;"_"&amp;Q212&amp;"_"&amp;R212)</f>
        <v>Monster_Challenge6_3_1</v>
      </c>
      <c r="M212" s="57">
        <f t="shared" si="40"/>
        <v>1</v>
      </c>
      <c r="N212" s="119"/>
      <c r="O212" s="102">
        <f>VLOOKUP(P212&amp;"_"&amp;Q212,挑战模式!$A$3:$Z$52,6+5*MonsterWaveCallRuleCfg!R212,FALSE)</f>
        <v>8</v>
      </c>
      <c r="P212" s="110">
        <f t="shared" si="48"/>
        <v>6</v>
      </c>
      <c r="Q212" s="110">
        <f t="shared" si="46"/>
        <v>3</v>
      </c>
      <c r="R212" s="110">
        <v>1</v>
      </c>
    </row>
    <row r="213" spans="2:18" x14ac:dyDescent="0.2">
      <c r="B213" s="57" t="str">
        <f t="shared" si="41"/>
        <v/>
      </c>
      <c r="D213" s="57" t="str">
        <f t="shared" si="42"/>
        <v/>
      </c>
      <c r="F213" s="57" t="str">
        <f t="shared" si="38"/>
        <v/>
      </c>
      <c r="G213" s="102" t="str">
        <f t="shared" si="47"/>
        <v/>
      </c>
      <c r="I213" s="102">
        <f>VLOOKUP(P213&amp;"_"&amp;Q213,挑战模式!$A$3:$Z$52,3+5*MonsterWaveCallRuleCfg!R213,FALSE)</f>
        <v>10</v>
      </c>
      <c r="J213" s="102">
        <f>VLOOKUP(P213&amp;"_"&amp;Q213,挑战模式!$A$3:$Z$52,4+5*MonsterWaveCallRuleCfg!R213,FALSE)</f>
        <v>1.5</v>
      </c>
      <c r="K213" s="102">
        <f t="shared" si="39"/>
        <v>1</v>
      </c>
      <c r="L213" s="102" t="str">
        <f>IF(VLOOKUP(P213&amp;"_"&amp;Q213,挑战模式!$A$3:$Z$52,2+5*R213,FALSE)="","","Monster_Challenge"&amp;P213&amp;"_"&amp;Q213&amp;"_"&amp;R213)</f>
        <v>Monster_Challenge6_3_2</v>
      </c>
      <c r="M213" s="57">
        <f t="shared" si="40"/>
        <v>1</v>
      </c>
      <c r="N213" s="119"/>
      <c r="O213" s="102">
        <f>VLOOKUP(P213&amp;"_"&amp;Q213,挑战模式!$A$3:$Z$52,6+5*MonsterWaveCallRuleCfg!R213,FALSE)</f>
        <v>33</v>
      </c>
      <c r="P213" s="110">
        <f t="shared" si="48"/>
        <v>6</v>
      </c>
      <c r="Q213" s="110">
        <f t="shared" si="46"/>
        <v>3</v>
      </c>
      <c r="R213" s="110">
        <v>2</v>
      </c>
    </row>
    <row r="214" spans="2:18" x14ac:dyDescent="0.2">
      <c r="B214" s="57" t="str">
        <f t="shared" si="41"/>
        <v/>
      </c>
      <c r="D214" s="57" t="str">
        <f t="shared" si="42"/>
        <v/>
      </c>
      <c r="F214" s="57" t="str">
        <f t="shared" si="38"/>
        <v/>
      </c>
      <c r="G214" s="102" t="str">
        <f t="shared" si="47"/>
        <v/>
      </c>
      <c r="I214" s="102">
        <f>VLOOKUP(P214&amp;"_"&amp;Q214,挑战模式!$A$3:$Z$52,3+5*MonsterWaveCallRuleCfg!R214,FALSE)</f>
        <v>4</v>
      </c>
      <c r="J214" s="102">
        <f>VLOOKUP(P214&amp;"_"&amp;Q214,挑战模式!$A$3:$Z$52,4+5*MonsterWaveCallRuleCfg!R214,FALSE)</f>
        <v>4</v>
      </c>
      <c r="K214" s="102">
        <f t="shared" si="39"/>
        <v>1</v>
      </c>
      <c r="L214" s="102" t="str">
        <f>IF(VLOOKUP(P214&amp;"_"&amp;Q214,挑战模式!$A$3:$Z$52,2+5*R214,FALSE)="","","Monster_Challenge"&amp;P214&amp;"_"&amp;Q214&amp;"_"&amp;R214)</f>
        <v>Monster_Challenge6_3_3</v>
      </c>
      <c r="M214" s="57">
        <f t="shared" si="40"/>
        <v>1</v>
      </c>
      <c r="N214" s="119"/>
      <c r="O214" s="102">
        <f>VLOOKUP(P214&amp;"_"&amp;Q214,挑战模式!$A$3:$Z$52,6+5*MonsterWaveCallRuleCfg!R214,FALSE)</f>
        <v>33</v>
      </c>
      <c r="P214" s="110">
        <f t="shared" si="48"/>
        <v>6</v>
      </c>
      <c r="Q214" s="110">
        <f t="shared" si="46"/>
        <v>3</v>
      </c>
      <c r="R214" s="110">
        <v>3</v>
      </c>
    </row>
    <row r="215" spans="2:18" x14ac:dyDescent="0.2">
      <c r="B215" s="57" t="str">
        <f t="shared" si="41"/>
        <v/>
      </c>
      <c r="D215" s="57" t="str">
        <f t="shared" si="42"/>
        <v/>
      </c>
      <c r="F215" s="57" t="str">
        <f t="shared" si="38"/>
        <v/>
      </c>
      <c r="G215" s="102" t="str">
        <f t="shared" si="47"/>
        <v/>
      </c>
      <c r="I215" s="102" t="str">
        <f>VLOOKUP(P215&amp;"_"&amp;Q215,挑战模式!$A$3:$Z$52,3+5*MonsterWaveCallRuleCfg!R215,FALSE)</f>
        <v/>
      </c>
      <c r="J215" s="102" t="str">
        <f>VLOOKUP(P215&amp;"_"&amp;Q215,挑战模式!$A$3:$Z$52,4+5*MonsterWaveCallRuleCfg!R215,FALSE)</f>
        <v/>
      </c>
      <c r="K215" s="102" t="str">
        <f t="shared" si="39"/>
        <v/>
      </c>
      <c r="L215" s="102" t="str">
        <f>IF(VLOOKUP(P215&amp;"_"&amp;Q215,挑战模式!$A$3:$Z$52,2+5*R215,FALSE)="","","Monster_Challenge"&amp;P215&amp;"_"&amp;Q215&amp;"_"&amp;R215)</f>
        <v/>
      </c>
      <c r="M215" s="57" t="str">
        <f t="shared" si="40"/>
        <v/>
      </c>
      <c r="N215" s="119"/>
      <c r="O215" s="102" t="str">
        <f>VLOOKUP(P215&amp;"_"&amp;Q215,挑战模式!$A$3:$Z$52,6+5*MonsterWaveCallRuleCfg!R215,FALSE)</f>
        <v/>
      </c>
      <c r="P215" s="110">
        <f t="shared" si="48"/>
        <v>6</v>
      </c>
      <c r="Q215" s="110">
        <f t="shared" si="46"/>
        <v>3</v>
      </c>
      <c r="R215" s="110">
        <v>4</v>
      </c>
    </row>
    <row r="216" spans="2:18" x14ac:dyDescent="0.2">
      <c r="B216" s="57" t="str">
        <f t="shared" si="41"/>
        <v>MonsterWaveCallRule_Challenge6</v>
      </c>
      <c r="C216" s="57">
        <v>4</v>
      </c>
      <c r="D216" s="57" t="str">
        <f t="shared" si="42"/>
        <v>挑战关卡6第4波</v>
      </c>
      <c r="F216" s="57">
        <f t="shared" ref="F216:F279" si="49">IF(C216="","",0)</f>
        <v>0</v>
      </c>
      <c r="G216" s="102">
        <f t="shared" si="47"/>
        <v>180</v>
      </c>
      <c r="I216" s="102">
        <f>VLOOKUP(P216&amp;"_"&amp;Q216,挑战模式!$A$3:$Z$52,3+5*MonsterWaveCallRuleCfg!R216,FALSE)</f>
        <v>58</v>
      </c>
      <c r="J216" s="102">
        <f>VLOOKUP(P216&amp;"_"&amp;Q216,挑战模式!$A$3:$Z$52,4+5*MonsterWaveCallRuleCfg!R216,FALSE)</f>
        <v>0.3</v>
      </c>
      <c r="K216" s="102">
        <f t="shared" ref="K216:K279" si="50">IF(I216="","",1)</f>
        <v>1</v>
      </c>
      <c r="L216" s="102" t="str">
        <f>IF(VLOOKUP(P216&amp;"_"&amp;Q216,挑战模式!$A$3:$Z$52,2+5*R216,FALSE)="","","Monster_Challenge"&amp;P216&amp;"_"&amp;Q216&amp;"_"&amp;R216)</f>
        <v>Monster_Challenge6_4_1</v>
      </c>
      <c r="M216" s="57">
        <f t="shared" ref="M216:M279" si="51">IF(I216="","",1)</f>
        <v>1</v>
      </c>
      <c r="N216" s="119"/>
      <c r="O216" s="102">
        <f>VLOOKUP(P216&amp;"_"&amp;Q216,挑战模式!$A$3:$Z$52,6+5*MonsterWaveCallRuleCfg!R216,FALSE)</f>
        <v>6</v>
      </c>
      <c r="P216" s="110">
        <f t="shared" si="48"/>
        <v>6</v>
      </c>
      <c r="Q216" s="110">
        <f t="shared" si="46"/>
        <v>4</v>
      </c>
      <c r="R216" s="110">
        <v>1</v>
      </c>
    </row>
    <row r="217" spans="2:18" x14ac:dyDescent="0.2">
      <c r="B217" s="57" t="str">
        <f t="shared" si="41"/>
        <v/>
      </c>
      <c r="D217" s="57" t="str">
        <f t="shared" si="42"/>
        <v/>
      </c>
      <c r="F217" s="57" t="str">
        <f t="shared" si="49"/>
        <v/>
      </c>
      <c r="G217" s="102" t="str">
        <f t="shared" si="47"/>
        <v/>
      </c>
      <c r="I217" s="102">
        <f>VLOOKUP(P217&amp;"_"&amp;Q217,挑战模式!$A$3:$Z$52,3+5*MonsterWaveCallRuleCfg!R217,FALSE)</f>
        <v>12</v>
      </c>
      <c r="J217" s="102">
        <f>VLOOKUP(P217&amp;"_"&amp;Q217,挑战模式!$A$3:$Z$52,4+5*MonsterWaveCallRuleCfg!R217,FALSE)</f>
        <v>1.5</v>
      </c>
      <c r="K217" s="102">
        <f t="shared" si="50"/>
        <v>1</v>
      </c>
      <c r="L217" s="102" t="str">
        <f>IF(VLOOKUP(P217&amp;"_"&amp;Q217,挑战模式!$A$3:$Z$52,2+5*R217,FALSE)="","","Monster_Challenge"&amp;P217&amp;"_"&amp;Q217&amp;"_"&amp;R217)</f>
        <v>Monster_Challenge6_4_2</v>
      </c>
      <c r="M217" s="57">
        <f t="shared" si="51"/>
        <v>1</v>
      </c>
      <c r="N217" s="119"/>
      <c r="O217" s="102">
        <f>VLOOKUP(P217&amp;"_"&amp;Q217,挑战模式!$A$3:$Z$52,6+5*MonsterWaveCallRuleCfg!R217,FALSE)</f>
        <v>24</v>
      </c>
      <c r="P217" s="110">
        <f t="shared" si="48"/>
        <v>6</v>
      </c>
      <c r="Q217" s="110">
        <f t="shared" si="46"/>
        <v>4</v>
      </c>
      <c r="R217" s="110">
        <v>2</v>
      </c>
    </row>
    <row r="218" spans="2:18" x14ac:dyDescent="0.2">
      <c r="B218" s="57" t="str">
        <f t="shared" si="41"/>
        <v/>
      </c>
      <c r="D218" s="57" t="str">
        <f t="shared" si="42"/>
        <v/>
      </c>
      <c r="F218" s="57" t="str">
        <f t="shared" si="49"/>
        <v/>
      </c>
      <c r="G218" s="102" t="str">
        <f t="shared" si="47"/>
        <v/>
      </c>
      <c r="I218" s="102">
        <f>VLOOKUP(P218&amp;"_"&amp;Q218,挑战模式!$A$3:$Z$52,3+5*MonsterWaveCallRuleCfg!R218,FALSE)</f>
        <v>4</v>
      </c>
      <c r="J218" s="102">
        <f>VLOOKUP(P218&amp;"_"&amp;Q218,挑战模式!$A$3:$Z$52,4+5*MonsterWaveCallRuleCfg!R218,FALSE)</f>
        <v>4</v>
      </c>
      <c r="K218" s="102">
        <f t="shared" si="50"/>
        <v>1</v>
      </c>
      <c r="L218" s="102" t="str">
        <f>IF(VLOOKUP(P218&amp;"_"&amp;Q218,挑战模式!$A$3:$Z$52,2+5*R218,FALSE)="","","Monster_Challenge"&amp;P218&amp;"_"&amp;Q218&amp;"_"&amp;R218)</f>
        <v>Monster_Challenge6_4_3</v>
      </c>
      <c r="M218" s="57">
        <f t="shared" si="51"/>
        <v>1</v>
      </c>
      <c r="N218" s="119"/>
      <c r="O218" s="102">
        <f>VLOOKUP(P218&amp;"_"&amp;Q218,挑战模式!$A$3:$Z$52,6+5*MonsterWaveCallRuleCfg!R218,FALSE)</f>
        <v>24</v>
      </c>
      <c r="P218" s="110">
        <f t="shared" si="48"/>
        <v>6</v>
      </c>
      <c r="Q218" s="110">
        <f t="shared" si="46"/>
        <v>4</v>
      </c>
      <c r="R218" s="110">
        <v>3</v>
      </c>
    </row>
    <row r="219" spans="2:18" x14ac:dyDescent="0.2">
      <c r="B219" s="57" t="str">
        <f t="shared" si="41"/>
        <v/>
      </c>
      <c r="D219" s="57" t="str">
        <f t="shared" si="42"/>
        <v/>
      </c>
      <c r="F219" s="57" t="str">
        <f t="shared" si="49"/>
        <v/>
      </c>
      <c r="G219" s="102" t="str">
        <f t="shared" si="47"/>
        <v/>
      </c>
      <c r="I219" s="102" t="str">
        <f>VLOOKUP(P219&amp;"_"&amp;Q219,挑战模式!$A$3:$Z$52,3+5*MonsterWaveCallRuleCfg!R219,FALSE)</f>
        <v/>
      </c>
      <c r="J219" s="102" t="str">
        <f>VLOOKUP(P219&amp;"_"&amp;Q219,挑战模式!$A$3:$Z$52,4+5*MonsterWaveCallRuleCfg!R219,FALSE)</f>
        <v/>
      </c>
      <c r="K219" s="102" t="str">
        <f t="shared" si="50"/>
        <v/>
      </c>
      <c r="L219" s="102" t="str">
        <f>IF(VLOOKUP(P219&amp;"_"&amp;Q219,挑战模式!$A$3:$Z$52,2+5*R219,FALSE)="","","Monster_Challenge"&amp;P219&amp;"_"&amp;Q219&amp;"_"&amp;R219)</f>
        <v/>
      </c>
      <c r="M219" s="57" t="str">
        <f t="shared" si="51"/>
        <v/>
      </c>
      <c r="N219" s="119"/>
      <c r="O219" s="102" t="str">
        <f>VLOOKUP(P219&amp;"_"&amp;Q219,挑战模式!$A$3:$Z$52,6+5*MonsterWaveCallRuleCfg!R219,FALSE)</f>
        <v/>
      </c>
      <c r="P219" s="110">
        <f t="shared" si="48"/>
        <v>6</v>
      </c>
      <c r="Q219" s="110">
        <f t="shared" si="46"/>
        <v>4</v>
      </c>
      <c r="R219" s="110">
        <v>4</v>
      </c>
    </row>
    <row r="220" spans="2:18" x14ac:dyDescent="0.2">
      <c r="B220" s="57" t="str">
        <f t="shared" si="41"/>
        <v>MonsterWaveCallRule_Challenge6</v>
      </c>
      <c r="C220" s="57">
        <v>5</v>
      </c>
      <c r="D220" s="57" t="str">
        <f t="shared" si="42"/>
        <v>挑战关卡6第5波</v>
      </c>
      <c r="F220" s="57">
        <f t="shared" si="49"/>
        <v>0</v>
      </c>
      <c r="G220" s="102">
        <f t="shared" si="47"/>
        <v>180</v>
      </c>
      <c r="I220" s="102">
        <f>VLOOKUP(P220&amp;"_"&amp;Q220,挑战模式!$A$3:$Z$52,3+5*MonsterWaveCallRuleCfg!R220,FALSE)</f>
        <v>67</v>
      </c>
      <c r="J220" s="102">
        <f>VLOOKUP(P220&amp;"_"&amp;Q220,挑战模式!$A$3:$Z$52,4+5*MonsterWaveCallRuleCfg!R220,FALSE)</f>
        <v>0.3</v>
      </c>
      <c r="K220" s="102">
        <f t="shared" si="50"/>
        <v>1</v>
      </c>
      <c r="L220" s="102" t="str">
        <f>IF(VLOOKUP(P220&amp;"_"&amp;Q220,挑战模式!$A$3:$Z$52,2+5*R220,FALSE)="","","Monster_Challenge"&amp;P220&amp;"_"&amp;Q220&amp;"_"&amp;R220)</f>
        <v>Monster_Challenge6_5_1</v>
      </c>
      <c r="M220" s="57">
        <f t="shared" si="51"/>
        <v>1</v>
      </c>
      <c r="N220" s="119"/>
      <c r="O220" s="102">
        <f>VLOOKUP(P220&amp;"_"&amp;Q220,挑战模式!$A$3:$Z$52,6+5*MonsterWaveCallRuleCfg!R220,FALSE)</f>
        <v>3</v>
      </c>
      <c r="P220" s="110">
        <f t="shared" si="48"/>
        <v>6</v>
      </c>
      <c r="Q220" s="110">
        <f t="shared" si="46"/>
        <v>5</v>
      </c>
      <c r="R220" s="110">
        <v>1</v>
      </c>
    </row>
    <row r="221" spans="2:18" x14ac:dyDescent="0.2">
      <c r="B221" s="57" t="str">
        <f t="shared" si="41"/>
        <v/>
      </c>
      <c r="D221" s="57" t="str">
        <f t="shared" si="42"/>
        <v/>
      </c>
      <c r="F221" s="57" t="str">
        <f t="shared" si="49"/>
        <v/>
      </c>
      <c r="G221" s="102" t="str">
        <f t="shared" si="47"/>
        <v/>
      </c>
      <c r="I221" s="102">
        <f>VLOOKUP(P221&amp;"_"&amp;Q221,挑战模式!$A$3:$Z$52,3+5*MonsterWaveCallRuleCfg!R221,FALSE)</f>
        <v>27</v>
      </c>
      <c r="J221" s="102">
        <f>VLOOKUP(P221&amp;"_"&amp;Q221,挑战模式!$A$3:$Z$52,4+5*MonsterWaveCallRuleCfg!R221,FALSE)</f>
        <v>0.75</v>
      </c>
      <c r="K221" s="102">
        <f t="shared" si="50"/>
        <v>1</v>
      </c>
      <c r="L221" s="102" t="str">
        <f>IF(VLOOKUP(P221&amp;"_"&amp;Q221,挑战模式!$A$3:$Z$52,2+5*R221,FALSE)="","","Monster_Challenge"&amp;P221&amp;"_"&amp;Q221&amp;"_"&amp;R221)</f>
        <v>Monster_Challenge6_5_2</v>
      </c>
      <c r="M221" s="57">
        <f t="shared" si="51"/>
        <v>1</v>
      </c>
      <c r="N221" s="119"/>
      <c r="O221" s="102">
        <f>VLOOKUP(P221&amp;"_"&amp;Q221,挑战模式!$A$3:$Z$52,6+5*MonsterWaveCallRuleCfg!R221,FALSE)</f>
        <v>13</v>
      </c>
      <c r="P221" s="110">
        <f t="shared" si="48"/>
        <v>6</v>
      </c>
      <c r="Q221" s="110">
        <f t="shared" si="46"/>
        <v>5</v>
      </c>
      <c r="R221" s="110">
        <v>2</v>
      </c>
    </row>
    <row r="222" spans="2:18" x14ac:dyDescent="0.2">
      <c r="B222" s="57" t="str">
        <f t="shared" si="41"/>
        <v/>
      </c>
      <c r="D222" s="57" t="str">
        <f t="shared" si="42"/>
        <v/>
      </c>
      <c r="F222" s="57" t="str">
        <f t="shared" si="49"/>
        <v/>
      </c>
      <c r="G222" s="102" t="str">
        <f t="shared" si="47"/>
        <v/>
      </c>
      <c r="I222" s="102">
        <f>VLOOKUP(P222&amp;"_"&amp;Q222,挑战模式!$A$3:$Z$52,3+5*MonsterWaveCallRuleCfg!R222,FALSE)</f>
        <v>10</v>
      </c>
      <c r="J222" s="102">
        <f>VLOOKUP(P222&amp;"_"&amp;Q222,挑战模式!$A$3:$Z$52,4+5*MonsterWaveCallRuleCfg!R222,FALSE)</f>
        <v>2</v>
      </c>
      <c r="K222" s="102">
        <f t="shared" si="50"/>
        <v>1</v>
      </c>
      <c r="L222" s="102" t="str">
        <f>IF(VLOOKUP(P222&amp;"_"&amp;Q222,挑战模式!$A$3:$Z$52,2+5*R222,FALSE)="","","Monster_Challenge"&amp;P222&amp;"_"&amp;Q222&amp;"_"&amp;R222)</f>
        <v>Monster_Challenge6_5_3</v>
      </c>
      <c r="M222" s="57">
        <f t="shared" si="51"/>
        <v>1</v>
      </c>
      <c r="N222" s="119"/>
      <c r="O222" s="102">
        <f>VLOOKUP(P222&amp;"_"&amp;Q222,挑战模式!$A$3:$Z$52,6+5*MonsterWaveCallRuleCfg!R222,FALSE)</f>
        <v>13</v>
      </c>
      <c r="P222" s="110">
        <f t="shared" si="48"/>
        <v>6</v>
      </c>
      <c r="Q222" s="110">
        <f t="shared" si="46"/>
        <v>5</v>
      </c>
      <c r="R222" s="110">
        <v>3</v>
      </c>
    </row>
    <row r="223" spans="2:18" x14ac:dyDescent="0.2">
      <c r="B223" s="57" t="str">
        <f t="shared" si="41"/>
        <v/>
      </c>
      <c r="D223" s="57" t="str">
        <f t="shared" si="42"/>
        <v/>
      </c>
      <c r="F223" s="57" t="str">
        <f t="shared" si="49"/>
        <v/>
      </c>
      <c r="G223" s="102" t="str">
        <f t="shared" si="47"/>
        <v/>
      </c>
      <c r="I223" s="102" t="str">
        <f>VLOOKUP(P223&amp;"_"&amp;Q223,挑战模式!$A$3:$Z$52,3+5*MonsterWaveCallRuleCfg!R223,FALSE)</f>
        <v/>
      </c>
      <c r="J223" s="102" t="str">
        <f>VLOOKUP(P223&amp;"_"&amp;Q223,挑战模式!$A$3:$Z$52,4+5*MonsterWaveCallRuleCfg!R223,FALSE)</f>
        <v/>
      </c>
      <c r="K223" s="102" t="str">
        <f t="shared" si="50"/>
        <v/>
      </c>
      <c r="L223" s="102" t="str">
        <f>IF(VLOOKUP(P223&amp;"_"&amp;Q223,挑战模式!$A$3:$Z$52,2+5*R223,FALSE)="","","Monster_Challenge"&amp;P223&amp;"_"&amp;Q223&amp;"_"&amp;R223)</f>
        <v/>
      </c>
      <c r="M223" s="57" t="str">
        <f t="shared" si="51"/>
        <v/>
      </c>
      <c r="O223" s="102" t="str">
        <f>VLOOKUP(P223&amp;"_"&amp;Q223,挑战模式!$A$3:$Z$52,6+5*MonsterWaveCallRuleCfg!R223,FALSE)</f>
        <v/>
      </c>
      <c r="P223" s="110">
        <f t="shared" si="48"/>
        <v>6</v>
      </c>
      <c r="Q223" s="110">
        <f t="shared" si="46"/>
        <v>5</v>
      </c>
      <c r="R223" s="110">
        <v>4</v>
      </c>
    </row>
    <row r="224" spans="2:18" x14ac:dyDescent="0.2">
      <c r="B224" s="57" t="str">
        <f t="shared" si="41"/>
        <v>MonsterWaveCallRule_Challenge7</v>
      </c>
      <c r="C224" s="57">
        <v>1</v>
      </c>
      <c r="D224" s="57" t="str">
        <f t="shared" si="42"/>
        <v>挑战关卡7第1波</v>
      </c>
      <c r="F224" s="57">
        <f t="shared" si="49"/>
        <v>0</v>
      </c>
      <c r="G224" s="102">
        <f t="shared" si="47"/>
        <v>180</v>
      </c>
      <c r="I224" s="102">
        <f>VLOOKUP(P224&amp;"_"&amp;Q224,挑战模式!$A$3:$Z$52,3+5*MonsterWaveCallRuleCfg!R224,FALSE)</f>
        <v>10</v>
      </c>
      <c r="J224" s="102">
        <f>VLOOKUP(P224&amp;"_"&amp;Q224,挑战模式!$A$3:$Z$52,4+5*MonsterWaveCallRuleCfg!R224,FALSE)</f>
        <v>1</v>
      </c>
      <c r="K224" s="102">
        <f t="shared" si="50"/>
        <v>1</v>
      </c>
      <c r="L224" s="102" t="str">
        <f>IF(VLOOKUP(P224&amp;"_"&amp;Q224,挑战模式!$A$3:$Z$52,2+5*R224,FALSE)="","","Monster_Challenge"&amp;P224&amp;"_"&amp;Q224&amp;"_"&amp;R224)</f>
        <v>Monster_Challenge7_1_1</v>
      </c>
      <c r="M224" s="57">
        <f t="shared" si="51"/>
        <v>1</v>
      </c>
      <c r="O224" s="102">
        <f>VLOOKUP(P224&amp;"_"&amp;Q224,挑战模式!$A$3:$Z$52,6+5*MonsterWaveCallRuleCfg!R224,FALSE)</f>
        <v>60</v>
      </c>
      <c r="P224" s="110">
        <f t="shared" si="48"/>
        <v>7</v>
      </c>
      <c r="Q224" s="110">
        <f t="shared" si="46"/>
        <v>1</v>
      </c>
      <c r="R224" s="110">
        <v>1</v>
      </c>
    </row>
    <row r="225" spans="2:18" x14ac:dyDescent="0.2">
      <c r="B225" s="57" t="str">
        <f t="shared" si="41"/>
        <v/>
      </c>
      <c r="D225" s="57" t="str">
        <f t="shared" si="42"/>
        <v/>
      </c>
      <c r="F225" s="57" t="str">
        <f t="shared" si="49"/>
        <v/>
      </c>
      <c r="G225" s="102" t="str">
        <f t="shared" si="47"/>
        <v/>
      </c>
      <c r="I225" s="102">
        <f>VLOOKUP(P225&amp;"_"&amp;Q225,挑战模式!$A$3:$Z$52,3+5*MonsterWaveCallRuleCfg!R225,FALSE)</f>
        <v>1</v>
      </c>
      <c r="J225" s="102">
        <f>VLOOKUP(P225&amp;"_"&amp;Q225,挑战模式!$A$3:$Z$52,4+5*MonsterWaveCallRuleCfg!R225,FALSE)</f>
        <v>0</v>
      </c>
      <c r="K225" s="102">
        <f t="shared" si="50"/>
        <v>1</v>
      </c>
      <c r="L225" s="102" t="str">
        <f>IF(VLOOKUP(P225&amp;"_"&amp;Q225,挑战模式!$A$3:$Z$52,2+5*R225,FALSE)="","","Monster_Challenge"&amp;P225&amp;"_"&amp;Q225&amp;"_"&amp;R225)</f>
        <v>Monster_Challenge7_1_2</v>
      </c>
      <c r="M225" s="57">
        <f t="shared" si="51"/>
        <v>1</v>
      </c>
      <c r="O225" s="102">
        <f>VLOOKUP(P225&amp;"_"&amp;Q225,挑战模式!$A$3:$Z$52,6+5*MonsterWaveCallRuleCfg!R225,FALSE)</f>
        <v>120</v>
      </c>
      <c r="P225" s="110">
        <f t="shared" si="48"/>
        <v>7</v>
      </c>
      <c r="Q225" s="110">
        <f t="shared" si="46"/>
        <v>1</v>
      </c>
      <c r="R225" s="110">
        <v>2</v>
      </c>
    </row>
    <row r="226" spans="2:18" x14ac:dyDescent="0.2">
      <c r="B226" s="57" t="str">
        <f t="shared" si="41"/>
        <v/>
      </c>
      <c r="D226" s="57" t="str">
        <f t="shared" si="42"/>
        <v/>
      </c>
      <c r="F226" s="57" t="str">
        <f t="shared" si="49"/>
        <v/>
      </c>
      <c r="G226" s="102" t="str">
        <f t="shared" si="47"/>
        <v/>
      </c>
      <c r="I226" s="102" t="str">
        <f>VLOOKUP(P226&amp;"_"&amp;Q226,挑战模式!$A$3:$Z$52,3+5*MonsterWaveCallRuleCfg!R226,FALSE)</f>
        <v/>
      </c>
      <c r="J226" s="102" t="str">
        <f>VLOOKUP(P226&amp;"_"&amp;Q226,挑战模式!$A$3:$Z$52,4+5*MonsterWaveCallRuleCfg!R226,FALSE)</f>
        <v/>
      </c>
      <c r="K226" s="102" t="str">
        <f t="shared" si="50"/>
        <v/>
      </c>
      <c r="L226" s="102" t="str">
        <f>IF(VLOOKUP(P226&amp;"_"&amp;Q226,挑战模式!$A$3:$Z$52,2+5*R226,FALSE)="","","Monster_Challenge"&amp;P226&amp;"_"&amp;Q226&amp;"_"&amp;R226)</f>
        <v/>
      </c>
      <c r="M226" s="57" t="str">
        <f t="shared" si="51"/>
        <v/>
      </c>
      <c r="O226" s="102" t="str">
        <f>VLOOKUP(P226&amp;"_"&amp;Q226,挑战模式!$A$3:$Z$52,6+5*MonsterWaveCallRuleCfg!R226,FALSE)</f>
        <v/>
      </c>
      <c r="P226" s="110">
        <f t="shared" si="48"/>
        <v>7</v>
      </c>
      <c r="Q226" s="110">
        <f t="shared" si="46"/>
        <v>1</v>
      </c>
      <c r="R226" s="110">
        <v>3</v>
      </c>
    </row>
    <row r="227" spans="2:18" x14ac:dyDescent="0.2">
      <c r="B227" s="57" t="str">
        <f t="shared" si="41"/>
        <v/>
      </c>
      <c r="D227" s="57" t="str">
        <f t="shared" si="42"/>
        <v/>
      </c>
      <c r="F227" s="57" t="str">
        <f t="shared" si="49"/>
        <v/>
      </c>
      <c r="G227" s="102" t="str">
        <f t="shared" si="47"/>
        <v/>
      </c>
      <c r="I227" s="102" t="str">
        <f>VLOOKUP(P227&amp;"_"&amp;Q227,挑战模式!$A$3:$Z$52,3+5*MonsterWaveCallRuleCfg!R227,FALSE)</f>
        <v/>
      </c>
      <c r="J227" s="102" t="str">
        <f>VLOOKUP(P227&amp;"_"&amp;Q227,挑战模式!$A$3:$Z$52,4+5*MonsterWaveCallRuleCfg!R227,FALSE)</f>
        <v/>
      </c>
      <c r="K227" s="102" t="str">
        <f t="shared" si="50"/>
        <v/>
      </c>
      <c r="L227" s="102" t="str">
        <f>IF(VLOOKUP(P227&amp;"_"&amp;Q227,挑战模式!$A$3:$Z$52,2+5*R227,FALSE)="","","Monster_Challenge"&amp;P227&amp;"_"&amp;Q227&amp;"_"&amp;R227)</f>
        <v/>
      </c>
      <c r="M227" s="57" t="str">
        <f t="shared" si="51"/>
        <v/>
      </c>
      <c r="O227" s="102" t="str">
        <f>VLOOKUP(P227&amp;"_"&amp;Q227,挑战模式!$A$3:$Z$52,6+5*MonsterWaveCallRuleCfg!R227,FALSE)</f>
        <v/>
      </c>
      <c r="P227" s="110">
        <f t="shared" si="48"/>
        <v>7</v>
      </c>
      <c r="Q227" s="110">
        <f t="shared" si="46"/>
        <v>1</v>
      </c>
      <c r="R227" s="110">
        <v>4</v>
      </c>
    </row>
    <row r="228" spans="2:18" x14ac:dyDescent="0.2">
      <c r="B228" s="57" t="str">
        <f t="shared" si="41"/>
        <v>MonsterWaveCallRule_Challenge7</v>
      </c>
      <c r="C228" s="57">
        <v>2</v>
      </c>
      <c r="D228" s="57" t="str">
        <f t="shared" si="42"/>
        <v>挑战关卡7第2波</v>
      </c>
      <c r="F228" s="57">
        <f t="shared" si="49"/>
        <v>0</v>
      </c>
      <c r="G228" s="102">
        <f t="shared" si="47"/>
        <v>180</v>
      </c>
      <c r="I228" s="102">
        <f>VLOOKUP(P228&amp;"_"&amp;Q228,挑战模式!$A$3:$Z$52,3+5*MonsterWaveCallRuleCfg!R228,FALSE)</f>
        <v>13</v>
      </c>
      <c r="J228" s="102">
        <f>VLOOKUP(P228&amp;"_"&amp;Q228,挑战模式!$A$3:$Z$52,4+5*MonsterWaveCallRuleCfg!R228,FALSE)</f>
        <v>1</v>
      </c>
      <c r="K228" s="102">
        <f t="shared" si="50"/>
        <v>1</v>
      </c>
      <c r="L228" s="102" t="str">
        <f>IF(VLOOKUP(P228&amp;"_"&amp;Q228,挑战模式!$A$3:$Z$52,2+5*R228,FALSE)="","","Monster_Challenge"&amp;P228&amp;"_"&amp;Q228&amp;"_"&amp;R228)</f>
        <v>Monster_Challenge7_2_1</v>
      </c>
      <c r="M228" s="57">
        <f t="shared" si="51"/>
        <v>1</v>
      </c>
      <c r="O228" s="102">
        <f>VLOOKUP(P228&amp;"_"&amp;Q228,挑战模式!$A$3:$Z$52,6+5*MonsterWaveCallRuleCfg!R228,FALSE)</f>
        <v>10</v>
      </c>
      <c r="P228" s="110">
        <f t="shared" si="48"/>
        <v>7</v>
      </c>
      <c r="Q228" s="110">
        <f t="shared" si="46"/>
        <v>2</v>
      </c>
      <c r="R228" s="110">
        <v>1</v>
      </c>
    </row>
    <row r="229" spans="2:18" x14ac:dyDescent="0.2">
      <c r="B229" s="57" t="str">
        <f t="shared" si="41"/>
        <v/>
      </c>
      <c r="D229" s="57" t="str">
        <f t="shared" si="42"/>
        <v/>
      </c>
      <c r="F229" s="57" t="str">
        <f t="shared" si="49"/>
        <v/>
      </c>
      <c r="G229" s="102" t="str">
        <f t="shared" si="47"/>
        <v/>
      </c>
      <c r="I229" s="102">
        <f>VLOOKUP(P229&amp;"_"&amp;Q229,挑战模式!$A$3:$Z$52,3+5*MonsterWaveCallRuleCfg!R229,FALSE)</f>
        <v>25</v>
      </c>
      <c r="J229" s="102">
        <f>VLOOKUP(P229&amp;"_"&amp;Q229,挑战模式!$A$3:$Z$52,4+5*MonsterWaveCallRuleCfg!R229,FALSE)</f>
        <v>0.5</v>
      </c>
      <c r="K229" s="102">
        <f t="shared" si="50"/>
        <v>1</v>
      </c>
      <c r="L229" s="102" t="str">
        <f>IF(VLOOKUP(P229&amp;"_"&amp;Q229,挑战模式!$A$3:$Z$52,2+5*R229,FALSE)="","","Monster_Challenge"&amp;P229&amp;"_"&amp;Q229&amp;"_"&amp;R229)</f>
        <v>Monster_Challenge7_2_2</v>
      </c>
      <c r="M229" s="57">
        <f t="shared" si="51"/>
        <v>1</v>
      </c>
      <c r="O229" s="102">
        <f>VLOOKUP(P229&amp;"_"&amp;Q229,挑战模式!$A$3:$Z$52,6+5*MonsterWaveCallRuleCfg!R229,FALSE)</f>
        <v>21</v>
      </c>
      <c r="P229" s="110">
        <f t="shared" si="48"/>
        <v>7</v>
      </c>
      <c r="Q229" s="110">
        <f t="shared" si="46"/>
        <v>2</v>
      </c>
      <c r="R229" s="110">
        <v>2</v>
      </c>
    </row>
    <row r="230" spans="2:18" x14ac:dyDescent="0.2">
      <c r="B230" s="57" t="str">
        <f t="shared" si="41"/>
        <v/>
      </c>
      <c r="D230" s="57" t="str">
        <f t="shared" si="42"/>
        <v/>
      </c>
      <c r="F230" s="57" t="str">
        <f t="shared" si="49"/>
        <v/>
      </c>
      <c r="G230" s="102" t="str">
        <f t="shared" si="47"/>
        <v/>
      </c>
      <c r="I230" s="102">
        <f>VLOOKUP(P230&amp;"_"&amp;Q230,挑战模式!$A$3:$Z$52,3+5*MonsterWaveCallRuleCfg!R230,FALSE)</f>
        <v>3</v>
      </c>
      <c r="J230" s="102">
        <f>VLOOKUP(P230&amp;"_"&amp;Q230,挑战模式!$A$3:$Z$52,4+5*MonsterWaveCallRuleCfg!R230,FALSE)</f>
        <v>4</v>
      </c>
      <c r="K230" s="102">
        <f t="shared" si="50"/>
        <v>1</v>
      </c>
      <c r="L230" s="102" t="str">
        <f>IF(VLOOKUP(P230&amp;"_"&amp;Q230,挑战模式!$A$3:$Z$52,2+5*R230,FALSE)="","","Monster_Challenge"&amp;P230&amp;"_"&amp;Q230&amp;"_"&amp;R230)</f>
        <v>Monster_Challenge7_2_3</v>
      </c>
      <c r="M230" s="57">
        <f t="shared" si="51"/>
        <v>1</v>
      </c>
      <c r="O230" s="102">
        <f>VLOOKUP(P230&amp;"_"&amp;Q230,挑战模式!$A$3:$Z$52,6+5*MonsterWaveCallRuleCfg!R230,FALSE)</f>
        <v>21</v>
      </c>
      <c r="P230" s="110">
        <f t="shared" si="48"/>
        <v>7</v>
      </c>
      <c r="Q230" s="110">
        <f t="shared" si="46"/>
        <v>2</v>
      </c>
      <c r="R230" s="110">
        <v>3</v>
      </c>
    </row>
    <row r="231" spans="2:18" x14ac:dyDescent="0.2">
      <c r="B231" s="57" t="str">
        <f t="shared" si="41"/>
        <v/>
      </c>
      <c r="D231" s="57" t="str">
        <f t="shared" si="42"/>
        <v/>
      </c>
      <c r="F231" s="57" t="str">
        <f t="shared" si="49"/>
        <v/>
      </c>
      <c r="G231" s="102" t="str">
        <f t="shared" si="47"/>
        <v/>
      </c>
      <c r="I231" s="102" t="str">
        <f>VLOOKUP(P231&amp;"_"&amp;Q231,挑战模式!$A$3:$Z$52,3+5*MonsterWaveCallRuleCfg!R231,FALSE)</f>
        <v/>
      </c>
      <c r="J231" s="102" t="str">
        <f>VLOOKUP(P231&amp;"_"&amp;Q231,挑战模式!$A$3:$Z$52,4+5*MonsterWaveCallRuleCfg!R231,FALSE)</f>
        <v/>
      </c>
      <c r="K231" s="102" t="str">
        <f t="shared" si="50"/>
        <v/>
      </c>
      <c r="L231" s="102" t="str">
        <f>IF(VLOOKUP(P231&amp;"_"&amp;Q231,挑战模式!$A$3:$Z$52,2+5*R231,FALSE)="","","Monster_Challenge"&amp;P231&amp;"_"&amp;Q231&amp;"_"&amp;R231)</f>
        <v/>
      </c>
      <c r="M231" s="57" t="str">
        <f t="shared" si="51"/>
        <v/>
      </c>
      <c r="O231" s="102" t="str">
        <f>VLOOKUP(P231&amp;"_"&amp;Q231,挑战模式!$A$3:$Z$52,6+5*MonsterWaveCallRuleCfg!R231,FALSE)</f>
        <v/>
      </c>
      <c r="P231" s="110">
        <f t="shared" si="48"/>
        <v>7</v>
      </c>
      <c r="Q231" s="110">
        <f t="shared" si="46"/>
        <v>2</v>
      </c>
      <c r="R231" s="110">
        <v>4</v>
      </c>
    </row>
    <row r="232" spans="2:18" x14ac:dyDescent="0.2">
      <c r="B232" s="57" t="str">
        <f t="shared" si="41"/>
        <v>MonsterWaveCallRule_Challenge7</v>
      </c>
      <c r="C232" s="57">
        <v>3</v>
      </c>
      <c r="D232" s="57" t="str">
        <f t="shared" si="42"/>
        <v>挑战关卡7第3波</v>
      </c>
      <c r="F232" s="57">
        <f t="shared" si="49"/>
        <v>0</v>
      </c>
      <c r="G232" s="102">
        <f t="shared" si="47"/>
        <v>180</v>
      </c>
      <c r="I232" s="102">
        <f>VLOOKUP(P232&amp;"_"&amp;Q232,挑战模式!$A$3:$Z$52,3+5*MonsterWaveCallRuleCfg!R232,FALSE)</f>
        <v>15</v>
      </c>
      <c r="J232" s="102">
        <f>VLOOKUP(P232&amp;"_"&amp;Q232,挑战模式!$A$3:$Z$52,4+5*MonsterWaveCallRuleCfg!R232,FALSE)</f>
        <v>1</v>
      </c>
      <c r="K232" s="102">
        <f t="shared" si="50"/>
        <v>1</v>
      </c>
      <c r="L232" s="102" t="str">
        <f>IF(VLOOKUP(P232&amp;"_"&amp;Q232,挑战模式!$A$3:$Z$52,2+5*R232,FALSE)="","","Monster_Challenge"&amp;P232&amp;"_"&amp;Q232&amp;"_"&amp;R232)</f>
        <v>Monster_Challenge7_3_1</v>
      </c>
      <c r="M232" s="57">
        <f t="shared" si="51"/>
        <v>1</v>
      </c>
      <c r="O232" s="102">
        <f>VLOOKUP(P232&amp;"_"&amp;Q232,挑战模式!$A$3:$Z$52,6+5*MonsterWaveCallRuleCfg!R232,FALSE)</f>
        <v>12</v>
      </c>
      <c r="P232" s="110">
        <f t="shared" si="48"/>
        <v>7</v>
      </c>
      <c r="Q232" s="110">
        <f t="shared" si="46"/>
        <v>3</v>
      </c>
      <c r="R232" s="110">
        <v>1</v>
      </c>
    </row>
    <row r="233" spans="2:18" x14ac:dyDescent="0.2">
      <c r="B233" s="57" t="str">
        <f t="shared" ref="B233:B296" si="52">IF(C233="","","MonsterWaveCallRule_Challenge"&amp;P233)</f>
        <v/>
      </c>
      <c r="D233" s="57" t="str">
        <f t="shared" ref="D233:D296" si="53">IF(C233="","","挑战关卡"&amp;P233&amp;"第"&amp;C233&amp;"波")</f>
        <v/>
      </c>
      <c r="F233" s="57" t="str">
        <f t="shared" si="49"/>
        <v/>
      </c>
      <c r="G233" s="102" t="str">
        <f t="shared" si="47"/>
        <v/>
      </c>
      <c r="I233" s="102">
        <f>VLOOKUP(P233&amp;"_"&amp;Q233,挑战模式!$A$3:$Z$52,3+5*MonsterWaveCallRuleCfg!R233,FALSE)</f>
        <v>75</v>
      </c>
      <c r="J233" s="102">
        <f>VLOOKUP(P233&amp;"_"&amp;Q233,挑战模式!$A$3:$Z$52,4+5*MonsterWaveCallRuleCfg!R233,FALSE)</f>
        <v>0.2</v>
      </c>
      <c r="K233" s="102">
        <f t="shared" si="50"/>
        <v>1</v>
      </c>
      <c r="L233" s="102" t="str">
        <f>IF(VLOOKUP(P233&amp;"_"&amp;Q233,挑战模式!$A$3:$Z$52,2+5*R233,FALSE)="","","Monster_Challenge"&amp;P233&amp;"_"&amp;Q233&amp;"_"&amp;R233)</f>
        <v>Monster_Challenge7_3_2</v>
      </c>
      <c r="M233" s="57">
        <f t="shared" si="51"/>
        <v>1</v>
      </c>
      <c r="O233" s="102">
        <f>VLOOKUP(P233&amp;"_"&amp;Q233,挑战模式!$A$3:$Z$52,6+5*MonsterWaveCallRuleCfg!R233,FALSE)</f>
        <v>6</v>
      </c>
      <c r="P233" s="110">
        <f t="shared" si="48"/>
        <v>7</v>
      </c>
      <c r="Q233" s="110">
        <f t="shared" si="46"/>
        <v>3</v>
      </c>
      <c r="R233" s="110">
        <v>2</v>
      </c>
    </row>
    <row r="234" spans="2:18" x14ac:dyDescent="0.2">
      <c r="B234" s="57" t="str">
        <f t="shared" si="52"/>
        <v/>
      </c>
      <c r="D234" s="57" t="str">
        <f t="shared" si="53"/>
        <v/>
      </c>
      <c r="F234" s="57" t="str">
        <f t="shared" si="49"/>
        <v/>
      </c>
      <c r="G234" s="102" t="str">
        <f t="shared" si="47"/>
        <v/>
      </c>
      <c r="I234" s="102">
        <f>VLOOKUP(P234&amp;"_"&amp;Q234,挑战模式!$A$3:$Z$52,3+5*MonsterWaveCallRuleCfg!R234,FALSE)</f>
        <v>4</v>
      </c>
      <c r="J234" s="102">
        <f>VLOOKUP(P234&amp;"_"&amp;Q234,挑战模式!$A$3:$Z$52,4+5*MonsterWaveCallRuleCfg!R234,FALSE)</f>
        <v>4</v>
      </c>
      <c r="K234" s="102">
        <f t="shared" si="50"/>
        <v>1</v>
      </c>
      <c r="L234" s="102" t="str">
        <f>IF(VLOOKUP(P234&amp;"_"&amp;Q234,挑战模式!$A$3:$Z$52,2+5*R234,FALSE)="","","Monster_Challenge"&amp;P234&amp;"_"&amp;Q234&amp;"_"&amp;R234)</f>
        <v>Monster_Challenge7_3_3</v>
      </c>
      <c r="M234" s="57">
        <f t="shared" si="51"/>
        <v>1</v>
      </c>
      <c r="O234" s="102">
        <f>VLOOKUP(P234&amp;"_"&amp;Q234,挑战模式!$A$3:$Z$52,6+5*MonsterWaveCallRuleCfg!R234,FALSE)</f>
        <v>24</v>
      </c>
      <c r="P234" s="110">
        <f t="shared" si="48"/>
        <v>7</v>
      </c>
      <c r="Q234" s="110">
        <f t="shared" ref="Q234:Q297" si="54">IF(C234="",Q233,C234)</f>
        <v>3</v>
      </c>
      <c r="R234" s="110">
        <v>3</v>
      </c>
    </row>
    <row r="235" spans="2:18" x14ac:dyDescent="0.2">
      <c r="B235" s="57" t="str">
        <f t="shared" si="52"/>
        <v/>
      </c>
      <c r="D235" s="57" t="str">
        <f t="shared" si="53"/>
        <v/>
      </c>
      <c r="F235" s="57" t="str">
        <f t="shared" si="49"/>
        <v/>
      </c>
      <c r="G235" s="102" t="str">
        <f t="shared" si="47"/>
        <v/>
      </c>
      <c r="I235" s="102" t="str">
        <f>VLOOKUP(P235&amp;"_"&amp;Q235,挑战模式!$A$3:$Z$52,3+5*MonsterWaveCallRuleCfg!R235,FALSE)</f>
        <v/>
      </c>
      <c r="J235" s="102" t="str">
        <f>VLOOKUP(P235&amp;"_"&amp;Q235,挑战模式!$A$3:$Z$52,4+5*MonsterWaveCallRuleCfg!R235,FALSE)</f>
        <v/>
      </c>
      <c r="K235" s="102" t="str">
        <f t="shared" si="50"/>
        <v/>
      </c>
      <c r="L235" s="102" t="str">
        <f>IF(VLOOKUP(P235&amp;"_"&amp;Q235,挑战模式!$A$3:$Z$52,2+5*R235,FALSE)="","","Monster_Challenge"&amp;P235&amp;"_"&amp;Q235&amp;"_"&amp;R235)</f>
        <v/>
      </c>
      <c r="M235" s="57" t="str">
        <f t="shared" si="51"/>
        <v/>
      </c>
      <c r="O235" s="102" t="str">
        <f>VLOOKUP(P235&amp;"_"&amp;Q235,挑战模式!$A$3:$Z$52,6+5*MonsterWaveCallRuleCfg!R235,FALSE)</f>
        <v/>
      </c>
      <c r="P235" s="110">
        <f t="shared" si="48"/>
        <v>7</v>
      </c>
      <c r="Q235" s="110">
        <f t="shared" si="54"/>
        <v>3</v>
      </c>
      <c r="R235" s="110">
        <v>4</v>
      </c>
    </row>
    <row r="236" spans="2:18" x14ac:dyDescent="0.2">
      <c r="B236" s="57" t="str">
        <f t="shared" si="52"/>
        <v>MonsterWaveCallRule_Challenge7</v>
      </c>
      <c r="C236" s="57">
        <v>4</v>
      </c>
      <c r="D236" s="57" t="str">
        <f t="shared" si="53"/>
        <v>挑战关卡7第4波</v>
      </c>
      <c r="F236" s="57">
        <f t="shared" si="49"/>
        <v>0</v>
      </c>
      <c r="G236" s="102">
        <f t="shared" si="47"/>
        <v>180</v>
      </c>
      <c r="I236" s="102">
        <f>VLOOKUP(P236&amp;"_"&amp;Q236,挑战模式!$A$3:$Z$52,3+5*MonsterWaveCallRuleCfg!R236,FALSE)</f>
        <v>18</v>
      </c>
      <c r="J236" s="102">
        <f>VLOOKUP(P236&amp;"_"&amp;Q236,挑战模式!$A$3:$Z$52,4+5*MonsterWaveCallRuleCfg!R236,FALSE)</f>
        <v>1</v>
      </c>
      <c r="K236" s="102">
        <f t="shared" si="50"/>
        <v>1</v>
      </c>
      <c r="L236" s="102" t="str">
        <f>IF(VLOOKUP(P236&amp;"_"&amp;Q236,挑战模式!$A$3:$Z$52,2+5*R236,FALSE)="","","Monster_Challenge"&amp;P236&amp;"_"&amp;Q236&amp;"_"&amp;R236)</f>
        <v>Monster_Challenge7_4_1</v>
      </c>
      <c r="M236" s="57">
        <f t="shared" si="51"/>
        <v>1</v>
      </c>
      <c r="O236" s="102">
        <f>VLOOKUP(P236&amp;"_"&amp;Q236,挑战模式!$A$3:$Z$52,6+5*MonsterWaveCallRuleCfg!R236,FALSE)</f>
        <v>6</v>
      </c>
      <c r="P236" s="110">
        <f t="shared" si="48"/>
        <v>7</v>
      </c>
      <c r="Q236" s="110">
        <f t="shared" si="54"/>
        <v>4</v>
      </c>
      <c r="R236" s="110">
        <v>1</v>
      </c>
    </row>
    <row r="237" spans="2:18" x14ac:dyDescent="0.2">
      <c r="B237" s="57" t="str">
        <f t="shared" si="52"/>
        <v/>
      </c>
      <c r="D237" s="57" t="str">
        <f t="shared" si="53"/>
        <v/>
      </c>
      <c r="F237" s="57" t="str">
        <f t="shared" si="49"/>
        <v/>
      </c>
      <c r="G237" s="102" t="str">
        <f t="shared" si="47"/>
        <v/>
      </c>
      <c r="I237" s="102">
        <f>VLOOKUP(P237&amp;"_"&amp;Q237,挑战模式!$A$3:$Z$52,3+5*MonsterWaveCallRuleCfg!R237,FALSE)</f>
        <v>44</v>
      </c>
      <c r="J237" s="102">
        <f>VLOOKUP(P237&amp;"_"&amp;Q237,挑战模式!$A$3:$Z$52,4+5*MonsterWaveCallRuleCfg!R237,FALSE)</f>
        <v>0.4</v>
      </c>
      <c r="K237" s="102">
        <f t="shared" si="50"/>
        <v>1</v>
      </c>
      <c r="L237" s="102" t="str">
        <f>IF(VLOOKUP(P237&amp;"_"&amp;Q237,挑战模式!$A$3:$Z$52,2+5*R237,FALSE)="","","Monster_Challenge"&amp;P237&amp;"_"&amp;Q237&amp;"_"&amp;R237)</f>
        <v>Monster_Challenge7_4_2</v>
      </c>
      <c r="M237" s="57">
        <f t="shared" si="51"/>
        <v>1</v>
      </c>
      <c r="O237" s="102">
        <f>VLOOKUP(P237&amp;"_"&amp;Q237,挑战模式!$A$3:$Z$52,6+5*MonsterWaveCallRuleCfg!R237,FALSE)</f>
        <v>3</v>
      </c>
      <c r="P237" s="110">
        <f t="shared" si="48"/>
        <v>7</v>
      </c>
      <c r="Q237" s="110">
        <f t="shared" si="54"/>
        <v>4</v>
      </c>
      <c r="R237" s="110">
        <v>2</v>
      </c>
    </row>
    <row r="238" spans="2:18" x14ac:dyDescent="0.2">
      <c r="B238" s="57" t="str">
        <f t="shared" si="52"/>
        <v/>
      </c>
      <c r="D238" s="57" t="str">
        <f t="shared" si="53"/>
        <v/>
      </c>
      <c r="F238" s="57" t="str">
        <f t="shared" si="49"/>
        <v/>
      </c>
      <c r="G238" s="102" t="str">
        <f t="shared" si="47"/>
        <v/>
      </c>
      <c r="I238" s="102">
        <f>VLOOKUP(P238&amp;"_"&amp;Q238,挑战模式!$A$3:$Z$52,3+5*MonsterWaveCallRuleCfg!R238,FALSE)</f>
        <v>35</v>
      </c>
      <c r="J238" s="102">
        <f>VLOOKUP(P238&amp;"_"&amp;Q238,挑战模式!$A$3:$Z$52,4+5*MonsterWaveCallRuleCfg!R238,FALSE)</f>
        <v>0.5</v>
      </c>
      <c r="K238" s="102">
        <f t="shared" si="50"/>
        <v>1</v>
      </c>
      <c r="L238" s="102" t="str">
        <f>IF(VLOOKUP(P238&amp;"_"&amp;Q238,挑战模式!$A$3:$Z$52,2+5*R238,FALSE)="","","Monster_Challenge"&amp;P238&amp;"_"&amp;Q238&amp;"_"&amp;R238)</f>
        <v>Monster_Challenge7_4_3</v>
      </c>
      <c r="M238" s="57">
        <f t="shared" si="51"/>
        <v>1</v>
      </c>
      <c r="O238" s="102">
        <f>VLOOKUP(P238&amp;"_"&amp;Q238,挑战模式!$A$3:$Z$52,6+5*MonsterWaveCallRuleCfg!R238,FALSE)</f>
        <v>12</v>
      </c>
      <c r="P238" s="110">
        <f t="shared" si="48"/>
        <v>7</v>
      </c>
      <c r="Q238" s="110">
        <f t="shared" si="54"/>
        <v>4</v>
      </c>
      <c r="R238" s="110">
        <v>3</v>
      </c>
    </row>
    <row r="239" spans="2:18" x14ac:dyDescent="0.2">
      <c r="B239" s="57" t="str">
        <f t="shared" si="52"/>
        <v/>
      </c>
      <c r="D239" s="57" t="str">
        <f t="shared" si="53"/>
        <v/>
      </c>
      <c r="F239" s="57" t="str">
        <f t="shared" si="49"/>
        <v/>
      </c>
      <c r="G239" s="102" t="str">
        <f t="shared" si="47"/>
        <v/>
      </c>
      <c r="I239" s="102">
        <f>VLOOKUP(P239&amp;"_"&amp;Q239,挑战模式!$A$3:$Z$52,3+5*MonsterWaveCallRuleCfg!R239,FALSE)</f>
        <v>4</v>
      </c>
      <c r="J239" s="102">
        <f>VLOOKUP(P239&amp;"_"&amp;Q239,挑战模式!$A$3:$Z$52,4+5*MonsterWaveCallRuleCfg!R239,FALSE)</f>
        <v>4</v>
      </c>
      <c r="K239" s="102">
        <f t="shared" si="50"/>
        <v>1</v>
      </c>
      <c r="L239" s="102" t="str">
        <f>IF(VLOOKUP(P239&amp;"_"&amp;Q239,挑战模式!$A$3:$Z$52,2+5*R239,FALSE)="","","Monster_Challenge"&amp;P239&amp;"_"&amp;Q239&amp;"_"&amp;R239)</f>
        <v>Monster_Challenge7_4_4</v>
      </c>
      <c r="M239" s="57">
        <f t="shared" si="51"/>
        <v>1</v>
      </c>
      <c r="O239" s="102">
        <f>VLOOKUP(P239&amp;"_"&amp;Q239,挑战模式!$A$3:$Z$52,6+5*MonsterWaveCallRuleCfg!R239,FALSE)</f>
        <v>12</v>
      </c>
      <c r="P239" s="110">
        <f t="shared" si="48"/>
        <v>7</v>
      </c>
      <c r="Q239" s="110">
        <f t="shared" si="54"/>
        <v>4</v>
      </c>
      <c r="R239" s="110">
        <v>4</v>
      </c>
    </row>
    <row r="240" spans="2:18" x14ac:dyDescent="0.2">
      <c r="B240" s="57" t="str">
        <f t="shared" si="52"/>
        <v>MonsterWaveCallRule_Challenge7</v>
      </c>
      <c r="C240" s="57">
        <v>5</v>
      </c>
      <c r="D240" s="57" t="str">
        <f t="shared" si="53"/>
        <v>挑战关卡7第5波</v>
      </c>
      <c r="F240" s="57">
        <f t="shared" si="49"/>
        <v>0</v>
      </c>
      <c r="G240" s="102">
        <f t="shared" si="47"/>
        <v>180</v>
      </c>
      <c r="I240" s="102">
        <f>VLOOKUP(P240&amp;"_"&amp;Q240,挑战模式!$A$3:$Z$52,3+5*MonsterWaveCallRuleCfg!R240,FALSE)</f>
        <v>67</v>
      </c>
      <c r="J240" s="102">
        <f>VLOOKUP(P240&amp;"_"&amp;Q240,挑战模式!$A$3:$Z$52,4+5*MonsterWaveCallRuleCfg!R240,FALSE)</f>
        <v>0.3</v>
      </c>
      <c r="K240" s="102">
        <f t="shared" si="50"/>
        <v>1</v>
      </c>
      <c r="L240" s="102" t="str">
        <f>IF(VLOOKUP(P240&amp;"_"&amp;Q240,挑战模式!$A$3:$Z$52,2+5*R240,FALSE)="","","Monster_Challenge"&amp;P240&amp;"_"&amp;Q240&amp;"_"&amp;R240)</f>
        <v>Monster_Challenge7_5_1</v>
      </c>
      <c r="M240" s="57">
        <f t="shared" si="51"/>
        <v>1</v>
      </c>
      <c r="O240" s="102">
        <f>VLOOKUP(P240&amp;"_"&amp;Q240,挑战模式!$A$3:$Z$52,6+5*MonsterWaveCallRuleCfg!R240,FALSE)</f>
        <v>3</v>
      </c>
      <c r="P240" s="110">
        <f t="shared" si="48"/>
        <v>7</v>
      </c>
      <c r="Q240" s="110">
        <f t="shared" si="54"/>
        <v>5</v>
      </c>
      <c r="R240" s="110">
        <v>1</v>
      </c>
    </row>
    <row r="241" spans="2:18" x14ac:dyDescent="0.2">
      <c r="B241" s="57" t="str">
        <f t="shared" si="52"/>
        <v/>
      </c>
      <c r="D241" s="57" t="str">
        <f t="shared" si="53"/>
        <v/>
      </c>
      <c r="F241" s="57" t="str">
        <f t="shared" si="49"/>
        <v/>
      </c>
      <c r="G241" s="102" t="str">
        <f t="shared" si="47"/>
        <v/>
      </c>
      <c r="I241" s="102">
        <f>VLOOKUP(P241&amp;"_"&amp;Q241,挑战模式!$A$3:$Z$52,3+5*MonsterWaveCallRuleCfg!R241,FALSE)</f>
        <v>100</v>
      </c>
      <c r="J241" s="102">
        <f>VLOOKUP(P241&amp;"_"&amp;Q241,挑战模式!$A$3:$Z$52,4+5*MonsterWaveCallRuleCfg!R241,FALSE)</f>
        <v>0.2</v>
      </c>
      <c r="K241" s="102">
        <f t="shared" si="50"/>
        <v>1</v>
      </c>
      <c r="L241" s="102" t="str">
        <f>IF(VLOOKUP(P241&amp;"_"&amp;Q241,挑战模式!$A$3:$Z$52,2+5*R241,FALSE)="","","Monster_Challenge"&amp;P241&amp;"_"&amp;Q241&amp;"_"&amp;R241)</f>
        <v>Monster_Challenge7_5_2</v>
      </c>
      <c r="M241" s="57">
        <f t="shared" si="51"/>
        <v>1</v>
      </c>
      <c r="O241" s="102">
        <f>VLOOKUP(P241&amp;"_"&amp;Q241,挑战模式!$A$3:$Z$52,6+5*MonsterWaveCallRuleCfg!R241,FALSE)</f>
        <v>2</v>
      </c>
      <c r="P241" s="110">
        <f t="shared" si="48"/>
        <v>7</v>
      </c>
      <c r="Q241" s="110">
        <f t="shared" si="54"/>
        <v>5</v>
      </c>
      <c r="R241" s="110">
        <v>2</v>
      </c>
    </row>
    <row r="242" spans="2:18" x14ac:dyDescent="0.2">
      <c r="B242" s="57" t="str">
        <f t="shared" si="52"/>
        <v/>
      </c>
      <c r="D242" s="57" t="str">
        <f t="shared" si="53"/>
        <v/>
      </c>
      <c r="F242" s="57" t="str">
        <f t="shared" si="49"/>
        <v/>
      </c>
      <c r="G242" s="102" t="str">
        <f t="shared" si="47"/>
        <v/>
      </c>
      <c r="I242" s="102">
        <f>VLOOKUP(P242&amp;"_"&amp;Q242,挑战模式!$A$3:$Z$52,3+5*MonsterWaveCallRuleCfg!R242,FALSE)</f>
        <v>40</v>
      </c>
      <c r="J242" s="102">
        <f>VLOOKUP(P242&amp;"_"&amp;Q242,挑战模式!$A$3:$Z$52,4+5*MonsterWaveCallRuleCfg!R242,FALSE)</f>
        <v>0.5</v>
      </c>
      <c r="K242" s="102">
        <f t="shared" si="50"/>
        <v>1</v>
      </c>
      <c r="L242" s="102" t="str">
        <f>IF(VLOOKUP(P242&amp;"_"&amp;Q242,挑战模式!$A$3:$Z$52,2+5*R242,FALSE)="","","Monster_Challenge"&amp;P242&amp;"_"&amp;Q242&amp;"_"&amp;R242)</f>
        <v>Monster_Challenge7_5_3</v>
      </c>
      <c r="M242" s="57">
        <f t="shared" si="51"/>
        <v>1</v>
      </c>
      <c r="O242" s="102">
        <f>VLOOKUP(P242&amp;"_"&amp;Q242,挑战模式!$A$3:$Z$52,6+5*MonsterWaveCallRuleCfg!R242,FALSE)</f>
        <v>7</v>
      </c>
      <c r="P242" s="110">
        <f t="shared" si="48"/>
        <v>7</v>
      </c>
      <c r="Q242" s="110">
        <f t="shared" si="54"/>
        <v>5</v>
      </c>
      <c r="R242" s="110">
        <v>3</v>
      </c>
    </row>
    <row r="243" spans="2:18" x14ac:dyDescent="0.2">
      <c r="B243" s="57" t="str">
        <f t="shared" si="52"/>
        <v/>
      </c>
      <c r="D243" s="57" t="str">
        <f t="shared" si="53"/>
        <v/>
      </c>
      <c r="F243" s="57" t="str">
        <f t="shared" si="49"/>
        <v/>
      </c>
      <c r="G243" s="102" t="str">
        <f t="shared" si="47"/>
        <v/>
      </c>
      <c r="I243" s="102">
        <f>VLOOKUP(P243&amp;"_"&amp;Q243,挑战模式!$A$3:$Z$52,3+5*MonsterWaveCallRuleCfg!R243,FALSE)</f>
        <v>10</v>
      </c>
      <c r="J243" s="102">
        <f>VLOOKUP(P243&amp;"_"&amp;Q243,挑战模式!$A$3:$Z$52,4+5*MonsterWaveCallRuleCfg!R243,FALSE)</f>
        <v>2</v>
      </c>
      <c r="K243" s="102">
        <f t="shared" si="50"/>
        <v>1</v>
      </c>
      <c r="L243" s="102" t="str">
        <f>IF(VLOOKUP(P243&amp;"_"&amp;Q243,挑战模式!$A$3:$Z$52,2+5*R243,FALSE)="","","Monster_Challenge"&amp;P243&amp;"_"&amp;Q243&amp;"_"&amp;R243)</f>
        <v>Monster_Challenge7_5_4</v>
      </c>
      <c r="M243" s="57">
        <f t="shared" si="51"/>
        <v>1</v>
      </c>
      <c r="O243" s="102">
        <f>VLOOKUP(P243&amp;"_"&amp;Q243,挑战模式!$A$3:$Z$52,6+5*MonsterWaveCallRuleCfg!R243,FALSE)</f>
        <v>7</v>
      </c>
      <c r="P243" s="110">
        <f t="shared" si="48"/>
        <v>7</v>
      </c>
      <c r="Q243" s="110">
        <f t="shared" si="54"/>
        <v>5</v>
      </c>
      <c r="R243" s="110">
        <v>4</v>
      </c>
    </row>
    <row r="244" spans="2:18" x14ac:dyDescent="0.2">
      <c r="B244" s="57" t="str">
        <f t="shared" si="52"/>
        <v>MonsterWaveCallRule_Challenge8</v>
      </c>
      <c r="C244" s="57">
        <v>1</v>
      </c>
      <c r="D244" s="57" t="str">
        <f t="shared" si="53"/>
        <v>挑战关卡8第1波</v>
      </c>
      <c r="F244" s="57">
        <f t="shared" si="49"/>
        <v>0</v>
      </c>
      <c r="G244" s="102">
        <f t="shared" si="47"/>
        <v>180</v>
      </c>
      <c r="I244" s="102">
        <f>VLOOKUP(P244&amp;"_"&amp;Q244,挑战模式!$A$3:$Z$52,3+5*MonsterWaveCallRuleCfg!R244,FALSE)</f>
        <v>5</v>
      </c>
      <c r="J244" s="102">
        <f>VLOOKUP(P244&amp;"_"&amp;Q244,挑战模式!$A$3:$Z$52,4+5*MonsterWaveCallRuleCfg!R244,FALSE)</f>
        <v>2</v>
      </c>
      <c r="K244" s="102">
        <f t="shared" si="50"/>
        <v>1</v>
      </c>
      <c r="L244" s="102" t="str">
        <f>IF(VLOOKUP(P244&amp;"_"&amp;Q244,挑战模式!$A$3:$Z$52,2+5*R244,FALSE)="","","Monster_Challenge"&amp;P244&amp;"_"&amp;Q244&amp;"_"&amp;R244)</f>
        <v>Monster_Challenge8_1_1</v>
      </c>
      <c r="M244" s="57">
        <f t="shared" si="51"/>
        <v>1</v>
      </c>
      <c r="O244" s="102">
        <f>VLOOKUP(P244&amp;"_"&amp;Q244,挑战模式!$A$3:$Z$52,6+5*MonsterWaveCallRuleCfg!R244,FALSE)</f>
        <v>120</v>
      </c>
      <c r="P244" s="110">
        <f t="shared" si="48"/>
        <v>8</v>
      </c>
      <c r="Q244" s="110">
        <f t="shared" si="54"/>
        <v>1</v>
      </c>
      <c r="R244" s="110">
        <v>1</v>
      </c>
    </row>
    <row r="245" spans="2:18" x14ac:dyDescent="0.2">
      <c r="B245" s="57" t="str">
        <f t="shared" si="52"/>
        <v/>
      </c>
      <c r="D245" s="57" t="str">
        <f t="shared" si="53"/>
        <v/>
      </c>
      <c r="F245" s="57" t="str">
        <f t="shared" si="49"/>
        <v/>
      </c>
      <c r="G245" s="102" t="str">
        <f t="shared" si="47"/>
        <v/>
      </c>
      <c r="I245" s="102">
        <f>VLOOKUP(P245&amp;"_"&amp;Q245,挑战模式!$A$3:$Z$52,3+5*MonsterWaveCallRuleCfg!R245,FALSE)</f>
        <v>1</v>
      </c>
      <c r="J245" s="102">
        <f>VLOOKUP(P245&amp;"_"&amp;Q245,挑战模式!$A$3:$Z$52,4+5*MonsterWaveCallRuleCfg!R245,FALSE)</f>
        <v>0</v>
      </c>
      <c r="K245" s="102">
        <f t="shared" si="50"/>
        <v>1</v>
      </c>
      <c r="L245" s="102" t="str">
        <f>IF(VLOOKUP(P245&amp;"_"&amp;Q245,挑战模式!$A$3:$Z$52,2+5*R245,FALSE)="","","Monster_Challenge"&amp;P245&amp;"_"&amp;Q245&amp;"_"&amp;R245)</f>
        <v>Monster_Challenge8_1_2</v>
      </c>
      <c r="M245" s="57">
        <f t="shared" si="51"/>
        <v>1</v>
      </c>
      <c r="O245" s="102">
        <f>VLOOKUP(P245&amp;"_"&amp;Q245,挑战模式!$A$3:$Z$52,6+5*MonsterWaveCallRuleCfg!R245,FALSE)</f>
        <v>120</v>
      </c>
      <c r="P245" s="110">
        <f t="shared" si="48"/>
        <v>8</v>
      </c>
      <c r="Q245" s="110">
        <f t="shared" si="54"/>
        <v>1</v>
      </c>
      <c r="R245" s="110">
        <v>2</v>
      </c>
    </row>
    <row r="246" spans="2:18" x14ac:dyDescent="0.2">
      <c r="B246" s="57" t="str">
        <f t="shared" si="52"/>
        <v/>
      </c>
      <c r="D246" s="57" t="str">
        <f t="shared" si="53"/>
        <v/>
      </c>
      <c r="F246" s="57" t="str">
        <f t="shared" si="49"/>
        <v/>
      </c>
      <c r="G246" s="102" t="str">
        <f t="shared" si="47"/>
        <v/>
      </c>
      <c r="I246" s="102" t="str">
        <f>VLOOKUP(P246&amp;"_"&amp;Q246,挑战模式!$A$3:$Z$52,3+5*MonsterWaveCallRuleCfg!R246,FALSE)</f>
        <v/>
      </c>
      <c r="J246" s="102" t="str">
        <f>VLOOKUP(P246&amp;"_"&amp;Q246,挑战模式!$A$3:$Z$52,4+5*MonsterWaveCallRuleCfg!R246,FALSE)</f>
        <v/>
      </c>
      <c r="K246" s="102" t="str">
        <f t="shared" si="50"/>
        <v/>
      </c>
      <c r="L246" s="102" t="str">
        <f>IF(VLOOKUP(P246&amp;"_"&amp;Q246,挑战模式!$A$3:$Z$52,2+5*R246,FALSE)="","","Monster_Challenge"&amp;P246&amp;"_"&amp;Q246&amp;"_"&amp;R246)</f>
        <v/>
      </c>
      <c r="M246" s="57" t="str">
        <f t="shared" si="51"/>
        <v/>
      </c>
      <c r="O246" s="102" t="str">
        <f>VLOOKUP(P246&amp;"_"&amp;Q246,挑战模式!$A$3:$Z$52,6+5*MonsterWaveCallRuleCfg!R246,FALSE)</f>
        <v/>
      </c>
      <c r="P246" s="110">
        <f t="shared" si="48"/>
        <v>8</v>
      </c>
      <c r="Q246" s="110">
        <f t="shared" si="54"/>
        <v>1</v>
      </c>
      <c r="R246" s="110">
        <v>3</v>
      </c>
    </row>
    <row r="247" spans="2:18" x14ac:dyDescent="0.2">
      <c r="B247" s="57" t="str">
        <f t="shared" si="52"/>
        <v/>
      </c>
      <c r="D247" s="57" t="str">
        <f t="shared" si="53"/>
        <v/>
      </c>
      <c r="F247" s="57" t="str">
        <f t="shared" si="49"/>
        <v/>
      </c>
      <c r="G247" s="102" t="str">
        <f t="shared" si="47"/>
        <v/>
      </c>
      <c r="I247" s="102" t="str">
        <f>VLOOKUP(P247&amp;"_"&amp;Q247,挑战模式!$A$3:$Z$52,3+5*MonsterWaveCallRuleCfg!R247,FALSE)</f>
        <v/>
      </c>
      <c r="J247" s="102" t="str">
        <f>VLOOKUP(P247&amp;"_"&amp;Q247,挑战模式!$A$3:$Z$52,4+5*MonsterWaveCallRuleCfg!R247,FALSE)</f>
        <v/>
      </c>
      <c r="K247" s="102" t="str">
        <f t="shared" si="50"/>
        <v/>
      </c>
      <c r="L247" s="102" t="str">
        <f>IF(VLOOKUP(P247&amp;"_"&amp;Q247,挑战模式!$A$3:$Z$52,2+5*R247,FALSE)="","","Monster_Challenge"&amp;P247&amp;"_"&amp;Q247&amp;"_"&amp;R247)</f>
        <v/>
      </c>
      <c r="M247" s="57" t="str">
        <f t="shared" si="51"/>
        <v/>
      </c>
      <c r="O247" s="102" t="str">
        <f>VLOOKUP(P247&amp;"_"&amp;Q247,挑战模式!$A$3:$Z$52,6+5*MonsterWaveCallRuleCfg!R247,FALSE)</f>
        <v/>
      </c>
      <c r="P247" s="110">
        <f t="shared" si="48"/>
        <v>8</v>
      </c>
      <c r="Q247" s="110">
        <f t="shared" si="54"/>
        <v>1</v>
      </c>
      <c r="R247" s="110">
        <v>4</v>
      </c>
    </row>
    <row r="248" spans="2:18" x14ac:dyDescent="0.2">
      <c r="B248" s="57" t="str">
        <f t="shared" si="52"/>
        <v>MonsterWaveCallRule_Challenge8</v>
      </c>
      <c r="C248" s="57">
        <v>2</v>
      </c>
      <c r="D248" s="57" t="str">
        <f t="shared" si="53"/>
        <v>挑战关卡8第2波</v>
      </c>
      <c r="F248" s="57">
        <f t="shared" si="49"/>
        <v>0</v>
      </c>
      <c r="G248" s="102">
        <f t="shared" si="47"/>
        <v>180</v>
      </c>
      <c r="I248" s="102">
        <f>VLOOKUP(P248&amp;"_"&amp;Q248,挑战模式!$A$3:$Z$52,3+5*MonsterWaveCallRuleCfg!R248,FALSE)</f>
        <v>6</v>
      </c>
      <c r="J248" s="102">
        <f>VLOOKUP(P248&amp;"_"&amp;Q248,挑战模式!$A$3:$Z$52,4+5*MonsterWaveCallRuleCfg!R248,FALSE)</f>
        <v>2</v>
      </c>
      <c r="K248" s="102">
        <f t="shared" si="50"/>
        <v>1</v>
      </c>
      <c r="L248" s="102" t="str">
        <f>IF(VLOOKUP(P248&amp;"_"&amp;Q248,挑战模式!$A$3:$Z$52,2+5*R248,FALSE)="","","Monster_Challenge"&amp;P248&amp;"_"&amp;Q248&amp;"_"&amp;R248)</f>
        <v>Monster_Challenge8_2_1</v>
      </c>
      <c r="M248" s="57">
        <f t="shared" si="51"/>
        <v>1</v>
      </c>
      <c r="O248" s="102">
        <f>VLOOKUP(P248&amp;"_"&amp;Q248,挑战模式!$A$3:$Z$52,6+5*MonsterWaveCallRuleCfg!R248,FALSE)</f>
        <v>33</v>
      </c>
      <c r="P248" s="110">
        <f t="shared" si="48"/>
        <v>8</v>
      </c>
      <c r="Q248" s="110">
        <f t="shared" si="54"/>
        <v>2</v>
      </c>
      <c r="R248" s="110">
        <v>1</v>
      </c>
    </row>
    <row r="249" spans="2:18" x14ac:dyDescent="0.2">
      <c r="B249" s="57" t="str">
        <f t="shared" si="52"/>
        <v/>
      </c>
      <c r="D249" s="57" t="str">
        <f t="shared" si="53"/>
        <v/>
      </c>
      <c r="F249" s="57" t="str">
        <f t="shared" si="49"/>
        <v/>
      </c>
      <c r="G249" s="102" t="str">
        <f t="shared" si="47"/>
        <v/>
      </c>
      <c r="I249" s="102">
        <f>VLOOKUP(P249&amp;"_"&amp;Q249,挑战模式!$A$3:$Z$52,3+5*MonsterWaveCallRuleCfg!R249,FALSE)</f>
        <v>13</v>
      </c>
      <c r="J249" s="102">
        <f>VLOOKUP(P249&amp;"_"&amp;Q249,挑战模式!$A$3:$Z$52,4+5*MonsterWaveCallRuleCfg!R249,FALSE)</f>
        <v>1</v>
      </c>
      <c r="K249" s="102">
        <f t="shared" si="50"/>
        <v>1</v>
      </c>
      <c r="L249" s="102" t="str">
        <f>IF(VLOOKUP(P249&amp;"_"&amp;Q249,挑战模式!$A$3:$Z$52,2+5*R249,FALSE)="","","Monster_Challenge"&amp;P249&amp;"_"&amp;Q249&amp;"_"&amp;R249)</f>
        <v>Monster_Challenge8_2_2</v>
      </c>
      <c r="M249" s="57">
        <f t="shared" si="51"/>
        <v>1</v>
      </c>
      <c r="O249" s="102">
        <f>VLOOKUP(P249&amp;"_"&amp;Q249,挑战模式!$A$3:$Z$52,6+5*MonsterWaveCallRuleCfg!R249,FALSE)</f>
        <v>33</v>
      </c>
      <c r="P249" s="110">
        <f t="shared" si="48"/>
        <v>8</v>
      </c>
      <c r="Q249" s="110">
        <f t="shared" si="54"/>
        <v>2</v>
      </c>
      <c r="R249" s="110">
        <v>2</v>
      </c>
    </row>
    <row r="250" spans="2:18" x14ac:dyDescent="0.2">
      <c r="B250" s="57" t="str">
        <f t="shared" si="52"/>
        <v/>
      </c>
      <c r="D250" s="57" t="str">
        <f t="shared" si="53"/>
        <v/>
      </c>
      <c r="F250" s="57" t="str">
        <f t="shared" si="49"/>
        <v/>
      </c>
      <c r="G250" s="102" t="str">
        <f t="shared" si="47"/>
        <v/>
      </c>
      <c r="I250" s="102">
        <f>VLOOKUP(P250&amp;"_"&amp;Q250,挑战模式!$A$3:$Z$52,3+5*MonsterWaveCallRuleCfg!R250,FALSE)</f>
        <v>3</v>
      </c>
      <c r="J250" s="102">
        <f>VLOOKUP(P250&amp;"_"&amp;Q250,挑战模式!$A$3:$Z$52,4+5*MonsterWaveCallRuleCfg!R250,FALSE)</f>
        <v>4</v>
      </c>
      <c r="K250" s="102">
        <f t="shared" si="50"/>
        <v>1</v>
      </c>
      <c r="L250" s="102" t="str">
        <f>IF(VLOOKUP(P250&amp;"_"&amp;Q250,挑战模式!$A$3:$Z$52,2+5*R250,FALSE)="","","Monster_Challenge"&amp;P250&amp;"_"&amp;Q250&amp;"_"&amp;R250)</f>
        <v>Monster_Challenge8_2_3</v>
      </c>
      <c r="M250" s="57">
        <f t="shared" si="51"/>
        <v>1</v>
      </c>
      <c r="O250" s="102">
        <f>VLOOKUP(P250&amp;"_"&amp;Q250,挑战模式!$A$3:$Z$52,6+5*MonsterWaveCallRuleCfg!R250,FALSE)</f>
        <v>33</v>
      </c>
      <c r="P250" s="110">
        <f t="shared" si="48"/>
        <v>8</v>
      </c>
      <c r="Q250" s="110">
        <f t="shared" si="54"/>
        <v>2</v>
      </c>
      <c r="R250" s="110">
        <v>3</v>
      </c>
    </row>
    <row r="251" spans="2:18" x14ac:dyDescent="0.2">
      <c r="B251" s="57" t="str">
        <f t="shared" si="52"/>
        <v/>
      </c>
      <c r="D251" s="57" t="str">
        <f t="shared" si="53"/>
        <v/>
      </c>
      <c r="F251" s="57" t="str">
        <f t="shared" si="49"/>
        <v/>
      </c>
      <c r="G251" s="102" t="str">
        <f t="shared" si="47"/>
        <v/>
      </c>
      <c r="I251" s="102" t="str">
        <f>VLOOKUP(P251&amp;"_"&amp;Q251,挑战模式!$A$3:$Z$52,3+5*MonsterWaveCallRuleCfg!R251,FALSE)</f>
        <v/>
      </c>
      <c r="J251" s="102" t="str">
        <f>VLOOKUP(P251&amp;"_"&amp;Q251,挑战模式!$A$3:$Z$52,4+5*MonsterWaveCallRuleCfg!R251,FALSE)</f>
        <v/>
      </c>
      <c r="K251" s="102" t="str">
        <f t="shared" si="50"/>
        <v/>
      </c>
      <c r="L251" s="102" t="str">
        <f>IF(VLOOKUP(P251&amp;"_"&amp;Q251,挑战模式!$A$3:$Z$52,2+5*R251,FALSE)="","","Monster_Challenge"&amp;P251&amp;"_"&amp;Q251&amp;"_"&amp;R251)</f>
        <v/>
      </c>
      <c r="M251" s="57" t="str">
        <f t="shared" si="51"/>
        <v/>
      </c>
      <c r="O251" s="102" t="str">
        <f>VLOOKUP(P251&amp;"_"&amp;Q251,挑战模式!$A$3:$Z$52,6+5*MonsterWaveCallRuleCfg!R251,FALSE)</f>
        <v/>
      </c>
      <c r="P251" s="110">
        <f t="shared" si="48"/>
        <v>8</v>
      </c>
      <c r="Q251" s="110">
        <f t="shared" si="54"/>
        <v>2</v>
      </c>
      <c r="R251" s="110">
        <v>4</v>
      </c>
    </row>
    <row r="252" spans="2:18" x14ac:dyDescent="0.2">
      <c r="B252" s="57" t="str">
        <f t="shared" si="52"/>
        <v>MonsterWaveCallRule_Challenge8</v>
      </c>
      <c r="C252" s="57">
        <v>3</v>
      </c>
      <c r="D252" s="57" t="str">
        <f t="shared" si="53"/>
        <v>挑战关卡8第3波</v>
      </c>
      <c r="F252" s="57">
        <f t="shared" si="49"/>
        <v>0</v>
      </c>
      <c r="G252" s="102">
        <f t="shared" si="47"/>
        <v>180</v>
      </c>
      <c r="I252" s="102">
        <f>VLOOKUP(P252&amp;"_"&amp;Q252,挑战模式!$A$3:$Z$52,3+5*MonsterWaveCallRuleCfg!R252,FALSE)</f>
        <v>8</v>
      </c>
      <c r="J252" s="102">
        <f>VLOOKUP(P252&amp;"_"&amp;Q252,挑战模式!$A$3:$Z$52,4+5*MonsterWaveCallRuleCfg!R252,FALSE)</f>
        <v>2</v>
      </c>
      <c r="K252" s="102">
        <f t="shared" si="50"/>
        <v>1</v>
      </c>
      <c r="L252" s="102" t="str">
        <f>IF(VLOOKUP(P252&amp;"_"&amp;Q252,挑战模式!$A$3:$Z$52,2+5*R252,FALSE)="","","Monster_Challenge"&amp;P252&amp;"_"&amp;Q252&amp;"_"&amp;R252)</f>
        <v>Monster_Challenge8_3_1</v>
      </c>
      <c r="M252" s="57">
        <f t="shared" si="51"/>
        <v>1</v>
      </c>
      <c r="O252" s="102">
        <f>VLOOKUP(P252&amp;"_"&amp;Q252,挑战模式!$A$3:$Z$52,6+5*MonsterWaveCallRuleCfg!R252,FALSE)</f>
        <v>29</v>
      </c>
      <c r="P252" s="110">
        <f t="shared" si="48"/>
        <v>8</v>
      </c>
      <c r="Q252" s="110">
        <f t="shared" si="54"/>
        <v>3</v>
      </c>
      <c r="R252" s="110">
        <v>1</v>
      </c>
    </row>
    <row r="253" spans="2:18" x14ac:dyDescent="0.2">
      <c r="B253" s="57" t="str">
        <f t="shared" si="52"/>
        <v/>
      </c>
      <c r="D253" s="57" t="str">
        <f t="shared" si="53"/>
        <v/>
      </c>
      <c r="F253" s="57" t="str">
        <f t="shared" si="49"/>
        <v/>
      </c>
      <c r="G253" s="102" t="str">
        <f t="shared" si="47"/>
        <v/>
      </c>
      <c r="I253" s="102">
        <f>VLOOKUP(P253&amp;"_"&amp;Q253,挑战模式!$A$3:$Z$52,3+5*MonsterWaveCallRuleCfg!R253,FALSE)</f>
        <v>50</v>
      </c>
      <c r="J253" s="102">
        <f>VLOOKUP(P253&amp;"_"&amp;Q253,挑战模式!$A$3:$Z$52,4+5*MonsterWaveCallRuleCfg!R253,FALSE)</f>
        <v>0.3</v>
      </c>
      <c r="K253" s="102">
        <f t="shared" si="50"/>
        <v>1</v>
      </c>
      <c r="L253" s="102" t="str">
        <f>IF(VLOOKUP(P253&amp;"_"&amp;Q253,挑战模式!$A$3:$Z$52,2+5*R253,FALSE)="","","Monster_Challenge"&amp;P253&amp;"_"&amp;Q253&amp;"_"&amp;R253)</f>
        <v>Monster_Challenge8_3_2</v>
      </c>
      <c r="M253" s="57">
        <f t="shared" si="51"/>
        <v>1</v>
      </c>
      <c r="O253" s="102">
        <f>VLOOKUP(P253&amp;"_"&amp;Q253,挑战模式!$A$3:$Z$52,6+5*MonsterWaveCallRuleCfg!R253,FALSE)</f>
        <v>7</v>
      </c>
      <c r="P253" s="110">
        <f t="shared" si="48"/>
        <v>8</v>
      </c>
      <c r="Q253" s="110">
        <f t="shared" si="54"/>
        <v>3</v>
      </c>
      <c r="R253" s="110">
        <v>2</v>
      </c>
    </row>
    <row r="254" spans="2:18" x14ac:dyDescent="0.2">
      <c r="B254" s="57" t="str">
        <f t="shared" si="52"/>
        <v/>
      </c>
      <c r="D254" s="57" t="str">
        <f t="shared" si="53"/>
        <v/>
      </c>
      <c r="F254" s="57" t="str">
        <f t="shared" si="49"/>
        <v/>
      </c>
      <c r="G254" s="102" t="str">
        <f t="shared" si="47"/>
        <v/>
      </c>
      <c r="I254" s="102">
        <f>VLOOKUP(P254&amp;"_"&amp;Q254,挑战模式!$A$3:$Z$52,3+5*MonsterWaveCallRuleCfg!R254,FALSE)</f>
        <v>4</v>
      </c>
      <c r="J254" s="102">
        <f>VLOOKUP(P254&amp;"_"&amp;Q254,挑战模式!$A$3:$Z$52,4+5*MonsterWaveCallRuleCfg!R254,FALSE)</f>
        <v>4</v>
      </c>
      <c r="K254" s="102">
        <f t="shared" si="50"/>
        <v>1</v>
      </c>
      <c r="L254" s="102" t="str">
        <f>IF(VLOOKUP(P254&amp;"_"&amp;Q254,挑战模式!$A$3:$Z$52,2+5*R254,FALSE)="","","Monster_Challenge"&amp;P254&amp;"_"&amp;Q254&amp;"_"&amp;R254)</f>
        <v>Monster_Challenge8_3_3</v>
      </c>
      <c r="M254" s="57">
        <f t="shared" si="51"/>
        <v>1</v>
      </c>
      <c r="O254" s="102">
        <f>VLOOKUP(P254&amp;"_"&amp;Q254,挑战模式!$A$3:$Z$52,6+5*MonsterWaveCallRuleCfg!R254,FALSE)</f>
        <v>29</v>
      </c>
      <c r="P254" s="110">
        <f t="shared" si="48"/>
        <v>8</v>
      </c>
      <c r="Q254" s="110">
        <f t="shared" si="54"/>
        <v>3</v>
      </c>
      <c r="R254" s="110">
        <v>3</v>
      </c>
    </row>
    <row r="255" spans="2:18" x14ac:dyDescent="0.2">
      <c r="B255" s="57" t="str">
        <f t="shared" si="52"/>
        <v/>
      </c>
      <c r="D255" s="57" t="str">
        <f t="shared" si="53"/>
        <v/>
      </c>
      <c r="F255" s="57" t="str">
        <f t="shared" si="49"/>
        <v/>
      </c>
      <c r="G255" s="102" t="str">
        <f t="shared" si="47"/>
        <v/>
      </c>
      <c r="I255" s="102" t="str">
        <f>VLOOKUP(P255&amp;"_"&amp;Q255,挑战模式!$A$3:$Z$52,3+5*MonsterWaveCallRuleCfg!R255,FALSE)</f>
        <v/>
      </c>
      <c r="J255" s="102" t="str">
        <f>VLOOKUP(P255&amp;"_"&amp;Q255,挑战模式!$A$3:$Z$52,4+5*MonsterWaveCallRuleCfg!R255,FALSE)</f>
        <v/>
      </c>
      <c r="K255" s="102" t="str">
        <f t="shared" si="50"/>
        <v/>
      </c>
      <c r="L255" s="102" t="str">
        <f>IF(VLOOKUP(P255&amp;"_"&amp;Q255,挑战模式!$A$3:$Z$52,2+5*R255,FALSE)="","","Monster_Challenge"&amp;P255&amp;"_"&amp;Q255&amp;"_"&amp;R255)</f>
        <v/>
      </c>
      <c r="M255" s="57" t="str">
        <f t="shared" si="51"/>
        <v/>
      </c>
      <c r="O255" s="102" t="str">
        <f>VLOOKUP(P255&amp;"_"&amp;Q255,挑战模式!$A$3:$Z$52,6+5*MonsterWaveCallRuleCfg!R255,FALSE)</f>
        <v/>
      </c>
      <c r="P255" s="110">
        <f t="shared" si="48"/>
        <v>8</v>
      </c>
      <c r="Q255" s="110">
        <f t="shared" si="54"/>
        <v>3</v>
      </c>
      <c r="R255" s="110">
        <v>4</v>
      </c>
    </row>
    <row r="256" spans="2:18" x14ac:dyDescent="0.2">
      <c r="B256" s="57" t="str">
        <f t="shared" si="52"/>
        <v>MonsterWaveCallRule_Challenge8</v>
      </c>
      <c r="C256" s="57">
        <v>4</v>
      </c>
      <c r="D256" s="57" t="str">
        <f t="shared" si="53"/>
        <v>挑战关卡8第4波</v>
      </c>
      <c r="F256" s="57">
        <f t="shared" si="49"/>
        <v>0</v>
      </c>
      <c r="G256" s="102">
        <f t="shared" si="47"/>
        <v>180</v>
      </c>
      <c r="I256" s="102">
        <f>VLOOKUP(P256&amp;"_"&amp;Q256,挑战模式!$A$3:$Z$52,3+5*MonsterWaveCallRuleCfg!R256,FALSE)</f>
        <v>9</v>
      </c>
      <c r="J256" s="102">
        <f>VLOOKUP(P256&amp;"_"&amp;Q256,挑战模式!$A$3:$Z$52,4+5*MonsterWaveCallRuleCfg!R256,FALSE)</f>
        <v>2</v>
      </c>
      <c r="K256" s="102">
        <f t="shared" si="50"/>
        <v>1</v>
      </c>
      <c r="L256" s="102" t="str">
        <f>IF(VLOOKUP(P256&amp;"_"&amp;Q256,挑战模式!$A$3:$Z$52,2+5*R256,FALSE)="","","Monster_Challenge"&amp;P256&amp;"_"&amp;Q256&amp;"_"&amp;R256)</f>
        <v>Monster_Challenge8_4_1</v>
      </c>
      <c r="M256" s="57">
        <f t="shared" si="51"/>
        <v>1</v>
      </c>
      <c r="O256" s="102">
        <f>VLOOKUP(P256&amp;"_"&amp;Q256,挑战模式!$A$3:$Z$52,6+5*MonsterWaveCallRuleCfg!R256,FALSE)</f>
        <v>20</v>
      </c>
      <c r="P256" s="110">
        <f t="shared" si="48"/>
        <v>8</v>
      </c>
      <c r="Q256" s="110">
        <f t="shared" si="54"/>
        <v>4</v>
      </c>
      <c r="R256" s="110">
        <v>1</v>
      </c>
    </row>
    <row r="257" spans="2:18" x14ac:dyDescent="0.2">
      <c r="B257" s="57" t="str">
        <f t="shared" si="52"/>
        <v/>
      </c>
      <c r="D257" s="57" t="str">
        <f t="shared" si="53"/>
        <v/>
      </c>
      <c r="F257" s="57" t="str">
        <f t="shared" si="49"/>
        <v/>
      </c>
      <c r="G257" s="102" t="str">
        <f t="shared" si="47"/>
        <v/>
      </c>
      <c r="I257" s="102">
        <f>VLOOKUP(P257&amp;"_"&amp;Q257,挑战模式!$A$3:$Z$52,3+5*MonsterWaveCallRuleCfg!R257,FALSE)</f>
        <v>58</v>
      </c>
      <c r="J257" s="102">
        <f>VLOOKUP(P257&amp;"_"&amp;Q257,挑战模式!$A$3:$Z$52,4+5*MonsterWaveCallRuleCfg!R257,FALSE)</f>
        <v>0.3</v>
      </c>
      <c r="K257" s="102">
        <f t="shared" si="50"/>
        <v>1</v>
      </c>
      <c r="L257" s="102" t="str">
        <f>IF(VLOOKUP(P257&amp;"_"&amp;Q257,挑战模式!$A$3:$Z$52,2+5*R257,FALSE)="","","Monster_Challenge"&amp;P257&amp;"_"&amp;Q257&amp;"_"&amp;R257)</f>
        <v>Monster_Challenge8_4_2</v>
      </c>
      <c r="M257" s="57">
        <f t="shared" si="51"/>
        <v>1</v>
      </c>
      <c r="O257" s="102">
        <f>VLOOKUP(P257&amp;"_"&amp;Q257,挑战模式!$A$3:$Z$52,6+5*MonsterWaveCallRuleCfg!R257,FALSE)</f>
        <v>5</v>
      </c>
      <c r="P257" s="110">
        <f t="shared" si="48"/>
        <v>8</v>
      </c>
      <c r="Q257" s="110">
        <f t="shared" si="54"/>
        <v>4</v>
      </c>
      <c r="R257" s="110">
        <v>2</v>
      </c>
    </row>
    <row r="258" spans="2:18" x14ac:dyDescent="0.2">
      <c r="B258" s="57" t="str">
        <f t="shared" si="52"/>
        <v/>
      </c>
      <c r="D258" s="57" t="str">
        <f t="shared" si="53"/>
        <v/>
      </c>
      <c r="F258" s="57" t="str">
        <f t="shared" si="49"/>
        <v/>
      </c>
      <c r="G258" s="102" t="str">
        <f t="shared" si="47"/>
        <v/>
      </c>
      <c r="I258" s="102">
        <f>VLOOKUP(P258&amp;"_"&amp;Q258,挑战模式!$A$3:$Z$52,3+5*MonsterWaveCallRuleCfg!R258,FALSE)</f>
        <v>18</v>
      </c>
      <c r="J258" s="102">
        <f>VLOOKUP(P258&amp;"_"&amp;Q258,挑战模式!$A$3:$Z$52,4+5*MonsterWaveCallRuleCfg!R258,FALSE)</f>
        <v>1</v>
      </c>
      <c r="K258" s="102">
        <f t="shared" si="50"/>
        <v>1</v>
      </c>
      <c r="L258" s="102" t="str">
        <f>IF(VLOOKUP(P258&amp;"_"&amp;Q258,挑战模式!$A$3:$Z$52,2+5*R258,FALSE)="","","Monster_Challenge"&amp;P258&amp;"_"&amp;Q258&amp;"_"&amp;R258)</f>
        <v>Monster_Challenge8_4_3</v>
      </c>
      <c r="M258" s="57">
        <f t="shared" si="51"/>
        <v>1</v>
      </c>
      <c r="O258" s="102">
        <f>VLOOKUP(P258&amp;"_"&amp;Q258,挑战模式!$A$3:$Z$52,6+5*MonsterWaveCallRuleCfg!R258,FALSE)</f>
        <v>10</v>
      </c>
      <c r="P258" s="110">
        <f t="shared" si="48"/>
        <v>8</v>
      </c>
      <c r="Q258" s="110">
        <f t="shared" si="54"/>
        <v>4</v>
      </c>
      <c r="R258" s="110">
        <v>3</v>
      </c>
    </row>
    <row r="259" spans="2:18" x14ac:dyDescent="0.2">
      <c r="B259" s="57" t="str">
        <f t="shared" si="52"/>
        <v/>
      </c>
      <c r="D259" s="57" t="str">
        <f t="shared" si="53"/>
        <v/>
      </c>
      <c r="F259" s="57" t="str">
        <f t="shared" si="49"/>
        <v/>
      </c>
      <c r="G259" s="102" t="str">
        <f t="shared" si="47"/>
        <v/>
      </c>
      <c r="I259" s="102">
        <f>VLOOKUP(P259&amp;"_"&amp;Q259,挑战模式!$A$3:$Z$52,3+5*MonsterWaveCallRuleCfg!R259,FALSE)</f>
        <v>4</v>
      </c>
      <c r="J259" s="102">
        <f>VLOOKUP(P259&amp;"_"&amp;Q259,挑战模式!$A$3:$Z$52,4+5*MonsterWaveCallRuleCfg!R259,FALSE)</f>
        <v>4</v>
      </c>
      <c r="K259" s="102">
        <f t="shared" si="50"/>
        <v>1</v>
      </c>
      <c r="L259" s="102" t="str">
        <f>IF(VLOOKUP(P259&amp;"_"&amp;Q259,挑战模式!$A$3:$Z$52,2+5*R259,FALSE)="","","Monster_Challenge"&amp;P259&amp;"_"&amp;Q259&amp;"_"&amp;R259)</f>
        <v>Monster_Challenge8_4_4</v>
      </c>
      <c r="M259" s="57">
        <f t="shared" si="51"/>
        <v>1</v>
      </c>
      <c r="O259" s="102">
        <f>VLOOKUP(P259&amp;"_"&amp;Q259,挑战模式!$A$3:$Z$52,6+5*MonsterWaveCallRuleCfg!R259,FALSE)</f>
        <v>20</v>
      </c>
      <c r="P259" s="110">
        <f t="shared" si="48"/>
        <v>8</v>
      </c>
      <c r="Q259" s="110">
        <f t="shared" si="54"/>
        <v>4</v>
      </c>
      <c r="R259" s="110">
        <v>4</v>
      </c>
    </row>
    <row r="260" spans="2:18" x14ac:dyDescent="0.2">
      <c r="B260" s="57" t="str">
        <f t="shared" si="52"/>
        <v>MonsterWaveCallRule_Challenge8</v>
      </c>
      <c r="C260" s="57">
        <v>5</v>
      </c>
      <c r="D260" s="57" t="str">
        <f t="shared" si="53"/>
        <v>挑战关卡8第5波</v>
      </c>
      <c r="F260" s="57">
        <f t="shared" si="49"/>
        <v>0</v>
      </c>
      <c r="G260" s="102">
        <f t="shared" si="47"/>
        <v>180</v>
      </c>
      <c r="I260" s="102">
        <f>VLOOKUP(P260&amp;"_"&amp;Q260,挑战模式!$A$3:$Z$52,3+5*MonsterWaveCallRuleCfg!R260,FALSE)</f>
        <v>20</v>
      </c>
      <c r="J260" s="102">
        <f>VLOOKUP(P260&amp;"_"&amp;Q260,挑战模式!$A$3:$Z$52,4+5*MonsterWaveCallRuleCfg!R260,FALSE)</f>
        <v>1</v>
      </c>
      <c r="K260" s="102">
        <f t="shared" si="50"/>
        <v>1</v>
      </c>
      <c r="L260" s="102" t="str">
        <f>IF(VLOOKUP(P260&amp;"_"&amp;Q260,挑战模式!$A$3:$Z$52,2+5*R260,FALSE)="","","Monster_Challenge"&amp;P260&amp;"_"&amp;Q260&amp;"_"&amp;R260)</f>
        <v>Monster_Challenge8_5_1</v>
      </c>
      <c r="M260" s="57">
        <f t="shared" si="51"/>
        <v>1</v>
      </c>
      <c r="O260" s="102">
        <f>VLOOKUP(P260&amp;"_"&amp;Q260,挑战模式!$A$3:$Z$52,6+5*MonsterWaveCallRuleCfg!R260,FALSE)</f>
        <v>9</v>
      </c>
      <c r="P260" s="110">
        <f t="shared" si="48"/>
        <v>8</v>
      </c>
      <c r="Q260" s="110">
        <f t="shared" si="54"/>
        <v>5</v>
      </c>
      <c r="R260" s="110">
        <v>1</v>
      </c>
    </row>
    <row r="261" spans="2:18" x14ac:dyDescent="0.2">
      <c r="B261" s="57" t="str">
        <f t="shared" si="52"/>
        <v/>
      </c>
      <c r="D261" s="57" t="str">
        <f t="shared" si="53"/>
        <v/>
      </c>
      <c r="F261" s="57" t="str">
        <f t="shared" si="49"/>
        <v/>
      </c>
      <c r="G261" s="102" t="str">
        <f t="shared" si="47"/>
        <v/>
      </c>
      <c r="I261" s="102">
        <f>VLOOKUP(P261&amp;"_"&amp;Q261,挑战模式!$A$3:$Z$52,3+5*MonsterWaveCallRuleCfg!R261,FALSE)</f>
        <v>20</v>
      </c>
      <c r="J261" s="102">
        <f>VLOOKUP(P261&amp;"_"&amp;Q261,挑战模式!$A$3:$Z$52,4+5*MonsterWaveCallRuleCfg!R261,FALSE)</f>
        <v>1</v>
      </c>
      <c r="K261" s="102">
        <f t="shared" si="50"/>
        <v>1</v>
      </c>
      <c r="L261" s="102" t="str">
        <f>IF(VLOOKUP(P261&amp;"_"&amp;Q261,挑战模式!$A$3:$Z$52,2+5*R261,FALSE)="","","Monster_Challenge"&amp;P261&amp;"_"&amp;Q261&amp;"_"&amp;R261)</f>
        <v>Monster_Challenge8_5_2</v>
      </c>
      <c r="M261" s="57">
        <f t="shared" si="51"/>
        <v>1</v>
      </c>
      <c r="O261" s="102">
        <f>VLOOKUP(P261&amp;"_"&amp;Q261,挑战模式!$A$3:$Z$52,6+5*MonsterWaveCallRuleCfg!R261,FALSE)</f>
        <v>9</v>
      </c>
      <c r="P261" s="110">
        <f t="shared" si="48"/>
        <v>8</v>
      </c>
      <c r="Q261" s="110">
        <f t="shared" si="54"/>
        <v>5</v>
      </c>
      <c r="R261" s="110">
        <v>2</v>
      </c>
    </row>
    <row r="262" spans="2:18" x14ac:dyDescent="0.2">
      <c r="B262" s="57" t="str">
        <f t="shared" si="52"/>
        <v/>
      </c>
      <c r="D262" s="57" t="str">
        <f t="shared" si="53"/>
        <v/>
      </c>
      <c r="F262" s="57" t="str">
        <f t="shared" si="49"/>
        <v/>
      </c>
      <c r="G262" s="102" t="str">
        <f t="shared" si="47"/>
        <v/>
      </c>
      <c r="I262" s="102">
        <f>VLOOKUP(P262&amp;"_"&amp;Q262,挑战模式!$A$3:$Z$52,3+5*MonsterWaveCallRuleCfg!R262,FALSE)</f>
        <v>67</v>
      </c>
      <c r="J262" s="102">
        <f>VLOOKUP(P262&amp;"_"&amp;Q262,挑战模式!$A$3:$Z$52,4+5*MonsterWaveCallRuleCfg!R262,FALSE)</f>
        <v>0.3</v>
      </c>
      <c r="K262" s="102">
        <f t="shared" si="50"/>
        <v>1</v>
      </c>
      <c r="L262" s="102" t="str">
        <f>IF(VLOOKUP(P262&amp;"_"&amp;Q262,挑战模式!$A$3:$Z$52,2+5*R262,FALSE)="","","Monster_Challenge"&amp;P262&amp;"_"&amp;Q262&amp;"_"&amp;R262)</f>
        <v>Monster_Challenge8_5_3</v>
      </c>
      <c r="M262" s="57">
        <f t="shared" si="51"/>
        <v>1</v>
      </c>
      <c r="O262" s="102">
        <f>VLOOKUP(P262&amp;"_"&amp;Q262,挑战模式!$A$3:$Z$52,6+5*MonsterWaveCallRuleCfg!R262,FALSE)</f>
        <v>4</v>
      </c>
      <c r="P262" s="110">
        <f t="shared" si="48"/>
        <v>8</v>
      </c>
      <c r="Q262" s="110">
        <f t="shared" si="54"/>
        <v>5</v>
      </c>
      <c r="R262" s="110">
        <v>3</v>
      </c>
    </row>
    <row r="263" spans="2:18" x14ac:dyDescent="0.2">
      <c r="B263" s="57" t="str">
        <f t="shared" si="52"/>
        <v/>
      </c>
      <c r="D263" s="57" t="str">
        <f t="shared" si="53"/>
        <v/>
      </c>
      <c r="F263" s="57" t="str">
        <f t="shared" si="49"/>
        <v/>
      </c>
      <c r="G263" s="102" t="str">
        <f t="shared" si="47"/>
        <v/>
      </c>
      <c r="I263" s="102">
        <f>VLOOKUP(P263&amp;"_"&amp;Q263,挑战模式!$A$3:$Z$52,3+5*MonsterWaveCallRuleCfg!R263,FALSE)</f>
        <v>10</v>
      </c>
      <c r="J263" s="102">
        <f>VLOOKUP(P263&amp;"_"&amp;Q263,挑战模式!$A$3:$Z$52,4+5*MonsterWaveCallRuleCfg!R263,FALSE)</f>
        <v>2</v>
      </c>
      <c r="K263" s="102">
        <f t="shared" si="50"/>
        <v>1</v>
      </c>
      <c r="L263" s="102" t="str">
        <f>IF(VLOOKUP(P263&amp;"_"&amp;Q263,挑战模式!$A$3:$Z$52,2+5*R263,FALSE)="","","Monster_Challenge"&amp;P263&amp;"_"&amp;Q263&amp;"_"&amp;R263)</f>
        <v>Monster_Challenge8_5_4</v>
      </c>
      <c r="M263" s="57">
        <f t="shared" si="51"/>
        <v>1</v>
      </c>
      <c r="O263" s="102">
        <f>VLOOKUP(P263&amp;"_"&amp;Q263,挑战模式!$A$3:$Z$52,6+5*MonsterWaveCallRuleCfg!R263,FALSE)</f>
        <v>9</v>
      </c>
      <c r="P263" s="110">
        <f t="shared" si="48"/>
        <v>8</v>
      </c>
      <c r="Q263" s="110">
        <f t="shared" si="54"/>
        <v>5</v>
      </c>
      <c r="R263" s="110">
        <v>4</v>
      </c>
    </row>
    <row r="264" spans="2:18" x14ac:dyDescent="0.2">
      <c r="B264" s="57" t="str">
        <f t="shared" si="52"/>
        <v>MonsterWaveCallRule_Challenge9</v>
      </c>
      <c r="C264" s="57">
        <v>1</v>
      </c>
      <c r="D264" s="57" t="str">
        <f t="shared" si="53"/>
        <v>挑战关卡9第1波</v>
      </c>
      <c r="F264" s="57">
        <f t="shared" si="49"/>
        <v>0</v>
      </c>
      <c r="G264" s="102">
        <f t="shared" si="47"/>
        <v>180</v>
      </c>
      <c r="I264" s="102">
        <f>VLOOKUP(P264&amp;"_"&amp;Q264,挑战模式!$A$3:$Z$52,3+5*MonsterWaveCallRuleCfg!R264,FALSE)</f>
        <v>7</v>
      </c>
      <c r="J264" s="102">
        <f>VLOOKUP(P264&amp;"_"&amp;Q264,挑战模式!$A$3:$Z$52,4+5*MonsterWaveCallRuleCfg!R264,FALSE)</f>
        <v>1.5</v>
      </c>
      <c r="K264" s="102">
        <f t="shared" si="50"/>
        <v>1</v>
      </c>
      <c r="L264" s="102" t="str">
        <f>IF(VLOOKUP(P264&amp;"_"&amp;Q264,挑战模式!$A$3:$Z$52,2+5*R264,FALSE)="","","Monster_Challenge"&amp;P264&amp;"_"&amp;Q264&amp;"_"&amp;R264)</f>
        <v>Monster_Challenge9_1_1</v>
      </c>
      <c r="M264" s="57">
        <f t="shared" si="51"/>
        <v>1</v>
      </c>
      <c r="O264" s="102">
        <f>VLOOKUP(P264&amp;"_"&amp;Q264,挑战模式!$A$3:$Z$52,6+5*MonsterWaveCallRuleCfg!R264,FALSE)</f>
        <v>80</v>
      </c>
      <c r="P264" s="110">
        <f t="shared" si="48"/>
        <v>9</v>
      </c>
      <c r="Q264" s="110">
        <f t="shared" si="54"/>
        <v>1</v>
      </c>
      <c r="R264" s="110">
        <v>1</v>
      </c>
    </row>
    <row r="265" spans="2:18" x14ac:dyDescent="0.2">
      <c r="B265" s="57" t="str">
        <f t="shared" si="52"/>
        <v/>
      </c>
      <c r="D265" s="57" t="str">
        <f t="shared" si="53"/>
        <v/>
      </c>
      <c r="F265" s="57" t="str">
        <f t="shared" si="49"/>
        <v/>
      </c>
      <c r="G265" s="102" t="str">
        <f t="shared" si="47"/>
        <v/>
      </c>
      <c r="I265" s="102">
        <f>VLOOKUP(P265&amp;"_"&amp;Q265,挑战模式!$A$3:$Z$52,3+5*MonsterWaveCallRuleCfg!R265,FALSE)</f>
        <v>1</v>
      </c>
      <c r="J265" s="102">
        <f>VLOOKUP(P265&amp;"_"&amp;Q265,挑战模式!$A$3:$Z$52,4+5*MonsterWaveCallRuleCfg!R265,FALSE)</f>
        <v>0</v>
      </c>
      <c r="K265" s="102">
        <f t="shared" si="50"/>
        <v>1</v>
      </c>
      <c r="L265" s="102" t="str">
        <f>IF(VLOOKUP(P265&amp;"_"&amp;Q265,挑战模式!$A$3:$Z$52,2+5*R265,FALSE)="","","Monster_Challenge"&amp;P265&amp;"_"&amp;Q265&amp;"_"&amp;R265)</f>
        <v>Monster_Challenge9_1_2</v>
      </c>
      <c r="M265" s="57">
        <f t="shared" si="51"/>
        <v>1</v>
      </c>
      <c r="O265" s="102">
        <f>VLOOKUP(P265&amp;"_"&amp;Q265,挑战模式!$A$3:$Z$52,6+5*MonsterWaveCallRuleCfg!R265,FALSE)</f>
        <v>160</v>
      </c>
      <c r="P265" s="110">
        <f t="shared" si="48"/>
        <v>9</v>
      </c>
      <c r="Q265" s="110">
        <f t="shared" si="54"/>
        <v>1</v>
      </c>
      <c r="R265" s="110">
        <v>2</v>
      </c>
    </row>
    <row r="266" spans="2:18" x14ac:dyDescent="0.2">
      <c r="B266" s="57" t="str">
        <f t="shared" si="52"/>
        <v/>
      </c>
      <c r="D266" s="57" t="str">
        <f t="shared" si="53"/>
        <v/>
      </c>
      <c r="F266" s="57" t="str">
        <f t="shared" si="49"/>
        <v/>
      </c>
      <c r="G266" s="102" t="str">
        <f t="shared" si="47"/>
        <v/>
      </c>
      <c r="I266" s="102" t="str">
        <f>VLOOKUP(P266&amp;"_"&amp;Q266,挑战模式!$A$3:$Z$52,3+5*MonsterWaveCallRuleCfg!R266,FALSE)</f>
        <v/>
      </c>
      <c r="J266" s="102" t="str">
        <f>VLOOKUP(P266&amp;"_"&amp;Q266,挑战模式!$A$3:$Z$52,4+5*MonsterWaveCallRuleCfg!R266,FALSE)</f>
        <v/>
      </c>
      <c r="K266" s="102" t="str">
        <f t="shared" si="50"/>
        <v/>
      </c>
      <c r="L266" s="102" t="str">
        <f>IF(VLOOKUP(P266&amp;"_"&amp;Q266,挑战模式!$A$3:$Z$52,2+5*R266,FALSE)="","","Monster_Challenge"&amp;P266&amp;"_"&amp;Q266&amp;"_"&amp;R266)</f>
        <v/>
      </c>
      <c r="M266" s="57" t="str">
        <f t="shared" si="51"/>
        <v/>
      </c>
      <c r="O266" s="102" t="str">
        <f>VLOOKUP(P266&amp;"_"&amp;Q266,挑战模式!$A$3:$Z$52,6+5*MonsterWaveCallRuleCfg!R266,FALSE)</f>
        <v/>
      </c>
      <c r="P266" s="110">
        <f t="shared" si="48"/>
        <v>9</v>
      </c>
      <c r="Q266" s="110">
        <f t="shared" si="54"/>
        <v>1</v>
      </c>
      <c r="R266" s="110">
        <v>3</v>
      </c>
    </row>
    <row r="267" spans="2:18" x14ac:dyDescent="0.2">
      <c r="B267" s="57" t="str">
        <f t="shared" si="52"/>
        <v/>
      </c>
      <c r="D267" s="57" t="str">
        <f t="shared" si="53"/>
        <v/>
      </c>
      <c r="F267" s="57" t="str">
        <f t="shared" si="49"/>
        <v/>
      </c>
      <c r="G267" s="102" t="str">
        <f t="shared" si="47"/>
        <v/>
      </c>
      <c r="I267" s="102" t="str">
        <f>VLOOKUP(P267&amp;"_"&amp;Q267,挑战模式!$A$3:$Z$52,3+5*MonsterWaveCallRuleCfg!R267,FALSE)</f>
        <v/>
      </c>
      <c r="J267" s="102" t="str">
        <f>VLOOKUP(P267&amp;"_"&amp;Q267,挑战模式!$A$3:$Z$52,4+5*MonsterWaveCallRuleCfg!R267,FALSE)</f>
        <v/>
      </c>
      <c r="K267" s="102" t="str">
        <f t="shared" si="50"/>
        <v/>
      </c>
      <c r="L267" s="102" t="str">
        <f>IF(VLOOKUP(P267&amp;"_"&amp;Q267,挑战模式!$A$3:$Z$52,2+5*R267,FALSE)="","","Monster_Challenge"&amp;P267&amp;"_"&amp;Q267&amp;"_"&amp;R267)</f>
        <v/>
      </c>
      <c r="M267" s="57" t="str">
        <f t="shared" si="51"/>
        <v/>
      </c>
      <c r="O267" s="102" t="str">
        <f>VLOOKUP(P267&amp;"_"&amp;Q267,挑战模式!$A$3:$Z$52,6+5*MonsterWaveCallRuleCfg!R267,FALSE)</f>
        <v/>
      </c>
      <c r="P267" s="110">
        <f t="shared" si="48"/>
        <v>9</v>
      </c>
      <c r="Q267" s="110">
        <f t="shared" si="54"/>
        <v>1</v>
      </c>
      <c r="R267" s="110">
        <v>4</v>
      </c>
    </row>
    <row r="268" spans="2:18" x14ac:dyDescent="0.2">
      <c r="B268" s="57" t="str">
        <f t="shared" si="52"/>
        <v>MonsterWaveCallRule_Challenge9</v>
      </c>
      <c r="C268" s="57">
        <v>2</v>
      </c>
      <c r="D268" s="57" t="str">
        <f t="shared" si="53"/>
        <v>挑战关卡9第2波</v>
      </c>
      <c r="F268" s="57">
        <f t="shared" si="49"/>
        <v>0</v>
      </c>
      <c r="G268" s="102">
        <f t="shared" si="47"/>
        <v>180</v>
      </c>
      <c r="I268" s="102">
        <f>VLOOKUP(P268&amp;"_"&amp;Q268,挑战模式!$A$3:$Z$52,3+5*MonsterWaveCallRuleCfg!R268,FALSE)</f>
        <v>8</v>
      </c>
      <c r="J268" s="102">
        <f>VLOOKUP(P268&amp;"_"&amp;Q268,挑战模式!$A$3:$Z$52,4+5*MonsterWaveCallRuleCfg!R268,FALSE)</f>
        <v>1.5</v>
      </c>
      <c r="K268" s="102">
        <f t="shared" si="50"/>
        <v>1</v>
      </c>
      <c r="L268" s="102" t="str">
        <f>IF(VLOOKUP(P268&amp;"_"&amp;Q268,挑战模式!$A$3:$Z$52,2+5*R268,FALSE)="","","Monster_Challenge"&amp;P268&amp;"_"&amp;Q268&amp;"_"&amp;R268)</f>
        <v>Monster_Challenge9_2_1</v>
      </c>
      <c r="M268" s="57">
        <f t="shared" si="51"/>
        <v>1</v>
      </c>
      <c r="O268" s="102">
        <f>VLOOKUP(P268&amp;"_"&amp;Q268,挑战模式!$A$3:$Z$52,6+5*MonsterWaveCallRuleCfg!R268,FALSE)</f>
        <v>11</v>
      </c>
      <c r="P268" s="110">
        <f t="shared" si="48"/>
        <v>9</v>
      </c>
      <c r="Q268" s="110">
        <f t="shared" si="54"/>
        <v>2</v>
      </c>
      <c r="R268" s="110">
        <v>1</v>
      </c>
    </row>
    <row r="269" spans="2:18" x14ac:dyDescent="0.2">
      <c r="B269" s="57" t="str">
        <f t="shared" si="52"/>
        <v/>
      </c>
      <c r="D269" s="57" t="str">
        <f t="shared" si="53"/>
        <v/>
      </c>
      <c r="F269" s="57" t="str">
        <f t="shared" si="49"/>
        <v/>
      </c>
      <c r="G269" s="102" t="str">
        <f t="shared" ref="G269:G283" si="55">IF(C269="","",180)</f>
        <v/>
      </c>
      <c r="I269" s="102">
        <f>VLOOKUP(P269&amp;"_"&amp;Q269,挑战模式!$A$3:$Z$52,3+5*MonsterWaveCallRuleCfg!R269,FALSE)</f>
        <v>25</v>
      </c>
      <c r="J269" s="102">
        <f>VLOOKUP(P269&amp;"_"&amp;Q269,挑战模式!$A$3:$Z$52,4+5*MonsterWaveCallRuleCfg!R269,FALSE)</f>
        <v>0.5</v>
      </c>
      <c r="K269" s="102">
        <f t="shared" si="50"/>
        <v>1</v>
      </c>
      <c r="L269" s="102" t="str">
        <f>IF(VLOOKUP(P269&amp;"_"&amp;Q269,挑战模式!$A$3:$Z$52,2+5*R269,FALSE)="","","Monster_Challenge"&amp;P269&amp;"_"&amp;Q269&amp;"_"&amp;R269)</f>
        <v>Monster_Challenge9_2_2</v>
      </c>
      <c r="M269" s="57">
        <f t="shared" si="51"/>
        <v>1</v>
      </c>
      <c r="O269" s="102">
        <f>VLOOKUP(P269&amp;"_"&amp;Q269,挑战模式!$A$3:$Z$52,6+5*MonsterWaveCallRuleCfg!R269,FALSE)</f>
        <v>23</v>
      </c>
      <c r="P269" s="110">
        <f t="shared" ref="P269:P303" si="56">P169+5</f>
        <v>9</v>
      </c>
      <c r="Q269" s="110">
        <f t="shared" si="54"/>
        <v>2</v>
      </c>
      <c r="R269" s="110">
        <v>2</v>
      </c>
    </row>
    <row r="270" spans="2:18" x14ac:dyDescent="0.2">
      <c r="B270" s="57" t="str">
        <f t="shared" si="52"/>
        <v/>
      </c>
      <c r="D270" s="57" t="str">
        <f t="shared" si="53"/>
        <v/>
      </c>
      <c r="F270" s="57" t="str">
        <f t="shared" si="49"/>
        <v/>
      </c>
      <c r="G270" s="102" t="str">
        <f t="shared" si="55"/>
        <v/>
      </c>
      <c r="I270" s="102">
        <f>VLOOKUP(P270&amp;"_"&amp;Q270,挑战模式!$A$3:$Z$52,3+5*MonsterWaveCallRuleCfg!R270,FALSE)</f>
        <v>3</v>
      </c>
      <c r="J270" s="102">
        <f>VLOOKUP(P270&amp;"_"&amp;Q270,挑战模式!$A$3:$Z$52,4+5*MonsterWaveCallRuleCfg!R270,FALSE)</f>
        <v>4</v>
      </c>
      <c r="K270" s="102">
        <f t="shared" si="50"/>
        <v>1</v>
      </c>
      <c r="L270" s="102" t="str">
        <f>IF(VLOOKUP(P270&amp;"_"&amp;Q270,挑战模式!$A$3:$Z$52,2+5*R270,FALSE)="","","Monster_Challenge"&amp;P270&amp;"_"&amp;Q270&amp;"_"&amp;R270)</f>
        <v>Monster_Challenge9_2_3</v>
      </c>
      <c r="M270" s="57">
        <f t="shared" si="51"/>
        <v>1</v>
      </c>
      <c r="O270" s="102">
        <f>VLOOKUP(P270&amp;"_"&amp;Q270,挑战模式!$A$3:$Z$52,6+5*MonsterWaveCallRuleCfg!R270,FALSE)</f>
        <v>23</v>
      </c>
      <c r="P270" s="110">
        <f t="shared" si="56"/>
        <v>9</v>
      </c>
      <c r="Q270" s="110">
        <f t="shared" si="54"/>
        <v>2</v>
      </c>
      <c r="R270" s="110">
        <v>3</v>
      </c>
    </row>
    <row r="271" spans="2:18" x14ac:dyDescent="0.2">
      <c r="B271" s="57" t="str">
        <f t="shared" si="52"/>
        <v/>
      </c>
      <c r="D271" s="57" t="str">
        <f t="shared" si="53"/>
        <v/>
      </c>
      <c r="F271" s="57" t="str">
        <f t="shared" si="49"/>
        <v/>
      </c>
      <c r="G271" s="102" t="str">
        <f t="shared" si="55"/>
        <v/>
      </c>
      <c r="I271" s="102" t="str">
        <f>VLOOKUP(P271&amp;"_"&amp;Q271,挑战模式!$A$3:$Z$52,3+5*MonsterWaveCallRuleCfg!R271,FALSE)</f>
        <v/>
      </c>
      <c r="J271" s="102" t="str">
        <f>VLOOKUP(P271&amp;"_"&amp;Q271,挑战模式!$A$3:$Z$52,4+5*MonsterWaveCallRuleCfg!R271,FALSE)</f>
        <v/>
      </c>
      <c r="K271" s="102" t="str">
        <f t="shared" si="50"/>
        <v/>
      </c>
      <c r="L271" s="102" t="str">
        <f>IF(VLOOKUP(P271&amp;"_"&amp;Q271,挑战模式!$A$3:$Z$52,2+5*R271,FALSE)="","","Monster_Challenge"&amp;P271&amp;"_"&amp;Q271&amp;"_"&amp;R271)</f>
        <v/>
      </c>
      <c r="M271" s="57" t="str">
        <f t="shared" si="51"/>
        <v/>
      </c>
      <c r="O271" s="102" t="str">
        <f>VLOOKUP(P271&amp;"_"&amp;Q271,挑战模式!$A$3:$Z$52,6+5*MonsterWaveCallRuleCfg!R271,FALSE)</f>
        <v/>
      </c>
      <c r="P271" s="110">
        <f t="shared" si="56"/>
        <v>9</v>
      </c>
      <c r="Q271" s="110">
        <f t="shared" si="54"/>
        <v>2</v>
      </c>
      <c r="R271" s="110">
        <v>4</v>
      </c>
    </row>
    <row r="272" spans="2:18" x14ac:dyDescent="0.2">
      <c r="B272" s="57" t="str">
        <f t="shared" si="52"/>
        <v>MonsterWaveCallRule_Challenge9</v>
      </c>
      <c r="C272" s="57">
        <v>3</v>
      </c>
      <c r="D272" s="57" t="str">
        <f t="shared" si="53"/>
        <v>挑战关卡9第3波</v>
      </c>
      <c r="F272" s="57">
        <f t="shared" si="49"/>
        <v>0</v>
      </c>
      <c r="G272" s="102">
        <f t="shared" si="55"/>
        <v>180</v>
      </c>
      <c r="I272" s="102">
        <f>VLOOKUP(P272&amp;"_"&amp;Q272,挑战模式!$A$3:$Z$52,3+5*MonsterWaveCallRuleCfg!R272,FALSE)</f>
        <v>10</v>
      </c>
      <c r="J272" s="102">
        <f>VLOOKUP(P272&amp;"_"&amp;Q272,挑战模式!$A$3:$Z$52,4+5*MonsterWaveCallRuleCfg!R272,FALSE)</f>
        <v>1.5</v>
      </c>
      <c r="K272" s="102">
        <f t="shared" si="50"/>
        <v>1</v>
      </c>
      <c r="L272" s="102" t="str">
        <f>IF(VLOOKUP(P272&amp;"_"&amp;Q272,挑战模式!$A$3:$Z$52,2+5*R272,FALSE)="","","Monster_Challenge"&amp;P272&amp;"_"&amp;Q272&amp;"_"&amp;R272)</f>
        <v>Monster_Challenge9_3_1</v>
      </c>
      <c r="M272" s="57">
        <f t="shared" si="51"/>
        <v>1</v>
      </c>
      <c r="O272" s="102">
        <f>VLOOKUP(P272&amp;"_"&amp;Q272,挑战模式!$A$3:$Z$52,6+5*MonsterWaveCallRuleCfg!R272,FALSE)</f>
        <v>13</v>
      </c>
      <c r="P272" s="110">
        <f t="shared" si="56"/>
        <v>9</v>
      </c>
      <c r="Q272" s="110">
        <f t="shared" si="54"/>
        <v>3</v>
      </c>
      <c r="R272" s="110">
        <v>1</v>
      </c>
    </row>
    <row r="273" spans="2:18" x14ac:dyDescent="0.2">
      <c r="B273" s="57" t="str">
        <f t="shared" si="52"/>
        <v/>
      </c>
      <c r="D273" s="57" t="str">
        <f t="shared" si="53"/>
        <v/>
      </c>
      <c r="F273" s="57" t="str">
        <f t="shared" si="49"/>
        <v/>
      </c>
      <c r="G273" s="102" t="str">
        <f t="shared" si="55"/>
        <v/>
      </c>
      <c r="I273" s="102">
        <f>VLOOKUP(P273&amp;"_"&amp;Q273,挑战模式!$A$3:$Z$52,3+5*MonsterWaveCallRuleCfg!R273,FALSE)</f>
        <v>75</v>
      </c>
      <c r="J273" s="102">
        <f>VLOOKUP(P273&amp;"_"&amp;Q273,挑战模式!$A$3:$Z$52,4+5*MonsterWaveCallRuleCfg!R273,FALSE)</f>
        <v>0.2</v>
      </c>
      <c r="K273" s="102">
        <f t="shared" si="50"/>
        <v>1</v>
      </c>
      <c r="L273" s="102" t="str">
        <f>IF(VLOOKUP(P273&amp;"_"&amp;Q273,挑战模式!$A$3:$Z$52,2+5*R273,FALSE)="","","Monster_Challenge"&amp;P273&amp;"_"&amp;Q273&amp;"_"&amp;R273)</f>
        <v>Monster_Challenge9_3_2</v>
      </c>
      <c r="M273" s="57">
        <f t="shared" si="51"/>
        <v>1</v>
      </c>
      <c r="O273" s="102">
        <f>VLOOKUP(P273&amp;"_"&amp;Q273,挑战模式!$A$3:$Z$52,6+5*MonsterWaveCallRuleCfg!R273,FALSE)</f>
        <v>6</v>
      </c>
      <c r="P273" s="110">
        <f t="shared" si="56"/>
        <v>9</v>
      </c>
      <c r="Q273" s="110">
        <f t="shared" si="54"/>
        <v>3</v>
      </c>
      <c r="R273" s="110">
        <v>2</v>
      </c>
    </row>
    <row r="274" spans="2:18" x14ac:dyDescent="0.2">
      <c r="B274" s="57" t="str">
        <f t="shared" si="52"/>
        <v/>
      </c>
      <c r="D274" s="57" t="str">
        <f t="shared" si="53"/>
        <v/>
      </c>
      <c r="F274" s="57" t="str">
        <f t="shared" si="49"/>
        <v/>
      </c>
      <c r="G274" s="102" t="str">
        <f t="shared" si="55"/>
        <v/>
      </c>
      <c r="I274" s="102">
        <f>VLOOKUP(P274&amp;"_"&amp;Q274,挑战模式!$A$3:$Z$52,3+5*MonsterWaveCallRuleCfg!R274,FALSE)</f>
        <v>4</v>
      </c>
      <c r="J274" s="102">
        <f>VLOOKUP(P274&amp;"_"&amp;Q274,挑战模式!$A$3:$Z$52,4+5*MonsterWaveCallRuleCfg!R274,FALSE)</f>
        <v>4</v>
      </c>
      <c r="K274" s="102">
        <f t="shared" si="50"/>
        <v>1</v>
      </c>
      <c r="L274" s="102" t="str">
        <f>IF(VLOOKUP(P274&amp;"_"&amp;Q274,挑战模式!$A$3:$Z$52,2+5*R274,FALSE)="","","Monster_Challenge"&amp;P274&amp;"_"&amp;Q274&amp;"_"&amp;R274)</f>
        <v>Monster_Challenge9_3_3</v>
      </c>
      <c r="M274" s="57">
        <f t="shared" si="51"/>
        <v>1</v>
      </c>
      <c r="O274" s="102">
        <f>VLOOKUP(P274&amp;"_"&amp;Q274,挑战模式!$A$3:$Z$52,6+5*MonsterWaveCallRuleCfg!R274,FALSE)</f>
        <v>26</v>
      </c>
      <c r="P274" s="110">
        <f t="shared" si="56"/>
        <v>9</v>
      </c>
      <c r="Q274" s="110">
        <f t="shared" si="54"/>
        <v>3</v>
      </c>
      <c r="R274" s="110">
        <v>3</v>
      </c>
    </row>
    <row r="275" spans="2:18" x14ac:dyDescent="0.2">
      <c r="B275" s="57" t="str">
        <f t="shared" si="52"/>
        <v/>
      </c>
      <c r="D275" s="57" t="str">
        <f t="shared" si="53"/>
        <v/>
      </c>
      <c r="F275" s="57" t="str">
        <f t="shared" si="49"/>
        <v/>
      </c>
      <c r="G275" s="102" t="str">
        <f t="shared" si="55"/>
        <v/>
      </c>
      <c r="I275" s="102" t="str">
        <f>VLOOKUP(P275&amp;"_"&amp;Q275,挑战模式!$A$3:$Z$52,3+5*MonsterWaveCallRuleCfg!R275,FALSE)</f>
        <v/>
      </c>
      <c r="J275" s="102" t="str">
        <f>VLOOKUP(P275&amp;"_"&amp;Q275,挑战模式!$A$3:$Z$52,4+5*MonsterWaveCallRuleCfg!R275,FALSE)</f>
        <v/>
      </c>
      <c r="K275" s="102" t="str">
        <f t="shared" si="50"/>
        <v/>
      </c>
      <c r="L275" s="102" t="str">
        <f>IF(VLOOKUP(P275&amp;"_"&amp;Q275,挑战模式!$A$3:$Z$52,2+5*R275,FALSE)="","","Monster_Challenge"&amp;P275&amp;"_"&amp;Q275&amp;"_"&amp;R275)</f>
        <v/>
      </c>
      <c r="M275" s="57" t="str">
        <f t="shared" si="51"/>
        <v/>
      </c>
      <c r="O275" s="102" t="str">
        <f>VLOOKUP(P275&amp;"_"&amp;Q275,挑战模式!$A$3:$Z$52,6+5*MonsterWaveCallRuleCfg!R275,FALSE)</f>
        <v/>
      </c>
      <c r="P275" s="110">
        <f t="shared" si="56"/>
        <v>9</v>
      </c>
      <c r="Q275" s="110">
        <f t="shared" si="54"/>
        <v>3</v>
      </c>
      <c r="R275" s="110">
        <v>4</v>
      </c>
    </row>
    <row r="276" spans="2:18" x14ac:dyDescent="0.2">
      <c r="B276" s="57" t="str">
        <f t="shared" si="52"/>
        <v>MonsterWaveCallRule_Challenge9</v>
      </c>
      <c r="C276" s="57">
        <v>4</v>
      </c>
      <c r="D276" s="57" t="str">
        <f t="shared" si="53"/>
        <v>挑战关卡9第4波</v>
      </c>
      <c r="F276" s="57">
        <f t="shared" si="49"/>
        <v>0</v>
      </c>
      <c r="G276" s="102">
        <f t="shared" si="55"/>
        <v>180</v>
      </c>
      <c r="I276" s="102">
        <f>VLOOKUP(P276&amp;"_"&amp;Q276,挑战模式!$A$3:$Z$52,3+5*MonsterWaveCallRuleCfg!R276,FALSE)</f>
        <v>12</v>
      </c>
      <c r="J276" s="102">
        <f>VLOOKUP(P276&amp;"_"&amp;Q276,挑战模式!$A$3:$Z$52,4+5*MonsterWaveCallRuleCfg!R276,FALSE)</f>
        <v>1.5</v>
      </c>
      <c r="K276" s="102">
        <f t="shared" si="50"/>
        <v>1</v>
      </c>
      <c r="L276" s="102" t="str">
        <f>IF(VLOOKUP(P276&amp;"_"&amp;Q276,挑战模式!$A$3:$Z$52,2+5*R276,FALSE)="","","Monster_Challenge"&amp;P276&amp;"_"&amp;Q276&amp;"_"&amp;R276)</f>
        <v>Monster_Challenge9_4_1</v>
      </c>
      <c r="M276" s="57">
        <f t="shared" si="51"/>
        <v>1</v>
      </c>
      <c r="O276" s="102">
        <f>VLOOKUP(P276&amp;"_"&amp;Q276,挑战模式!$A$3:$Z$52,6+5*MonsterWaveCallRuleCfg!R276,FALSE)</f>
        <v>11</v>
      </c>
      <c r="P276" s="110">
        <f t="shared" si="56"/>
        <v>9</v>
      </c>
      <c r="Q276" s="110">
        <f t="shared" si="54"/>
        <v>4</v>
      </c>
      <c r="R276" s="110">
        <v>1</v>
      </c>
    </row>
    <row r="277" spans="2:18" x14ac:dyDescent="0.2">
      <c r="B277" s="57" t="str">
        <f t="shared" si="52"/>
        <v/>
      </c>
      <c r="D277" s="57" t="str">
        <f t="shared" si="53"/>
        <v/>
      </c>
      <c r="F277" s="57" t="str">
        <f t="shared" si="49"/>
        <v/>
      </c>
      <c r="G277" s="102" t="str">
        <f t="shared" si="55"/>
        <v/>
      </c>
      <c r="I277" s="102">
        <f>VLOOKUP(P277&amp;"_"&amp;Q277,挑战模式!$A$3:$Z$52,3+5*MonsterWaveCallRuleCfg!R277,FALSE)</f>
        <v>44</v>
      </c>
      <c r="J277" s="102">
        <f>VLOOKUP(P277&amp;"_"&amp;Q277,挑战模式!$A$3:$Z$52,4+5*MonsterWaveCallRuleCfg!R277,FALSE)</f>
        <v>0.4</v>
      </c>
      <c r="K277" s="102">
        <f t="shared" si="50"/>
        <v>1</v>
      </c>
      <c r="L277" s="102" t="str">
        <f>IF(VLOOKUP(P277&amp;"_"&amp;Q277,挑战模式!$A$3:$Z$52,2+5*R277,FALSE)="","","Monster_Challenge"&amp;P277&amp;"_"&amp;Q277&amp;"_"&amp;R277)</f>
        <v>Monster_Challenge9_4_2</v>
      </c>
      <c r="M277" s="57">
        <f t="shared" si="51"/>
        <v>1</v>
      </c>
      <c r="O277" s="102">
        <f>VLOOKUP(P277&amp;"_"&amp;Q277,挑战模式!$A$3:$Z$52,6+5*MonsterWaveCallRuleCfg!R277,FALSE)</f>
        <v>11</v>
      </c>
      <c r="P277" s="110">
        <f t="shared" si="56"/>
        <v>9</v>
      </c>
      <c r="Q277" s="110">
        <f t="shared" si="54"/>
        <v>4</v>
      </c>
      <c r="R277" s="110">
        <v>2</v>
      </c>
    </row>
    <row r="278" spans="2:18" x14ac:dyDescent="0.2">
      <c r="B278" s="57" t="str">
        <f t="shared" si="52"/>
        <v/>
      </c>
      <c r="D278" s="57" t="str">
        <f t="shared" si="53"/>
        <v/>
      </c>
      <c r="F278" s="57" t="str">
        <f t="shared" si="49"/>
        <v/>
      </c>
      <c r="G278" s="102" t="str">
        <f t="shared" si="55"/>
        <v/>
      </c>
      <c r="I278" s="102">
        <f>VLOOKUP(P278&amp;"_"&amp;Q278,挑战模式!$A$3:$Z$52,3+5*MonsterWaveCallRuleCfg!R278,FALSE)</f>
        <v>4</v>
      </c>
      <c r="J278" s="102">
        <f>VLOOKUP(P278&amp;"_"&amp;Q278,挑战模式!$A$3:$Z$52,4+5*MonsterWaveCallRuleCfg!R278,FALSE)</f>
        <v>4</v>
      </c>
      <c r="K278" s="102">
        <f t="shared" si="50"/>
        <v>1</v>
      </c>
      <c r="L278" s="102" t="str">
        <f>IF(VLOOKUP(P278&amp;"_"&amp;Q278,挑战模式!$A$3:$Z$52,2+5*R278,FALSE)="","","Monster_Challenge"&amp;P278&amp;"_"&amp;Q278&amp;"_"&amp;R278)</f>
        <v>Monster_Challenge9_4_3</v>
      </c>
      <c r="M278" s="57">
        <f t="shared" si="51"/>
        <v>1</v>
      </c>
      <c r="O278" s="102">
        <f>VLOOKUP(P278&amp;"_"&amp;Q278,挑战模式!$A$3:$Z$52,6+5*MonsterWaveCallRuleCfg!R278,FALSE)</f>
        <v>23</v>
      </c>
      <c r="P278" s="110">
        <f t="shared" si="56"/>
        <v>9</v>
      </c>
      <c r="Q278" s="110">
        <f t="shared" si="54"/>
        <v>4</v>
      </c>
      <c r="R278" s="110">
        <v>3</v>
      </c>
    </row>
    <row r="279" spans="2:18" x14ac:dyDescent="0.2">
      <c r="B279" s="57" t="str">
        <f t="shared" si="52"/>
        <v/>
      </c>
      <c r="D279" s="57" t="str">
        <f t="shared" si="53"/>
        <v/>
      </c>
      <c r="F279" s="57" t="str">
        <f t="shared" si="49"/>
        <v/>
      </c>
      <c r="G279" s="102" t="str">
        <f t="shared" si="55"/>
        <v/>
      </c>
      <c r="I279" s="102" t="str">
        <f>VLOOKUP(P279&amp;"_"&amp;Q279,挑战模式!$A$3:$Z$52,3+5*MonsterWaveCallRuleCfg!R279,FALSE)</f>
        <v/>
      </c>
      <c r="J279" s="102" t="str">
        <f>VLOOKUP(P279&amp;"_"&amp;Q279,挑战模式!$A$3:$Z$52,4+5*MonsterWaveCallRuleCfg!R279,FALSE)</f>
        <v/>
      </c>
      <c r="K279" s="102" t="str">
        <f t="shared" si="50"/>
        <v/>
      </c>
      <c r="L279" s="102" t="str">
        <f>IF(VLOOKUP(P279&amp;"_"&amp;Q279,挑战模式!$A$3:$Z$52,2+5*R279,FALSE)="","","Monster_Challenge"&amp;P279&amp;"_"&amp;Q279&amp;"_"&amp;R279)</f>
        <v/>
      </c>
      <c r="M279" s="57" t="str">
        <f t="shared" si="51"/>
        <v/>
      </c>
      <c r="O279" s="102" t="str">
        <f>VLOOKUP(P279&amp;"_"&amp;Q279,挑战模式!$A$3:$Z$52,6+5*MonsterWaveCallRuleCfg!R279,FALSE)</f>
        <v/>
      </c>
      <c r="P279" s="110">
        <f t="shared" si="56"/>
        <v>9</v>
      </c>
      <c r="Q279" s="110">
        <f t="shared" si="54"/>
        <v>4</v>
      </c>
      <c r="R279" s="110">
        <v>4</v>
      </c>
    </row>
    <row r="280" spans="2:18" x14ac:dyDescent="0.2">
      <c r="B280" s="57" t="str">
        <f t="shared" si="52"/>
        <v>MonsterWaveCallRule_Challenge9</v>
      </c>
      <c r="C280" s="57">
        <v>5</v>
      </c>
      <c r="D280" s="57" t="str">
        <f t="shared" si="53"/>
        <v>挑战关卡9第5波</v>
      </c>
      <c r="F280" s="57">
        <f t="shared" ref="F280:F303" si="57">IF(C280="","",0)</f>
        <v>0</v>
      </c>
      <c r="G280" s="102">
        <f t="shared" si="55"/>
        <v>180</v>
      </c>
      <c r="I280" s="102">
        <f>VLOOKUP(P280&amp;"_"&amp;Q280,挑战模式!$A$3:$Z$52,3+5*MonsterWaveCallRuleCfg!R280,FALSE)</f>
        <v>40</v>
      </c>
      <c r="J280" s="102">
        <f>VLOOKUP(P280&amp;"_"&amp;Q280,挑战模式!$A$3:$Z$52,4+5*MonsterWaveCallRuleCfg!R280,FALSE)</f>
        <v>0.5</v>
      </c>
      <c r="K280" s="102">
        <f t="shared" ref="K280:K303" si="58">IF(I280="","",1)</f>
        <v>1</v>
      </c>
      <c r="L280" s="102" t="str">
        <f>IF(VLOOKUP(P280&amp;"_"&amp;Q280,挑战模式!$A$3:$Z$52,2+5*R280,FALSE)="","","Monster_Challenge"&amp;P280&amp;"_"&amp;Q280&amp;"_"&amp;R280)</f>
        <v>Monster_Challenge9_5_1</v>
      </c>
      <c r="M280" s="57">
        <f t="shared" ref="M280:M303" si="59">IF(I280="","",1)</f>
        <v>1</v>
      </c>
      <c r="O280" s="102">
        <f>VLOOKUP(P280&amp;"_"&amp;Q280,挑战模式!$A$3:$Z$52,6+5*MonsterWaveCallRuleCfg!R280,FALSE)</f>
        <v>9</v>
      </c>
      <c r="P280" s="110">
        <f t="shared" si="56"/>
        <v>9</v>
      </c>
      <c r="Q280" s="110">
        <f t="shared" si="54"/>
        <v>5</v>
      </c>
      <c r="R280" s="110">
        <v>1</v>
      </c>
    </row>
    <row r="281" spans="2:18" x14ac:dyDescent="0.2">
      <c r="B281" s="57" t="str">
        <f t="shared" si="52"/>
        <v/>
      </c>
      <c r="D281" s="57" t="str">
        <f t="shared" si="53"/>
        <v/>
      </c>
      <c r="F281" s="57" t="str">
        <f t="shared" si="57"/>
        <v/>
      </c>
      <c r="G281" s="102" t="str">
        <f t="shared" si="55"/>
        <v/>
      </c>
      <c r="I281" s="102">
        <f>VLOOKUP(P281&amp;"_"&amp;Q281,挑战模式!$A$3:$Z$52,3+5*MonsterWaveCallRuleCfg!R281,FALSE)</f>
        <v>10</v>
      </c>
      <c r="J281" s="102">
        <f>VLOOKUP(P281&amp;"_"&amp;Q281,挑战模式!$A$3:$Z$52,4+5*MonsterWaveCallRuleCfg!R281,FALSE)</f>
        <v>2</v>
      </c>
      <c r="K281" s="102">
        <f t="shared" si="58"/>
        <v>1</v>
      </c>
      <c r="L281" s="102" t="str">
        <f>IF(VLOOKUP(P281&amp;"_"&amp;Q281,挑战模式!$A$3:$Z$52,2+5*R281,FALSE)="","","Monster_Challenge"&amp;P281&amp;"_"&amp;Q281&amp;"_"&amp;R281)</f>
        <v>Monster_Challenge9_5_2</v>
      </c>
      <c r="M281" s="57">
        <f t="shared" si="59"/>
        <v>1</v>
      </c>
      <c r="O281" s="102">
        <f>VLOOKUP(P281&amp;"_"&amp;Q281,挑战模式!$A$3:$Z$52,6+5*MonsterWaveCallRuleCfg!R281,FALSE)</f>
        <v>18</v>
      </c>
      <c r="P281" s="110">
        <f t="shared" si="56"/>
        <v>9</v>
      </c>
      <c r="Q281" s="110">
        <f t="shared" si="54"/>
        <v>5</v>
      </c>
      <c r="R281" s="110">
        <v>2</v>
      </c>
    </row>
    <row r="282" spans="2:18" x14ac:dyDescent="0.2">
      <c r="B282" s="57" t="str">
        <f t="shared" si="52"/>
        <v/>
      </c>
      <c r="D282" s="57" t="str">
        <f t="shared" si="53"/>
        <v/>
      </c>
      <c r="F282" s="57" t="str">
        <f t="shared" si="57"/>
        <v/>
      </c>
      <c r="G282" s="102" t="str">
        <f t="shared" si="55"/>
        <v/>
      </c>
      <c r="I282" s="102">
        <f>VLOOKUP(P282&amp;"_"&amp;Q282,挑战模式!$A$3:$Z$52,3+5*MonsterWaveCallRuleCfg!R282,FALSE)</f>
        <v>10</v>
      </c>
      <c r="J282" s="102">
        <f>VLOOKUP(P282&amp;"_"&amp;Q282,挑战模式!$A$3:$Z$52,4+5*MonsterWaveCallRuleCfg!R282,FALSE)</f>
        <v>2</v>
      </c>
      <c r="K282" s="102">
        <f t="shared" si="58"/>
        <v>1</v>
      </c>
      <c r="L282" s="102" t="str">
        <f>IF(VLOOKUP(P282&amp;"_"&amp;Q282,挑战模式!$A$3:$Z$52,2+5*R282,FALSE)="","","Monster_Challenge"&amp;P282&amp;"_"&amp;Q282&amp;"_"&amp;R282)</f>
        <v>Monster_Challenge9_5_3</v>
      </c>
      <c r="M282" s="57">
        <f t="shared" si="59"/>
        <v>1</v>
      </c>
      <c r="O282" s="102">
        <f>VLOOKUP(P282&amp;"_"&amp;Q282,挑战模式!$A$3:$Z$52,6+5*MonsterWaveCallRuleCfg!R282,FALSE)</f>
        <v>18</v>
      </c>
      <c r="P282" s="110">
        <f t="shared" si="56"/>
        <v>9</v>
      </c>
      <c r="Q282" s="110">
        <f t="shared" si="54"/>
        <v>5</v>
      </c>
      <c r="R282" s="110">
        <v>3</v>
      </c>
    </row>
    <row r="283" spans="2:18" x14ac:dyDescent="0.2">
      <c r="B283" s="57" t="str">
        <f t="shared" si="52"/>
        <v/>
      </c>
      <c r="D283" s="57" t="str">
        <f t="shared" si="53"/>
        <v/>
      </c>
      <c r="F283" s="57" t="str">
        <f t="shared" si="57"/>
        <v/>
      </c>
      <c r="G283" s="102" t="str">
        <f t="shared" si="55"/>
        <v/>
      </c>
      <c r="I283" s="102" t="str">
        <f>VLOOKUP(P283&amp;"_"&amp;Q283,挑战模式!$A$3:$Z$52,3+5*MonsterWaveCallRuleCfg!R283,FALSE)</f>
        <v/>
      </c>
      <c r="J283" s="102" t="str">
        <f>VLOOKUP(P283&amp;"_"&amp;Q283,挑战模式!$A$3:$Z$52,4+5*MonsterWaveCallRuleCfg!R283,FALSE)</f>
        <v/>
      </c>
      <c r="K283" s="102" t="str">
        <f t="shared" si="58"/>
        <v/>
      </c>
      <c r="L283" s="102" t="str">
        <f>IF(VLOOKUP(P283&amp;"_"&amp;Q283,挑战模式!$A$3:$Z$52,2+5*R283,FALSE)="","","Monster_Challenge"&amp;P283&amp;"_"&amp;Q283&amp;"_"&amp;R283)</f>
        <v/>
      </c>
      <c r="M283" s="57" t="str">
        <f t="shared" si="59"/>
        <v/>
      </c>
      <c r="O283" s="102" t="str">
        <f>VLOOKUP(P283&amp;"_"&amp;Q283,挑战模式!$A$3:$Z$52,6+5*MonsterWaveCallRuleCfg!R283,FALSE)</f>
        <v/>
      </c>
      <c r="P283" s="110">
        <f t="shared" si="56"/>
        <v>9</v>
      </c>
      <c r="Q283" s="110">
        <f t="shared" si="54"/>
        <v>5</v>
      </c>
      <c r="R283" s="110">
        <v>4</v>
      </c>
    </row>
    <row r="284" spans="2:18" x14ac:dyDescent="0.2">
      <c r="B284" s="57" t="str">
        <f t="shared" si="52"/>
        <v>MonsterWaveCallRule_Challenge10</v>
      </c>
      <c r="C284" s="57">
        <v>1</v>
      </c>
      <c r="D284" s="57" t="str">
        <f t="shared" si="53"/>
        <v>挑战关卡10第1波</v>
      </c>
      <c r="F284" s="57">
        <f t="shared" si="57"/>
        <v>0</v>
      </c>
      <c r="G284" s="102">
        <f>IF(C284="","",180)</f>
        <v>180</v>
      </c>
      <c r="I284" s="102">
        <f>VLOOKUP(P284&amp;"_"&amp;Q284,挑战模式!$A$3:$Z$52,3+5*MonsterWaveCallRuleCfg!R284,FALSE)</f>
        <v>7</v>
      </c>
      <c r="J284" s="102">
        <f>VLOOKUP(P284&amp;"_"&amp;Q284,挑战模式!$A$3:$Z$52,4+5*MonsterWaveCallRuleCfg!R284,FALSE)</f>
        <v>1.5</v>
      </c>
      <c r="K284" s="102">
        <f t="shared" si="58"/>
        <v>1</v>
      </c>
      <c r="L284" s="102" t="str">
        <f>IF(VLOOKUP(P284&amp;"_"&amp;Q284,挑战模式!$A$3:$Z$52,2+5*R284,FALSE)="","","Monster_Challenge"&amp;P284&amp;"_"&amp;Q284&amp;"_"&amp;R284)</f>
        <v>Monster_Challenge10_1_1</v>
      </c>
      <c r="M284" s="57">
        <f t="shared" si="59"/>
        <v>1</v>
      </c>
      <c r="O284" s="102">
        <f>VLOOKUP(P284&amp;"_"&amp;Q284,挑战模式!$A$3:$Z$52,6+5*MonsterWaveCallRuleCfg!R284,FALSE)</f>
        <v>90</v>
      </c>
      <c r="P284" s="110">
        <f t="shared" si="56"/>
        <v>10</v>
      </c>
      <c r="Q284" s="110">
        <f t="shared" si="54"/>
        <v>1</v>
      </c>
      <c r="R284" s="110">
        <v>1</v>
      </c>
    </row>
    <row r="285" spans="2:18" x14ac:dyDescent="0.2">
      <c r="B285" s="57" t="str">
        <f t="shared" si="52"/>
        <v/>
      </c>
      <c r="D285" s="57" t="str">
        <f t="shared" si="53"/>
        <v/>
      </c>
      <c r="F285" s="57" t="str">
        <f t="shared" si="57"/>
        <v/>
      </c>
      <c r="G285" s="102" t="str">
        <f t="shared" ref="G285:G303" si="60">IF(C285="","",180)</f>
        <v/>
      </c>
      <c r="I285" s="102">
        <f>VLOOKUP(P285&amp;"_"&amp;Q285,挑战模式!$A$3:$Z$52,3+5*MonsterWaveCallRuleCfg!R285,FALSE)</f>
        <v>1</v>
      </c>
      <c r="J285" s="102">
        <f>VLOOKUP(P285&amp;"_"&amp;Q285,挑战模式!$A$3:$Z$52,4+5*MonsterWaveCallRuleCfg!R285,FALSE)</f>
        <v>0</v>
      </c>
      <c r="K285" s="102">
        <f t="shared" si="58"/>
        <v>1</v>
      </c>
      <c r="L285" s="102" t="str">
        <f>IF(VLOOKUP(P285&amp;"_"&amp;Q285,挑战模式!$A$3:$Z$52,2+5*R285,FALSE)="","","Monster_Challenge"&amp;P285&amp;"_"&amp;Q285&amp;"_"&amp;R285)</f>
        <v>Monster_Challenge10_1_2</v>
      </c>
      <c r="M285" s="57">
        <f t="shared" si="59"/>
        <v>1</v>
      </c>
      <c r="O285" s="102">
        <f>VLOOKUP(P285&amp;"_"&amp;Q285,挑战模式!$A$3:$Z$52,6+5*MonsterWaveCallRuleCfg!R285,FALSE)</f>
        <v>90</v>
      </c>
      <c r="P285" s="110">
        <f t="shared" si="56"/>
        <v>10</v>
      </c>
      <c r="Q285" s="110">
        <f t="shared" si="54"/>
        <v>1</v>
      </c>
      <c r="R285" s="110">
        <v>2</v>
      </c>
    </row>
    <row r="286" spans="2:18" x14ac:dyDescent="0.2">
      <c r="B286" s="57" t="str">
        <f t="shared" si="52"/>
        <v/>
      </c>
      <c r="D286" s="57" t="str">
        <f t="shared" si="53"/>
        <v/>
      </c>
      <c r="F286" s="57" t="str">
        <f t="shared" si="57"/>
        <v/>
      </c>
      <c r="G286" s="102" t="str">
        <f t="shared" si="60"/>
        <v/>
      </c>
      <c r="I286" s="102" t="str">
        <f>VLOOKUP(P286&amp;"_"&amp;Q286,挑战模式!$A$3:$Z$52,3+5*MonsterWaveCallRuleCfg!R286,FALSE)</f>
        <v/>
      </c>
      <c r="J286" s="102" t="str">
        <f>VLOOKUP(P286&amp;"_"&amp;Q286,挑战模式!$A$3:$Z$52,4+5*MonsterWaveCallRuleCfg!R286,FALSE)</f>
        <v/>
      </c>
      <c r="K286" s="102" t="str">
        <f t="shared" si="58"/>
        <v/>
      </c>
      <c r="L286" s="102" t="str">
        <f>IF(VLOOKUP(P286&amp;"_"&amp;Q286,挑战模式!$A$3:$Z$52,2+5*R286,FALSE)="","","Monster_Challenge"&amp;P286&amp;"_"&amp;Q286&amp;"_"&amp;R286)</f>
        <v/>
      </c>
      <c r="M286" s="57" t="str">
        <f t="shared" si="59"/>
        <v/>
      </c>
      <c r="O286" s="102" t="str">
        <f>VLOOKUP(P286&amp;"_"&amp;Q286,挑战模式!$A$3:$Z$52,6+5*MonsterWaveCallRuleCfg!R286,FALSE)</f>
        <v/>
      </c>
      <c r="P286" s="110">
        <f t="shared" si="56"/>
        <v>10</v>
      </c>
      <c r="Q286" s="110">
        <f t="shared" si="54"/>
        <v>1</v>
      </c>
      <c r="R286" s="110">
        <v>3</v>
      </c>
    </row>
    <row r="287" spans="2:18" x14ac:dyDescent="0.2">
      <c r="B287" s="57" t="str">
        <f t="shared" si="52"/>
        <v/>
      </c>
      <c r="D287" s="57" t="str">
        <f t="shared" si="53"/>
        <v/>
      </c>
      <c r="F287" s="57" t="str">
        <f t="shared" si="57"/>
        <v/>
      </c>
      <c r="G287" s="102" t="str">
        <f t="shared" si="60"/>
        <v/>
      </c>
      <c r="I287" s="102" t="str">
        <f>VLOOKUP(P287&amp;"_"&amp;Q287,挑战模式!$A$3:$Z$52,3+5*MonsterWaveCallRuleCfg!R287,FALSE)</f>
        <v/>
      </c>
      <c r="J287" s="102" t="str">
        <f>VLOOKUP(P287&amp;"_"&amp;Q287,挑战模式!$A$3:$Z$52,4+5*MonsterWaveCallRuleCfg!R287,FALSE)</f>
        <v/>
      </c>
      <c r="K287" s="102" t="str">
        <f t="shared" si="58"/>
        <v/>
      </c>
      <c r="L287" s="102" t="str">
        <f>IF(VLOOKUP(P287&amp;"_"&amp;Q287,挑战模式!$A$3:$Z$52,2+5*R287,FALSE)="","","Monster_Challenge"&amp;P287&amp;"_"&amp;Q287&amp;"_"&amp;R287)</f>
        <v/>
      </c>
      <c r="M287" s="57" t="str">
        <f t="shared" si="59"/>
        <v/>
      </c>
      <c r="O287" s="102" t="str">
        <f>VLOOKUP(P287&amp;"_"&amp;Q287,挑战模式!$A$3:$Z$52,6+5*MonsterWaveCallRuleCfg!R287,FALSE)</f>
        <v/>
      </c>
      <c r="P287" s="110">
        <f t="shared" si="56"/>
        <v>10</v>
      </c>
      <c r="Q287" s="110">
        <f t="shared" si="54"/>
        <v>1</v>
      </c>
      <c r="R287" s="110">
        <v>4</v>
      </c>
    </row>
    <row r="288" spans="2:18" x14ac:dyDescent="0.2">
      <c r="B288" s="57" t="str">
        <f t="shared" si="52"/>
        <v>MonsterWaveCallRule_Challenge10</v>
      </c>
      <c r="C288" s="57">
        <v>2</v>
      </c>
      <c r="D288" s="57" t="str">
        <f t="shared" si="53"/>
        <v>挑战关卡10第2波</v>
      </c>
      <c r="F288" s="57">
        <f t="shared" si="57"/>
        <v>0</v>
      </c>
      <c r="G288" s="102">
        <f t="shared" si="60"/>
        <v>180</v>
      </c>
      <c r="I288" s="102">
        <f>VLOOKUP(P288&amp;"_"&amp;Q288,挑战模式!$A$3:$Z$52,3+5*MonsterWaveCallRuleCfg!R288,FALSE)</f>
        <v>8</v>
      </c>
      <c r="J288" s="102">
        <f>VLOOKUP(P288&amp;"_"&amp;Q288,挑战模式!$A$3:$Z$52,4+5*MonsterWaveCallRuleCfg!R288,FALSE)</f>
        <v>1.5</v>
      </c>
      <c r="K288" s="102">
        <f t="shared" si="58"/>
        <v>1</v>
      </c>
      <c r="L288" s="102" t="str">
        <f>IF(VLOOKUP(P288&amp;"_"&amp;Q288,挑战模式!$A$3:$Z$52,2+5*R288,FALSE)="","","Monster_Challenge"&amp;P288&amp;"_"&amp;Q288&amp;"_"&amp;R288)</f>
        <v>Monster_Challenge10_2_1</v>
      </c>
      <c r="M288" s="57">
        <f t="shared" si="59"/>
        <v>1</v>
      </c>
      <c r="O288" s="102">
        <f>VLOOKUP(P288&amp;"_"&amp;Q288,挑战模式!$A$3:$Z$52,6+5*MonsterWaveCallRuleCfg!R288,FALSE)</f>
        <v>27</v>
      </c>
      <c r="P288" s="110">
        <f t="shared" si="56"/>
        <v>10</v>
      </c>
      <c r="Q288" s="110">
        <f t="shared" si="54"/>
        <v>2</v>
      </c>
      <c r="R288" s="110">
        <v>1</v>
      </c>
    </row>
    <row r="289" spans="2:18" x14ac:dyDescent="0.2">
      <c r="B289" s="57" t="str">
        <f t="shared" si="52"/>
        <v/>
      </c>
      <c r="D289" s="57" t="str">
        <f t="shared" si="53"/>
        <v/>
      </c>
      <c r="F289" s="57" t="str">
        <f t="shared" si="57"/>
        <v/>
      </c>
      <c r="G289" s="102" t="str">
        <f t="shared" si="60"/>
        <v/>
      </c>
      <c r="I289" s="102">
        <f>VLOOKUP(P289&amp;"_"&amp;Q289,挑战模式!$A$3:$Z$52,3+5*MonsterWaveCallRuleCfg!R289,FALSE)</f>
        <v>63</v>
      </c>
      <c r="J289" s="102">
        <f>VLOOKUP(P289&amp;"_"&amp;Q289,挑战模式!$A$3:$Z$52,4+5*MonsterWaveCallRuleCfg!R289,FALSE)</f>
        <v>0.2</v>
      </c>
      <c r="K289" s="102">
        <f t="shared" si="58"/>
        <v>1</v>
      </c>
      <c r="L289" s="102" t="str">
        <f>IF(VLOOKUP(P289&amp;"_"&amp;Q289,挑战模式!$A$3:$Z$52,2+5*R289,FALSE)="","","Monster_Challenge"&amp;P289&amp;"_"&amp;Q289&amp;"_"&amp;R289)</f>
        <v>Monster_Challenge10_2_2</v>
      </c>
      <c r="M289" s="57">
        <f t="shared" si="59"/>
        <v>1</v>
      </c>
      <c r="O289" s="102">
        <f>VLOOKUP(P289&amp;"_"&amp;Q289,挑战模式!$A$3:$Z$52,6+5*MonsterWaveCallRuleCfg!R289,FALSE)</f>
        <v>7</v>
      </c>
      <c r="P289" s="110">
        <f t="shared" si="56"/>
        <v>10</v>
      </c>
      <c r="Q289" s="110">
        <f t="shared" si="54"/>
        <v>2</v>
      </c>
      <c r="R289" s="110">
        <v>2</v>
      </c>
    </row>
    <row r="290" spans="2:18" x14ac:dyDescent="0.2">
      <c r="B290" s="57" t="str">
        <f t="shared" si="52"/>
        <v/>
      </c>
      <c r="D290" s="57" t="str">
        <f t="shared" si="53"/>
        <v/>
      </c>
      <c r="F290" s="57" t="str">
        <f t="shared" si="57"/>
        <v/>
      </c>
      <c r="G290" s="102" t="str">
        <f t="shared" si="60"/>
        <v/>
      </c>
      <c r="I290" s="102">
        <f>VLOOKUP(P290&amp;"_"&amp;Q290,挑战模式!$A$3:$Z$52,3+5*MonsterWaveCallRuleCfg!R290,FALSE)</f>
        <v>3</v>
      </c>
      <c r="J290" s="102">
        <f>VLOOKUP(P290&amp;"_"&amp;Q290,挑战模式!$A$3:$Z$52,4+5*MonsterWaveCallRuleCfg!R290,FALSE)</f>
        <v>4</v>
      </c>
      <c r="K290" s="102">
        <f t="shared" si="58"/>
        <v>1</v>
      </c>
      <c r="L290" s="102" t="str">
        <f>IF(VLOOKUP(P290&amp;"_"&amp;Q290,挑战模式!$A$3:$Z$52,2+5*R290,FALSE)="","","Monster_Challenge"&amp;P290&amp;"_"&amp;Q290&amp;"_"&amp;R290)</f>
        <v>Monster_Challenge10_2_3</v>
      </c>
      <c r="M290" s="57">
        <f t="shared" si="59"/>
        <v>1</v>
      </c>
      <c r="O290" s="102">
        <f>VLOOKUP(P290&amp;"_"&amp;Q290,挑战模式!$A$3:$Z$52,6+5*MonsterWaveCallRuleCfg!R290,FALSE)</f>
        <v>27</v>
      </c>
      <c r="P290" s="110">
        <f t="shared" si="56"/>
        <v>10</v>
      </c>
      <c r="Q290" s="110">
        <f t="shared" si="54"/>
        <v>2</v>
      </c>
      <c r="R290" s="110">
        <v>3</v>
      </c>
    </row>
    <row r="291" spans="2:18" x14ac:dyDescent="0.2">
      <c r="B291" s="57" t="str">
        <f t="shared" si="52"/>
        <v/>
      </c>
      <c r="D291" s="57" t="str">
        <f t="shared" si="53"/>
        <v/>
      </c>
      <c r="F291" s="57" t="str">
        <f t="shared" si="57"/>
        <v/>
      </c>
      <c r="G291" s="102" t="str">
        <f t="shared" si="60"/>
        <v/>
      </c>
      <c r="I291" s="102" t="str">
        <f>VLOOKUP(P291&amp;"_"&amp;Q291,挑战模式!$A$3:$Z$52,3+5*MonsterWaveCallRuleCfg!R291,FALSE)</f>
        <v/>
      </c>
      <c r="J291" s="102" t="str">
        <f>VLOOKUP(P291&amp;"_"&amp;Q291,挑战模式!$A$3:$Z$52,4+5*MonsterWaveCallRuleCfg!R291,FALSE)</f>
        <v/>
      </c>
      <c r="K291" s="102" t="str">
        <f t="shared" si="58"/>
        <v/>
      </c>
      <c r="L291" s="102" t="str">
        <f>IF(VLOOKUP(P291&amp;"_"&amp;Q291,挑战模式!$A$3:$Z$52,2+5*R291,FALSE)="","","Monster_Challenge"&amp;P291&amp;"_"&amp;Q291&amp;"_"&amp;R291)</f>
        <v/>
      </c>
      <c r="M291" s="57" t="str">
        <f t="shared" si="59"/>
        <v/>
      </c>
      <c r="O291" s="102" t="str">
        <f>VLOOKUP(P291&amp;"_"&amp;Q291,挑战模式!$A$3:$Z$52,6+5*MonsterWaveCallRuleCfg!R291,FALSE)</f>
        <v/>
      </c>
      <c r="P291" s="110">
        <f t="shared" si="56"/>
        <v>10</v>
      </c>
      <c r="Q291" s="110">
        <f t="shared" si="54"/>
        <v>2</v>
      </c>
      <c r="R291" s="110">
        <v>4</v>
      </c>
    </row>
    <row r="292" spans="2:18" x14ac:dyDescent="0.2">
      <c r="B292" s="57" t="str">
        <f t="shared" si="52"/>
        <v>MonsterWaveCallRule_Challenge10</v>
      </c>
      <c r="C292" s="57">
        <v>3</v>
      </c>
      <c r="D292" s="57" t="str">
        <f t="shared" si="53"/>
        <v>挑战关卡10第3波</v>
      </c>
      <c r="F292" s="57">
        <f t="shared" si="57"/>
        <v>0</v>
      </c>
      <c r="G292" s="102">
        <f t="shared" si="60"/>
        <v>180</v>
      </c>
      <c r="I292" s="102">
        <f>VLOOKUP(P292&amp;"_"&amp;Q292,挑战模式!$A$3:$Z$52,3+5*MonsterWaveCallRuleCfg!R292,FALSE)</f>
        <v>10</v>
      </c>
      <c r="J292" s="102">
        <f>VLOOKUP(P292&amp;"_"&amp;Q292,挑战模式!$A$3:$Z$52,4+5*MonsterWaveCallRuleCfg!R292,FALSE)</f>
        <v>1.5</v>
      </c>
      <c r="K292" s="102">
        <f t="shared" si="58"/>
        <v>1</v>
      </c>
      <c r="L292" s="102" t="str">
        <f>IF(VLOOKUP(P292&amp;"_"&amp;Q292,挑战模式!$A$3:$Z$52,2+5*R292,FALSE)="","","Monster_Challenge"&amp;P292&amp;"_"&amp;Q292&amp;"_"&amp;R292)</f>
        <v>Monster_Challenge10_3_1</v>
      </c>
      <c r="M292" s="57">
        <f t="shared" si="59"/>
        <v>1</v>
      </c>
      <c r="O292" s="102">
        <f>VLOOKUP(P292&amp;"_"&amp;Q292,挑战模式!$A$3:$Z$52,6+5*MonsterWaveCallRuleCfg!R292,FALSE)</f>
        <v>19</v>
      </c>
      <c r="P292" s="110">
        <f t="shared" si="56"/>
        <v>10</v>
      </c>
      <c r="Q292" s="110">
        <f t="shared" si="54"/>
        <v>3</v>
      </c>
      <c r="R292" s="110">
        <v>1</v>
      </c>
    </row>
    <row r="293" spans="2:18" x14ac:dyDescent="0.2">
      <c r="B293" s="57" t="str">
        <f t="shared" si="52"/>
        <v/>
      </c>
      <c r="D293" s="57" t="str">
        <f t="shared" si="53"/>
        <v/>
      </c>
      <c r="F293" s="57" t="str">
        <f t="shared" si="57"/>
        <v/>
      </c>
      <c r="G293" s="102" t="str">
        <f t="shared" si="60"/>
        <v/>
      </c>
      <c r="I293" s="102">
        <f>VLOOKUP(P293&amp;"_"&amp;Q293,挑战模式!$A$3:$Z$52,3+5*MonsterWaveCallRuleCfg!R293,FALSE)</f>
        <v>38</v>
      </c>
      <c r="J293" s="102">
        <f>VLOOKUP(P293&amp;"_"&amp;Q293,挑战模式!$A$3:$Z$52,4+5*MonsterWaveCallRuleCfg!R293,FALSE)</f>
        <v>0.4</v>
      </c>
      <c r="K293" s="102">
        <f t="shared" si="58"/>
        <v>1</v>
      </c>
      <c r="L293" s="102" t="str">
        <f>IF(VLOOKUP(P293&amp;"_"&amp;Q293,挑战模式!$A$3:$Z$52,2+5*R293,FALSE)="","","Monster_Challenge"&amp;P293&amp;"_"&amp;Q293&amp;"_"&amp;R293)</f>
        <v>Monster_Challenge10_3_2</v>
      </c>
      <c r="M293" s="57">
        <f t="shared" si="59"/>
        <v>1</v>
      </c>
      <c r="O293" s="102">
        <f>VLOOKUP(P293&amp;"_"&amp;Q293,挑战模式!$A$3:$Z$52,6+5*MonsterWaveCallRuleCfg!R293,FALSE)</f>
        <v>9</v>
      </c>
      <c r="P293" s="110">
        <f t="shared" si="56"/>
        <v>10</v>
      </c>
      <c r="Q293" s="110">
        <f t="shared" si="54"/>
        <v>3</v>
      </c>
      <c r="R293" s="110">
        <v>2</v>
      </c>
    </row>
    <row r="294" spans="2:18" x14ac:dyDescent="0.2">
      <c r="B294" s="57" t="str">
        <f t="shared" si="52"/>
        <v/>
      </c>
      <c r="D294" s="57" t="str">
        <f t="shared" si="53"/>
        <v/>
      </c>
      <c r="F294" s="57" t="str">
        <f t="shared" si="57"/>
        <v/>
      </c>
      <c r="G294" s="102" t="str">
        <f t="shared" si="60"/>
        <v/>
      </c>
      <c r="I294" s="102">
        <f>VLOOKUP(P294&amp;"_"&amp;Q294,挑战模式!$A$3:$Z$52,3+5*MonsterWaveCallRuleCfg!R294,FALSE)</f>
        <v>10</v>
      </c>
      <c r="J294" s="102">
        <f>VLOOKUP(P294&amp;"_"&amp;Q294,挑战模式!$A$3:$Z$52,4+5*MonsterWaveCallRuleCfg!R294,FALSE)</f>
        <v>1.5</v>
      </c>
      <c r="K294" s="102">
        <f t="shared" si="58"/>
        <v>1</v>
      </c>
      <c r="L294" s="102" t="str">
        <f>IF(VLOOKUP(P294&amp;"_"&amp;Q294,挑战模式!$A$3:$Z$52,2+5*R294,FALSE)="","","Monster_Challenge"&amp;P294&amp;"_"&amp;Q294&amp;"_"&amp;R294)</f>
        <v>Monster_Challenge10_3_3</v>
      </c>
      <c r="M294" s="57">
        <f t="shared" si="59"/>
        <v>1</v>
      </c>
      <c r="O294" s="102">
        <f>VLOOKUP(P294&amp;"_"&amp;Q294,挑战模式!$A$3:$Z$52,6+5*MonsterWaveCallRuleCfg!R294,FALSE)</f>
        <v>9</v>
      </c>
      <c r="P294" s="110">
        <f t="shared" si="56"/>
        <v>10</v>
      </c>
      <c r="Q294" s="110">
        <f t="shared" si="54"/>
        <v>3</v>
      </c>
      <c r="R294" s="110">
        <v>3</v>
      </c>
    </row>
    <row r="295" spans="2:18" x14ac:dyDescent="0.2">
      <c r="B295" s="57" t="str">
        <f t="shared" si="52"/>
        <v/>
      </c>
      <c r="D295" s="57" t="str">
        <f t="shared" si="53"/>
        <v/>
      </c>
      <c r="F295" s="57" t="str">
        <f t="shared" si="57"/>
        <v/>
      </c>
      <c r="G295" s="102" t="str">
        <f t="shared" si="60"/>
        <v/>
      </c>
      <c r="I295" s="102">
        <f>VLOOKUP(P295&amp;"_"&amp;Q295,挑战模式!$A$3:$Z$52,3+5*MonsterWaveCallRuleCfg!R295,FALSE)</f>
        <v>4</v>
      </c>
      <c r="J295" s="102">
        <f>VLOOKUP(P295&amp;"_"&amp;Q295,挑战模式!$A$3:$Z$52,4+5*MonsterWaveCallRuleCfg!R295,FALSE)</f>
        <v>4</v>
      </c>
      <c r="K295" s="102">
        <f t="shared" si="58"/>
        <v>1</v>
      </c>
      <c r="L295" s="102" t="str">
        <f>IF(VLOOKUP(P295&amp;"_"&amp;Q295,挑战模式!$A$3:$Z$52,2+5*R295,FALSE)="","","Monster_Challenge"&amp;P295&amp;"_"&amp;Q295&amp;"_"&amp;R295)</f>
        <v>Monster_Challenge10_3_4</v>
      </c>
      <c r="M295" s="57">
        <f t="shared" si="59"/>
        <v>1</v>
      </c>
      <c r="O295" s="102">
        <f>VLOOKUP(P295&amp;"_"&amp;Q295,挑战模式!$A$3:$Z$52,6+5*MonsterWaveCallRuleCfg!R295,FALSE)</f>
        <v>19</v>
      </c>
      <c r="P295" s="110">
        <f t="shared" si="56"/>
        <v>10</v>
      </c>
      <c r="Q295" s="110">
        <f t="shared" si="54"/>
        <v>3</v>
      </c>
      <c r="R295" s="110">
        <v>4</v>
      </c>
    </row>
    <row r="296" spans="2:18" x14ac:dyDescent="0.2">
      <c r="B296" s="57" t="str">
        <f t="shared" si="52"/>
        <v>MonsterWaveCallRule_Challenge10</v>
      </c>
      <c r="C296" s="57">
        <v>4</v>
      </c>
      <c r="D296" s="57" t="str">
        <f t="shared" si="53"/>
        <v>挑战关卡10第4波</v>
      </c>
      <c r="F296" s="57">
        <f t="shared" si="57"/>
        <v>0</v>
      </c>
      <c r="G296" s="102">
        <f t="shared" si="60"/>
        <v>180</v>
      </c>
      <c r="I296" s="102">
        <f>VLOOKUP(P296&amp;"_"&amp;Q296,挑战模式!$A$3:$Z$52,3+5*MonsterWaveCallRuleCfg!R296,FALSE)</f>
        <v>12</v>
      </c>
      <c r="J296" s="102">
        <f>VLOOKUP(P296&amp;"_"&amp;Q296,挑战模式!$A$3:$Z$52,4+5*MonsterWaveCallRuleCfg!R296,FALSE)</f>
        <v>1.5</v>
      </c>
      <c r="K296" s="102">
        <f t="shared" si="58"/>
        <v>1</v>
      </c>
      <c r="L296" s="102" t="str">
        <f>IF(VLOOKUP(P296&amp;"_"&amp;Q296,挑战模式!$A$3:$Z$52,2+5*R296,FALSE)="","","Monster_Challenge"&amp;P296&amp;"_"&amp;Q296&amp;"_"&amp;R296)</f>
        <v>Monster_Challenge10_4_1</v>
      </c>
      <c r="M296" s="57">
        <f t="shared" si="59"/>
        <v>1</v>
      </c>
      <c r="O296" s="102">
        <f>VLOOKUP(P296&amp;"_"&amp;Q296,挑战模式!$A$3:$Z$52,6+5*MonsterWaveCallRuleCfg!R296,FALSE)</f>
        <v>21</v>
      </c>
      <c r="P296" s="110">
        <f t="shared" si="56"/>
        <v>10</v>
      </c>
      <c r="Q296" s="110">
        <f t="shared" si="54"/>
        <v>4</v>
      </c>
      <c r="R296" s="110">
        <v>1</v>
      </c>
    </row>
    <row r="297" spans="2:18" x14ac:dyDescent="0.2">
      <c r="B297" s="57" t="str">
        <f t="shared" ref="B297:B303" si="61">IF(C297="","","MonsterWaveCallRule_Challenge"&amp;P297)</f>
        <v/>
      </c>
      <c r="D297" s="57" t="str">
        <f t="shared" ref="D297:D303" si="62">IF(C297="","","挑战关卡"&amp;P297&amp;"第"&amp;C297&amp;"波")</f>
        <v/>
      </c>
      <c r="F297" s="57" t="str">
        <f t="shared" si="57"/>
        <v/>
      </c>
      <c r="G297" s="102" t="str">
        <f t="shared" si="60"/>
        <v/>
      </c>
      <c r="I297" s="102">
        <f>VLOOKUP(P297&amp;"_"&amp;Q297,挑战模式!$A$3:$Z$52,3+5*MonsterWaveCallRuleCfg!R297,FALSE)</f>
        <v>35</v>
      </c>
      <c r="J297" s="102">
        <f>VLOOKUP(P297&amp;"_"&amp;Q297,挑战模式!$A$3:$Z$52,4+5*MonsterWaveCallRuleCfg!R297,FALSE)</f>
        <v>0.5</v>
      </c>
      <c r="K297" s="102">
        <f t="shared" si="58"/>
        <v>1</v>
      </c>
      <c r="L297" s="102" t="str">
        <f>IF(VLOOKUP(P297&amp;"_"&amp;Q297,挑战模式!$A$3:$Z$52,2+5*R297,FALSE)="","","Monster_Challenge"&amp;P297&amp;"_"&amp;Q297&amp;"_"&amp;R297)</f>
        <v>Monster_Challenge10_4_2</v>
      </c>
      <c r="M297" s="57">
        <f t="shared" si="59"/>
        <v>1</v>
      </c>
      <c r="O297" s="102">
        <f>VLOOKUP(P297&amp;"_"&amp;Q297,挑战模式!$A$3:$Z$52,6+5*MonsterWaveCallRuleCfg!R297,FALSE)</f>
        <v>11</v>
      </c>
      <c r="P297" s="110">
        <f t="shared" si="56"/>
        <v>10</v>
      </c>
      <c r="Q297" s="110">
        <f t="shared" si="54"/>
        <v>4</v>
      </c>
      <c r="R297" s="110">
        <v>2</v>
      </c>
    </row>
    <row r="298" spans="2:18" x14ac:dyDescent="0.2">
      <c r="B298" s="57" t="str">
        <f t="shared" si="61"/>
        <v/>
      </c>
      <c r="D298" s="57" t="str">
        <f t="shared" si="62"/>
        <v/>
      </c>
      <c r="F298" s="57" t="str">
        <f t="shared" si="57"/>
        <v/>
      </c>
      <c r="G298" s="102" t="str">
        <f t="shared" si="60"/>
        <v/>
      </c>
      <c r="I298" s="102">
        <f>VLOOKUP(P298&amp;"_"&amp;Q298,挑战模式!$A$3:$Z$52,3+5*MonsterWaveCallRuleCfg!R298,FALSE)</f>
        <v>4</v>
      </c>
      <c r="J298" s="102">
        <f>VLOOKUP(P298&amp;"_"&amp;Q298,挑战模式!$A$3:$Z$52,4+5*MonsterWaveCallRuleCfg!R298,FALSE)</f>
        <v>4</v>
      </c>
      <c r="K298" s="102">
        <f t="shared" si="58"/>
        <v>1</v>
      </c>
      <c r="L298" s="102" t="str">
        <f>IF(VLOOKUP(P298&amp;"_"&amp;Q298,挑战模式!$A$3:$Z$52,2+5*R298,FALSE)="","","Monster_Challenge"&amp;P298&amp;"_"&amp;Q298&amp;"_"&amp;R298)</f>
        <v>Monster_Challenge10_4_3</v>
      </c>
      <c r="M298" s="57">
        <f t="shared" si="59"/>
        <v>1</v>
      </c>
      <c r="O298" s="102">
        <f>VLOOKUP(P298&amp;"_"&amp;Q298,挑战模式!$A$3:$Z$52,6+5*MonsterWaveCallRuleCfg!R298,FALSE)</f>
        <v>21</v>
      </c>
      <c r="P298" s="110">
        <f t="shared" si="56"/>
        <v>10</v>
      </c>
      <c r="Q298" s="110">
        <f t="shared" ref="Q298:Q303" si="63">IF(C298="",Q297,C298)</f>
        <v>4</v>
      </c>
      <c r="R298" s="110">
        <v>3</v>
      </c>
    </row>
    <row r="299" spans="2:18" x14ac:dyDescent="0.2">
      <c r="B299" s="57" t="str">
        <f t="shared" si="61"/>
        <v/>
      </c>
      <c r="D299" s="57" t="str">
        <f t="shared" si="62"/>
        <v/>
      </c>
      <c r="F299" s="57" t="str">
        <f t="shared" si="57"/>
        <v/>
      </c>
      <c r="G299" s="102" t="str">
        <f t="shared" si="60"/>
        <v/>
      </c>
      <c r="I299" s="102" t="str">
        <f>VLOOKUP(P299&amp;"_"&amp;Q299,挑战模式!$A$3:$Z$52,3+5*MonsterWaveCallRuleCfg!R299,FALSE)</f>
        <v/>
      </c>
      <c r="J299" s="102" t="str">
        <f>VLOOKUP(P299&amp;"_"&amp;Q299,挑战模式!$A$3:$Z$52,4+5*MonsterWaveCallRuleCfg!R299,FALSE)</f>
        <v/>
      </c>
      <c r="K299" s="102" t="str">
        <f t="shared" si="58"/>
        <v/>
      </c>
      <c r="L299" s="102" t="str">
        <f>IF(VLOOKUP(P299&amp;"_"&amp;Q299,挑战模式!$A$3:$Z$52,2+5*R299,FALSE)="","","Monster_Challenge"&amp;P299&amp;"_"&amp;Q299&amp;"_"&amp;R299)</f>
        <v/>
      </c>
      <c r="M299" s="57" t="str">
        <f t="shared" si="59"/>
        <v/>
      </c>
      <c r="O299" s="102" t="str">
        <f>VLOOKUP(P299&amp;"_"&amp;Q299,挑战模式!$A$3:$Z$52,6+5*MonsterWaveCallRuleCfg!R299,FALSE)</f>
        <v/>
      </c>
      <c r="P299" s="110">
        <f t="shared" si="56"/>
        <v>10</v>
      </c>
      <c r="Q299" s="110">
        <f t="shared" si="63"/>
        <v>4</v>
      </c>
      <c r="R299" s="110">
        <v>4</v>
      </c>
    </row>
    <row r="300" spans="2:18" x14ac:dyDescent="0.2">
      <c r="B300" s="57" t="str">
        <f t="shared" si="61"/>
        <v>MonsterWaveCallRule_Challenge10</v>
      </c>
      <c r="C300" s="57">
        <v>5</v>
      </c>
      <c r="D300" s="57" t="str">
        <f t="shared" si="62"/>
        <v>挑战关卡10第5波</v>
      </c>
      <c r="F300" s="57">
        <f t="shared" si="57"/>
        <v>0</v>
      </c>
      <c r="G300" s="102">
        <f t="shared" si="60"/>
        <v>180</v>
      </c>
      <c r="I300" s="102">
        <f>VLOOKUP(P300&amp;"_"&amp;Q300,挑战模式!$A$3:$Z$52,3+5*MonsterWaveCallRuleCfg!R300,FALSE)</f>
        <v>13</v>
      </c>
      <c r="J300" s="102">
        <f>VLOOKUP(P300&amp;"_"&amp;Q300,挑战模式!$A$3:$Z$52,4+5*MonsterWaveCallRuleCfg!R300,FALSE)</f>
        <v>1.5</v>
      </c>
      <c r="K300" s="102">
        <f t="shared" si="58"/>
        <v>1</v>
      </c>
      <c r="L300" s="102" t="str">
        <f>IF(VLOOKUP(P300&amp;"_"&amp;Q300,挑战模式!$A$3:$Z$52,2+5*R300,FALSE)="","","Monster_Challenge"&amp;P300&amp;"_"&amp;Q300&amp;"_"&amp;R300)</f>
        <v>Monster_Challenge10_5_1</v>
      </c>
      <c r="M300" s="57">
        <f t="shared" si="59"/>
        <v>1</v>
      </c>
      <c r="O300" s="102">
        <f>VLOOKUP(P300&amp;"_"&amp;Q300,挑战模式!$A$3:$Z$52,6+5*MonsterWaveCallRuleCfg!R300,FALSE)</f>
        <v>14</v>
      </c>
      <c r="P300" s="110">
        <f t="shared" si="56"/>
        <v>10</v>
      </c>
      <c r="Q300" s="110">
        <f t="shared" si="63"/>
        <v>5</v>
      </c>
      <c r="R300" s="110">
        <v>1</v>
      </c>
    </row>
    <row r="301" spans="2:18" x14ac:dyDescent="0.2">
      <c r="B301" s="57" t="str">
        <f t="shared" si="61"/>
        <v/>
      </c>
      <c r="D301" s="57" t="str">
        <f t="shared" si="62"/>
        <v/>
      </c>
      <c r="F301" s="57" t="str">
        <f t="shared" si="57"/>
        <v/>
      </c>
      <c r="G301" s="102" t="str">
        <f t="shared" si="60"/>
        <v/>
      </c>
      <c r="I301" s="102">
        <f>VLOOKUP(P301&amp;"_"&amp;Q301,挑战模式!$A$3:$Z$52,3+5*MonsterWaveCallRuleCfg!R301,FALSE)</f>
        <v>40</v>
      </c>
      <c r="J301" s="102">
        <f>VLOOKUP(P301&amp;"_"&amp;Q301,挑战模式!$A$3:$Z$52,4+5*MonsterWaveCallRuleCfg!R301,FALSE)</f>
        <v>0.5</v>
      </c>
      <c r="K301" s="102">
        <f t="shared" si="58"/>
        <v>1</v>
      </c>
      <c r="L301" s="102" t="str">
        <f>IF(VLOOKUP(P301&amp;"_"&amp;Q301,挑战模式!$A$3:$Z$52,2+5*R301,FALSE)="","","Monster_Challenge"&amp;P301&amp;"_"&amp;Q301&amp;"_"&amp;R301)</f>
        <v>Monster_Challenge10_5_2</v>
      </c>
      <c r="M301" s="57">
        <f t="shared" si="59"/>
        <v>1</v>
      </c>
      <c r="O301" s="102">
        <f>VLOOKUP(P301&amp;"_"&amp;Q301,挑战模式!$A$3:$Z$52,6+5*MonsterWaveCallRuleCfg!R301,FALSE)</f>
        <v>7</v>
      </c>
      <c r="P301" s="110">
        <f t="shared" si="56"/>
        <v>10</v>
      </c>
      <c r="Q301" s="110">
        <f t="shared" si="63"/>
        <v>5</v>
      </c>
      <c r="R301" s="110">
        <v>2</v>
      </c>
    </row>
    <row r="302" spans="2:18" x14ac:dyDescent="0.2">
      <c r="B302" s="57" t="str">
        <f t="shared" si="61"/>
        <v/>
      </c>
      <c r="D302" s="57" t="str">
        <f t="shared" si="62"/>
        <v/>
      </c>
      <c r="F302" s="57" t="str">
        <f t="shared" si="57"/>
        <v/>
      </c>
      <c r="G302" s="102" t="str">
        <f t="shared" si="60"/>
        <v/>
      </c>
      <c r="I302" s="102">
        <f>VLOOKUP(P302&amp;"_"&amp;Q302,挑战模式!$A$3:$Z$52,3+5*MonsterWaveCallRuleCfg!R302,FALSE)</f>
        <v>10</v>
      </c>
      <c r="J302" s="102">
        <f>VLOOKUP(P302&amp;"_"&amp;Q302,挑战模式!$A$3:$Z$52,4+5*MonsterWaveCallRuleCfg!R302,FALSE)</f>
        <v>2</v>
      </c>
      <c r="K302" s="102">
        <f t="shared" si="58"/>
        <v>1</v>
      </c>
      <c r="L302" s="102" t="str">
        <f>IF(VLOOKUP(P302&amp;"_"&amp;Q302,挑战模式!$A$3:$Z$52,2+5*R302,FALSE)="","","Monster_Challenge"&amp;P302&amp;"_"&amp;Q302&amp;"_"&amp;R302)</f>
        <v>Monster_Challenge10_5_3</v>
      </c>
      <c r="M302" s="57">
        <f t="shared" si="59"/>
        <v>1</v>
      </c>
      <c r="O302" s="102">
        <f>VLOOKUP(P302&amp;"_"&amp;Q302,挑战模式!$A$3:$Z$52,6+5*MonsterWaveCallRuleCfg!R302,FALSE)</f>
        <v>14</v>
      </c>
      <c r="P302" s="110">
        <f t="shared" si="56"/>
        <v>10</v>
      </c>
      <c r="Q302" s="110">
        <f t="shared" si="63"/>
        <v>5</v>
      </c>
      <c r="R302" s="110">
        <v>3</v>
      </c>
    </row>
    <row r="303" spans="2:18" x14ac:dyDescent="0.2">
      <c r="B303" s="57" t="str">
        <f t="shared" si="61"/>
        <v/>
      </c>
      <c r="D303" s="57" t="str">
        <f t="shared" si="62"/>
        <v/>
      </c>
      <c r="F303" s="57" t="str">
        <f t="shared" si="57"/>
        <v/>
      </c>
      <c r="G303" s="102" t="str">
        <f t="shared" si="60"/>
        <v/>
      </c>
      <c r="I303" s="102">
        <f>VLOOKUP(P303&amp;"_"&amp;Q303,挑战模式!$A$3:$Z$52,3+5*MonsterWaveCallRuleCfg!R303,FALSE)</f>
        <v>10</v>
      </c>
      <c r="J303" s="102">
        <f>VLOOKUP(P303&amp;"_"&amp;Q303,挑战模式!$A$3:$Z$52,4+5*MonsterWaveCallRuleCfg!R303,FALSE)</f>
        <v>2</v>
      </c>
      <c r="K303" s="102">
        <f t="shared" si="58"/>
        <v>1</v>
      </c>
      <c r="L303" s="102" t="str">
        <f>IF(VLOOKUP(P303&amp;"_"&amp;Q303,挑战模式!$A$3:$Z$52,2+5*R303,FALSE)="","","Monster_Challenge"&amp;P303&amp;"_"&amp;Q303&amp;"_"&amp;R303)</f>
        <v>Monster_Challenge10_5_4</v>
      </c>
      <c r="M303" s="57">
        <f t="shared" si="59"/>
        <v>1</v>
      </c>
      <c r="O303" s="102">
        <f>VLOOKUP(P303&amp;"_"&amp;Q303,挑战模式!$A$3:$Z$52,6+5*MonsterWaveCallRuleCfg!R303,FALSE)</f>
        <v>14</v>
      </c>
      <c r="P303" s="110">
        <f t="shared" si="56"/>
        <v>10</v>
      </c>
      <c r="Q303" s="110">
        <f t="shared" si="63"/>
        <v>5</v>
      </c>
      <c r="R303" s="110">
        <v>4</v>
      </c>
    </row>
    <row r="306" spans="2:17" x14ac:dyDescent="0.2">
      <c r="B306" s="57" t="s">
        <v>1807</v>
      </c>
      <c r="C306" s="57">
        <v>1</v>
      </c>
      <c r="D306" s="57" t="str">
        <f t="shared" ref="D306:D337" si="64">IF(C306="","","线下模式第"&amp;C306&amp;"波")</f>
        <v>线下模式第1波</v>
      </c>
      <c r="F306" s="57">
        <f>IF(C306="","",0)</f>
        <v>0</v>
      </c>
      <c r="G306" s="102">
        <f>IF(C306="","",180)</f>
        <v>180</v>
      </c>
      <c r="H306" s="57">
        <f>IF(I306="","",0)</f>
        <v>0</v>
      </c>
      <c r="I306" s="102">
        <f>IF(VLOOKUP($P306,线下模式!$A$3:$X$22,5,FALSE)="","",VLOOKUP($P306,线下模式!$A$3:$X$22,6,FALSE))</f>
        <v>13</v>
      </c>
      <c r="J306" s="102">
        <f>IF(VLOOKUP($P306,线下模式!$A$3:$X$22,5,FALSE)="","",VLOOKUP($P306,线下模式!$A$3:$X$22,7,FALSE))</f>
        <v>0.75</v>
      </c>
      <c r="K306" s="102">
        <f>IF(I306="","",1)</f>
        <v>1</v>
      </c>
      <c r="L306" s="102" t="str">
        <f>IF(VLOOKUP($P306,线下模式!$A$3:$X$22,5,FALSE)="","","Monster_Offline_"&amp;P306&amp;"_1")</f>
        <v>Monster_Offline_1_1</v>
      </c>
      <c r="M306" s="57">
        <f>IF(I306="","",1)</f>
        <v>1</v>
      </c>
      <c r="O306" s="102">
        <f>IF(VLOOKUP($P306,线下模式!$A$3:$X$22,5,FALSE)="","",VLOOKUP($P306,线下模式!$A$3:$X$22,9,FALSE))</f>
        <v>55</v>
      </c>
      <c r="P306" s="110">
        <f>IF(C306="",P289,C306)</f>
        <v>1</v>
      </c>
      <c r="Q306" s="110">
        <v>1</v>
      </c>
    </row>
    <row r="307" spans="2:17" x14ac:dyDescent="0.2">
      <c r="D307" s="57" t="str">
        <f t="shared" si="64"/>
        <v/>
      </c>
      <c r="F307" s="57" t="str">
        <f t="shared" ref="F307:F370" si="65">IF(C307="","",0)</f>
        <v/>
      </c>
      <c r="G307" s="102" t="str">
        <f t="shared" ref="G307:G370" si="66">IF(C307="","",180)</f>
        <v/>
      </c>
      <c r="H307" s="57" t="str">
        <f t="shared" ref="H307:H370" si="67">IF(I307="","",0)</f>
        <v/>
      </c>
      <c r="I307" s="102" t="str">
        <f>IF(VLOOKUP($P307,线下模式!$A$3:$X$22,10,FALSE)="","",VLOOKUP($P307,线下模式!$A$3:$X$22,11,FALSE))</f>
        <v/>
      </c>
      <c r="J307" s="102" t="str">
        <f>IF(VLOOKUP($P307,线下模式!$A$3:$X$22,10,FALSE)="","",VLOOKUP($P307,线下模式!$A$3:$X$22,12,FALSE))</f>
        <v/>
      </c>
      <c r="K307" s="102" t="str">
        <f t="shared" ref="K307:K370" si="68">IF(I307="","",1)</f>
        <v/>
      </c>
      <c r="L307" s="102" t="str">
        <f>IF(VLOOKUP($P307,线下模式!$A$3:$X$22,10,FALSE)="","","Monster_Offline_"&amp;P307&amp;"_2")</f>
        <v/>
      </c>
      <c r="M307" s="57" t="str">
        <f t="shared" ref="M307:M370" si="69">IF(I307="","",1)</f>
        <v/>
      </c>
      <c r="O307" s="102" t="str">
        <f>IF(VLOOKUP($P307,线下模式!$A$3:$X$22,10,FALSE)="","",VLOOKUP($P307,线下模式!$A$3:$X$22,14,FALSE))</f>
        <v/>
      </c>
      <c r="P307" s="110">
        <f t="shared" ref="P307:P370" si="70">IF(C307="",P306,C307)</f>
        <v>1</v>
      </c>
      <c r="Q307" s="110">
        <v>2</v>
      </c>
    </row>
    <row r="308" spans="2:17" x14ac:dyDescent="0.2">
      <c r="D308" s="57" t="str">
        <f t="shared" si="64"/>
        <v/>
      </c>
      <c r="F308" s="57" t="str">
        <f t="shared" si="65"/>
        <v/>
      </c>
      <c r="G308" s="102" t="str">
        <f t="shared" si="66"/>
        <v/>
      </c>
      <c r="H308" s="57" t="str">
        <f t="shared" si="67"/>
        <v/>
      </c>
      <c r="I308" s="102" t="str">
        <f>IF(VLOOKUP($P308,线下模式!$A$3:$X$22,15,FALSE)="","",VLOOKUP($P308,线下模式!$A$3:$X$22,16,FALSE))</f>
        <v/>
      </c>
      <c r="J308" s="102" t="str">
        <f>IF(VLOOKUP($P308,线下模式!$A$3:$X$22,15,FALSE)="","",VLOOKUP($P308,线下模式!$A$3:$X$22,17,FALSE))</f>
        <v/>
      </c>
      <c r="K308" s="102" t="str">
        <f t="shared" si="68"/>
        <v/>
      </c>
      <c r="L308" s="102" t="str">
        <f>IF(VLOOKUP($P308,线下模式!$A$3:$X$22,15,FALSE)="","","Monster_Offline_"&amp;P308&amp;"_3")</f>
        <v/>
      </c>
      <c r="M308" s="57" t="str">
        <f t="shared" si="69"/>
        <v/>
      </c>
      <c r="O308" s="102" t="str">
        <f>IF(VLOOKUP($P308,线下模式!$A$3:$X$22,15,FALSE)="","",VLOOKUP($P308,线下模式!$A$3:$X$22,19,FALSE))</f>
        <v/>
      </c>
      <c r="P308" s="110">
        <f t="shared" si="70"/>
        <v>1</v>
      </c>
      <c r="Q308" s="110">
        <v>3</v>
      </c>
    </row>
    <row r="309" spans="2:17" x14ac:dyDescent="0.2">
      <c r="D309" s="57" t="str">
        <f t="shared" si="64"/>
        <v/>
      </c>
      <c r="F309" s="57" t="str">
        <f t="shared" si="65"/>
        <v/>
      </c>
      <c r="G309" s="102" t="str">
        <f t="shared" si="66"/>
        <v/>
      </c>
      <c r="H309" s="57" t="str">
        <f t="shared" si="67"/>
        <v/>
      </c>
      <c r="I309" s="102" t="str">
        <f>IF(VLOOKUP($P309,线下模式!$A$3:$X$22,20,FALSE)="","",VLOOKUP($P309,线下模式!$A$3:$X$22,21,FALSE))</f>
        <v/>
      </c>
      <c r="J309" s="102" t="str">
        <f>IF(VLOOKUP($P309,线下模式!$A$3:$X$22,20,FALSE)="","",VLOOKUP($P309,线下模式!$A$3:$X$22,22,FALSE))</f>
        <v/>
      </c>
      <c r="K309" s="102" t="str">
        <f t="shared" si="68"/>
        <v/>
      </c>
      <c r="L309" s="102" t="str">
        <f>IF(VLOOKUP($P309,线下模式!$A$3:$X$22,20,FALSE)="","","Monster_Offline_"&amp;P309&amp;"_4")</f>
        <v/>
      </c>
      <c r="M309" s="57" t="str">
        <f t="shared" si="69"/>
        <v/>
      </c>
      <c r="O309" s="102" t="str">
        <f>IF(VLOOKUP($P309,线下模式!$A$3:$X$22,20,FALSE)="","",VLOOKUP($P309,线下模式!$A$3:$X$22,24,FALSE))</f>
        <v/>
      </c>
      <c r="P309" s="110">
        <f t="shared" si="70"/>
        <v>1</v>
      </c>
      <c r="Q309" s="110">
        <v>4</v>
      </c>
    </row>
    <row r="310" spans="2:17" x14ac:dyDescent="0.2">
      <c r="B310" s="57" t="s">
        <v>1807</v>
      </c>
      <c r="C310" s="57">
        <v>2</v>
      </c>
      <c r="D310" s="57" t="str">
        <f t="shared" si="64"/>
        <v>线下模式第2波</v>
      </c>
      <c r="F310" s="57">
        <f t="shared" si="65"/>
        <v>0</v>
      </c>
      <c r="G310" s="102">
        <f t="shared" si="66"/>
        <v>180</v>
      </c>
      <c r="H310" s="57">
        <f t="shared" si="67"/>
        <v>0</v>
      </c>
      <c r="I310" s="102">
        <f>IF(VLOOKUP($P310,线下模式!$A$3:$X$22,5,FALSE)="","",VLOOKUP($P310,线下模式!$A$3:$X$22,6,FALSE))</f>
        <v>15</v>
      </c>
      <c r="J310" s="102">
        <f>IF(VLOOKUP($P310,线下模式!$A$3:$X$22,5,FALSE)="","",VLOOKUP($P310,线下模式!$A$3:$X$22,7,FALSE))</f>
        <v>0.75</v>
      </c>
      <c r="K310" s="102">
        <f t="shared" si="68"/>
        <v>1</v>
      </c>
      <c r="L310" s="102" t="str">
        <f>IF(VLOOKUP($P310,线下模式!$A$3:$X$22,5,FALSE)="","","Monster_Offline_"&amp;P310&amp;"_1")</f>
        <v>Monster_Offline_2_1</v>
      </c>
      <c r="M310" s="57">
        <f t="shared" si="69"/>
        <v>1</v>
      </c>
      <c r="O310" s="102">
        <f>IF(VLOOKUP($P310,线下模式!$A$3:$X$22,5,FALSE)="","",VLOOKUP($P310,线下模式!$A$3:$X$22,9,FALSE))</f>
        <v>17</v>
      </c>
      <c r="P310" s="110">
        <f t="shared" si="70"/>
        <v>2</v>
      </c>
      <c r="Q310" s="110">
        <v>1</v>
      </c>
    </row>
    <row r="311" spans="2:17" x14ac:dyDescent="0.2">
      <c r="D311" s="57" t="str">
        <f t="shared" si="64"/>
        <v/>
      </c>
      <c r="F311" s="57" t="str">
        <f t="shared" si="65"/>
        <v/>
      </c>
      <c r="G311" s="102" t="str">
        <f t="shared" si="66"/>
        <v/>
      </c>
      <c r="H311" s="57">
        <f t="shared" si="67"/>
        <v>0</v>
      </c>
      <c r="I311" s="102">
        <f>IF(VLOOKUP($P311,线下模式!$A$3:$X$22,10,FALSE)="","",VLOOKUP($P311,线下模式!$A$3:$X$22,11,FALSE))</f>
        <v>7</v>
      </c>
      <c r="J311" s="102">
        <f>IF(VLOOKUP($P311,线下模式!$A$3:$X$22,10,FALSE)="","",VLOOKUP($P311,线下模式!$A$3:$X$22,12,FALSE))</f>
        <v>1.5</v>
      </c>
      <c r="K311" s="102">
        <f t="shared" si="68"/>
        <v>1</v>
      </c>
      <c r="L311" s="102" t="str">
        <f>IF(VLOOKUP($P311,线下模式!$A$3:$X$22,10,FALSE)="","","Monster_Offline_"&amp;P311&amp;"_2")</f>
        <v>Monster_Offline_2_2</v>
      </c>
      <c r="M311" s="57">
        <f t="shared" si="69"/>
        <v>1</v>
      </c>
      <c r="O311" s="102">
        <f>IF(VLOOKUP($P311,线下模式!$A$3:$X$22,10,FALSE)="","",VLOOKUP($P311,线下模式!$A$3:$X$22,14,FALSE))</f>
        <v>67</v>
      </c>
      <c r="P311" s="110">
        <f t="shared" si="70"/>
        <v>2</v>
      </c>
      <c r="Q311" s="110">
        <v>2</v>
      </c>
    </row>
    <row r="312" spans="2:17" x14ac:dyDescent="0.2">
      <c r="D312" s="57" t="str">
        <f t="shared" si="64"/>
        <v/>
      </c>
      <c r="F312" s="57" t="str">
        <f t="shared" si="65"/>
        <v/>
      </c>
      <c r="G312" s="102" t="str">
        <f t="shared" si="66"/>
        <v/>
      </c>
      <c r="H312" s="57" t="str">
        <f t="shared" si="67"/>
        <v/>
      </c>
      <c r="I312" s="102" t="str">
        <f>IF(VLOOKUP($P312,线下模式!$A$3:$X$22,15,FALSE)="","",VLOOKUP(P312,线下模式!$A$3:$X$22,16,FALSE))</f>
        <v/>
      </c>
      <c r="J312" s="102" t="str">
        <f>IF(VLOOKUP($P312,线下模式!$A$3:$X$22,15,FALSE)="","",VLOOKUP($P312,线下模式!$A$3:$X$22,17,FALSE))</f>
        <v/>
      </c>
      <c r="K312" s="102" t="str">
        <f t="shared" si="68"/>
        <v/>
      </c>
      <c r="L312" s="102" t="str">
        <f>IF(VLOOKUP($P312,线下模式!$A$3:$X$22,15,FALSE)="","","Monster_Offline_"&amp;P312&amp;"_3")</f>
        <v/>
      </c>
      <c r="M312" s="57" t="str">
        <f t="shared" si="69"/>
        <v/>
      </c>
      <c r="O312" s="102" t="str">
        <f>IF(VLOOKUP($P312,线下模式!$A$3:$X$22,15,FALSE)="","",VLOOKUP($P312,线下模式!$A$3:$X$22,19,FALSE))</f>
        <v/>
      </c>
      <c r="P312" s="110">
        <f t="shared" si="70"/>
        <v>2</v>
      </c>
      <c r="Q312" s="110">
        <v>3</v>
      </c>
    </row>
    <row r="313" spans="2:17" x14ac:dyDescent="0.2">
      <c r="D313" s="57" t="str">
        <f t="shared" si="64"/>
        <v/>
      </c>
      <c r="F313" s="57" t="str">
        <f t="shared" si="65"/>
        <v/>
      </c>
      <c r="G313" s="102" t="str">
        <f t="shared" si="66"/>
        <v/>
      </c>
      <c r="H313" s="57" t="str">
        <f t="shared" si="67"/>
        <v/>
      </c>
      <c r="I313" s="102" t="str">
        <f>IF(VLOOKUP($P313,线下模式!$A$3:$X$22,20,FALSE)="","",VLOOKUP($P313,线下模式!$A$3:$X$22,21,FALSE))</f>
        <v/>
      </c>
      <c r="J313" s="102" t="str">
        <f>IF(VLOOKUP($P313,线下模式!$A$3:$X$22,20,FALSE)="","",VLOOKUP($P313,线下模式!$A$3:$X$22,22,FALSE))</f>
        <v/>
      </c>
      <c r="K313" s="102" t="str">
        <f t="shared" si="68"/>
        <v/>
      </c>
      <c r="L313" s="102" t="str">
        <f>IF(VLOOKUP($P313,线下模式!$A$3:$X$22,20,FALSE)="","","Monster_Offline_"&amp;P313&amp;"_4")</f>
        <v/>
      </c>
      <c r="M313" s="57" t="str">
        <f t="shared" si="69"/>
        <v/>
      </c>
      <c r="O313" s="102" t="str">
        <f>IF(VLOOKUP($P313,线下模式!$A$3:$X$22,20,FALSE)="","",VLOOKUP($P313,线下模式!$A$3:$X$22,24,FALSE))</f>
        <v/>
      </c>
      <c r="P313" s="110">
        <f t="shared" si="70"/>
        <v>2</v>
      </c>
      <c r="Q313" s="110">
        <v>4</v>
      </c>
    </row>
    <row r="314" spans="2:17" x14ac:dyDescent="0.2">
      <c r="B314" s="57" t="s">
        <v>1807</v>
      </c>
      <c r="C314" s="57">
        <v>3</v>
      </c>
      <c r="D314" s="57" t="str">
        <f t="shared" si="64"/>
        <v>线下模式第3波</v>
      </c>
      <c r="F314" s="57">
        <f t="shared" si="65"/>
        <v>0</v>
      </c>
      <c r="G314" s="102">
        <f t="shared" si="66"/>
        <v>180</v>
      </c>
      <c r="H314" s="57">
        <f t="shared" si="67"/>
        <v>0</v>
      </c>
      <c r="I314" s="102">
        <f>IF(VLOOKUP($P314,线下模式!$A$3:$X$22,5,FALSE)="","",VLOOKUP($P314,线下模式!$A$3:$X$22,6,FALSE))</f>
        <v>8</v>
      </c>
      <c r="J314" s="102">
        <f>IF(VLOOKUP($P314,线下模式!$A$3:$X$22,5,FALSE)="","",VLOOKUP($P314,线下模式!$A$3:$X$22,7,FALSE))</f>
        <v>1.5</v>
      </c>
      <c r="K314" s="102">
        <f t="shared" si="68"/>
        <v>1</v>
      </c>
      <c r="L314" s="102" t="str">
        <f>IF(VLOOKUP($P314,线下模式!$A$3:$X$22,5,FALSE)="","","Monster_Offline_"&amp;P314&amp;"_1")</f>
        <v>Monster_Offline_3_1</v>
      </c>
      <c r="M314" s="57">
        <f t="shared" si="69"/>
        <v>1</v>
      </c>
      <c r="O314" s="102">
        <f>IF(VLOOKUP($P314,线下模式!$A$3:$X$22,5,FALSE)="","",VLOOKUP($P314,线下模式!$A$3:$X$22,9,FALSE))</f>
        <v>31</v>
      </c>
      <c r="P314" s="110">
        <f t="shared" si="70"/>
        <v>3</v>
      </c>
      <c r="Q314" s="110">
        <v>1</v>
      </c>
    </row>
    <row r="315" spans="2:17" x14ac:dyDescent="0.2">
      <c r="D315" s="57" t="str">
        <f t="shared" si="64"/>
        <v/>
      </c>
      <c r="F315" s="57" t="str">
        <f t="shared" si="65"/>
        <v/>
      </c>
      <c r="G315" s="102" t="str">
        <f t="shared" si="66"/>
        <v/>
      </c>
      <c r="H315" s="57">
        <f t="shared" si="67"/>
        <v>0</v>
      </c>
      <c r="I315" s="102">
        <f>IF(VLOOKUP($P315,线下模式!$A$3:$X$22,10,FALSE)="","",VLOOKUP($P315,线下模式!$A$3:$X$22,11,FALSE))</f>
        <v>60</v>
      </c>
      <c r="J315" s="102">
        <f>IF(VLOOKUP($P315,线下模式!$A$3:$X$22,10,FALSE)="","",VLOOKUP($P315,线下模式!$A$3:$X$22,12,FALSE))</f>
        <v>0.2</v>
      </c>
      <c r="K315" s="102">
        <f t="shared" si="68"/>
        <v>1</v>
      </c>
      <c r="L315" s="102" t="str">
        <f>IF(VLOOKUP($P315,线下模式!$A$3:$X$22,10,FALSE)="","","Monster_Offline_"&amp;P315&amp;"_2")</f>
        <v>Monster_Offline_3_2</v>
      </c>
      <c r="M315" s="57">
        <f t="shared" si="69"/>
        <v>1</v>
      </c>
      <c r="O315" s="102">
        <f>IF(VLOOKUP($P315,线下模式!$A$3:$X$22,10,FALSE)="","",VLOOKUP($P315,线下模式!$A$3:$X$22,14,FALSE))</f>
        <v>8</v>
      </c>
      <c r="P315" s="110">
        <f t="shared" si="70"/>
        <v>3</v>
      </c>
      <c r="Q315" s="110">
        <v>2</v>
      </c>
    </row>
    <row r="316" spans="2:17" x14ac:dyDescent="0.2">
      <c r="D316" s="57" t="str">
        <f t="shared" si="64"/>
        <v/>
      </c>
      <c r="F316" s="57" t="str">
        <f t="shared" si="65"/>
        <v/>
      </c>
      <c r="G316" s="102" t="str">
        <f t="shared" si="66"/>
        <v/>
      </c>
      <c r="H316" s="57" t="str">
        <f t="shared" si="67"/>
        <v/>
      </c>
      <c r="I316" s="102" t="str">
        <f>IF(VLOOKUP($P316,线下模式!$A$3:$X$22,15,FALSE)="","",VLOOKUP(P316,线下模式!$A$3:$X$22,16,FALSE))</f>
        <v/>
      </c>
      <c r="J316" s="102" t="str">
        <f>IF(VLOOKUP($P316,线下模式!$A$3:$X$22,15,FALSE)="","",VLOOKUP($P316,线下模式!$A$3:$X$22,17,FALSE))</f>
        <v/>
      </c>
      <c r="K316" s="102" t="str">
        <f t="shared" si="68"/>
        <v/>
      </c>
      <c r="L316" s="102" t="str">
        <f>IF(VLOOKUP($P316,线下模式!$A$3:$X$22,15,FALSE)="","","Monster_Offline_"&amp;P316&amp;"_3")</f>
        <v/>
      </c>
      <c r="M316" s="57" t="str">
        <f t="shared" si="69"/>
        <v/>
      </c>
      <c r="O316" s="102" t="str">
        <f>IF(VLOOKUP($P316,线下模式!$A$3:$X$22,15,FALSE)="","",VLOOKUP($P316,线下模式!$A$3:$X$22,19,FALSE))</f>
        <v/>
      </c>
      <c r="P316" s="110">
        <f t="shared" si="70"/>
        <v>3</v>
      </c>
      <c r="Q316" s="110">
        <v>3</v>
      </c>
    </row>
    <row r="317" spans="2:17" x14ac:dyDescent="0.2">
      <c r="D317" s="57" t="str">
        <f t="shared" si="64"/>
        <v/>
      </c>
      <c r="F317" s="57" t="str">
        <f t="shared" si="65"/>
        <v/>
      </c>
      <c r="G317" s="102" t="str">
        <f t="shared" si="66"/>
        <v/>
      </c>
      <c r="H317" s="57" t="str">
        <f t="shared" si="67"/>
        <v/>
      </c>
      <c r="I317" s="102" t="str">
        <f>IF(VLOOKUP($P317,线下模式!$A$3:$X$22,20,FALSE)="","",VLOOKUP($P317,线下模式!$A$3:$X$22,21,FALSE))</f>
        <v/>
      </c>
      <c r="J317" s="102" t="str">
        <f>IF(VLOOKUP($P317,线下模式!$A$3:$X$22,20,FALSE)="","",VLOOKUP($P317,线下模式!$A$3:$X$22,22,FALSE))</f>
        <v/>
      </c>
      <c r="K317" s="102" t="str">
        <f t="shared" si="68"/>
        <v/>
      </c>
      <c r="L317" s="102" t="str">
        <f>IF(VLOOKUP($P317,线下模式!$A$3:$X$22,20,FALSE)="","","Monster_Offline_"&amp;P317&amp;"_4")</f>
        <v/>
      </c>
      <c r="M317" s="57" t="str">
        <f t="shared" si="69"/>
        <v/>
      </c>
      <c r="O317" s="102" t="str">
        <f>IF(VLOOKUP($P317,线下模式!$A$3:$X$22,20,FALSE)="","",VLOOKUP($P317,线下模式!$A$3:$X$22,24,FALSE))</f>
        <v/>
      </c>
      <c r="P317" s="110">
        <f t="shared" si="70"/>
        <v>3</v>
      </c>
      <c r="Q317" s="110">
        <v>4</v>
      </c>
    </row>
    <row r="318" spans="2:17" x14ac:dyDescent="0.2">
      <c r="B318" s="57" t="s">
        <v>1807</v>
      </c>
      <c r="C318" s="57">
        <v>4</v>
      </c>
      <c r="D318" s="57" t="str">
        <f t="shared" si="64"/>
        <v>线下模式第4波</v>
      </c>
      <c r="F318" s="57">
        <f t="shared" si="65"/>
        <v>0</v>
      </c>
      <c r="G318" s="102">
        <f t="shared" si="66"/>
        <v>180</v>
      </c>
      <c r="H318" s="57">
        <f t="shared" si="67"/>
        <v>0</v>
      </c>
      <c r="I318" s="102">
        <f>IF(VLOOKUP($P318,线下模式!$A$3:$X$22,5,FALSE)="","",VLOOKUP($P318,线下模式!$A$3:$X$22,6,FALSE))</f>
        <v>17</v>
      </c>
      <c r="J318" s="102">
        <f>IF(VLOOKUP($P318,线下模式!$A$3:$X$22,5,FALSE)="","",VLOOKUP($P318,线下模式!$A$3:$X$22,7,FALSE))</f>
        <v>0.75</v>
      </c>
      <c r="K318" s="102">
        <f t="shared" si="68"/>
        <v>1</v>
      </c>
      <c r="L318" s="102" t="str">
        <f>IF(VLOOKUP($P318,线下模式!$A$3:$X$22,5,FALSE)="","","Monster_Offline_"&amp;P318&amp;"_1")</f>
        <v>Monster_Offline_4_1</v>
      </c>
      <c r="M318" s="57">
        <f t="shared" si="69"/>
        <v>1</v>
      </c>
      <c r="O318" s="102">
        <f>IF(VLOOKUP($P318,线下模式!$A$3:$X$22,5,FALSE)="","",VLOOKUP($P318,线下模式!$A$3:$X$22,9,FALSE))</f>
        <v>17</v>
      </c>
      <c r="P318" s="110">
        <f t="shared" si="70"/>
        <v>4</v>
      </c>
      <c r="Q318" s="110">
        <v>1</v>
      </c>
    </row>
    <row r="319" spans="2:17" x14ac:dyDescent="0.2">
      <c r="D319" s="57" t="str">
        <f t="shared" si="64"/>
        <v/>
      </c>
      <c r="F319" s="57" t="str">
        <f t="shared" si="65"/>
        <v/>
      </c>
      <c r="G319" s="102" t="str">
        <f t="shared" si="66"/>
        <v/>
      </c>
      <c r="H319" s="57">
        <f t="shared" si="67"/>
        <v>0</v>
      </c>
      <c r="I319" s="102">
        <f>IF(VLOOKUP($P319,线下模式!$A$3:$X$22,10,FALSE)="","",VLOOKUP($P319,线下模式!$A$3:$X$22,11,FALSE))</f>
        <v>13</v>
      </c>
      <c r="J319" s="102">
        <f>IF(VLOOKUP($P319,线下模式!$A$3:$X$22,10,FALSE)="","",VLOOKUP($P319,线下模式!$A$3:$X$22,12,FALSE))</f>
        <v>1</v>
      </c>
      <c r="K319" s="102">
        <f t="shared" si="68"/>
        <v>1</v>
      </c>
      <c r="L319" s="102" t="str">
        <f>IF(VLOOKUP($P319,线下模式!$A$3:$X$22,10,FALSE)="","","Monster_Offline_"&amp;P319&amp;"_2")</f>
        <v>Monster_Offline_4_2</v>
      </c>
      <c r="M319" s="57">
        <f t="shared" si="69"/>
        <v>1</v>
      </c>
      <c r="O319" s="102">
        <f>IF(VLOOKUP($P319,线下模式!$A$3:$X$22,10,FALSE)="","",VLOOKUP($P319,线下模式!$A$3:$X$22,14,FALSE))</f>
        <v>33</v>
      </c>
      <c r="P319" s="110">
        <f t="shared" si="70"/>
        <v>4</v>
      </c>
      <c r="Q319" s="110">
        <v>2</v>
      </c>
    </row>
    <row r="320" spans="2:17" x14ac:dyDescent="0.2">
      <c r="D320" s="57" t="str">
        <f t="shared" si="64"/>
        <v/>
      </c>
      <c r="F320" s="57" t="str">
        <f t="shared" si="65"/>
        <v/>
      </c>
      <c r="G320" s="102" t="str">
        <f t="shared" si="66"/>
        <v/>
      </c>
      <c r="H320" s="57" t="str">
        <f t="shared" si="67"/>
        <v/>
      </c>
      <c r="I320" s="102" t="str">
        <f>IF(VLOOKUP($P320,线下模式!$A$3:$X$22,15,FALSE)="","",VLOOKUP(P320,线下模式!$A$3:$X$22,16,FALSE))</f>
        <v/>
      </c>
      <c r="J320" s="102" t="str">
        <f>IF(VLOOKUP($P320,线下模式!$A$3:$X$22,15,FALSE)="","",VLOOKUP($P320,线下模式!$A$3:$X$22,17,FALSE))</f>
        <v/>
      </c>
      <c r="K320" s="102" t="str">
        <f t="shared" si="68"/>
        <v/>
      </c>
      <c r="L320" s="102" t="str">
        <f>IF(VLOOKUP($P320,线下模式!$A$3:$X$22,15,FALSE)="","","Monster_Offline_"&amp;P320&amp;"_3")</f>
        <v/>
      </c>
      <c r="M320" s="57" t="str">
        <f t="shared" si="69"/>
        <v/>
      </c>
      <c r="O320" s="102" t="str">
        <f>IF(VLOOKUP($P320,线下模式!$A$3:$X$22,15,FALSE)="","",VLOOKUP($P320,线下模式!$A$3:$X$22,19,FALSE))</f>
        <v/>
      </c>
      <c r="P320" s="110">
        <f t="shared" si="70"/>
        <v>4</v>
      </c>
      <c r="Q320" s="110">
        <v>3</v>
      </c>
    </row>
    <row r="321" spans="2:17" x14ac:dyDescent="0.2">
      <c r="D321" s="57" t="str">
        <f t="shared" si="64"/>
        <v/>
      </c>
      <c r="F321" s="57" t="str">
        <f t="shared" si="65"/>
        <v/>
      </c>
      <c r="G321" s="102" t="str">
        <f t="shared" si="66"/>
        <v/>
      </c>
      <c r="H321" s="57" t="str">
        <f t="shared" si="67"/>
        <v/>
      </c>
      <c r="I321" s="102" t="str">
        <f>IF(VLOOKUP($P321,线下模式!$A$3:$X$22,20,FALSE)="","",VLOOKUP($P321,线下模式!$A$3:$X$22,21,FALSE))</f>
        <v/>
      </c>
      <c r="J321" s="102" t="str">
        <f>IF(VLOOKUP($P321,线下模式!$A$3:$X$22,20,FALSE)="","",VLOOKUP($P321,线下模式!$A$3:$X$22,22,FALSE))</f>
        <v/>
      </c>
      <c r="K321" s="102" t="str">
        <f t="shared" si="68"/>
        <v/>
      </c>
      <c r="L321" s="102" t="str">
        <f>IF(VLOOKUP($P321,线下模式!$A$3:$X$22,20,FALSE)="","","Monster_Offline_"&amp;P321&amp;"_4")</f>
        <v/>
      </c>
      <c r="M321" s="57" t="str">
        <f t="shared" si="69"/>
        <v/>
      </c>
      <c r="O321" s="102" t="str">
        <f>IF(VLOOKUP($P321,线下模式!$A$3:$X$22,20,FALSE)="","",VLOOKUP($P321,线下模式!$A$3:$X$22,24,FALSE))</f>
        <v/>
      </c>
      <c r="P321" s="110">
        <f t="shared" si="70"/>
        <v>4</v>
      </c>
      <c r="Q321" s="110">
        <v>4</v>
      </c>
    </row>
    <row r="322" spans="2:17" x14ac:dyDescent="0.2">
      <c r="B322" s="57" t="s">
        <v>1807</v>
      </c>
      <c r="C322" s="57">
        <v>5</v>
      </c>
      <c r="D322" s="57" t="str">
        <f t="shared" si="64"/>
        <v>线下模式第5波</v>
      </c>
      <c r="F322" s="57">
        <f t="shared" si="65"/>
        <v>0</v>
      </c>
      <c r="G322" s="102">
        <f t="shared" si="66"/>
        <v>180</v>
      </c>
      <c r="H322" s="57">
        <f t="shared" si="67"/>
        <v>0</v>
      </c>
      <c r="I322" s="102">
        <f>IF(VLOOKUP($P322,线下模式!$A$3:$X$22,5,FALSE)="","",VLOOKUP($P322,线下模式!$A$3:$X$22,6,FALSE))</f>
        <v>1</v>
      </c>
      <c r="J322" s="102">
        <f>IF(VLOOKUP($P322,线下模式!$A$3:$X$22,5,FALSE)="","",VLOOKUP($P322,线下模式!$A$3:$X$22,7,FALSE))</f>
        <v>0</v>
      </c>
      <c r="K322" s="102">
        <f t="shared" si="68"/>
        <v>1</v>
      </c>
      <c r="L322" s="102" t="str">
        <f>IF(VLOOKUP($P322,线下模式!$A$3:$X$22,5,FALSE)="","","Monster_Offline_"&amp;P322&amp;"_1")</f>
        <v>Monster_Offline_5_1</v>
      </c>
      <c r="M322" s="57">
        <f t="shared" si="69"/>
        <v>1</v>
      </c>
      <c r="O322" s="102">
        <f>IF(VLOOKUP($P322,线下模式!$A$3:$X$22,5,FALSE)="","",VLOOKUP($P322,线下模式!$A$3:$X$22,9,FALSE))</f>
        <v>501</v>
      </c>
      <c r="P322" s="110">
        <f t="shared" si="70"/>
        <v>5</v>
      </c>
      <c r="Q322" s="110">
        <v>1</v>
      </c>
    </row>
    <row r="323" spans="2:17" x14ac:dyDescent="0.2">
      <c r="D323" s="57" t="str">
        <f t="shared" si="64"/>
        <v/>
      </c>
      <c r="F323" s="57" t="str">
        <f t="shared" si="65"/>
        <v/>
      </c>
      <c r="G323" s="102" t="str">
        <f t="shared" si="66"/>
        <v/>
      </c>
      <c r="H323" s="57">
        <f t="shared" si="67"/>
        <v>0</v>
      </c>
      <c r="I323" s="102">
        <f>IF(VLOOKUP($P323,线下模式!$A$3:$X$22,10,FALSE)="","",VLOOKUP($P323,线下模式!$A$3:$X$22,11,FALSE))</f>
        <v>35</v>
      </c>
      <c r="J323" s="102">
        <f>IF(VLOOKUP($P323,线下模式!$A$3:$X$22,10,FALSE)="","",VLOOKUP($P323,线下模式!$A$3:$X$22,12,FALSE))</f>
        <v>0.4</v>
      </c>
      <c r="K323" s="102">
        <f t="shared" si="68"/>
        <v>1</v>
      </c>
      <c r="L323" s="102" t="str">
        <f>IF(VLOOKUP($P323,线下模式!$A$3:$X$22,10,FALSE)="","","Monster_Offline_"&amp;P323&amp;"_2")</f>
        <v>Monster_Offline_5_2</v>
      </c>
      <c r="M323" s="57">
        <f t="shared" si="69"/>
        <v>1</v>
      </c>
      <c r="O323" s="102">
        <f>IF(VLOOKUP($P323,线下模式!$A$3:$X$22,10,FALSE)="","",VLOOKUP($P323,线下模式!$A$3:$X$22,14,FALSE))</f>
        <v>6</v>
      </c>
      <c r="P323" s="110">
        <f t="shared" si="70"/>
        <v>5</v>
      </c>
      <c r="Q323" s="110">
        <v>2</v>
      </c>
    </row>
    <row r="324" spans="2:17" x14ac:dyDescent="0.2">
      <c r="D324" s="57" t="str">
        <f t="shared" si="64"/>
        <v/>
      </c>
      <c r="F324" s="57" t="str">
        <f t="shared" si="65"/>
        <v/>
      </c>
      <c r="G324" s="102" t="str">
        <f t="shared" si="66"/>
        <v/>
      </c>
      <c r="H324" s="57" t="str">
        <f t="shared" si="67"/>
        <v/>
      </c>
      <c r="I324" s="102" t="str">
        <f>IF(VLOOKUP($P324,线下模式!$A$3:$X$22,15,FALSE)="","",VLOOKUP(P324,线下模式!$A$3:$X$22,16,FALSE))</f>
        <v/>
      </c>
      <c r="J324" s="102" t="str">
        <f>IF(VLOOKUP($P324,线下模式!$A$3:$X$22,15,FALSE)="","",VLOOKUP($P324,线下模式!$A$3:$X$22,17,FALSE))</f>
        <v/>
      </c>
      <c r="K324" s="102" t="str">
        <f t="shared" si="68"/>
        <v/>
      </c>
      <c r="L324" s="102" t="str">
        <f>IF(VLOOKUP($P324,线下模式!$A$3:$X$22,15,FALSE)="","","Monster_Offline_"&amp;P324&amp;"_3")</f>
        <v/>
      </c>
      <c r="M324" s="57" t="str">
        <f t="shared" si="69"/>
        <v/>
      </c>
      <c r="O324" s="102" t="str">
        <f>IF(VLOOKUP($P324,线下模式!$A$3:$X$22,15,FALSE)="","",VLOOKUP($P324,线下模式!$A$3:$X$22,19,FALSE))</f>
        <v/>
      </c>
      <c r="P324" s="110">
        <f t="shared" si="70"/>
        <v>5</v>
      </c>
      <c r="Q324" s="110">
        <v>3</v>
      </c>
    </row>
    <row r="325" spans="2:17" x14ac:dyDescent="0.2">
      <c r="D325" s="57" t="str">
        <f t="shared" si="64"/>
        <v/>
      </c>
      <c r="F325" s="57" t="str">
        <f t="shared" si="65"/>
        <v/>
      </c>
      <c r="G325" s="102" t="str">
        <f t="shared" si="66"/>
        <v/>
      </c>
      <c r="H325" s="57" t="str">
        <f t="shared" si="67"/>
        <v/>
      </c>
      <c r="I325" s="102" t="str">
        <f>IF(VLOOKUP($P325,线下模式!$A$3:$X$22,20,FALSE)="","",VLOOKUP($P325,线下模式!$A$3:$X$22,21,FALSE))</f>
        <v/>
      </c>
      <c r="J325" s="102" t="str">
        <f>IF(VLOOKUP($P325,线下模式!$A$3:$X$22,20,FALSE)="","",VLOOKUP($P325,线下模式!$A$3:$X$22,22,FALSE))</f>
        <v/>
      </c>
      <c r="K325" s="102" t="str">
        <f t="shared" si="68"/>
        <v/>
      </c>
      <c r="L325" s="102" t="str">
        <f>IF(VLOOKUP($P325,线下模式!$A$3:$X$22,20,FALSE)="","","Monster_Offline_"&amp;P325&amp;"_4")</f>
        <v/>
      </c>
      <c r="M325" s="57" t="str">
        <f t="shared" si="69"/>
        <v/>
      </c>
      <c r="O325" s="102" t="str">
        <f>IF(VLOOKUP($P325,线下模式!$A$3:$X$22,20,FALSE)="","",VLOOKUP($P325,线下模式!$A$3:$X$22,24,FALSE))</f>
        <v/>
      </c>
      <c r="P325" s="110">
        <f t="shared" si="70"/>
        <v>5</v>
      </c>
      <c r="Q325" s="110">
        <v>4</v>
      </c>
    </row>
    <row r="326" spans="2:17" x14ac:dyDescent="0.2">
      <c r="B326" s="57" t="s">
        <v>1807</v>
      </c>
      <c r="C326" s="57">
        <v>6</v>
      </c>
      <c r="D326" s="57" t="str">
        <f t="shared" si="64"/>
        <v>线下模式第6波</v>
      </c>
      <c r="F326" s="57">
        <f t="shared" si="65"/>
        <v>0</v>
      </c>
      <c r="G326" s="102">
        <f t="shared" si="66"/>
        <v>180</v>
      </c>
      <c r="H326" s="57">
        <f t="shared" si="67"/>
        <v>0</v>
      </c>
      <c r="I326" s="102">
        <f>IF(VLOOKUP($P326,线下模式!$A$3:$X$22,5,FALSE)="","",VLOOKUP($P326,线下模式!$A$3:$X$22,6,FALSE))</f>
        <v>20</v>
      </c>
      <c r="J326" s="102">
        <f>IF(VLOOKUP($P326,线下模式!$A$3:$X$22,5,FALSE)="","",VLOOKUP($P326,线下模式!$A$3:$X$22,7,FALSE))</f>
        <v>0.75</v>
      </c>
      <c r="K326" s="102">
        <f t="shared" si="68"/>
        <v>1</v>
      </c>
      <c r="L326" s="102" t="str">
        <f>IF(VLOOKUP($P326,线下模式!$A$3:$X$22,5,FALSE)="","","Monster_Offline_"&amp;P326&amp;"_1")</f>
        <v>Monster_Offline_6_1</v>
      </c>
      <c r="M326" s="57">
        <f t="shared" si="69"/>
        <v>1</v>
      </c>
      <c r="O326" s="102">
        <f>IF(VLOOKUP($P326,线下模式!$A$3:$X$22,5,FALSE)="","",VLOOKUP($P326,线下模式!$A$3:$X$22,9,FALSE))</f>
        <v>24</v>
      </c>
      <c r="P326" s="110">
        <f t="shared" si="70"/>
        <v>6</v>
      </c>
      <c r="Q326" s="110">
        <v>1</v>
      </c>
    </row>
    <row r="327" spans="2:17" x14ac:dyDescent="0.2">
      <c r="D327" s="57" t="str">
        <f t="shared" si="64"/>
        <v/>
      </c>
      <c r="F327" s="57" t="str">
        <f t="shared" si="65"/>
        <v/>
      </c>
      <c r="G327" s="102" t="str">
        <f t="shared" si="66"/>
        <v/>
      </c>
      <c r="H327" s="57">
        <f t="shared" si="67"/>
        <v>0</v>
      </c>
      <c r="I327" s="102">
        <f>IF(VLOOKUP($P327,线下模式!$A$3:$X$22,10,FALSE)="","",VLOOKUP($P327,线下模式!$A$3:$X$22,11,FALSE))</f>
        <v>20</v>
      </c>
      <c r="J327" s="102">
        <f>IF(VLOOKUP($P327,线下模式!$A$3:$X$22,10,FALSE)="","",VLOOKUP($P327,线下模式!$A$3:$X$22,12,FALSE))</f>
        <v>0.75</v>
      </c>
      <c r="K327" s="102">
        <f t="shared" si="68"/>
        <v>1</v>
      </c>
      <c r="L327" s="102" t="str">
        <f>IF(VLOOKUP($P327,线下模式!$A$3:$X$22,10,FALSE)="","","Monster_Offline_"&amp;P327&amp;"_2")</f>
        <v>Monster_Offline_6_2</v>
      </c>
      <c r="M327" s="57">
        <f t="shared" si="69"/>
        <v>1</v>
      </c>
      <c r="O327" s="102">
        <f>IF(VLOOKUP($P327,线下模式!$A$3:$X$22,10,FALSE)="","",VLOOKUP($P327,线下模式!$A$3:$X$22,14,FALSE))</f>
        <v>12</v>
      </c>
      <c r="P327" s="110">
        <f t="shared" si="70"/>
        <v>6</v>
      </c>
      <c r="Q327" s="110">
        <v>2</v>
      </c>
    </row>
    <row r="328" spans="2:17" x14ac:dyDescent="0.2">
      <c r="D328" s="57" t="str">
        <f t="shared" si="64"/>
        <v/>
      </c>
      <c r="F328" s="57" t="str">
        <f t="shared" si="65"/>
        <v/>
      </c>
      <c r="G328" s="102" t="str">
        <f t="shared" si="66"/>
        <v/>
      </c>
      <c r="H328" s="57" t="str">
        <f t="shared" si="67"/>
        <v/>
      </c>
      <c r="I328" s="102" t="str">
        <f>IF(VLOOKUP($P328,线下模式!$A$3:$X$22,15,FALSE)="","",VLOOKUP(P328,线下模式!$A$3:$X$22,16,FALSE))</f>
        <v/>
      </c>
      <c r="J328" s="102" t="str">
        <f>IF(VLOOKUP($P328,线下模式!$A$3:$X$22,15,FALSE)="","",VLOOKUP($P328,线下模式!$A$3:$X$22,17,FALSE))</f>
        <v/>
      </c>
      <c r="K328" s="102" t="str">
        <f t="shared" si="68"/>
        <v/>
      </c>
      <c r="L328" s="102" t="str">
        <f>IF(VLOOKUP($P328,线下模式!$A$3:$X$22,15,FALSE)="","","Monster_Offline_"&amp;P328&amp;"_3")</f>
        <v/>
      </c>
      <c r="M328" s="57" t="str">
        <f t="shared" si="69"/>
        <v/>
      </c>
      <c r="O328" s="102" t="str">
        <f>IF(VLOOKUP($P328,线下模式!$A$3:$X$22,15,FALSE)="","",VLOOKUP($P328,线下模式!$A$3:$X$22,19,FALSE))</f>
        <v/>
      </c>
      <c r="P328" s="110">
        <f t="shared" si="70"/>
        <v>6</v>
      </c>
      <c r="Q328" s="110">
        <v>3</v>
      </c>
    </row>
    <row r="329" spans="2:17" x14ac:dyDescent="0.2">
      <c r="D329" s="57" t="str">
        <f t="shared" si="64"/>
        <v/>
      </c>
      <c r="F329" s="57" t="str">
        <f t="shared" si="65"/>
        <v/>
      </c>
      <c r="G329" s="102" t="str">
        <f t="shared" si="66"/>
        <v/>
      </c>
      <c r="H329" s="57" t="str">
        <f t="shared" si="67"/>
        <v/>
      </c>
      <c r="I329" s="102" t="str">
        <f>IF(VLOOKUP($P329,线下模式!$A$3:$X$22,20,FALSE)="","",VLOOKUP($P329,线下模式!$A$3:$X$22,21,FALSE))</f>
        <v/>
      </c>
      <c r="J329" s="102" t="str">
        <f>IF(VLOOKUP($P329,线下模式!$A$3:$X$22,20,FALSE)="","",VLOOKUP($P329,线下模式!$A$3:$X$22,22,FALSE))</f>
        <v/>
      </c>
      <c r="K329" s="102" t="str">
        <f t="shared" si="68"/>
        <v/>
      </c>
      <c r="L329" s="102" t="str">
        <f>IF(VLOOKUP($P329,线下模式!$A$3:$X$22,20,FALSE)="","","Monster_Offline_"&amp;P329&amp;"_4")</f>
        <v/>
      </c>
      <c r="M329" s="57" t="str">
        <f t="shared" si="69"/>
        <v/>
      </c>
      <c r="O329" s="102" t="str">
        <f>IF(VLOOKUP($P329,线下模式!$A$3:$X$22,20,FALSE)="","",VLOOKUP($P329,线下模式!$A$3:$X$22,24,FALSE))</f>
        <v/>
      </c>
      <c r="P329" s="110">
        <f t="shared" si="70"/>
        <v>6</v>
      </c>
      <c r="Q329" s="110">
        <v>4</v>
      </c>
    </row>
    <row r="330" spans="2:17" x14ac:dyDescent="0.2">
      <c r="B330" s="57" t="s">
        <v>1807</v>
      </c>
      <c r="C330" s="57">
        <v>7</v>
      </c>
      <c r="D330" s="57" t="str">
        <f t="shared" si="64"/>
        <v>线下模式第7波</v>
      </c>
      <c r="F330" s="57">
        <f t="shared" si="65"/>
        <v>0</v>
      </c>
      <c r="G330" s="102">
        <f t="shared" si="66"/>
        <v>180</v>
      </c>
      <c r="H330" s="57">
        <f t="shared" si="67"/>
        <v>0</v>
      </c>
      <c r="I330" s="102">
        <f>IF(VLOOKUP($P330,线下模式!$A$3:$X$22,5,FALSE)="","",VLOOKUP($P330,线下模式!$A$3:$X$22,6,FALSE))</f>
        <v>32</v>
      </c>
      <c r="J330" s="102">
        <f>IF(VLOOKUP($P330,线下模式!$A$3:$X$22,5,FALSE)="","",VLOOKUP($P330,线下模式!$A$3:$X$22,7,FALSE))</f>
        <v>0.5</v>
      </c>
      <c r="K330" s="102">
        <f t="shared" si="68"/>
        <v>1</v>
      </c>
      <c r="L330" s="102" t="str">
        <f>IF(VLOOKUP($P330,线下模式!$A$3:$X$22,5,FALSE)="","","Monster_Offline_"&amp;P330&amp;"_1")</f>
        <v>Monster_Offline_7_1</v>
      </c>
      <c r="M330" s="57">
        <f t="shared" si="69"/>
        <v>1</v>
      </c>
      <c r="O330" s="102">
        <f>IF(VLOOKUP($P330,线下模式!$A$3:$X$22,5,FALSE)="","",VLOOKUP($P330,线下模式!$A$3:$X$22,9,FALSE))</f>
        <v>17</v>
      </c>
      <c r="P330" s="110">
        <f t="shared" si="70"/>
        <v>7</v>
      </c>
      <c r="Q330" s="110">
        <v>1</v>
      </c>
    </row>
    <row r="331" spans="2:17" x14ac:dyDescent="0.2">
      <c r="D331" s="57" t="str">
        <f t="shared" si="64"/>
        <v/>
      </c>
      <c r="F331" s="57" t="str">
        <f t="shared" si="65"/>
        <v/>
      </c>
      <c r="G331" s="102" t="str">
        <f t="shared" si="66"/>
        <v/>
      </c>
      <c r="H331" s="57">
        <f t="shared" si="67"/>
        <v>0</v>
      </c>
      <c r="I331" s="102">
        <f>IF(VLOOKUP($P331,线下模式!$A$3:$X$22,10,FALSE)="","",VLOOKUP($P331,线下模式!$A$3:$X$22,11,FALSE))</f>
        <v>21</v>
      </c>
      <c r="J331" s="102">
        <f>IF(VLOOKUP($P331,线下模式!$A$3:$X$22,10,FALSE)="","",VLOOKUP($P331,线下模式!$A$3:$X$22,12,FALSE))</f>
        <v>0.75</v>
      </c>
      <c r="K331" s="102">
        <f t="shared" si="68"/>
        <v>1</v>
      </c>
      <c r="L331" s="102" t="str">
        <f>IF(VLOOKUP($P331,线下模式!$A$3:$X$22,10,FALSE)="","","Monster_Offline_"&amp;P331&amp;"_2")</f>
        <v>Monster_Offline_7_2</v>
      </c>
      <c r="M331" s="57">
        <f t="shared" si="69"/>
        <v>1</v>
      </c>
      <c r="O331" s="102">
        <f>IF(VLOOKUP($P331,线下模式!$A$3:$X$22,10,FALSE)="","",VLOOKUP($P331,线下模式!$A$3:$X$22,14,FALSE))</f>
        <v>8</v>
      </c>
      <c r="P331" s="110">
        <f t="shared" si="70"/>
        <v>7</v>
      </c>
      <c r="Q331" s="110">
        <v>2</v>
      </c>
    </row>
    <row r="332" spans="2:17" x14ac:dyDescent="0.2">
      <c r="D332" s="57" t="str">
        <f t="shared" si="64"/>
        <v/>
      </c>
      <c r="F332" s="57" t="str">
        <f t="shared" si="65"/>
        <v/>
      </c>
      <c r="G332" s="102" t="str">
        <f t="shared" si="66"/>
        <v/>
      </c>
      <c r="H332" s="57" t="str">
        <f t="shared" si="67"/>
        <v/>
      </c>
      <c r="I332" s="102" t="str">
        <f>IF(VLOOKUP($P332,线下模式!$A$3:$X$22,15,FALSE)="","",VLOOKUP(P332,线下模式!$A$3:$X$22,16,FALSE))</f>
        <v/>
      </c>
      <c r="J332" s="102" t="str">
        <f>IF(VLOOKUP($P332,线下模式!$A$3:$X$22,15,FALSE)="","",VLOOKUP($P332,线下模式!$A$3:$X$22,17,FALSE))</f>
        <v/>
      </c>
      <c r="K332" s="102" t="str">
        <f t="shared" si="68"/>
        <v/>
      </c>
      <c r="L332" s="102" t="str">
        <f>IF(VLOOKUP($P332,线下模式!$A$3:$X$22,15,FALSE)="","","Monster_Offline_"&amp;P332&amp;"_3")</f>
        <v/>
      </c>
      <c r="M332" s="57" t="str">
        <f t="shared" si="69"/>
        <v/>
      </c>
      <c r="O332" s="102" t="str">
        <f>IF(VLOOKUP($P332,线下模式!$A$3:$X$22,15,FALSE)="","",VLOOKUP($P332,线下模式!$A$3:$X$22,19,FALSE))</f>
        <v/>
      </c>
      <c r="P332" s="110">
        <f t="shared" si="70"/>
        <v>7</v>
      </c>
      <c r="Q332" s="110">
        <v>3</v>
      </c>
    </row>
    <row r="333" spans="2:17" x14ac:dyDescent="0.2">
      <c r="D333" s="57" t="str">
        <f t="shared" si="64"/>
        <v/>
      </c>
      <c r="F333" s="57" t="str">
        <f t="shared" si="65"/>
        <v/>
      </c>
      <c r="G333" s="102" t="str">
        <f t="shared" si="66"/>
        <v/>
      </c>
      <c r="H333" s="57" t="str">
        <f t="shared" si="67"/>
        <v/>
      </c>
      <c r="I333" s="102" t="str">
        <f>IF(VLOOKUP($P333,线下模式!$A$3:$X$22,20,FALSE)="","",VLOOKUP($P333,线下模式!$A$3:$X$22,21,FALSE))</f>
        <v/>
      </c>
      <c r="J333" s="102" t="str">
        <f>IF(VLOOKUP($P333,线下模式!$A$3:$X$22,20,FALSE)="","",VLOOKUP($P333,线下模式!$A$3:$X$22,22,FALSE))</f>
        <v/>
      </c>
      <c r="K333" s="102" t="str">
        <f t="shared" si="68"/>
        <v/>
      </c>
      <c r="L333" s="102" t="str">
        <f>IF(VLOOKUP($P333,线下模式!$A$3:$X$22,20,FALSE)="","","Monster_Offline_"&amp;P333&amp;"_4")</f>
        <v/>
      </c>
      <c r="M333" s="57" t="str">
        <f t="shared" si="69"/>
        <v/>
      </c>
      <c r="O333" s="102" t="str">
        <f>IF(VLOOKUP($P333,线下模式!$A$3:$X$22,20,FALSE)="","",VLOOKUP($P333,线下模式!$A$3:$X$22,24,FALSE))</f>
        <v/>
      </c>
      <c r="P333" s="110">
        <f t="shared" si="70"/>
        <v>7</v>
      </c>
      <c r="Q333" s="110">
        <v>4</v>
      </c>
    </row>
    <row r="334" spans="2:17" x14ac:dyDescent="0.2">
      <c r="B334" s="57" t="s">
        <v>1807</v>
      </c>
      <c r="C334" s="57">
        <v>8</v>
      </c>
      <c r="D334" s="57" t="str">
        <f t="shared" si="64"/>
        <v>线下模式第8波</v>
      </c>
      <c r="F334" s="57">
        <f t="shared" si="65"/>
        <v>0</v>
      </c>
      <c r="G334" s="102">
        <f t="shared" si="66"/>
        <v>180</v>
      </c>
      <c r="H334" s="57">
        <f t="shared" si="67"/>
        <v>0</v>
      </c>
      <c r="I334" s="102">
        <f>IF(VLOOKUP($P334,线下模式!$A$3:$X$22,5,FALSE)="","",VLOOKUP($P334,线下模式!$A$3:$X$22,6,FALSE))</f>
        <v>17</v>
      </c>
      <c r="J334" s="102">
        <f>IF(VLOOKUP($P334,线下模式!$A$3:$X$22,5,FALSE)="","",VLOOKUP($P334,线下模式!$A$3:$X$22,7,FALSE))</f>
        <v>1</v>
      </c>
      <c r="K334" s="102">
        <f t="shared" si="68"/>
        <v>1</v>
      </c>
      <c r="L334" s="102" t="str">
        <f>IF(VLOOKUP($P334,线下模式!$A$3:$X$22,5,FALSE)="","","Monster_Offline_"&amp;P334&amp;"_1")</f>
        <v>Monster_Offline_8_1</v>
      </c>
      <c r="M334" s="57">
        <f t="shared" si="69"/>
        <v>1</v>
      </c>
      <c r="O334" s="102">
        <f>IF(VLOOKUP($P334,线下模式!$A$3:$X$22,5,FALSE)="","",VLOOKUP($P334,线下模式!$A$3:$X$22,9,FALSE))</f>
        <v>31</v>
      </c>
      <c r="P334" s="110">
        <f t="shared" si="70"/>
        <v>8</v>
      </c>
      <c r="Q334" s="110">
        <v>1</v>
      </c>
    </row>
    <row r="335" spans="2:17" x14ac:dyDescent="0.2">
      <c r="D335" s="57" t="str">
        <f t="shared" si="64"/>
        <v/>
      </c>
      <c r="F335" s="57" t="str">
        <f t="shared" si="65"/>
        <v/>
      </c>
      <c r="G335" s="102" t="str">
        <f t="shared" si="66"/>
        <v/>
      </c>
      <c r="H335" s="57">
        <f t="shared" si="67"/>
        <v>0</v>
      </c>
      <c r="I335" s="102">
        <f>IF(VLOOKUP($P335,线下模式!$A$3:$X$22,10,FALSE)="","",VLOOKUP($P335,线下模式!$A$3:$X$22,11,FALSE))</f>
        <v>6</v>
      </c>
      <c r="J335" s="102">
        <f>IF(VLOOKUP($P335,线下模式!$A$3:$X$22,10,FALSE)="","",VLOOKUP($P335,线下模式!$A$3:$X$22,12,FALSE))</f>
        <v>3</v>
      </c>
      <c r="K335" s="102">
        <f t="shared" si="68"/>
        <v>1</v>
      </c>
      <c r="L335" s="102" t="str">
        <f>IF(VLOOKUP($P335,线下模式!$A$3:$X$22,10,FALSE)="","","Monster_Offline_"&amp;P335&amp;"_2")</f>
        <v>Monster_Offline_8_2</v>
      </c>
      <c r="M335" s="57">
        <f t="shared" si="69"/>
        <v>1</v>
      </c>
      <c r="O335" s="102">
        <f>IF(VLOOKUP($P335,线下模式!$A$3:$X$22,10,FALSE)="","",VLOOKUP($P335,线下模式!$A$3:$X$22,14,FALSE))</f>
        <v>31</v>
      </c>
      <c r="P335" s="110">
        <f t="shared" si="70"/>
        <v>8</v>
      </c>
      <c r="Q335" s="110">
        <v>2</v>
      </c>
    </row>
    <row r="336" spans="2:17" x14ac:dyDescent="0.2">
      <c r="D336" s="57" t="str">
        <f t="shared" si="64"/>
        <v/>
      </c>
      <c r="F336" s="57" t="str">
        <f t="shared" si="65"/>
        <v/>
      </c>
      <c r="G336" s="102" t="str">
        <f t="shared" si="66"/>
        <v/>
      </c>
      <c r="H336" s="57" t="str">
        <f t="shared" si="67"/>
        <v/>
      </c>
      <c r="I336" s="102" t="str">
        <f>IF(VLOOKUP($P336,线下模式!$A$3:$X$22,15,FALSE)="","",VLOOKUP(P336,线下模式!$A$3:$X$22,16,FALSE))</f>
        <v/>
      </c>
      <c r="J336" s="102" t="str">
        <f>IF(VLOOKUP($P336,线下模式!$A$3:$X$22,15,FALSE)="","",VLOOKUP($P336,线下模式!$A$3:$X$22,17,FALSE))</f>
        <v/>
      </c>
      <c r="K336" s="102" t="str">
        <f t="shared" si="68"/>
        <v/>
      </c>
      <c r="L336" s="102" t="str">
        <f>IF(VLOOKUP($P336,线下模式!$A$3:$X$22,15,FALSE)="","","Monster_Offline_"&amp;P336&amp;"_3")</f>
        <v/>
      </c>
      <c r="M336" s="57" t="str">
        <f t="shared" si="69"/>
        <v/>
      </c>
      <c r="O336" s="102" t="str">
        <f>IF(VLOOKUP($P336,线下模式!$A$3:$X$22,15,FALSE)="","",VLOOKUP($P336,线下模式!$A$3:$X$22,19,FALSE))</f>
        <v/>
      </c>
      <c r="P336" s="110">
        <f t="shared" si="70"/>
        <v>8</v>
      </c>
      <c r="Q336" s="110">
        <v>3</v>
      </c>
    </row>
    <row r="337" spans="2:17" x14ac:dyDescent="0.2">
      <c r="D337" s="57" t="str">
        <f t="shared" si="64"/>
        <v/>
      </c>
      <c r="F337" s="57" t="str">
        <f t="shared" si="65"/>
        <v/>
      </c>
      <c r="G337" s="102" t="str">
        <f t="shared" si="66"/>
        <v/>
      </c>
      <c r="H337" s="57" t="str">
        <f t="shared" si="67"/>
        <v/>
      </c>
      <c r="I337" s="102" t="str">
        <f>IF(VLOOKUP($P337,线下模式!$A$3:$X$22,20,FALSE)="","",VLOOKUP($P337,线下模式!$A$3:$X$22,21,FALSE))</f>
        <v/>
      </c>
      <c r="J337" s="102" t="str">
        <f>IF(VLOOKUP($P337,线下模式!$A$3:$X$22,20,FALSE)="","",VLOOKUP($P337,线下模式!$A$3:$X$22,22,FALSE))</f>
        <v/>
      </c>
      <c r="K337" s="102" t="str">
        <f t="shared" si="68"/>
        <v/>
      </c>
      <c r="L337" s="102" t="str">
        <f>IF(VLOOKUP($P337,线下模式!$A$3:$X$22,20,FALSE)="","","Monster_Offline_"&amp;P337&amp;"_4")</f>
        <v/>
      </c>
      <c r="M337" s="57" t="str">
        <f t="shared" si="69"/>
        <v/>
      </c>
      <c r="O337" s="102" t="str">
        <f>IF(VLOOKUP($P337,线下模式!$A$3:$X$22,20,FALSE)="","",VLOOKUP($P337,线下模式!$A$3:$X$22,24,FALSE))</f>
        <v/>
      </c>
      <c r="P337" s="110">
        <f t="shared" si="70"/>
        <v>8</v>
      </c>
      <c r="Q337" s="110">
        <v>4</v>
      </c>
    </row>
    <row r="338" spans="2:17" x14ac:dyDescent="0.2">
      <c r="B338" s="57" t="s">
        <v>1807</v>
      </c>
      <c r="C338" s="57">
        <v>9</v>
      </c>
      <c r="D338" s="57" t="str">
        <f t="shared" ref="D338:D369" si="71">IF(C338="","","线下模式第"&amp;C338&amp;"波")</f>
        <v>线下模式第9波</v>
      </c>
      <c r="F338" s="57">
        <f t="shared" si="65"/>
        <v>0</v>
      </c>
      <c r="G338" s="102">
        <f t="shared" si="66"/>
        <v>180</v>
      </c>
      <c r="H338" s="57">
        <f t="shared" si="67"/>
        <v>0</v>
      </c>
      <c r="I338" s="102">
        <f>IF(VLOOKUP($P338,线下模式!$A$3:$X$22,5,FALSE)="","",VLOOKUP($P338,线下模式!$A$3:$X$22,6,FALSE))</f>
        <v>90</v>
      </c>
      <c r="J338" s="102">
        <f>IF(VLOOKUP($P338,线下模式!$A$3:$X$22,5,FALSE)="","",VLOOKUP($P338,线下模式!$A$3:$X$22,7,FALSE))</f>
        <v>0.2</v>
      </c>
      <c r="K338" s="102">
        <f t="shared" si="68"/>
        <v>1</v>
      </c>
      <c r="L338" s="102" t="str">
        <f>IF(VLOOKUP($P338,线下模式!$A$3:$X$22,5,FALSE)="","","Monster_Offline_"&amp;P338&amp;"_1")</f>
        <v>Monster_Offline_9_1</v>
      </c>
      <c r="M338" s="57">
        <f t="shared" si="69"/>
        <v>1</v>
      </c>
      <c r="O338" s="102">
        <f>IF(VLOOKUP($P338,线下模式!$A$3:$X$22,5,FALSE)="","",VLOOKUP($P338,线下模式!$A$3:$X$22,9,FALSE))</f>
        <v>8</v>
      </c>
      <c r="P338" s="110">
        <f t="shared" si="70"/>
        <v>9</v>
      </c>
      <c r="Q338" s="110">
        <v>1</v>
      </c>
    </row>
    <row r="339" spans="2:17" x14ac:dyDescent="0.2">
      <c r="D339" s="57" t="str">
        <f t="shared" si="71"/>
        <v/>
      </c>
      <c r="F339" s="57" t="str">
        <f t="shared" si="65"/>
        <v/>
      </c>
      <c r="G339" s="102" t="str">
        <f t="shared" si="66"/>
        <v/>
      </c>
      <c r="H339" s="57">
        <f t="shared" si="67"/>
        <v>0</v>
      </c>
      <c r="I339" s="102">
        <f>IF(VLOOKUP($P339,线下模式!$A$3:$X$22,10,FALSE)="","",VLOOKUP($P339,线下模式!$A$3:$X$22,11,FALSE))</f>
        <v>6</v>
      </c>
      <c r="J339" s="102">
        <f>IF(VLOOKUP($P339,线下模式!$A$3:$X$22,10,FALSE)="","",VLOOKUP($P339,线下模式!$A$3:$X$22,12,FALSE))</f>
        <v>3</v>
      </c>
      <c r="K339" s="102">
        <f t="shared" si="68"/>
        <v>1</v>
      </c>
      <c r="L339" s="102" t="str">
        <f>IF(VLOOKUP($P339,线下模式!$A$3:$X$22,10,FALSE)="","","Monster_Offline_"&amp;P339&amp;"_2")</f>
        <v>Monster_Offline_9_2</v>
      </c>
      <c r="M339" s="57">
        <f t="shared" si="69"/>
        <v>1</v>
      </c>
      <c r="O339" s="102">
        <f>IF(VLOOKUP($P339,线下模式!$A$3:$X$22,10,FALSE)="","",VLOOKUP($P339,线下模式!$A$3:$X$22,14,FALSE))</f>
        <v>8</v>
      </c>
      <c r="P339" s="110">
        <f t="shared" si="70"/>
        <v>9</v>
      </c>
      <c r="Q339" s="110">
        <v>2</v>
      </c>
    </row>
    <row r="340" spans="2:17" x14ac:dyDescent="0.2">
      <c r="D340" s="57" t="str">
        <f t="shared" si="71"/>
        <v/>
      </c>
      <c r="F340" s="57" t="str">
        <f t="shared" si="65"/>
        <v/>
      </c>
      <c r="G340" s="102" t="str">
        <f t="shared" si="66"/>
        <v/>
      </c>
      <c r="H340" s="57" t="str">
        <f t="shared" si="67"/>
        <v/>
      </c>
      <c r="I340" s="102" t="str">
        <f>IF(VLOOKUP($P340,线下模式!$A$3:$X$22,15,FALSE)="","",VLOOKUP(P340,线下模式!$A$3:$X$22,16,FALSE))</f>
        <v/>
      </c>
      <c r="J340" s="102" t="str">
        <f>IF(VLOOKUP($P340,线下模式!$A$3:$X$22,15,FALSE)="","",VLOOKUP($P340,线下模式!$A$3:$X$22,17,FALSE))</f>
        <v/>
      </c>
      <c r="K340" s="102" t="str">
        <f t="shared" si="68"/>
        <v/>
      </c>
      <c r="L340" s="102" t="str">
        <f>IF(VLOOKUP($P340,线下模式!$A$3:$X$22,15,FALSE)="","","Monster_Offline_"&amp;P340&amp;"_3")</f>
        <v/>
      </c>
      <c r="M340" s="57" t="str">
        <f t="shared" si="69"/>
        <v/>
      </c>
      <c r="O340" s="102" t="str">
        <f>IF(VLOOKUP($P340,线下模式!$A$3:$X$22,15,FALSE)="","",VLOOKUP($P340,线下模式!$A$3:$X$22,19,FALSE))</f>
        <v/>
      </c>
      <c r="P340" s="110">
        <f t="shared" si="70"/>
        <v>9</v>
      </c>
      <c r="Q340" s="110">
        <v>3</v>
      </c>
    </row>
    <row r="341" spans="2:17" x14ac:dyDescent="0.2">
      <c r="D341" s="57" t="str">
        <f t="shared" si="71"/>
        <v/>
      </c>
      <c r="F341" s="57" t="str">
        <f t="shared" si="65"/>
        <v/>
      </c>
      <c r="G341" s="102" t="str">
        <f t="shared" si="66"/>
        <v/>
      </c>
      <c r="H341" s="57" t="str">
        <f t="shared" si="67"/>
        <v/>
      </c>
      <c r="I341" s="102" t="str">
        <f>IF(VLOOKUP($P341,线下模式!$A$3:$X$22,20,FALSE)="","",VLOOKUP($P341,线下模式!$A$3:$X$22,21,FALSE))</f>
        <v/>
      </c>
      <c r="J341" s="102" t="str">
        <f>IF(VLOOKUP($P341,线下模式!$A$3:$X$22,20,FALSE)="","",VLOOKUP($P341,线下模式!$A$3:$X$22,22,FALSE))</f>
        <v/>
      </c>
      <c r="K341" s="102" t="str">
        <f t="shared" si="68"/>
        <v/>
      </c>
      <c r="L341" s="102" t="str">
        <f>IF(VLOOKUP($P341,线下模式!$A$3:$X$22,20,FALSE)="","","Monster_Offline_"&amp;P341&amp;"_4")</f>
        <v/>
      </c>
      <c r="M341" s="57" t="str">
        <f t="shared" si="69"/>
        <v/>
      </c>
      <c r="O341" s="102" t="str">
        <f>IF(VLOOKUP($P341,线下模式!$A$3:$X$22,20,FALSE)="","",VLOOKUP($P341,线下模式!$A$3:$X$22,24,FALSE))</f>
        <v/>
      </c>
      <c r="P341" s="110">
        <f t="shared" si="70"/>
        <v>9</v>
      </c>
      <c r="Q341" s="110">
        <v>4</v>
      </c>
    </row>
    <row r="342" spans="2:17" x14ac:dyDescent="0.2">
      <c r="B342" s="57" t="s">
        <v>1807</v>
      </c>
      <c r="C342" s="57">
        <v>10</v>
      </c>
      <c r="D342" s="57" t="str">
        <f t="shared" si="71"/>
        <v>线下模式第10波</v>
      </c>
      <c r="F342" s="57">
        <f t="shared" si="65"/>
        <v>0</v>
      </c>
      <c r="G342" s="102">
        <f t="shared" si="66"/>
        <v>180</v>
      </c>
      <c r="H342" s="57">
        <f t="shared" si="67"/>
        <v>0</v>
      </c>
      <c r="I342" s="102">
        <f>IF(VLOOKUP($P342,线下模式!$A$3:$X$22,5,FALSE)="","",VLOOKUP($P342,线下模式!$A$3:$X$22,6,FALSE))</f>
        <v>6</v>
      </c>
      <c r="J342" s="102">
        <f>IF(VLOOKUP($P342,线下模式!$A$3:$X$22,5,FALSE)="","",VLOOKUP($P342,线下模式!$A$3:$X$22,7,FALSE))</f>
        <v>3</v>
      </c>
      <c r="K342" s="102">
        <f t="shared" si="68"/>
        <v>1</v>
      </c>
      <c r="L342" s="102" t="str">
        <f>IF(VLOOKUP($P342,线下模式!$A$3:$X$22,5,FALSE)="","","Monster_Offline_"&amp;P342&amp;"_1")</f>
        <v>Monster_Offline_10_1</v>
      </c>
      <c r="M342" s="57">
        <f t="shared" si="69"/>
        <v>1</v>
      </c>
      <c r="O342" s="102">
        <f>IF(VLOOKUP($P342,线下模式!$A$3:$X$22,5,FALSE)="","",VLOOKUP($P342,线下模式!$A$3:$X$22,9,FALSE))</f>
        <v>45</v>
      </c>
      <c r="P342" s="110">
        <f t="shared" si="70"/>
        <v>10</v>
      </c>
      <c r="Q342" s="110">
        <v>1</v>
      </c>
    </row>
    <row r="343" spans="2:17" x14ac:dyDescent="0.2">
      <c r="D343" s="57" t="str">
        <f t="shared" si="71"/>
        <v/>
      </c>
      <c r="F343" s="57" t="str">
        <f t="shared" si="65"/>
        <v/>
      </c>
      <c r="G343" s="102" t="str">
        <f t="shared" si="66"/>
        <v/>
      </c>
      <c r="H343" s="57">
        <f t="shared" si="67"/>
        <v>0</v>
      </c>
      <c r="I343" s="102">
        <f>IF(VLOOKUP($P343,线下模式!$A$3:$X$22,10,FALSE)="","",VLOOKUP($P343,线下模式!$A$3:$X$22,11,FALSE))</f>
        <v>1</v>
      </c>
      <c r="J343" s="102">
        <f>IF(VLOOKUP($P343,线下模式!$A$3:$X$22,10,FALSE)="","",VLOOKUP($P343,线下模式!$A$3:$X$22,12,FALSE))</f>
        <v>0</v>
      </c>
      <c r="K343" s="102">
        <f t="shared" si="68"/>
        <v>1</v>
      </c>
      <c r="L343" s="102" t="str">
        <f>IF(VLOOKUP($P343,线下模式!$A$3:$X$22,10,FALSE)="","","Monster_Offline_"&amp;P343&amp;"_2")</f>
        <v>Monster_Offline_10_2</v>
      </c>
      <c r="M343" s="57">
        <f t="shared" si="69"/>
        <v>1</v>
      </c>
      <c r="O343" s="102">
        <f>IF(VLOOKUP($P343,线下模式!$A$3:$X$22,10,FALSE)="","",VLOOKUP($P343,线下模式!$A$3:$X$22,14,FALSE))</f>
        <v>450</v>
      </c>
      <c r="P343" s="110">
        <f t="shared" si="70"/>
        <v>10</v>
      </c>
      <c r="Q343" s="110">
        <v>2</v>
      </c>
    </row>
    <row r="344" spans="2:17" x14ac:dyDescent="0.2">
      <c r="D344" s="57" t="str">
        <f t="shared" si="71"/>
        <v/>
      </c>
      <c r="F344" s="57" t="str">
        <f t="shared" si="65"/>
        <v/>
      </c>
      <c r="G344" s="102" t="str">
        <f t="shared" si="66"/>
        <v/>
      </c>
      <c r="H344" s="57" t="str">
        <f t="shared" si="67"/>
        <v/>
      </c>
      <c r="I344" s="102" t="str">
        <f>IF(VLOOKUP($P344,线下模式!$A$3:$X$22,15,FALSE)="","",VLOOKUP(P344,线下模式!$A$3:$X$22,16,FALSE))</f>
        <v/>
      </c>
      <c r="J344" s="102" t="str">
        <f>IF(VLOOKUP($P344,线下模式!$A$3:$X$22,15,FALSE)="","",VLOOKUP($P344,线下模式!$A$3:$X$22,17,FALSE))</f>
        <v/>
      </c>
      <c r="K344" s="102" t="str">
        <f t="shared" si="68"/>
        <v/>
      </c>
      <c r="L344" s="102" t="str">
        <f>IF(VLOOKUP($P344,线下模式!$A$3:$X$22,15,FALSE)="","","Monster_Offline_"&amp;P344&amp;"_3")</f>
        <v/>
      </c>
      <c r="M344" s="57" t="str">
        <f t="shared" si="69"/>
        <v/>
      </c>
      <c r="O344" s="102" t="str">
        <f>IF(VLOOKUP($P344,线下模式!$A$3:$X$22,15,FALSE)="","",VLOOKUP($P344,线下模式!$A$3:$X$22,19,FALSE))</f>
        <v/>
      </c>
      <c r="P344" s="110">
        <f t="shared" si="70"/>
        <v>10</v>
      </c>
      <c r="Q344" s="110">
        <v>3</v>
      </c>
    </row>
    <row r="345" spans="2:17" x14ac:dyDescent="0.2">
      <c r="D345" s="57" t="str">
        <f t="shared" si="71"/>
        <v/>
      </c>
      <c r="F345" s="57" t="str">
        <f t="shared" si="65"/>
        <v/>
      </c>
      <c r="G345" s="102" t="str">
        <f t="shared" si="66"/>
        <v/>
      </c>
      <c r="H345" s="57" t="str">
        <f t="shared" si="67"/>
        <v/>
      </c>
      <c r="I345" s="102" t="str">
        <f>IF(VLOOKUP($P345,线下模式!$A$3:$X$22,20,FALSE)="","",VLOOKUP($P345,线下模式!$A$3:$X$22,21,FALSE))</f>
        <v/>
      </c>
      <c r="J345" s="102" t="str">
        <f>IF(VLOOKUP($P345,线下模式!$A$3:$X$22,20,FALSE)="","",VLOOKUP($P345,线下模式!$A$3:$X$22,22,FALSE))</f>
        <v/>
      </c>
      <c r="K345" s="102" t="str">
        <f t="shared" si="68"/>
        <v/>
      </c>
      <c r="L345" s="102" t="str">
        <f>IF(VLOOKUP($P345,线下模式!$A$3:$X$22,20,FALSE)="","","Monster_Offline_"&amp;P345&amp;"_4")</f>
        <v/>
      </c>
      <c r="M345" s="57" t="str">
        <f t="shared" si="69"/>
        <v/>
      </c>
      <c r="O345" s="102" t="str">
        <f>IF(VLOOKUP($P345,线下模式!$A$3:$X$22,20,FALSE)="","",VLOOKUP($P345,线下模式!$A$3:$X$22,24,FALSE))</f>
        <v/>
      </c>
      <c r="P345" s="110">
        <f t="shared" si="70"/>
        <v>10</v>
      </c>
      <c r="Q345" s="110">
        <v>4</v>
      </c>
    </row>
    <row r="346" spans="2:17" x14ac:dyDescent="0.2">
      <c r="B346" s="57" t="s">
        <v>1807</v>
      </c>
      <c r="C346" s="57">
        <v>11</v>
      </c>
      <c r="D346" s="57" t="str">
        <f t="shared" si="71"/>
        <v>线下模式第11波</v>
      </c>
      <c r="F346" s="57">
        <f t="shared" si="65"/>
        <v>0</v>
      </c>
      <c r="G346" s="102">
        <f t="shared" si="66"/>
        <v>180</v>
      </c>
      <c r="H346" s="57">
        <f t="shared" si="67"/>
        <v>0</v>
      </c>
      <c r="I346" s="102">
        <f>IF(VLOOKUP($P346,线下模式!$A$3:$X$22,5,FALSE)="","",VLOOKUP($P346,线下模式!$A$3:$X$22,6,FALSE))</f>
        <v>10</v>
      </c>
      <c r="J346" s="102">
        <f>IF(VLOOKUP($P346,线下模式!$A$3:$X$22,5,FALSE)="","",VLOOKUP($P346,线下模式!$A$3:$X$22,7,FALSE))</f>
        <v>2</v>
      </c>
      <c r="K346" s="102">
        <f t="shared" si="68"/>
        <v>1</v>
      </c>
      <c r="L346" s="102" t="str">
        <f>IF(VLOOKUP($P346,线下模式!$A$3:$X$22,5,FALSE)="","","Monster_Offline_"&amp;P346&amp;"_1")</f>
        <v>Monster_Offline_11_1</v>
      </c>
      <c r="M346" s="57">
        <f t="shared" si="69"/>
        <v>1</v>
      </c>
      <c r="O346" s="102">
        <f>IF(VLOOKUP($P346,线下模式!$A$3:$X$22,5,FALSE)="","",VLOOKUP($P346,线下模式!$A$3:$X$22,9,FALSE))</f>
        <v>69</v>
      </c>
      <c r="P346" s="110">
        <f t="shared" si="70"/>
        <v>11</v>
      </c>
      <c r="Q346" s="110">
        <v>1</v>
      </c>
    </row>
    <row r="347" spans="2:17" x14ac:dyDescent="0.2">
      <c r="D347" s="57" t="str">
        <f t="shared" si="71"/>
        <v/>
      </c>
      <c r="F347" s="57" t="str">
        <f t="shared" si="65"/>
        <v/>
      </c>
      <c r="G347" s="102" t="str">
        <f t="shared" si="66"/>
        <v/>
      </c>
      <c r="H347" s="57">
        <f t="shared" si="67"/>
        <v>0</v>
      </c>
      <c r="I347" s="102">
        <f>IF(VLOOKUP($P347,线下模式!$A$3:$X$22,10,FALSE)="","",VLOOKUP($P347,线下模式!$A$3:$X$22,11,FALSE))</f>
        <v>1</v>
      </c>
      <c r="J347" s="102">
        <f>IF(VLOOKUP($P347,线下模式!$A$3:$X$22,10,FALSE)="","",VLOOKUP($P347,线下模式!$A$3:$X$22,12,FALSE))</f>
        <v>0</v>
      </c>
      <c r="K347" s="102">
        <f t="shared" si="68"/>
        <v>1</v>
      </c>
      <c r="L347" s="102" t="str">
        <f>IF(VLOOKUP($P347,线下模式!$A$3:$X$22,10,FALSE)="","","Monster_Offline_"&amp;P347&amp;"_2")</f>
        <v>Monster_Offline_11_2</v>
      </c>
      <c r="M347" s="57">
        <f t="shared" si="69"/>
        <v>1</v>
      </c>
      <c r="O347" s="102">
        <f>IF(VLOOKUP($P347,线下模式!$A$3:$X$22,10,FALSE)="","",VLOOKUP($P347,线下模式!$A$3:$X$22,14,FALSE))</f>
        <v>34</v>
      </c>
      <c r="P347" s="110">
        <f t="shared" si="70"/>
        <v>11</v>
      </c>
      <c r="Q347" s="110">
        <v>2</v>
      </c>
    </row>
    <row r="348" spans="2:17" x14ac:dyDescent="0.2">
      <c r="D348" s="57" t="str">
        <f t="shared" si="71"/>
        <v/>
      </c>
      <c r="F348" s="57" t="str">
        <f t="shared" si="65"/>
        <v/>
      </c>
      <c r="G348" s="102" t="str">
        <f t="shared" si="66"/>
        <v/>
      </c>
      <c r="H348" s="57" t="str">
        <f t="shared" si="67"/>
        <v/>
      </c>
      <c r="I348" s="102" t="str">
        <f>IF(VLOOKUP($P348,线下模式!$A$3:$X$22,15,FALSE)="","",VLOOKUP(P348,线下模式!$A$3:$X$22,16,FALSE))</f>
        <v/>
      </c>
      <c r="J348" s="102" t="str">
        <f>IF(VLOOKUP($P348,线下模式!$A$3:$X$22,15,FALSE)="","",VLOOKUP($P348,线下模式!$A$3:$X$22,17,FALSE))</f>
        <v/>
      </c>
      <c r="K348" s="102" t="str">
        <f t="shared" si="68"/>
        <v/>
      </c>
      <c r="L348" s="102" t="str">
        <f>IF(VLOOKUP($P348,线下模式!$A$3:$X$22,15,FALSE)="","","Monster_Offline_"&amp;P348&amp;"_3")</f>
        <v/>
      </c>
      <c r="M348" s="57" t="str">
        <f t="shared" si="69"/>
        <v/>
      </c>
      <c r="O348" s="102" t="str">
        <f>IF(VLOOKUP($P348,线下模式!$A$3:$X$22,15,FALSE)="","",VLOOKUP($P348,线下模式!$A$3:$X$22,19,FALSE))</f>
        <v/>
      </c>
      <c r="P348" s="110">
        <f t="shared" si="70"/>
        <v>11</v>
      </c>
      <c r="Q348" s="110">
        <v>3</v>
      </c>
    </row>
    <row r="349" spans="2:17" x14ac:dyDescent="0.2">
      <c r="D349" s="57" t="str">
        <f t="shared" si="71"/>
        <v/>
      </c>
      <c r="F349" s="57" t="str">
        <f t="shared" si="65"/>
        <v/>
      </c>
      <c r="G349" s="102" t="str">
        <f t="shared" si="66"/>
        <v/>
      </c>
      <c r="H349" s="57" t="str">
        <f t="shared" si="67"/>
        <v/>
      </c>
      <c r="I349" s="102" t="str">
        <f>IF(VLOOKUP($P349,线下模式!$A$3:$X$22,20,FALSE)="","",VLOOKUP($P349,线下模式!$A$3:$X$22,21,FALSE))</f>
        <v/>
      </c>
      <c r="J349" s="102" t="str">
        <f>IF(VLOOKUP($P349,线下模式!$A$3:$X$22,20,FALSE)="","",VLOOKUP($P349,线下模式!$A$3:$X$22,22,FALSE))</f>
        <v/>
      </c>
      <c r="K349" s="102" t="str">
        <f t="shared" si="68"/>
        <v/>
      </c>
      <c r="L349" s="102" t="str">
        <f>IF(VLOOKUP($P349,线下模式!$A$3:$X$22,20,FALSE)="","","Monster_Offline_"&amp;P349&amp;"_4")</f>
        <v/>
      </c>
      <c r="M349" s="57" t="str">
        <f t="shared" si="69"/>
        <v/>
      </c>
      <c r="O349" s="102" t="str">
        <f>IF(VLOOKUP($P349,线下模式!$A$3:$X$22,20,FALSE)="","",VLOOKUP($P349,线下模式!$A$3:$X$22,24,FALSE))</f>
        <v/>
      </c>
      <c r="P349" s="110">
        <f t="shared" si="70"/>
        <v>11</v>
      </c>
      <c r="Q349" s="110">
        <v>4</v>
      </c>
    </row>
    <row r="350" spans="2:17" x14ac:dyDescent="0.2">
      <c r="B350" s="57" t="s">
        <v>1807</v>
      </c>
      <c r="C350" s="57">
        <v>12</v>
      </c>
      <c r="D350" s="57" t="str">
        <f t="shared" si="71"/>
        <v>线下模式第12波</v>
      </c>
      <c r="F350" s="57">
        <f t="shared" si="65"/>
        <v>0</v>
      </c>
      <c r="G350" s="102">
        <f t="shared" si="66"/>
        <v>180</v>
      </c>
      <c r="H350" s="57">
        <f t="shared" si="67"/>
        <v>0</v>
      </c>
      <c r="I350" s="102">
        <f>IF(VLOOKUP($P350,线下模式!$A$3:$X$22,5,FALSE)="","",VLOOKUP($P350,线下模式!$A$3:$X$22,6,FALSE))</f>
        <v>14</v>
      </c>
      <c r="J350" s="102">
        <f>IF(VLOOKUP($P350,线下模式!$A$3:$X$22,5,FALSE)="","",VLOOKUP($P350,线下模式!$A$3:$X$22,7,FALSE))</f>
        <v>1.5</v>
      </c>
      <c r="K350" s="102">
        <f t="shared" si="68"/>
        <v>1</v>
      </c>
      <c r="L350" s="102" t="str">
        <f>IF(VLOOKUP($P350,线下模式!$A$3:$X$22,5,FALSE)="","","Monster_Offline_"&amp;P350&amp;"_1")</f>
        <v>Monster_Offline_12_1</v>
      </c>
      <c r="M350" s="57">
        <f t="shared" si="69"/>
        <v>1</v>
      </c>
      <c r="O350" s="102">
        <f>IF(VLOOKUP($P350,线下模式!$A$3:$X$22,5,FALSE)="","",VLOOKUP($P350,线下模式!$A$3:$X$22,9,FALSE))</f>
        <v>51</v>
      </c>
      <c r="P350" s="110">
        <f t="shared" si="70"/>
        <v>12</v>
      </c>
      <c r="Q350" s="110">
        <v>1</v>
      </c>
    </row>
    <row r="351" spans="2:17" x14ac:dyDescent="0.2">
      <c r="D351" s="57" t="str">
        <f t="shared" si="71"/>
        <v/>
      </c>
      <c r="F351" s="57" t="str">
        <f t="shared" si="65"/>
        <v/>
      </c>
      <c r="G351" s="102" t="str">
        <f t="shared" si="66"/>
        <v/>
      </c>
      <c r="H351" s="57" t="str">
        <f t="shared" si="67"/>
        <v/>
      </c>
      <c r="I351" s="102" t="str">
        <f>IF(VLOOKUP($P351,线下模式!$A$3:$X$22,10,FALSE)="","",VLOOKUP($P351,线下模式!$A$3:$X$22,11,FALSE))</f>
        <v/>
      </c>
      <c r="J351" s="102" t="str">
        <f>IF(VLOOKUP($P351,线下模式!$A$3:$X$22,10,FALSE)="","",VLOOKUP($P351,线下模式!$A$3:$X$22,12,FALSE))</f>
        <v/>
      </c>
      <c r="K351" s="102" t="str">
        <f t="shared" si="68"/>
        <v/>
      </c>
      <c r="L351" s="102" t="str">
        <f>IF(VLOOKUP($P351,线下模式!$A$3:$X$22,10,FALSE)="","","Monster_Offline_"&amp;P351&amp;"_2")</f>
        <v/>
      </c>
      <c r="M351" s="57" t="str">
        <f t="shared" si="69"/>
        <v/>
      </c>
      <c r="O351" s="102" t="str">
        <f>IF(VLOOKUP($P351,线下模式!$A$3:$X$22,10,FALSE)="","",VLOOKUP($P351,线下模式!$A$3:$X$22,14,FALSE))</f>
        <v/>
      </c>
      <c r="P351" s="110">
        <f t="shared" si="70"/>
        <v>12</v>
      </c>
      <c r="Q351" s="110">
        <v>2</v>
      </c>
    </row>
    <row r="352" spans="2:17" x14ac:dyDescent="0.2">
      <c r="D352" s="57" t="str">
        <f t="shared" si="71"/>
        <v/>
      </c>
      <c r="F352" s="57" t="str">
        <f t="shared" si="65"/>
        <v/>
      </c>
      <c r="G352" s="102" t="str">
        <f t="shared" si="66"/>
        <v/>
      </c>
      <c r="H352" s="57" t="str">
        <f t="shared" si="67"/>
        <v/>
      </c>
      <c r="I352" s="102" t="str">
        <f>IF(VLOOKUP($P352,线下模式!$A$3:$X$22,15,FALSE)="","",VLOOKUP(P352,线下模式!$A$3:$X$22,16,FALSE))</f>
        <v/>
      </c>
      <c r="J352" s="102" t="str">
        <f>IF(VLOOKUP($P352,线下模式!$A$3:$X$22,15,FALSE)="","",VLOOKUP($P352,线下模式!$A$3:$X$22,17,FALSE))</f>
        <v/>
      </c>
      <c r="K352" s="102" t="str">
        <f t="shared" si="68"/>
        <v/>
      </c>
      <c r="L352" s="102" t="str">
        <f>IF(VLOOKUP($P352,线下模式!$A$3:$X$22,15,FALSE)="","","Monster_Offline_"&amp;P352&amp;"_3")</f>
        <v/>
      </c>
      <c r="M352" s="57" t="str">
        <f t="shared" si="69"/>
        <v/>
      </c>
      <c r="O352" s="102" t="str">
        <f>IF(VLOOKUP($P352,线下模式!$A$3:$X$22,15,FALSE)="","",VLOOKUP($P352,线下模式!$A$3:$X$22,19,FALSE))</f>
        <v/>
      </c>
      <c r="P352" s="110">
        <f t="shared" si="70"/>
        <v>12</v>
      </c>
      <c r="Q352" s="110">
        <v>3</v>
      </c>
    </row>
    <row r="353" spans="2:17" x14ac:dyDescent="0.2">
      <c r="D353" s="57" t="str">
        <f t="shared" si="71"/>
        <v/>
      </c>
      <c r="F353" s="57" t="str">
        <f t="shared" si="65"/>
        <v/>
      </c>
      <c r="G353" s="102" t="str">
        <f t="shared" si="66"/>
        <v/>
      </c>
      <c r="H353" s="57" t="str">
        <f t="shared" si="67"/>
        <v/>
      </c>
      <c r="I353" s="102" t="str">
        <f>IF(VLOOKUP($P353,线下模式!$A$3:$X$22,20,FALSE)="","",VLOOKUP($P353,线下模式!$A$3:$X$22,21,FALSE))</f>
        <v/>
      </c>
      <c r="J353" s="102" t="str">
        <f>IF(VLOOKUP($P353,线下模式!$A$3:$X$22,20,FALSE)="","",VLOOKUP($P353,线下模式!$A$3:$X$22,22,FALSE))</f>
        <v/>
      </c>
      <c r="K353" s="102" t="str">
        <f t="shared" si="68"/>
        <v/>
      </c>
      <c r="L353" s="102" t="str">
        <f>IF(VLOOKUP($P353,线下模式!$A$3:$X$22,20,FALSE)="","","Monster_Offline_"&amp;P353&amp;"_4")</f>
        <v/>
      </c>
      <c r="M353" s="57" t="str">
        <f t="shared" si="69"/>
        <v/>
      </c>
      <c r="O353" s="102" t="str">
        <f>IF(VLOOKUP($P353,线下模式!$A$3:$X$22,20,FALSE)="","",VLOOKUP($P353,线下模式!$A$3:$X$22,24,FALSE))</f>
        <v/>
      </c>
      <c r="P353" s="110">
        <f t="shared" si="70"/>
        <v>12</v>
      </c>
      <c r="Q353" s="110">
        <v>4</v>
      </c>
    </row>
    <row r="354" spans="2:17" x14ac:dyDescent="0.2">
      <c r="B354" s="57" t="s">
        <v>1807</v>
      </c>
      <c r="C354" s="57">
        <v>13</v>
      </c>
      <c r="D354" s="57" t="str">
        <f t="shared" si="71"/>
        <v>线下模式第13波</v>
      </c>
      <c r="F354" s="57">
        <f t="shared" si="65"/>
        <v>0</v>
      </c>
      <c r="G354" s="102">
        <f t="shared" si="66"/>
        <v>180</v>
      </c>
      <c r="H354" s="57">
        <f t="shared" si="67"/>
        <v>0</v>
      </c>
      <c r="I354" s="102">
        <f>IF(VLOOKUP($P354,线下模式!$A$3:$X$22,5,FALSE)="","",VLOOKUP($P354,线下模式!$A$3:$X$22,6,FALSE))</f>
        <v>15</v>
      </c>
      <c r="J354" s="102">
        <f>IF(VLOOKUP($P354,线下模式!$A$3:$X$22,5,FALSE)="","",VLOOKUP($P354,线下模式!$A$3:$X$22,7,FALSE))</f>
        <v>1.5</v>
      </c>
      <c r="K354" s="102">
        <f t="shared" si="68"/>
        <v>1</v>
      </c>
      <c r="L354" s="102" t="str">
        <f>IF(VLOOKUP($P354,线下模式!$A$3:$X$22,5,FALSE)="","","Monster_Offline_"&amp;P354&amp;"_1")</f>
        <v>Monster_Offline_13_1</v>
      </c>
      <c r="M354" s="57">
        <f t="shared" si="69"/>
        <v>1</v>
      </c>
      <c r="O354" s="102">
        <f>IF(VLOOKUP($P354,线下模式!$A$3:$X$22,5,FALSE)="","",VLOOKUP($P354,线下模式!$A$3:$X$22,9,FALSE))</f>
        <v>24</v>
      </c>
      <c r="P354" s="110">
        <f t="shared" si="70"/>
        <v>13</v>
      </c>
      <c r="Q354" s="110">
        <v>1</v>
      </c>
    </row>
    <row r="355" spans="2:17" x14ac:dyDescent="0.2">
      <c r="D355" s="57" t="str">
        <f t="shared" si="71"/>
        <v/>
      </c>
      <c r="F355" s="57" t="str">
        <f t="shared" si="65"/>
        <v/>
      </c>
      <c r="G355" s="102" t="str">
        <f t="shared" si="66"/>
        <v/>
      </c>
      <c r="H355" s="57">
        <f t="shared" si="67"/>
        <v>0</v>
      </c>
      <c r="I355" s="102">
        <f>IF(VLOOKUP($P355,线下模式!$A$3:$X$22,10,FALSE)="","",VLOOKUP($P355,线下模式!$A$3:$X$22,11,FALSE))</f>
        <v>15</v>
      </c>
      <c r="J355" s="102">
        <f>IF(VLOOKUP($P355,线下模式!$A$3:$X$22,10,FALSE)="","",VLOOKUP($P355,线下模式!$A$3:$X$22,12,FALSE))</f>
        <v>1.5</v>
      </c>
      <c r="K355" s="102">
        <f t="shared" si="68"/>
        <v>1</v>
      </c>
      <c r="L355" s="102" t="str">
        <f>IF(VLOOKUP($P355,线下模式!$A$3:$X$22,10,FALSE)="","","Monster_Offline_"&amp;P355&amp;"_2")</f>
        <v>Monster_Offline_13_2</v>
      </c>
      <c r="M355" s="57">
        <f t="shared" si="69"/>
        <v>1</v>
      </c>
      <c r="O355" s="102">
        <f>IF(VLOOKUP($P355,线下模式!$A$3:$X$22,10,FALSE)="","",VLOOKUP($P355,线下模式!$A$3:$X$22,14,FALSE))</f>
        <v>24</v>
      </c>
      <c r="P355" s="110">
        <f t="shared" si="70"/>
        <v>13</v>
      </c>
      <c r="Q355" s="110">
        <v>2</v>
      </c>
    </row>
    <row r="356" spans="2:17" x14ac:dyDescent="0.2">
      <c r="D356" s="57" t="str">
        <f t="shared" si="71"/>
        <v/>
      </c>
      <c r="F356" s="57" t="str">
        <f t="shared" si="65"/>
        <v/>
      </c>
      <c r="G356" s="102" t="str">
        <f t="shared" si="66"/>
        <v/>
      </c>
      <c r="H356" s="57" t="str">
        <f t="shared" si="67"/>
        <v/>
      </c>
      <c r="I356" s="102" t="str">
        <f>IF(VLOOKUP($P356,线下模式!$A$3:$X$22,15,FALSE)="","",VLOOKUP(P356,线下模式!$A$3:$X$22,16,FALSE))</f>
        <v/>
      </c>
      <c r="J356" s="102" t="str">
        <f>IF(VLOOKUP($P356,线下模式!$A$3:$X$22,15,FALSE)="","",VLOOKUP($P356,线下模式!$A$3:$X$22,17,FALSE))</f>
        <v/>
      </c>
      <c r="K356" s="102" t="str">
        <f t="shared" si="68"/>
        <v/>
      </c>
      <c r="L356" s="102" t="str">
        <f>IF(VLOOKUP($P356,线下模式!$A$3:$X$22,15,FALSE)="","","Monster_Offline_"&amp;P356&amp;"_3")</f>
        <v/>
      </c>
      <c r="M356" s="57" t="str">
        <f t="shared" si="69"/>
        <v/>
      </c>
      <c r="O356" s="102" t="str">
        <f>IF(VLOOKUP($P356,线下模式!$A$3:$X$22,15,FALSE)="","",VLOOKUP($P356,线下模式!$A$3:$X$22,19,FALSE))</f>
        <v/>
      </c>
      <c r="P356" s="110">
        <f t="shared" si="70"/>
        <v>13</v>
      </c>
      <c r="Q356" s="110">
        <v>3</v>
      </c>
    </row>
    <row r="357" spans="2:17" x14ac:dyDescent="0.2">
      <c r="D357" s="57" t="str">
        <f t="shared" si="71"/>
        <v/>
      </c>
      <c r="F357" s="57" t="str">
        <f t="shared" si="65"/>
        <v/>
      </c>
      <c r="G357" s="102" t="str">
        <f t="shared" si="66"/>
        <v/>
      </c>
      <c r="H357" s="57" t="str">
        <f t="shared" si="67"/>
        <v/>
      </c>
      <c r="I357" s="102" t="str">
        <f>IF(VLOOKUP($P357,线下模式!$A$3:$X$22,20,FALSE)="","",VLOOKUP($P357,线下模式!$A$3:$X$22,21,FALSE))</f>
        <v/>
      </c>
      <c r="J357" s="102" t="str">
        <f>IF(VLOOKUP($P357,线下模式!$A$3:$X$22,20,FALSE)="","",VLOOKUP($P357,线下模式!$A$3:$X$22,22,FALSE))</f>
        <v/>
      </c>
      <c r="K357" s="102" t="str">
        <f t="shared" si="68"/>
        <v/>
      </c>
      <c r="L357" s="102" t="str">
        <f>IF(VLOOKUP($P357,线下模式!$A$3:$X$22,20,FALSE)="","","Monster_Offline_"&amp;P357&amp;"_4")</f>
        <v/>
      </c>
      <c r="M357" s="57" t="str">
        <f t="shared" si="69"/>
        <v/>
      </c>
      <c r="O357" s="102" t="str">
        <f>IF(VLOOKUP($P357,线下模式!$A$3:$X$22,20,FALSE)="","",VLOOKUP($P357,线下模式!$A$3:$X$22,24,FALSE))</f>
        <v/>
      </c>
      <c r="P357" s="110">
        <f t="shared" si="70"/>
        <v>13</v>
      </c>
      <c r="Q357" s="110">
        <v>4</v>
      </c>
    </row>
    <row r="358" spans="2:17" x14ac:dyDescent="0.2">
      <c r="B358" s="57" t="s">
        <v>1807</v>
      </c>
      <c r="C358" s="57">
        <v>14</v>
      </c>
      <c r="D358" s="57" t="str">
        <f t="shared" si="71"/>
        <v>线下模式第14波</v>
      </c>
      <c r="F358" s="57">
        <f t="shared" si="65"/>
        <v>0</v>
      </c>
      <c r="G358" s="102">
        <f t="shared" si="66"/>
        <v>180</v>
      </c>
      <c r="H358" s="57">
        <f t="shared" si="67"/>
        <v>0</v>
      </c>
      <c r="I358" s="102">
        <f>IF(VLOOKUP($P358,线下模式!$A$3:$X$22,5,FALSE)="","",VLOOKUP($P358,线下模式!$A$3:$X$22,6,FALSE))</f>
        <v>31</v>
      </c>
      <c r="J358" s="102">
        <f>IF(VLOOKUP($P358,线下模式!$A$3:$X$22,5,FALSE)="","",VLOOKUP($P358,线下模式!$A$3:$X$22,7,FALSE))</f>
        <v>0.75</v>
      </c>
      <c r="K358" s="102">
        <f t="shared" si="68"/>
        <v>1</v>
      </c>
      <c r="L358" s="102" t="str">
        <f>IF(VLOOKUP($P358,线下模式!$A$3:$X$22,5,FALSE)="","","Monster_Offline_"&amp;P358&amp;"_1")</f>
        <v>Monster_Offline_14_1</v>
      </c>
      <c r="M358" s="57">
        <f t="shared" si="69"/>
        <v>1</v>
      </c>
      <c r="O358" s="102">
        <f>IF(VLOOKUP($P358,线下模式!$A$3:$X$22,5,FALSE)="","",VLOOKUP($P358,线下模式!$A$3:$X$22,9,FALSE))</f>
        <v>15</v>
      </c>
      <c r="P358" s="110">
        <f t="shared" si="70"/>
        <v>14</v>
      </c>
      <c r="Q358" s="110">
        <v>1</v>
      </c>
    </row>
    <row r="359" spans="2:17" x14ac:dyDescent="0.2">
      <c r="D359" s="57" t="str">
        <f t="shared" si="71"/>
        <v/>
      </c>
      <c r="F359" s="57" t="str">
        <f t="shared" si="65"/>
        <v/>
      </c>
      <c r="G359" s="102" t="str">
        <f t="shared" si="66"/>
        <v/>
      </c>
      <c r="H359" s="57">
        <f t="shared" si="67"/>
        <v>0</v>
      </c>
      <c r="I359" s="102">
        <f>IF(VLOOKUP($P359,线下模式!$A$3:$X$22,10,FALSE)="","",VLOOKUP($P359,线下模式!$A$3:$X$22,11,FALSE))</f>
        <v>8</v>
      </c>
      <c r="J359" s="102">
        <f>IF(VLOOKUP($P359,线下模式!$A$3:$X$22,10,FALSE)="","",VLOOKUP($P359,线下模式!$A$3:$X$22,12,FALSE))</f>
        <v>3</v>
      </c>
      <c r="K359" s="102">
        <f t="shared" si="68"/>
        <v>1</v>
      </c>
      <c r="L359" s="102" t="str">
        <f>IF(VLOOKUP($P359,线下模式!$A$3:$X$22,10,FALSE)="","","Monster_Offline_"&amp;P359&amp;"_2")</f>
        <v>Monster_Offline_14_2</v>
      </c>
      <c r="M359" s="57">
        <f t="shared" si="69"/>
        <v>1</v>
      </c>
      <c r="O359" s="102">
        <f>IF(VLOOKUP($P359,线下模式!$A$3:$X$22,10,FALSE)="","",VLOOKUP($P359,线下模式!$A$3:$X$22,14,FALSE))</f>
        <v>31</v>
      </c>
      <c r="P359" s="110">
        <f t="shared" si="70"/>
        <v>14</v>
      </c>
      <c r="Q359" s="110">
        <v>2</v>
      </c>
    </row>
    <row r="360" spans="2:17" x14ac:dyDescent="0.2">
      <c r="D360" s="57" t="str">
        <f t="shared" si="71"/>
        <v/>
      </c>
      <c r="F360" s="57" t="str">
        <f t="shared" si="65"/>
        <v/>
      </c>
      <c r="G360" s="102" t="str">
        <f t="shared" si="66"/>
        <v/>
      </c>
      <c r="H360" s="57" t="str">
        <f t="shared" si="67"/>
        <v/>
      </c>
      <c r="I360" s="102" t="str">
        <f>IF(VLOOKUP($P360,线下模式!$A$3:$X$22,15,FALSE)="","",VLOOKUP(P360,线下模式!$A$3:$X$22,16,FALSE))</f>
        <v/>
      </c>
      <c r="J360" s="102" t="str">
        <f>IF(VLOOKUP($P360,线下模式!$A$3:$X$22,15,FALSE)="","",VLOOKUP($P360,线下模式!$A$3:$X$22,17,FALSE))</f>
        <v/>
      </c>
      <c r="K360" s="102" t="str">
        <f t="shared" si="68"/>
        <v/>
      </c>
      <c r="L360" s="102" t="str">
        <f>IF(VLOOKUP($P360,线下模式!$A$3:$X$22,15,FALSE)="","","Monster_Offline_"&amp;P360&amp;"_3")</f>
        <v/>
      </c>
      <c r="M360" s="57" t="str">
        <f t="shared" si="69"/>
        <v/>
      </c>
      <c r="O360" s="102" t="str">
        <f>IF(VLOOKUP($P360,线下模式!$A$3:$X$22,15,FALSE)="","",VLOOKUP($P360,线下模式!$A$3:$X$22,19,FALSE))</f>
        <v/>
      </c>
      <c r="P360" s="110">
        <f t="shared" si="70"/>
        <v>14</v>
      </c>
      <c r="Q360" s="110">
        <v>3</v>
      </c>
    </row>
    <row r="361" spans="2:17" x14ac:dyDescent="0.2">
      <c r="D361" s="57" t="str">
        <f t="shared" si="71"/>
        <v/>
      </c>
      <c r="F361" s="57" t="str">
        <f t="shared" si="65"/>
        <v/>
      </c>
      <c r="G361" s="102" t="str">
        <f t="shared" si="66"/>
        <v/>
      </c>
      <c r="H361" s="57" t="str">
        <f t="shared" si="67"/>
        <v/>
      </c>
      <c r="I361" s="102" t="str">
        <f>IF(VLOOKUP($P361,线下模式!$A$3:$X$22,20,FALSE)="","",VLOOKUP($P361,线下模式!$A$3:$X$22,21,FALSE))</f>
        <v/>
      </c>
      <c r="J361" s="102" t="str">
        <f>IF(VLOOKUP($P361,线下模式!$A$3:$X$22,20,FALSE)="","",VLOOKUP($P361,线下模式!$A$3:$X$22,22,FALSE))</f>
        <v/>
      </c>
      <c r="K361" s="102" t="str">
        <f t="shared" si="68"/>
        <v/>
      </c>
      <c r="L361" s="102" t="str">
        <f>IF(VLOOKUP($P361,线下模式!$A$3:$X$22,20,FALSE)="","","Monster_Offline_"&amp;P361&amp;"_4")</f>
        <v/>
      </c>
      <c r="M361" s="57" t="str">
        <f t="shared" si="69"/>
        <v/>
      </c>
      <c r="O361" s="102" t="str">
        <f>IF(VLOOKUP($P361,线下模式!$A$3:$X$22,20,FALSE)="","",VLOOKUP($P361,线下模式!$A$3:$X$22,24,FALSE))</f>
        <v/>
      </c>
      <c r="P361" s="110">
        <f t="shared" si="70"/>
        <v>14</v>
      </c>
      <c r="Q361" s="110">
        <v>4</v>
      </c>
    </row>
    <row r="362" spans="2:17" x14ac:dyDescent="0.2">
      <c r="B362" s="57" t="s">
        <v>1807</v>
      </c>
      <c r="C362" s="57">
        <v>15</v>
      </c>
      <c r="D362" s="57" t="str">
        <f t="shared" si="71"/>
        <v>线下模式第15波</v>
      </c>
      <c r="F362" s="57">
        <f t="shared" si="65"/>
        <v>0</v>
      </c>
      <c r="G362" s="102">
        <f t="shared" si="66"/>
        <v>180</v>
      </c>
      <c r="H362" s="57">
        <f t="shared" si="67"/>
        <v>0</v>
      </c>
      <c r="I362" s="102">
        <f>IF(VLOOKUP($P362,线下模式!$A$3:$X$22,5,FALSE)="","",VLOOKUP($P362,线下模式!$A$3:$X$22,6,FALSE))</f>
        <v>120</v>
      </c>
      <c r="J362" s="102">
        <f>IF(VLOOKUP($P362,线下模式!$A$3:$X$22,5,FALSE)="","",VLOOKUP($P362,线下模式!$A$3:$X$22,7,FALSE))</f>
        <v>0.2</v>
      </c>
      <c r="K362" s="102">
        <f t="shared" si="68"/>
        <v>1</v>
      </c>
      <c r="L362" s="102" t="str">
        <f>IF(VLOOKUP($P362,线下模式!$A$3:$X$22,5,FALSE)="","","Monster_Offline_"&amp;P362&amp;"_1")</f>
        <v>Monster_Offline_15_1</v>
      </c>
      <c r="M362" s="57">
        <f t="shared" si="69"/>
        <v>1</v>
      </c>
      <c r="O362" s="102">
        <f>IF(VLOOKUP($P362,线下模式!$A$3:$X$22,5,FALSE)="","",VLOOKUP($P362,线下模式!$A$3:$X$22,9,FALSE))</f>
        <v>5</v>
      </c>
      <c r="P362" s="110">
        <f t="shared" si="70"/>
        <v>15</v>
      </c>
      <c r="Q362" s="110">
        <v>1</v>
      </c>
    </row>
    <row r="363" spans="2:17" x14ac:dyDescent="0.2">
      <c r="D363" s="57" t="str">
        <f t="shared" si="71"/>
        <v/>
      </c>
      <c r="F363" s="57" t="str">
        <f t="shared" si="65"/>
        <v/>
      </c>
      <c r="G363" s="102" t="str">
        <f t="shared" si="66"/>
        <v/>
      </c>
      <c r="H363" s="57">
        <f t="shared" si="67"/>
        <v>0</v>
      </c>
      <c r="I363" s="102">
        <f>IF(VLOOKUP($P363,线下模式!$A$3:$X$22,10,FALSE)="","",VLOOKUP($P363,线下模式!$A$3:$X$22,11,FALSE))</f>
        <v>8</v>
      </c>
      <c r="J363" s="102">
        <f>IF(VLOOKUP($P363,线下模式!$A$3:$X$22,10,FALSE)="","",VLOOKUP($P363,线下模式!$A$3:$X$22,12,FALSE))</f>
        <v>3</v>
      </c>
      <c r="K363" s="102">
        <f t="shared" si="68"/>
        <v>1</v>
      </c>
      <c r="L363" s="102" t="str">
        <f>IF(VLOOKUP($P363,线下模式!$A$3:$X$22,10,FALSE)="","","Monster_Offline_"&amp;P363&amp;"_2")</f>
        <v>Monster_Offline_15_2</v>
      </c>
      <c r="M363" s="57">
        <f t="shared" si="69"/>
        <v>1</v>
      </c>
      <c r="O363" s="102">
        <f>IF(VLOOKUP($P363,线下模式!$A$3:$X$22,10,FALSE)="","",VLOOKUP($P363,线下模式!$A$3:$X$22,14,FALSE))</f>
        <v>5</v>
      </c>
      <c r="P363" s="110">
        <f t="shared" si="70"/>
        <v>15</v>
      </c>
      <c r="Q363" s="110">
        <v>2</v>
      </c>
    </row>
    <row r="364" spans="2:17" x14ac:dyDescent="0.2">
      <c r="D364" s="57" t="str">
        <f t="shared" si="71"/>
        <v/>
      </c>
      <c r="F364" s="57" t="str">
        <f t="shared" si="65"/>
        <v/>
      </c>
      <c r="G364" s="102" t="str">
        <f t="shared" si="66"/>
        <v/>
      </c>
      <c r="H364" s="57">
        <f t="shared" si="67"/>
        <v>0</v>
      </c>
      <c r="I364" s="102">
        <f>IF(VLOOKUP($P364,线下模式!$A$3:$X$22,15,FALSE)="","",VLOOKUP(P364,线下模式!$A$3:$X$22,16,FALSE))</f>
        <v>1</v>
      </c>
      <c r="J364" s="102">
        <f>IF(VLOOKUP($P364,线下模式!$A$3:$X$22,15,FALSE)="","",VLOOKUP($P364,线下模式!$A$3:$X$22,17,FALSE))</f>
        <v>0</v>
      </c>
      <c r="K364" s="102">
        <f t="shared" si="68"/>
        <v>1</v>
      </c>
      <c r="L364" s="102" t="str">
        <f>IF(VLOOKUP($P364,线下模式!$A$3:$X$22,15,FALSE)="","","Monster_Offline_"&amp;P364&amp;"_3")</f>
        <v>Monster_Offline_15_3</v>
      </c>
      <c r="M364" s="57">
        <f t="shared" si="69"/>
        <v>1</v>
      </c>
      <c r="O364" s="102">
        <f>IF(VLOOKUP($P364,线下模式!$A$3:$X$22,15,FALSE)="","",VLOOKUP($P364,线下模式!$A$3:$X$22,19,FALSE))</f>
        <v>97</v>
      </c>
      <c r="P364" s="110">
        <f t="shared" si="70"/>
        <v>15</v>
      </c>
      <c r="Q364" s="110">
        <v>3</v>
      </c>
    </row>
    <row r="365" spans="2:17" x14ac:dyDescent="0.2">
      <c r="D365" s="57" t="str">
        <f t="shared" si="71"/>
        <v/>
      </c>
      <c r="F365" s="57" t="str">
        <f t="shared" si="65"/>
        <v/>
      </c>
      <c r="G365" s="102" t="str">
        <f t="shared" si="66"/>
        <v/>
      </c>
      <c r="H365" s="57" t="str">
        <f t="shared" si="67"/>
        <v/>
      </c>
      <c r="I365" s="102" t="str">
        <f>IF(VLOOKUP($P365,线下模式!$A$3:$X$22,20,FALSE)="","",VLOOKUP($P365,线下模式!$A$3:$X$22,21,FALSE))</f>
        <v/>
      </c>
      <c r="J365" s="102" t="str">
        <f>IF(VLOOKUP($P365,线下模式!$A$3:$X$22,20,FALSE)="","",VLOOKUP($P365,线下模式!$A$3:$X$22,22,FALSE))</f>
        <v/>
      </c>
      <c r="K365" s="102" t="str">
        <f t="shared" si="68"/>
        <v/>
      </c>
      <c r="L365" s="102" t="str">
        <f>IF(VLOOKUP($P365,线下模式!$A$3:$X$22,20,FALSE)="","","Monster_Offline_"&amp;P365&amp;"_4")</f>
        <v/>
      </c>
      <c r="M365" s="57" t="str">
        <f t="shared" si="69"/>
        <v/>
      </c>
      <c r="O365" s="102" t="str">
        <f>IF(VLOOKUP($P365,线下模式!$A$3:$X$22,20,FALSE)="","",VLOOKUP($P365,线下模式!$A$3:$X$22,24,FALSE))</f>
        <v/>
      </c>
      <c r="P365" s="110">
        <f t="shared" si="70"/>
        <v>15</v>
      </c>
      <c r="Q365" s="110">
        <v>4</v>
      </c>
    </row>
    <row r="366" spans="2:17" x14ac:dyDescent="0.2">
      <c r="B366" s="57" t="s">
        <v>1807</v>
      </c>
      <c r="C366" s="57">
        <v>16</v>
      </c>
      <c r="D366" s="57" t="str">
        <f t="shared" si="71"/>
        <v>线下模式第16波</v>
      </c>
      <c r="F366" s="57">
        <f t="shared" si="65"/>
        <v>0</v>
      </c>
      <c r="G366" s="102">
        <f t="shared" si="66"/>
        <v>180</v>
      </c>
      <c r="H366" s="57">
        <f t="shared" si="67"/>
        <v>0</v>
      </c>
      <c r="I366" s="102">
        <f>IF(VLOOKUP($P366,线下模式!$A$3:$X$22,5,FALSE)="","",VLOOKUP($P366,线下模式!$A$3:$X$22,6,FALSE))</f>
        <v>33</v>
      </c>
      <c r="J366" s="102">
        <f>IF(VLOOKUP($P366,线下模式!$A$3:$X$22,5,FALSE)="","",VLOOKUP($P366,线下模式!$A$3:$X$22,7,FALSE))</f>
        <v>0.75</v>
      </c>
      <c r="K366" s="102">
        <f t="shared" si="68"/>
        <v>1</v>
      </c>
      <c r="L366" s="102" t="str">
        <f>IF(VLOOKUP($P366,线下模式!$A$3:$X$22,5,FALSE)="","","Monster_Offline_"&amp;P366&amp;"_1")</f>
        <v>Monster_Offline_16_1</v>
      </c>
      <c r="M366" s="57">
        <f t="shared" si="69"/>
        <v>1</v>
      </c>
      <c r="O366" s="102">
        <f>IF(VLOOKUP($P366,线下模式!$A$3:$X$22,5,FALSE)="","",VLOOKUP($P366,线下模式!$A$3:$X$22,9,FALSE))</f>
        <v>18</v>
      </c>
      <c r="P366" s="110">
        <f t="shared" si="70"/>
        <v>16</v>
      </c>
      <c r="Q366" s="110">
        <v>1</v>
      </c>
    </row>
    <row r="367" spans="2:17" x14ac:dyDescent="0.2">
      <c r="D367" s="57" t="str">
        <f t="shared" si="71"/>
        <v/>
      </c>
      <c r="F367" s="57" t="str">
        <f t="shared" si="65"/>
        <v/>
      </c>
      <c r="G367" s="102" t="str">
        <f t="shared" si="66"/>
        <v/>
      </c>
      <c r="H367" s="57">
        <f t="shared" si="67"/>
        <v>0</v>
      </c>
      <c r="I367" s="102">
        <f>IF(VLOOKUP($P367,线下模式!$A$3:$X$22,10,FALSE)="","",VLOOKUP($P367,线下模式!$A$3:$X$22,11,FALSE))</f>
        <v>8</v>
      </c>
      <c r="J367" s="102">
        <f>IF(VLOOKUP($P367,线下模式!$A$3:$X$22,10,FALSE)="","",VLOOKUP($P367,线下模式!$A$3:$X$22,12,FALSE))</f>
        <v>3</v>
      </c>
      <c r="K367" s="102">
        <f t="shared" si="68"/>
        <v>1</v>
      </c>
      <c r="L367" s="102" t="str">
        <f>IF(VLOOKUP($P367,线下模式!$A$3:$X$22,10,FALSE)="","","Monster_Offline_"&amp;P367&amp;"_2")</f>
        <v>Monster_Offline_16_2</v>
      </c>
      <c r="M367" s="57">
        <f t="shared" si="69"/>
        <v>1</v>
      </c>
      <c r="O367" s="102">
        <f>IF(VLOOKUP($P367,线下模式!$A$3:$X$22,10,FALSE)="","",VLOOKUP($P367,线下模式!$A$3:$X$22,14,FALSE))</f>
        <v>18</v>
      </c>
      <c r="P367" s="110">
        <f t="shared" si="70"/>
        <v>16</v>
      </c>
      <c r="Q367" s="110">
        <v>2</v>
      </c>
    </row>
    <row r="368" spans="2:17" x14ac:dyDescent="0.2">
      <c r="D368" s="57" t="str">
        <f t="shared" si="71"/>
        <v/>
      </c>
      <c r="F368" s="57" t="str">
        <f t="shared" si="65"/>
        <v/>
      </c>
      <c r="G368" s="102" t="str">
        <f t="shared" si="66"/>
        <v/>
      </c>
      <c r="H368" s="57" t="str">
        <f t="shared" si="67"/>
        <v/>
      </c>
      <c r="I368" s="102" t="str">
        <f>IF(VLOOKUP($P368,线下模式!$A$3:$X$22,15,FALSE)="","",VLOOKUP(P368,线下模式!$A$3:$X$22,16,FALSE))</f>
        <v/>
      </c>
      <c r="J368" s="102" t="str">
        <f>IF(VLOOKUP($P368,线下模式!$A$3:$X$22,15,FALSE)="","",VLOOKUP($P368,线下模式!$A$3:$X$22,17,FALSE))</f>
        <v/>
      </c>
      <c r="K368" s="102" t="str">
        <f t="shared" si="68"/>
        <v/>
      </c>
      <c r="L368" s="102" t="str">
        <f>IF(VLOOKUP($P368,线下模式!$A$3:$X$22,15,FALSE)="","","Monster_Offline_"&amp;P368&amp;"_3")</f>
        <v/>
      </c>
      <c r="M368" s="57" t="str">
        <f t="shared" si="69"/>
        <v/>
      </c>
      <c r="O368" s="102" t="str">
        <f>IF(VLOOKUP($P368,线下模式!$A$3:$X$22,15,FALSE)="","",VLOOKUP($P368,线下模式!$A$3:$X$22,19,FALSE))</f>
        <v/>
      </c>
      <c r="P368" s="110">
        <f t="shared" si="70"/>
        <v>16</v>
      </c>
      <c r="Q368" s="110">
        <v>3</v>
      </c>
    </row>
    <row r="369" spans="2:17" x14ac:dyDescent="0.2">
      <c r="D369" s="57" t="str">
        <f t="shared" si="71"/>
        <v/>
      </c>
      <c r="F369" s="57" t="str">
        <f t="shared" si="65"/>
        <v/>
      </c>
      <c r="G369" s="102" t="str">
        <f t="shared" si="66"/>
        <v/>
      </c>
      <c r="H369" s="57" t="str">
        <f t="shared" si="67"/>
        <v/>
      </c>
      <c r="I369" s="102" t="str">
        <f>IF(VLOOKUP($P369,线下模式!$A$3:$X$22,20,FALSE)="","",VLOOKUP($P369,线下模式!$A$3:$X$22,21,FALSE))</f>
        <v/>
      </c>
      <c r="J369" s="102" t="str">
        <f>IF(VLOOKUP($P369,线下模式!$A$3:$X$22,20,FALSE)="","",VLOOKUP($P369,线下模式!$A$3:$X$22,22,FALSE))</f>
        <v/>
      </c>
      <c r="K369" s="102" t="str">
        <f t="shared" si="68"/>
        <v/>
      </c>
      <c r="L369" s="102" t="str">
        <f>IF(VLOOKUP($P369,线下模式!$A$3:$X$22,20,FALSE)="","","Monster_Offline_"&amp;P369&amp;"_4")</f>
        <v/>
      </c>
      <c r="M369" s="57" t="str">
        <f t="shared" si="69"/>
        <v/>
      </c>
      <c r="O369" s="102" t="str">
        <f>IF(VLOOKUP($P369,线下模式!$A$3:$X$22,20,FALSE)="","",VLOOKUP($P369,线下模式!$A$3:$X$22,24,FALSE))</f>
        <v/>
      </c>
      <c r="P369" s="110">
        <f t="shared" si="70"/>
        <v>16</v>
      </c>
      <c r="Q369" s="110">
        <v>4</v>
      </c>
    </row>
    <row r="370" spans="2:17" x14ac:dyDescent="0.2">
      <c r="B370" s="57" t="s">
        <v>1807</v>
      </c>
      <c r="C370" s="57">
        <v>17</v>
      </c>
      <c r="D370" s="57" t="str">
        <f t="shared" ref="D370:D385" si="72">IF(C370="","","线下模式第"&amp;C370&amp;"波")</f>
        <v>线下模式第17波</v>
      </c>
      <c r="F370" s="57">
        <f t="shared" si="65"/>
        <v>0</v>
      </c>
      <c r="G370" s="102">
        <f t="shared" si="66"/>
        <v>180</v>
      </c>
      <c r="H370" s="57">
        <f t="shared" si="67"/>
        <v>0</v>
      </c>
      <c r="I370" s="102">
        <f>IF(VLOOKUP($P370,线下模式!$A$3:$X$22,5,FALSE)="","",VLOOKUP($P370,线下模式!$A$3:$X$22,6,FALSE))</f>
        <v>17</v>
      </c>
      <c r="J370" s="102">
        <f>IF(VLOOKUP($P370,线下模式!$A$3:$X$22,5,FALSE)="","",VLOOKUP($P370,线下模式!$A$3:$X$22,7,FALSE))</f>
        <v>1.5</v>
      </c>
      <c r="K370" s="102">
        <f t="shared" si="68"/>
        <v>1</v>
      </c>
      <c r="L370" s="102" t="str">
        <f>IF(VLOOKUP($P370,线下模式!$A$3:$X$22,5,FALSE)="","","Monster_Offline_"&amp;P370&amp;"_1")</f>
        <v>Monster_Offline_17_1</v>
      </c>
      <c r="M370" s="57">
        <f t="shared" si="69"/>
        <v>1</v>
      </c>
      <c r="O370" s="102">
        <f>IF(VLOOKUP($P370,线下模式!$A$3:$X$22,5,FALSE)="","",VLOOKUP($P370,线下模式!$A$3:$X$22,9,FALSE))</f>
        <v>21</v>
      </c>
      <c r="P370" s="110">
        <f t="shared" si="70"/>
        <v>17</v>
      </c>
      <c r="Q370" s="110">
        <v>1</v>
      </c>
    </row>
    <row r="371" spans="2:17" x14ac:dyDescent="0.2">
      <c r="D371" s="57" t="str">
        <f t="shared" si="72"/>
        <v/>
      </c>
      <c r="F371" s="57" t="str">
        <f t="shared" ref="F371:F385" si="73">IF(C371="","",0)</f>
        <v/>
      </c>
      <c r="G371" s="102" t="str">
        <f t="shared" ref="G371:G385" si="74">IF(C371="","",180)</f>
        <v/>
      </c>
      <c r="H371" s="57">
        <f t="shared" ref="H371:H385" si="75">IF(I371="","",0)</f>
        <v>0</v>
      </c>
      <c r="I371" s="102">
        <f>IF(VLOOKUP($P371,线下模式!$A$3:$X$22,10,FALSE)="","",VLOOKUP($P371,线下模式!$A$3:$X$22,11,FALSE))</f>
        <v>35</v>
      </c>
      <c r="J371" s="102">
        <f>IF(VLOOKUP($P371,线下模式!$A$3:$X$22,10,FALSE)="","",VLOOKUP($P371,线下模式!$A$3:$X$22,12,FALSE))</f>
        <v>0.75</v>
      </c>
      <c r="K371" s="102">
        <f t="shared" ref="K371:K385" si="76">IF(I371="","",1)</f>
        <v>1</v>
      </c>
      <c r="L371" s="102" t="str">
        <f>IF(VLOOKUP($P371,线下模式!$A$3:$X$22,10,FALSE)="","","Monster_Offline_"&amp;P371&amp;"_2")</f>
        <v>Monster_Offline_17_2</v>
      </c>
      <c r="M371" s="57">
        <f t="shared" ref="M371:M385" si="77">IF(I371="","",1)</f>
        <v>1</v>
      </c>
      <c r="O371" s="102">
        <f>IF(VLOOKUP($P371,线下模式!$A$3:$X$22,10,FALSE)="","",VLOOKUP($P371,线下模式!$A$3:$X$22,14,FALSE))</f>
        <v>10</v>
      </c>
      <c r="P371" s="110">
        <f t="shared" ref="P371:P385" si="78">IF(C371="",P370,C371)</f>
        <v>17</v>
      </c>
      <c r="Q371" s="110">
        <v>2</v>
      </c>
    </row>
    <row r="372" spans="2:17" x14ac:dyDescent="0.2">
      <c r="D372" s="57" t="str">
        <f t="shared" si="72"/>
        <v/>
      </c>
      <c r="F372" s="57" t="str">
        <f t="shared" si="73"/>
        <v/>
      </c>
      <c r="G372" s="102" t="str">
        <f t="shared" si="74"/>
        <v/>
      </c>
      <c r="H372" s="57" t="str">
        <f t="shared" si="75"/>
        <v/>
      </c>
      <c r="I372" s="102" t="str">
        <f>IF(VLOOKUP($P372,线下模式!$A$3:$X$22,15,FALSE)="","",VLOOKUP(P372,线下模式!$A$3:$X$22,16,FALSE))</f>
        <v/>
      </c>
      <c r="J372" s="102" t="str">
        <f>IF(VLOOKUP($P372,线下模式!$A$3:$X$22,15,FALSE)="","",VLOOKUP($P372,线下模式!$A$3:$X$22,17,FALSE))</f>
        <v/>
      </c>
      <c r="K372" s="102" t="str">
        <f t="shared" si="76"/>
        <v/>
      </c>
      <c r="L372" s="102" t="str">
        <f>IF(VLOOKUP($P372,线下模式!$A$3:$X$22,15,FALSE)="","","Monster_Offline_"&amp;P372&amp;"_3")</f>
        <v/>
      </c>
      <c r="M372" s="57" t="str">
        <f t="shared" si="77"/>
        <v/>
      </c>
      <c r="O372" s="102" t="str">
        <f>IF(VLOOKUP($P372,线下模式!$A$3:$X$22,15,FALSE)="","",VLOOKUP($P372,线下模式!$A$3:$X$22,19,FALSE))</f>
        <v/>
      </c>
      <c r="P372" s="110">
        <f t="shared" si="78"/>
        <v>17</v>
      </c>
      <c r="Q372" s="110">
        <v>3</v>
      </c>
    </row>
    <row r="373" spans="2:17" x14ac:dyDescent="0.2">
      <c r="D373" s="57" t="str">
        <f t="shared" si="72"/>
        <v/>
      </c>
      <c r="F373" s="57" t="str">
        <f t="shared" si="73"/>
        <v/>
      </c>
      <c r="G373" s="102" t="str">
        <f t="shared" si="74"/>
        <v/>
      </c>
      <c r="H373" s="57" t="str">
        <f t="shared" si="75"/>
        <v/>
      </c>
      <c r="I373" s="102" t="str">
        <f>IF(VLOOKUP($P373,线下模式!$A$3:$X$22,20,FALSE)="","",VLOOKUP($P373,线下模式!$A$3:$X$22,21,FALSE))</f>
        <v/>
      </c>
      <c r="J373" s="102" t="str">
        <f>IF(VLOOKUP($P373,线下模式!$A$3:$X$22,20,FALSE)="","",VLOOKUP($P373,线下模式!$A$3:$X$22,22,FALSE))</f>
        <v/>
      </c>
      <c r="K373" s="102" t="str">
        <f t="shared" si="76"/>
        <v/>
      </c>
      <c r="L373" s="102" t="str">
        <f>IF(VLOOKUP($P373,线下模式!$A$3:$X$22,20,FALSE)="","","Monster_Offline_"&amp;P373&amp;"_4")</f>
        <v/>
      </c>
      <c r="M373" s="57" t="str">
        <f t="shared" si="77"/>
        <v/>
      </c>
      <c r="O373" s="102" t="str">
        <f>IF(VLOOKUP($P373,线下模式!$A$3:$X$22,20,FALSE)="","",VLOOKUP($P373,线下模式!$A$3:$X$22,24,FALSE))</f>
        <v/>
      </c>
      <c r="P373" s="110">
        <f t="shared" si="78"/>
        <v>17</v>
      </c>
      <c r="Q373" s="110">
        <v>4</v>
      </c>
    </row>
    <row r="374" spans="2:17" x14ac:dyDescent="0.2">
      <c r="B374" s="57" t="s">
        <v>1807</v>
      </c>
      <c r="C374" s="57">
        <v>18</v>
      </c>
      <c r="D374" s="57" t="str">
        <f t="shared" si="72"/>
        <v>线下模式第18波</v>
      </c>
      <c r="F374" s="57">
        <f t="shared" si="73"/>
        <v>0</v>
      </c>
      <c r="G374" s="102">
        <f t="shared" si="74"/>
        <v>180</v>
      </c>
      <c r="H374" s="57">
        <f t="shared" si="75"/>
        <v>0</v>
      </c>
      <c r="I374" s="102">
        <f>IF(VLOOKUP($P374,线下模式!$A$3:$X$22,5,FALSE)="","",VLOOKUP($P374,线下模式!$A$3:$X$22,6,FALSE))</f>
        <v>18</v>
      </c>
      <c r="J374" s="102">
        <f>IF(VLOOKUP($P374,线下模式!$A$3:$X$22,5,FALSE)="","",VLOOKUP($P374,线下模式!$A$3:$X$22,7,FALSE))</f>
        <v>1.5</v>
      </c>
      <c r="K374" s="102">
        <f t="shared" si="76"/>
        <v>1</v>
      </c>
      <c r="L374" s="102" t="str">
        <f>IF(VLOOKUP($P374,线下模式!$A$3:$X$22,5,FALSE)="","","Monster_Offline_"&amp;P374&amp;"_1")</f>
        <v>Monster_Offline_18_1</v>
      </c>
      <c r="M374" s="57">
        <f t="shared" si="77"/>
        <v>1</v>
      </c>
      <c r="O374" s="102">
        <f>IF(VLOOKUP($P374,线下模式!$A$3:$X$22,5,FALSE)="","",VLOOKUP($P374,线下模式!$A$3:$X$22,9,FALSE))</f>
        <v>14</v>
      </c>
      <c r="P374" s="110">
        <f t="shared" si="78"/>
        <v>18</v>
      </c>
      <c r="Q374" s="110">
        <v>1</v>
      </c>
    </row>
    <row r="375" spans="2:17" x14ac:dyDescent="0.2">
      <c r="D375" s="57" t="str">
        <f t="shared" si="72"/>
        <v/>
      </c>
      <c r="F375" s="57" t="str">
        <f t="shared" si="73"/>
        <v/>
      </c>
      <c r="G375" s="102" t="str">
        <f t="shared" si="74"/>
        <v/>
      </c>
      <c r="H375" s="57">
        <f t="shared" si="75"/>
        <v>0</v>
      </c>
      <c r="I375" s="102">
        <f>IF(VLOOKUP($P375,线下模式!$A$3:$X$22,10,FALSE)="","",VLOOKUP($P375,线下模式!$A$3:$X$22,11,FALSE))</f>
        <v>36</v>
      </c>
      <c r="J375" s="102">
        <f>IF(VLOOKUP($P375,线下模式!$A$3:$X$22,10,FALSE)="","",VLOOKUP($P375,线下模式!$A$3:$X$22,12,FALSE))</f>
        <v>0.75</v>
      </c>
      <c r="K375" s="102">
        <f t="shared" si="76"/>
        <v>1</v>
      </c>
      <c r="L375" s="102" t="str">
        <f>IF(VLOOKUP($P375,线下模式!$A$3:$X$22,10,FALSE)="","","Monster_Offline_"&amp;P375&amp;"_2")</f>
        <v>Monster_Offline_18_2</v>
      </c>
      <c r="M375" s="57">
        <f t="shared" si="77"/>
        <v>1</v>
      </c>
      <c r="O375" s="102">
        <f>IF(VLOOKUP($P375,线下模式!$A$3:$X$22,10,FALSE)="","",VLOOKUP($P375,线下模式!$A$3:$X$22,14,FALSE))</f>
        <v>7</v>
      </c>
      <c r="P375" s="110">
        <f t="shared" si="78"/>
        <v>18</v>
      </c>
      <c r="Q375" s="110">
        <v>2</v>
      </c>
    </row>
    <row r="376" spans="2:17" x14ac:dyDescent="0.2">
      <c r="D376" s="57" t="str">
        <f t="shared" si="72"/>
        <v/>
      </c>
      <c r="F376" s="57" t="str">
        <f t="shared" si="73"/>
        <v/>
      </c>
      <c r="G376" s="102" t="str">
        <f t="shared" si="74"/>
        <v/>
      </c>
      <c r="H376" s="57">
        <f t="shared" si="75"/>
        <v>0</v>
      </c>
      <c r="I376" s="102">
        <f>IF(VLOOKUP($P376,线下模式!$A$3:$X$22,15,FALSE)="","",VLOOKUP(P376,线下模式!$A$3:$X$22,16,FALSE))</f>
        <v>14</v>
      </c>
      <c r="J376" s="102">
        <f>IF(VLOOKUP($P376,线下模式!$A$3:$X$22,15,FALSE)="","",VLOOKUP($P376,线下模式!$A$3:$X$22,17,FALSE))</f>
        <v>2</v>
      </c>
      <c r="K376" s="102">
        <f t="shared" si="76"/>
        <v>1</v>
      </c>
      <c r="L376" s="102" t="str">
        <f>IF(VLOOKUP($P376,线下模式!$A$3:$X$22,15,FALSE)="","","Monster_Offline_"&amp;P376&amp;"_3")</f>
        <v>Monster_Offline_18_3</v>
      </c>
      <c r="M376" s="57">
        <f t="shared" si="77"/>
        <v>1</v>
      </c>
      <c r="O376" s="102">
        <f>IF(VLOOKUP($P376,线下模式!$A$3:$X$22,15,FALSE)="","",VLOOKUP($P376,线下模式!$A$3:$X$22,19,FALSE))</f>
        <v>14</v>
      </c>
      <c r="P376" s="110">
        <f t="shared" si="78"/>
        <v>18</v>
      </c>
      <c r="Q376" s="110">
        <v>3</v>
      </c>
    </row>
    <row r="377" spans="2:17" x14ac:dyDescent="0.2">
      <c r="D377" s="57" t="str">
        <f t="shared" si="72"/>
        <v/>
      </c>
      <c r="F377" s="57" t="str">
        <f t="shared" si="73"/>
        <v/>
      </c>
      <c r="G377" s="102" t="str">
        <f t="shared" si="74"/>
        <v/>
      </c>
      <c r="H377" s="57" t="str">
        <f t="shared" si="75"/>
        <v/>
      </c>
      <c r="I377" s="102" t="str">
        <f>IF(VLOOKUP($P377,线下模式!$A$3:$X$22,20,FALSE)="","",VLOOKUP($P377,线下模式!$A$3:$X$22,21,FALSE))</f>
        <v/>
      </c>
      <c r="J377" s="102" t="str">
        <f>IF(VLOOKUP($P377,线下模式!$A$3:$X$22,20,FALSE)="","",VLOOKUP($P377,线下模式!$A$3:$X$22,22,FALSE))</f>
        <v/>
      </c>
      <c r="K377" s="102" t="str">
        <f t="shared" si="76"/>
        <v/>
      </c>
      <c r="L377" s="102" t="str">
        <f>IF(VLOOKUP($P377,线下模式!$A$3:$X$22,20,FALSE)="","","Monster_Offline_"&amp;P377&amp;"_4")</f>
        <v/>
      </c>
      <c r="M377" s="57" t="str">
        <f t="shared" si="77"/>
        <v/>
      </c>
      <c r="O377" s="102" t="str">
        <f>IF(VLOOKUP($P377,线下模式!$A$3:$X$22,20,FALSE)="","",VLOOKUP($P377,线下模式!$A$3:$X$22,24,FALSE))</f>
        <v/>
      </c>
      <c r="P377" s="110">
        <f t="shared" si="78"/>
        <v>18</v>
      </c>
      <c r="Q377" s="110">
        <v>4</v>
      </c>
    </row>
    <row r="378" spans="2:17" x14ac:dyDescent="0.2">
      <c r="B378" s="57" t="s">
        <v>1807</v>
      </c>
      <c r="C378" s="57">
        <v>19</v>
      </c>
      <c r="D378" s="57" t="str">
        <f t="shared" si="72"/>
        <v>线下模式第19波</v>
      </c>
      <c r="F378" s="57">
        <f t="shared" si="73"/>
        <v>0</v>
      </c>
      <c r="G378" s="102">
        <f t="shared" si="74"/>
        <v>180</v>
      </c>
      <c r="H378" s="57">
        <f t="shared" si="75"/>
        <v>0</v>
      </c>
      <c r="I378" s="102">
        <f>IF(VLOOKUP($P378,线下模式!$A$3:$X$22,5,FALSE)="","",VLOOKUP($P378,线下模式!$A$3:$X$22,6,FALSE))</f>
        <v>19</v>
      </c>
      <c r="J378" s="102">
        <f>IF(VLOOKUP($P378,线下模式!$A$3:$X$22,5,FALSE)="","",VLOOKUP($P378,线下模式!$A$3:$X$22,7,FALSE))</f>
        <v>1.5</v>
      </c>
      <c r="K378" s="102">
        <f t="shared" si="76"/>
        <v>1</v>
      </c>
      <c r="L378" s="102" t="str">
        <f>IF(VLOOKUP($P378,线下模式!$A$3:$X$22,5,FALSE)="","","Monster_Offline_"&amp;P378&amp;"_1")</f>
        <v>Monster_Offline_19_1</v>
      </c>
      <c r="M378" s="57">
        <f t="shared" si="77"/>
        <v>1</v>
      </c>
      <c r="O378" s="102">
        <f>IF(VLOOKUP($P378,线下模式!$A$3:$X$22,5,FALSE)="","",VLOOKUP($P378,线下模式!$A$3:$X$22,9,FALSE))</f>
        <v>11</v>
      </c>
      <c r="P378" s="110">
        <f t="shared" si="78"/>
        <v>19</v>
      </c>
      <c r="Q378" s="110">
        <v>1</v>
      </c>
    </row>
    <row r="379" spans="2:17" x14ac:dyDescent="0.2">
      <c r="D379" s="57" t="str">
        <f t="shared" si="72"/>
        <v/>
      </c>
      <c r="F379" s="57" t="str">
        <f t="shared" si="73"/>
        <v/>
      </c>
      <c r="G379" s="102" t="str">
        <f t="shared" si="74"/>
        <v/>
      </c>
      <c r="H379" s="57">
        <f t="shared" si="75"/>
        <v>0</v>
      </c>
      <c r="I379" s="102">
        <f>IF(VLOOKUP($P379,线下模式!$A$3:$X$22,10,FALSE)="","",VLOOKUP($P379,线下模式!$A$3:$X$22,11,FALSE))</f>
        <v>37</v>
      </c>
      <c r="J379" s="102">
        <f>IF(VLOOKUP($P379,线下模式!$A$3:$X$22,10,FALSE)="","",VLOOKUP($P379,线下模式!$A$3:$X$22,12,FALSE))</f>
        <v>0.75</v>
      </c>
      <c r="K379" s="102">
        <f t="shared" si="76"/>
        <v>1</v>
      </c>
      <c r="L379" s="102" t="str">
        <f>IF(VLOOKUP($P379,线下模式!$A$3:$X$22,10,FALSE)="","","Monster_Offline_"&amp;P379&amp;"_2")</f>
        <v>Monster_Offline_19_2</v>
      </c>
      <c r="M379" s="57">
        <f t="shared" si="77"/>
        <v>1</v>
      </c>
      <c r="O379" s="102">
        <f>IF(VLOOKUP($P379,线下模式!$A$3:$X$22,10,FALSE)="","",VLOOKUP($P379,线下模式!$A$3:$X$22,14,FALSE))</f>
        <v>5</v>
      </c>
      <c r="P379" s="110">
        <f t="shared" si="78"/>
        <v>19</v>
      </c>
      <c r="Q379" s="110">
        <v>2</v>
      </c>
    </row>
    <row r="380" spans="2:17" x14ac:dyDescent="0.2">
      <c r="D380" s="57" t="str">
        <f t="shared" si="72"/>
        <v/>
      </c>
      <c r="F380" s="57" t="str">
        <f t="shared" si="73"/>
        <v/>
      </c>
      <c r="G380" s="102" t="str">
        <f t="shared" si="74"/>
        <v/>
      </c>
      <c r="H380" s="57">
        <f t="shared" si="75"/>
        <v>0</v>
      </c>
      <c r="I380" s="102">
        <f>IF(VLOOKUP($P380,线下模式!$A$3:$X$22,15,FALSE)="","",VLOOKUP(P380,线下模式!$A$3:$X$22,16,FALSE))</f>
        <v>28</v>
      </c>
      <c r="J380" s="102">
        <f>IF(VLOOKUP($P380,线下模式!$A$3:$X$22,15,FALSE)="","",VLOOKUP($P380,线下模式!$A$3:$X$22,17,FALSE))</f>
        <v>1</v>
      </c>
      <c r="K380" s="102">
        <f t="shared" si="76"/>
        <v>1</v>
      </c>
      <c r="L380" s="102" t="str">
        <f>IF(VLOOKUP($P380,线下模式!$A$3:$X$22,15,FALSE)="","","Monster_Offline_"&amp;P380&amp;"_3")</f>
        <v>Monster_Offline_19_3</v>
      </c>
      <c r="M380" s="57">
        <f t="shared" si="77"/>
        <v>1</v>
      </c>
      <c r="O380" s="102">
        <f>IF(VLOOKUP($P380,线下模式!$A$3:$X$22,15,FALSE)="","",VLOOKUP($P380,线下模式!$A$3:$X$22,19,FALSE))</f>
        <v>11</v>
      </c>
      <c r="P380" s="110">
        <f t="shared" si="78"/>
        <v>19</v>
      </c>
      <c r="Q380" s="110">
        <v>3</v>
      </c>
    </row>
    <row r="381" spans="2:17" x14ac:dyDescent="0.2">
      <c r="D381" s="57" t="str">
        <f t="shared" si="72"/>
        <v/>
      </c>
      <c r="F381" s="57" t="str">
        <f t="shared" si="73"/>
        <v/>
      </c>
      <c r="G381" s="102" t="str">
        <f t="shared" si="74"/>
        <v/>
      </c>
      <c r="H381" s="57" t="str">
        <f t="shared" si="75"/>
        <v/>
      </c>
      <c r="I381" s="102" t="str">
        <f>IF(VLOOKUP($P381,线下模式!$A$3:$X$22,20,FALSE)="","",VLOOKUP($P381,线下模式!$A$3:$X$22,21,FALSE))</f>
        <v/>
      </c>
      <c r="J381" s="102" t="str">
        <f>IF(VLOOKUP($P381,线下模式!$A$3:$X$22,20,FALSE)="","",VLOOKUP($P381,线下模式!$A$3:$X$22,22,FALSE))</f>
        <v/>
      </c>
      <c r="K381" s="102" t="str">
        <f t="shared" si="76"/>
        <v/>
      </c>
      <c r="L381" s="102" t="str">
        <f>IF(VLOOKUP($P381,线下模式!$A$3:$X$22,20,FALSE)="","","Monster_Offline_"&amp;P381&amp;"_4")</f>
        <v/>
      </c>
      <c r="M381" s="57" t="str">
        <f t="shared" si="77"/>
        <v/>
      </c>
      <c r="O381" s="102" t="str">
        <f>IF(VLOOKUP($P381,线下模式!$A$3:$X$22,20,FALSE)="","",VLOOKUP($P381,线下模式!$A$3:$X$22,24,FALSE))</f>
        <v/>
      </c>
      <c r="P381" s="110">
        <f t="shared" si="78"/>
        <v>19</v>
      </c>
      <c r="Q381" s="110">
        <v>4</v>
      </c>
    </row>
    <row r="382" spans="2:17" x14ac:dyDescent="0.2">
      <c r="B382" s="57" t="s">
        <v>1807</v>
      </c>
      <c r="C382" s="57">
        <v>20</v>
      </c>
      <c r="D382" s="57" t="str">
        <f t="shared" si="72"/>
        <v>线下模式第20波</v>
      </c>
      <c r="F382" s="57">
        <f t="shared" si="73"/>
        <v>0</v>
      </c>
      <c r="G382" s="102">
        <f t="shared" si="74"/>
        <v>180</v>
      </c>
      <c r="H382" s="57">
        <f t="shared" si="75"/>
        <v>0</v>
      </c>
      <c r="I382" s="102">
        <f>IF(VLOOKUP($P382,线下模式!$A$3:$X$22,5,FALSE)="","",VLOOKUP($P382,线下模式!$A$3:$X$22,6,FALSE))</f>
        <v>145</v>
      </c>
      <c r="J382" s="102">
        <f>IF(VLOOKUP($P382,线下模式!$A$3:$X$22,5,FALSE)="","",VLOOKUP($P382,线下模式!$A$3:$X$22,7,FALSE))</f>
        <v>0.2</v>
      </c>
      <c r="K382" s="102">
        <f t="shared" si="76"/>
        <v>1</v>
      </c>
      <c r="L382" s="102" t="str">
        <f>IF(VLOOKUP($P382,线下模式!$A$3:$X$22,5,FALSE)="","","Monster_Offline_"&amp;P382&amp;"_1")</f>
        <v>Monster_Offline_20_1</v>
      </c>
      <c r="M382" s="57">
        <f t="shared" si="77"/>
        <v>1</v>
      </c>
      <c r="O382" s="102">
        <f>IF(VLOOKUP($P382,线下模式!$A$3:$X$22,5,FALSE)="","",VLOOKUP($P382,线下模式!$A$3:$X$22,9,FALSE))</f>
        <v>4</v>
      </c>
      <c r="P382" s="110">
        <f t="shared" si="78"/>
        <v>20</v>
      </c>
      <c r="Q382" s="110">
        <v>1</v>
      </c>
    </row>
    <row r="383" spans="2:17" x14ac:dyDescent="0.2">
      <c r="D383" s="57" t="str">
        <f t="shared" si="72"/>
        <v/>
      </c>
      <c r="F383" s="57" t="str">
        <f t="shared" si="73"/>
        <v/>
      </c>
      <c r="G383" s="102" t="str">
        <f t="shared" si="74"/>
        <v/>
      </c>
      <c r="H383" s="57">
        <f t="shared" si="75"/>
        <v>0</v>
      </c>
      <c r="I383" s="102">
        <f>IF(VLOOKUP($P383,线下模式!$A$3:$X$22,10,FALSE)="","",VLOOKUP($P383,线下模式!$A$3:$X$22,11,FALSE))</f>
        <v>1</v>
      </c>
      <c r="J383" s="102">
        <f>IF(VLOOKUP($P383,线下模式!$A$3:$X$22,10,FALSE)="","",VLOOKUP($P383,线下模式!$A$3:$X$22,12,FALSE))</f>
        <v>0</v>
      </c>
      <c r="K383" s="102">
        <f t="shared" si="76"/>
        <v>1</v>
      </c>
      <c r="L383" s="102" t="str">
        <f>IF(VLOOKUP($P383,线下模式!$A$3:$X$22,10,FALSE)="","","Monster_Offline_"&amp;P383&amp;"_2")</f>
        <v>Monster_Offline_20_2</v>
      </c>
      <c r="M383" s="57">
        <f t="shared" si="77"/>
        <v>1</v>
      </c>
      <c r="O383" s="102">
        <f>IF(VLOOKUP($P383,线下模式!$A$3:$X$22,10,FALSE)="","",VLOOKUP($P383,线下模式!$A$3:$X$22,14,FALSE))</f>
        <v>39</v>
      </c>
      <c r="P383" s="110">
        <f t="shared" si="78"/>
        <v>20</v>
      </c>
      <c r="Q383" s="110">
        <v>2</v>
      </c>
    </row>
    <row r="384" spans="2:17" x14ac:dyDescent="0.2">
      <c r="D384" s="57" t="str">
        <f t="shared" si="72"/>
        <v/>
      </c>
      <c r="F384" s="57" t="str">
        <f t="shared" si="73"/>
        <v/>
      </c>
      <c r="G384" s="102" t="str">
        <f t="shared" si="74"/>
        <v/>
      </c>
      <c r="H384" s="57">
        <f t="shared" si="75"/>
        <v>0</v>
      </c>
      <c r="I384" s="102">
        <f>IF(VLOOKUP($P384,线下模式!$A$3:$X$22,15,FALSE)="","",VLOOKUP(P384,线下模式!$A$3:$X$22,16,FALSE))</f>
        <v>29</v>
      </c>
      <c r="J384" s="102">
        <f>IF(VLOOKUP($P384,线下模式!$A$3:$X$22,15,FALSE)="","",VLOOKUP($P384,线下模式!$A$3:$X$22,17,FALSE))</f>
        <v>1</v>
      </c>
      <c r="K384" s="102">
        <f t="shared" si="76"/>
        <v>1</v>
      </c>
      <c r="L384" s="102" t="str">
        <f>IF(VLOOKUP($P384,线下模式!$A$3:$X$22,15,FALSE)="","","Monster_Offline_"&amp;P384&amp;"_3")</f>
        <v>Monster_Offline_20_3</v>
      </c>
      <c r="M384" s="57">
        <f t="shared" si="77"/>
        <v>1</v>
      </c>
      <c r="O384" s="102">
        <f>IF(VLOOKUP($P384,线下模式!$A$3:$X$22,15,FALSE)="","",VLOOKUP($P384,线下模式!$A$3:$X$22,19,FALSE))</f>
        <v>4</v>
      </c>
      <c r="P384" s="110">
        <f t="shared" si="78"/>
        <v>20</v>
      </c>
      <c r="Q384" s="110">
        <v>3</v>
      </c>
    </row>
    <row r="385" spans="4:17" x14ac:dyDescent="0.2">
      <c r="D385" s="57" t="str">
        <f t="shared" si="72"/>
        <v/>
      </c>
      <c r="F385" s="57" t="str">
        <f t="shared" si="73"/>
        <v/>
      </c>
      <c r="G385" s="102" t="str">
        <f t="shared" si="74"/>
        <v/>
      </c>
      <c r="H385" s="57" t="str">
        <f t="shared" si="75"/>
        <v/>
      </c>
      <c r="I385" s="102" t="str">
        <f>IF(VLOOKUP($P385,线下模式!$A$3:$X$22,20,FALSE)="","",VLOOKUP($P385,线下模式!$A$3:$X$22,21,FALSE))</f>
        <v/>
      </c>
      <c r="J385" s="102" t="str">
        <f>IF(VLOOKUP($P385,线下模式!$A$3:$X$22,20,FALSE)="","",VLOOKUP($P385,线下模式!$A$3:$X$22,22,FALSE))</f>
        <v/>
      </c>
      <c r="K385" s="102" t="str">
        <f t="shared" si="76"/>
        <v/>
      </c>
      <c r="L385" s="102" t="str">
        <f>IF(VLOOKUP($P385,线下模式!$A$3:$X$22,20,FALSE)="","","Monster_Offline_"&amp;P385&amp;"_4")</f>
        <v/>
      </c>
      <c r="M385" s="57" t="str">
        <f t="shared" si="77"/>
        <v/>
      </c>
      <c r="O385" s="102" t="str">
        <f>IF(VLOOKUP($P385,线下模式!$A$3:$X$22,20,FALSE)="","",VLOOKUP($P385,线下模式!$A$3:$X$22,24,FALSE))</f>
        <v/>
      </c>
      <c r="P385" s="110">
        <f t="shared" si="78"/>
        <v>20</v>
      </c>
      <c r="Q385" s="110">
        <v>4</v>
      </c>
    </row>
  </sheetData>
  <mergeCells count="2">
    <mergeCell ref="H1:O1"/>
    <mergeCell ref="H4:O4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EA20-1C7A-475A-A102-F5666DB18962}">
  <dimension ref="A1:AG223"/>
  <sheetViews>
    <sheetView workbookViewId="0">
      <pane xSplit="2" ySplit="5" topLeftCell="C191" activePane="bottomRight" state="frozen"/>
      <selection pane="topRight" activeCell="C1" sqref="C1"/>
      <selection pane="bottomLeft" activeCell="A6" sqref="A6"/>
      <selection pane="bottomRight" activeCell="P182" sqref="P182:P223"/>
    </sheetView>
  </sheetViews>
  <sheetFormatPr defaultColWidth="9" defaultRowHeight="14.25" x14ac:dyDescent="0.2"/>
  <cols>
    <col min="1" max="1" width="5.875" customWidth="1"/>
    <col min="2" max="2" width="23.875" customWidth="1"/>
    <col min="3" max="3" width="16.5" customWidth="1"/>
    <col min="4" max="4" width="15.125" customWidth="1"/>
    <col min="5" max="7" width="8.75" customWidth="1"/>
    <col min="8" max="11" width="12.875" customWidth="1"/>
    <col min="12" max="12" width="21.5" customWidth="1"/>
    <col min="13" max="15" width="10.125" customWidth="1"/>
    <col min="16" max="16" width="35.375" bestFit="1" customWidth="1"/>
    <col min="17" max="19" width="4.75" customWidth="1"/>
  </cols>
  <sheetData>
    <row r="1" spans="1:33" s="43" customFormat="1" x14ac:dyDescent="0.2">
      <c r="A1" s="45" t="s">
        <v>67</v>
      </c>
      <c r="B1" s="45" t="s">
        <v>68</v>
      </c>
      <c r="C1" s="91"/>
      <c r="D1" s="45" t="s">
        <v>512</v>
      </c>
      <c r="E1" s="45" t="s">
        <v>513</v>
      </c>
      <c r="F1" s="45" t="s">
        <v>514</v>
      </c>
      <c r="G1" s="45" t="s">
        <v>515</v>
      </c>
      <c r="H1" s="45" t="s">
        <v>516</v>
      </c>
      <c r="I1" s="45" t="s">
        <v>517</v>
      </c>
      <c r="J1" s="45" t="s">
        <v>518</v>
      </c>
      <c r="K1" s="45" t="s">
        <v>519</v>
      </c>
      <c r="L1" s="45" t="s">
        <v>180</v>
      </c>
      <c r="M1" s="45" t="s">
        <v>520</v>
      </c>
      <c r="N1" s="45" t="s">
        <v>521</v>
      </c>
      <c r="O1" s="45" t="s">
        <v>522</v>
      </c>
      <c r="P1" s="45" t="s">
        <v>523</v>
      </c>
      <c r="Q1" s="45"/>
      <c r="R1" s="45"/>
      <c r="S1" s="45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1:33" s="43" customFormat="1" x14ac:dyDescent="0.2">
      <c r="A2" s="45" t="s">
        <v>67</v>
      </c>
      <c r="B2" s="45"/>
      <c r="C2" s="91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/>
      <c r="U2"/>
      <c r="V2"/>
      <c r="W2"/>
      <c r="X2"/>
      <c r="Y2"/>
      <c r="Z2"/>
      <c r="AA2"/>
      <c r="AB2"/>
      <c r="AC2"/>
      <c r="AD2"/>
      <c r="AE2"/>
      <c r="AF2"/>
      <c r="AG2"/>
    </row>
    <row r="3" spans="1:33" s="44" customFormat="1" x14ac:dyDescent="0.2">
      <c r="A3" s="46" t="s">
        <v>71</v>
      </c>
      <c r="B3" s="46" t="s">
        <v>72</v>
      </c>
      <c r="C3" s="92"/>
      <c r="D3" s="46" t="s">
        <v>524</v>
      </c>
      <c r="E3" s="46" t="s">
        <v>74</v>
      </c>
      <c r="F3" s="46" t="s">
        <v>74</v>
      </c>
      <c r="G3" s="46" t="s">
        <v>360</v>
      </c>
      <c r="H3" s="46" t="s">
        <v>74</v>
      </c>
      <c r="I3" s="46" t="s">
        <v>74</v>
      </c>
      <c r="J3" s="46" t="s">
        <v>74</v>
      </c>
      <c r="K3" s="46" t="s">
        <v>74</v>
      </c>
      <c r="L3" s="81" t="s">
        <v>525</v>
      </c>
      <c r="M3" s="46" t="s">
        <v>526</v>
      </c>
      <c r="N3" s="46" t="s">
        <v>102</v>
      </c>
      <c r="O3" s="46" t="s">
        <v>102</v>
      </c>
      <c r="P3" s="46" t="s">
        <v>527</v>
      </c>
      <c r="Q3" s="46"/>
      <c r="R3" s="46"/>
      <c r="S3" s="46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s="44" customFormat="1" x14ac:dyDescent="0.2">
      <c r="A4" s="46" t="s">
        <v>75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s="43" customFormat="1" x14ac:dyDescent="0.2">
      <c r="A5" s="45" t="s">
        <v>77</v>
      </c>
      <c r="B5" s="45" t="s">
        <v>78</v>
      </c>
      <c r="C5" s="45" t="s">
        <v>79</v>
      </c>
      <c r="D5" s="45" t="s">
        <v>454</v>
      </c>
      <c r="E5" s="45" t="s">
        <v>455</v>
      </c>
      <c r="F5" s="45" t="s">
        <v>456</v>
      </c>
      <c r="G5" s="45" t="s">
        <v>457</v>
      </c>
      <c r="H5" s="45" t="s">
        <v>458</v>
      </c>
      <c r="I5" s="45" t="s">
        <v>459</v>
      </c>
      <c r="J5" s="45" t="s">
        <v>460</v>
      </c>
      <c r="K5" s="45" t="s">
        <v>461</v>
      </c>
      <c r="L5" s="45" t="s">
        <v>462</v>
      </c>
      <c r="M5" s="45" t="s">
        <v>463</v>
      </c>
      <c r="N5" s="45" t="s">
        <v>464</v>
      </c>
      <c r="O5" s="45" t="s">
        <v>465</v>
      </c>
      <c r="P5" s="45" t="s">
        <v>466</v>
      </c>
      <c r="Q5" s="45" t="s">
        <v>453</v>
      </c>
      <c r="R5" s="45" t="s">
        <v>453</v>
      </c>
      <c r="S5" s="45" t="s">
        <v>453</v>
      </c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">
      <c r="B6" t="s">
        <v>1413</v>
      </c>
      <c r="C6" t="s">
        <v>1422</v>
      </c>
      <c r="D6" s="55" t="str">
        <f>VLOOKUP(VLOOKUP(Q6,'⚪设计'!$A$115:$G$117,3+UnitCfg!R6,FALSE),'⚪设计'!$B$85:$C$101,2,FALSE)</f>
        <v>ResUnit_MiFeng1</v>
      </c>
      <c r="E6" s="55">
        <f>VLOOKUP(D6,'⚪设计'!$C$85:$G$101,5,FALSE)*VLOOKUP(UnitCfg!Q6,新手关卡!$A$3:$C$22,3,FALSE)</f>
        <v>3</v>
      </c>
      <c r="F6">
        <v>400</v>
      </c>
      <c r="G6" t="b">
        <v>1</v>
      </c>
      <c r="H6">
        <v>1</v>
      </c>
      <c r="I6">
        <v>1</v>
      </c>
      <c r="J6">
        <v>0.25</v>
      </c>
      <c r="K6" s="55">
        <f>VLOOKUP(D6,'⚪设计'!$C$85:$H$104,6,FALSE)</f>
        <v>0.5</v>
      </c>
      <c r="L6" t="s">
        <v>1418</v>
      </c>
      <c r="M6" t="s">
        <v>468</v>
      </c>
      <c r="N6" t="s">
        <v>469</v>
      </c>
      <c r="O6" t="s">
        <v>470</v>
      </c>
      <c r="Q6" s="110">
        <v>1</v>
      </c>
      <c r="R6" s="110">
        <v>1</v>
      </c>
      <c r="S6" s="110"/>
    </row>
    <row r="7" spans="1:33" x14ac:dyDescent="0.2">
      <c r="B7" t="s">
        <v>1414</v>
      </c>
      <c r="C7" t="s">
        <v>1423</v>
      </c>
      <c r="D7" s="55" t="str">
        <f>VLOOKUP(VLOOKUP(Q7,'⚪设计'!$A$115:$G$117,3+UnitCfg!R7,FALSE),'⚪设计'!$B$85:$C$101,2,FALSE)</f>
        <v>ResUnit_MiFeng1</v>
      </c>
      <c r="E7" s="55">
        <f>VLOOKUP(D7,'⚪设计'!$C$85:$G$101,5,FALSE)*VLOOKUP(UnitCfg!Q7,新手关卡!$A$3:$C$22,3,FALSE)</f>
        <v>3.1500000000000004</v>
      </c>
      <c r="F7">
        <v>400</v>
      </c>
      <c r="G7" t="b">
        <v>1</v>
      </c>
      <c r="H7">
        <v>1</v>
      </c>
      <c r="I7">
        <v>1</v>
      </c>
      <c r="J7">
        <v>0.25</v>
      </c>
      <c r="K7" s="55">
        <f>VLOOKUP(D7,'⚪设计'!$C$85:$H$104,6,FALSE)</f>
        <v>0.5</v>
      </c>
      <c r="L7" t="s">
        <v>1419</v>
      </c>
      <c r="M7" t="s">
        <v>468</v>
      </c>
      <c r="N7" t="s">
        <v>469</v>
      </c>
      <c r="O7" t="s">
        <v>470</v>
      </c>
      <c r="Q7" s="110">
        <v>2</v>
      </c>
      <c r="R7" s="110">
        <v>1</v>
      </c>
      <c r="S7" s="110"/>
    </row>
    <row r="8" spans="1:33" x14ac:dyDescent="0.2">
      <c r="B8" t="s">
        <v>1415</v>
      </c>
      <c r="C8" t="s">
        <v>1424</v>
      </c>
      <c r="D8" s="55" t="str">
        <f>VLOOKUP(VLOOKUP(Q8,'⚪设计'!$A$115:$G$117,3+UnitCfg!R8,FALSE),'⚪设计'!$B$85:$C$101,2,FALSE)</f>
        <v>ResUnit_MiFeng1</v>
      </c>
      <c r="E8" s="55">
        <f>VLOOKUP(D8,'⚪设计'!$C$85:$G$101,5,FALSE)*VLOOKUP(UnitCfg!Q8,新手关卡!$A$3:$C$22,3,FALSE)</f>
        <v>3.3000000000000003</v>
      </c>
      <c r="F8">
        <v>400</v>
      </c>
      <c r="G8" t="b">
        <v>1</v>
      </c>
      <c r="H8">
        <v>1</v>
      </c>
      <c r="I8">
        <v>1</v>
      </c>
      <c r="J8">
        <v>0.25</v>
      </c>
      <c r="K8" s="55">
        <f>VLOOKUP(D8,'⚪设计'!$C$85:$H$104,6,FALSE)</f>
        <v>0.5</v>
      </c>
      <c r="L8" t="s">
        <v>1420</v>
      </c>
      <c r="M8" t="s">
        <v>468</v>
      </c>
      <c r="N8" t="s">
        <v>469</v>
      </c>
      <c r="O8" t="s">
        <v>470</v>
      </c>
      <c r="Q8" s="110">
        <v>3</v>
      </c>
      <c r="R8" s="110">
        <v>1</v>
      </c>
      <c r="S8" s="110"/>
    </row>
    <row r="9" spans="1:33" x14ac:dyDescent="0.2">
      <c r="B9" t="s">
        <v>1416</v>
      </c>
      <c r="C9" t="s">
        <v>1425</v>
      </c>
      <c r="D9" s="55" t="str">
        <f>VLOOKUP(VLOOKUP(Q9,'⚪设计'!$A$115:$G$117,3+UnitCfg!R9,FALSE),'⚪设计'!$B$85:$C$101,2,FALSE)</f>
        <v>ResUnit_Dan1</v>
      </c>
      <c r="E9" s="55">
        <f>VLOOKUP(D9,'⚪设计'!$C$85:$G$101,5,FALSE)*VLOOKUP(UnitCfg!Q9,新手关卡!$A$3:$C$22,3,FALSE)</f>
        <v>3.3000000000000003</v>
      </c>
      <c r="F9">
        <v>400</v>
      </c>
      <c r="G9" t="b">
        <v>1</v>
      </c>
      <c r="H9">
        <v>1</v>
      </c>
      <c r="I9">
        <v>1</v>
      </c>
      <c r="J9">
        <v>0.25</v>
      </c>
      <c r="K9" s="55">
        <f>VLOOKUP(D9,'⚪设计'!$C$85:$H$104,6,FALSE)</f>
        <v>1.25</v>
      </c>
      <c r="L9" t="s">
        <v>1421</v>
      </c>
      <c r="M9" t="s">
        <v>468</v>
      </c>
      <c r="N9" t="s">
        <v>469</v>
      </c>
      <c r="O9" t="s">
        <v>470</v>
      </c>
      <c r="Q9" s="110">
        <v>3</v>
      </c>
      <c r="R9" s="110">
        <v>2</v>
      </c>
      <c r="S9" s="110"/>
    </row>
    <row r="10" spans="1:33" x14ac:dyDescent="0.2">
      <c r="B10" t="s">
        <v>1417</v>
      </c>
      <c r="C10" t="s">
        <v>1426</v>
      </c>
      <c r="D10" s="55" t="str">
        <f>VLOOKUP(VLOOKUP(Q10,'⚪设计'!$A$115:$G$117,3+UnitCfg!R10,FALSE),'⚪设计'!$B$85:$C$101,2,FALSE)</f>
        <v>ResUnit_ZhiZhu1</v>
      </c>
      <c r="E10" s="55">
        <f>VLOOKUP(D10,'⚪设计'!$C$85:$G$101,5,FALSE)*VLOOKUP(UnitCfg!Q10,新手关卡!$A$3:$C$22,3,FALSE)</f>
        <v>4.95</v>
      </c>
      <c r="F10">
        <v>400</v>
      </c>
      <c r="G10" t="b">
        <v>1</v>
      </c>
      <c r="H10">
        <v>1</v>
      </c>
      <c r="I10">
        <v>1</v>
      </c>
      <c r="J10">
        <v>0.25</v>
      </c>
      <c r="K10" s="55">
        <f>VLOOKUP(D10,'⚪设计'!$C$85:$H$104,6,FALSE)</f>
        <v>1</v>
      </c>
      <c r="L10" t="s">
        <v>1428</v>
      </c>
      <c r="M10" t="s">
        <v>468</v>
      </c>
      <c r="N10" t="s">
        <v>469</v>
      </c>
      <c r="O10" t="s">
        <v>470</v>
      </c>
      <c r="Q10" s="110">
        <v>3</v>
      </c>
      <c r="R10" s="110">
        <v>3</v>
      </c>
      <c r="S10" s="110"/>
    </row>
    <row r="11" spans="1:33" s="57" customFormat="1" x14ac:dyDescent="0.2"/>
    <row r="12" spans="1:33" s="57" customFormat="1" x14ac:dyDescent="0.2">
      <c r="B12" s="57" t="s">
        <v>781</v>
      </c>
      <c r="C12" s="68" t="s">
        <v>731</v>
      </c>
      <c r="D12" s="55" t="str">
        <f>VLOOKUP(VLOOKUP(Q12&amp;"_"&amp;R12,挑战模式!$A$3:$Z$52,2+5*S12,FALSE),'⚪设计'!$B$85:$H$104,2,FALSE)</f>
        <v>ResUnit_MiFeng1</v>
      </c>
      <c r="E12" s="55">
        <f>VLOOKUP(VLOOKUP(Q12&amp;"_"&amp;R12,挑战模式!$A$3:$Z$52,2+5*S12,FALSE),'⚪设计'!$B$85:$H$104,6,FALSE)*VLOOKUP(Q12&amp;"_"&amp;R12,挑战模式!$A$3:$Z$52,5,FALSE)</f>
        <v>3</v>
      </c>
      <c r="F12">
        <v>400</v>
      </c>
      <c r="G12" t="b">
        <v>1</v>
      </c>
      <c r="H12">
        <v>1</v>
      </c>
      <c r="I12">
        <v>1</v>
      </c>
      <c r="J12">
        <v>0.25</v>
      </c>
      <c r="K12" s="55">
        <f>VLOOKUP(VLOOKUP(Q12&amp;"_"&amp;R12,挑战模式!$A$3:$Z$52,2+5*S12,FALSE),'⚪设计'!$B$85:$H$104,7,FALSE)</f>
        <v>0.5</v>
      </c>
      <c r="L12" s="57" t="s">
        <v>832</v>
      </c>
      <c r="M12" t="s">
        <v>468</v>
      </c>
      <c r="N12" t="s">
        <v>469</v>
      </c>
      <c r="O12" t="s">
        <v>470</v>
      </c>
      <c r="Q12" s="110">
        <v>1</v>
      </c>
      <c r="R12" s="110">
        <v>1</v>
      </c>
      <c r="S12" s="110">
        <v>1</v>
      </c>
    </row>
    <row r="13" spans="1:33" s="57" customFormat="1" x14ac:dyDescent="0.2">
      <c r="B13" s="57" t="s">
        <v>782</v>
      </c>
      <c r="C13" s="68" t="s">
        <v>732</v>
      </c>
      <c r="D13" s="55" t="str">
        <f>VLOOKUP(VLOOKUP(Q13&amp;"_"&amp;R13,挑战模式!$A$3:$Z$52,2+5*S13,FALSE),'⚪设计'!$B$85:$H$104,2,FALSE)</f>
        <v>ResUnit_MiFeng1</v>
      </c>
      <c r="E13" s="55">
        <f>VLOOKUP(VLOOKUP(Q13&amp;"_"&amp;R13,挑战模式!$A$3:$Z$52,2+5*S13,FALSE),'⚪设计'!$B$85:$H$104,6,FALSE)*VLOOKUP(Q13&amp;"_"&amp;R13,挑战模式!$A$3:$Z$52,5,FALSE)</f>
        <v>3</v>
      </c>
      <c r="F13">
        <v>400</v>
      </c>
      <c r="G13" t="b">
        <v>1</v>
      </c>
      <c r="H13">
        <v>1</v>
      </c>
      <c r="I13">
        <v>1</v>
      </c>
      <c r="J13">
        <v>0.25</v>
      </c>
      <c r="K13" s="55">
        <f>VLOOKUP(VLOOKUP(Q13&amp;"_"&amp;R13,挑战模式!$A$3:$Z$52,2+5*S13,FALSE),'⚪设计'!$B$85:$H$104,7,FALSE)</f>
        <v>0.5</v>
      </c>
      <c r="L13" s="57" t="s">
        <v>833</v>
      </c>
      <c r="M13" t="s">
        <v>468</v>
      </c>
      <c r="N13" t="s">
        <v>469</v>
      </c>
      <c r="O13" t="s">
        <v>470</v>
      </c>
      <c r="Q13" s="110">
        <v>1</v>
      </c>
      <c r="R13" s="110">
        <v>2</v>
      </c>
      <c r="S13" s="110">
        <v>1</v>
      </c>
    </row>
    <row r="14" spans="1:33" s="57" customFormat="1" x14ac:dyDescent="0.2">
      <c r="B14" s="57" t="s">
        <v>783</v>
      </c>
      <c r="C14" s="68" t="s">
        <v>733</v>
      </c>
      <c r="D14" s="55" t="str">
        <f>VLOOKUP(VLOOKUP(Q14&amp;"_"&amp;R14,挑战模式!$A$3:$Z$52,2+5*S14,FALSE),'⚪设计'!$B$85:$H$104,2,FALSE)</f>
        <v>ResUnit_MiFeng1</v>
      </c>
      <c r="E14" s="55">
        <f>VLOOKUP(VLOOKUP(Q14&amp;"_"&amp;R14,挑战模式!$A$3:$Z$52,2+5*S14,FALSE),'⚪设计'!$B$85:$H$104,6,FALSE)*VLOOKUP(Q14&amp;"_"&amp;R14,挑战模式!$A$3:$Z$52,5,FALSE)</f>
        <v>3</v>
      </c>
      <c r="F14">
        <v>400</v>
      </c>
      <c r="G14" t="b">
        <v>1</v>
      </c>
      <c r="H14">
        <v>1</v>
      </c>
      <c r="I14">
        <v>1</v>
      </c>
      <c r="J14">
        <v>0.25</v>
      </c>
      <c r="K14" s="55">
        <f>VLOOKUP(VLOOKUP(Q14&amp;"_"&amp;R14,挑战模式!$A$3:$Z$52,2+5*S14,FALSE),'⚪设计'!$B$85:$H$104,7,FALSE)</f>
        <v>0.5</v>
      </c>
      <c r="L14" s="57" t="s">
        <v>834</v>
      </c>
      <c r="M14" t="s">
        <v>468</v>
      </c>
      <c r="N14" t="s">
        <v>469</v>
      </c>
      <c r="O14" t="s">
        <v>470</v>
      </c>
      <c r="Q14" s="110">
        <v>1</v>
      </c>
      <c r="R14" s="110">
        <v>3</v>
      </c>
      <c r="S14" s="110">
        <v>1</v>
      </c>
    </row>
    <row r="15" spans="1:33" s="57" customFormat="1" x14ac:dyDescent="0.2">
      <c r="B15" s="57" t="s">
        <v>784</v>
      </c>
      <c r="C15" s="68" t="s">
        <v>734</v>
      </c>
      <c r="D15" s="55" t="str">
        <f>VLOOKUP(VLOOKUP(Q15&amp;"_"&amp;R15,挑战模式!$A$3:$Z$52,2+5*S15,FALSE),'⚪设计'!$B$85:$H$104,2,FALSE)</f>
        <v>ResUnit_MiFeng2</v>
      </c>
      <c r="E15" s="55">
        <f>VLOOKUP(VLOOKUP(Q15&amp;"_"&amp;R15,挑战模式!$A$3:$Z$52,2+5*S15,FALSE),'⚪设计'!$B$85:$H$104,6,FALSE)*VLOOKUP(Q15&amp;"_"&amp;R15,挑战模式!$A$3:$Z$52,5,FALSE)</f>
        <v>3</v>
      </c>
      <c r="F15">
        <v>400</v>
      </c>
      <c r="G15" t="b">
        <v>1</v>
      </c>
      <c r="H15">
        <v>1</v>
      </c>
      <c r="I15">
        <v>1</v>
      </c>
      <c r="J15">
        <v>0.25</v>
      </c>
      <c r="K15" s="55">
        <f>VLOOKUP(VLOOKUP(Q15&amp;"_"&amp;R15,挑战模式!$A$3:$Z$52,2+5*S15,FALSE),'⚪设计'!$B$85:$H$104,7,FALSE)</f>
        <v>0.8</v>
      </c>
      <c r="L15" s="57" t="s">
        <v>835</v>
      </c>
      <c r="M15" t="s">
        <v>468</v>
      </c>
      <c r="N15" t="s">
        <v>469</v>
      </c>
      <c r="O15" t="s">
        <v>470</v>
      </c>
      <c r="Q15" s="110">
        <v>1</v>
      </c>
      <c r="R15" s="110">
        <v>3</v>
      </c>
      <c r="S15" s="110">
        <v>2</v>
      </c>
    </row>
    <row r="16" spans="1:33" s="57" customFormat="1" x14ac:dyDescent="0.2">
      <c r="B16" s="57" t="s">
        <v>785</v>
      </c>
      <c r="C16" s="68" t="s">
        <v>735</v>
      </c>
      <c r="D16" s="55" t="str">
        <f>VLOOKUP(VLOOKUP(Q16&amp;"_"&amp;R16,挑战模式!$A$3:$Z$52,2+5*S16,FALSE),'⚪设计'!$B$85:$H$104,2,FALSE)</f>
        <v>ResUnit_MiFeng1</v>
      </c>
      <c r="E16" s="55">
        <f>VLOOKUP(VLOOKUP(Q16&amp;"_"&amp;R16,挑战模式!$A$3:$Z$52,2+5*S16,FALSE),'⚪设计'!$B$85:$H$104,6,FALSE)*VLOOKUP(Q16&amp;"_"&amp;R16,挑战模式!$A$3:$Z$52,5,FALSE)</f>
        <v>3</v>
      </c>
      <c r="F16">
        <v>400</v>
      </c>
      <c r="G16" t="b">
        <v>1</v>
      </c>
      <c r="H16">
        <v>1</v>
      </c>
      <c r="I16">
        <v>1</v>
      </c>
      <c r="J16">
        <v>0.25</v>
      </c>
      <c r="K16" s="55">
        <f>VLOOKUP(VLOOKUP(Q16&amp;"_"&amp;R16,挑战模式!$A$3:$Z$52,2+5*S16,FALSE),'⚪设计'!$B$85:$H$104,7,FALSE)</f>
        <v>0.5</v>
      </c>
      <c r="L16" s="57" t="s">
        <v>836</v>
      </c>
      <c r="M16" t="s">
        <v>468</v>
      </c>
      <c r="N16" t="s">
        <v>469</v>
      </c>
      <c r="O16" t="s">
        <v>470</v>
      </c>
      <c r="Q16" s="110">
        <v>1</v>
      </c>
      <c r="R16" s="110">
        <v>4</v>
      </c>
      <c r="S16" s="110">
        <v>1</v>
      </c>
    </row>
    <row r="17" spans="2:19" s="57" customFormat="1" x14ac:dyDescent="0.2">
      <c r="B17" s="57" t="s">
        <v>786</v>
      </c>
      <c r="C17" s="68" t="s">
        <v>736</v>
      </c>
      <c r="D17" s="55" t="str">
        <f>VLOOKUP(VLOOKUP(Q17&amp;"_"&amp;R17,挑战模式!$A$3:$Z$52,2+5*S17,FALSE),'⚪设计'!$B$85:$H$104,2,FALSE)</f>
        <v>ResUnit_MiFeng2</v>
      </c>
      <c r="E17" s="55">
        <f>VLOOKUP(VLOOKUP(Q17&amp;"_"&amp;R17,挑战模式!$A$3:$Z$52,2+5*S17,FALSE),'⚪设计'!$B$85:$H$104,6,FALSE)*VLOOKUP(Q17&amp;"_"&amp;R17,挑战模式!$A$3:$Z$52,5,FALSE)</f>
        <v>3</v>
      </c>
      <c r="F17">
        <v>400</v>
      </c>
      <c r="G17" t="b">
        <v>1</v>
      </c>
      <c r="H17">
        <v>1</v>
      </c>
      <c r="I17">
        <v>1</v>
      </c>
      <c r="J17">
        <v>0.25</v>
      </c>
      <c r="K17" s="55">
        <f>VLOOKUP(VLOOKUP(Q17&amp;"_"&amp;R17,挑战模式!$A$3:$Z$52,2+5*S17,FALSE),'⚪设计'!$B$85:$H$104,7,FALSE)</f>
        <v>0.8</v>
      </c>
      <c r="L17" s="57" t="s">
        <v>837</v>
      </c>
      <c r="M17" t="s">
        <v>468</v>
      </c>
      <c r="N17" t="s">
        <v>469</v>
      </c>
      <c r="O17" t="s">
        <v>470</v>
      </c>
      <c r="Q17" s="110">
        <v>1</v>
      </c>
      <c r="R17" s="110">
        <v>4</v>
      </c>
      <c r="S17" s="110">
        <v>2</v>
      </c>
    </row>
    <row r="18" spans="2:19" s="57" customFormat="1" x14ac:dyDescent="0.2">
      <c r="B18" s="57" t="s">
        <v>787</v>
      </c>
      <c r="C18" s="68" t="s">
        <v>737</v>
      </c>
      <c r="D18" s="55" t="str">
        <f>VLOOKUP(VLOOKUP(Q18&amp;"_"&amp;R18,挑战模式!$A$3:$Z$52,2+5*S18,FALSE),'⚪设计'!$B$85:$H$104,2,FALSE)</f>
        <v>ResUnit_MiFeng1</v>
      </c>
      <c r="E18" s="55">
        <f>VLOOKUP(VLOOKUP(Q18&amp;"_"&amp;R18,挑战模式!$A$3:$Z$52,2+5*S18,FALSE),'⚪设计'!$B$85:$H$104,6,FALSE)*VLOOKUP(Q18&amp;"_"&amp;R18,挑战模式!$A$3:$Z$52,5,FALSE)</f>
        <v>3</v>
      </c>
      <c r="F18">
        <v>400</v>
      </c>
      <c r="G18" t="b">
        <v>1</v>
      </c>
      <c r="H18">
        <v>1</v>
      </c>
      <c r="I18">
        <v>1</v>
      </c>
      <c r="J18">
        <v>0.25</v>
      </c>
      <c r="K18" s="55">
        <f>VLOOKUP(VLOOKUP(Q18&amp;"_"&amp;R18,挑战模式!$A$3:$Z$52,2+5*S18,FALSE),'⚪设计'!$B$85:$H$104,7,FALSE)</f>
        <v>0.5</v>
      </c>
      <c r="L18" s="57" t="s">
        <v>838</v>
      </c>
      <c r="M18" t="s">
        <v>468</v>
      </c>
      <c r="N18" t="s">
        <v>469</v>
      </c>
      <c r="O18" t="s">
        <v>470</v>
      </c>
      <c r="Q18" s="110">
        <v>1</v>
      </c>
      <c r="R18" s="110">
        <v>5</v>
      </c>
      <c r="S18" s="110">
        <v>1</v>
      </c>
    </row>
    <row r="19" spans="2:19" s="57" customFormat="1" x14ac:dyDescent="0.2">
      <c r="B19" s="57" t="s">
        <v>788</v>
      </c>
      <c r="C19" s="68" t="s">
        <v>738</v>
      </c>
      <c r="D19" s="55" t="str">
        <f>VLOOKUP(VLOOKUP(Q19&amp;"_"&amp;R19,挑战模式!$A$3:$Z$52,2+5*S19,FALSE),'⚪设计'!$B$85:$H$104,2,FALSE)</f>
        <v>ResUnit_MiFeng2</v>
      </c>
      <c r="E19" s="55">
        <f>VLOOKUP(VLOOKUP(Q19&amp;"_"&amp;R19,挑战模式!$A$3:$Z$52,2+5*S19,FALSE),'⚪设计'!$B$85:$H$104,6,FALSE)*VLOOKUP(Q19&amp;"_"&amp;R19,挑战模式!$A$3:$Z$52,5,FALSE)</f>
        <v>3</v>
      </c>
      <c r="F19">
        <v>400</v>
      </c>
      <c r="G19" t="b">
        <v>1</v>
      </c>
      <c r="H19">
        <v>1</v>
      </c>
      <c r="I19">
        <v>1</v>
      </c>
      <c r="J19">
        <v>0.25</v>
      </c>
      <c r="K19" s="55">
        <f>VLOOKUP(VLOOKUP(Q19&amp;"_"&amp;R19,挑战模式!$A$3:$Z$52,2+5*S19,FALSE),'⚪设计'!$B$85:$H$104,7,FALSE)</f>
        <v>0.8</v>
      </c>
      <c r="L19" s="57" t="s">
        <v>839</v>
      </c>
      <c r="M19" t="s">
        <v>468</v>
      </c>
      <c r="N19" t="s">
        <v>469</v>
      </c>
      <c r="O19" t="s">
        <v>470</v>
      </c>
      <c r="Q19" s="110">
        <v>1</v>
      </c>
      <c r="R19" s="110">
        <v>5</v>
      </c>
      <c r="S19" s="110">
        <v>2</v>
      </c>
    </row>
    <row r="20" spans="2:19" s="57" customFormat="1" x14ac:dyDescent="0.2">
      <c r="B20" s="57" t="s">
        <v>789</v>
      </c>
      <c r="C20" s="68" t="s">
        <v>739</v>
      </c>
      <c r="D20" s="55" t="str">
        <f>VLOOKUP(VLOOKUP(Q20&amp;"_"&amp;R20,挑战模式!$A$3:$Z$52,2+5*S20,FALSE),'⚪设计'!$B$85:$H$104,2,FALSE)</f>
        <v>ResUnit_ZhiZhu1</v>
      </c>
      <c r="E20" s="55">
        <f>VLOOKUP(VLOOKUP(Q20&amp;"_"&amp;R20,挑战模式!$A$3:$Z$52,2+5*S20,FALSE),'⚪设计'!$B$85:$H$104,6,FALSE)*VLOOKUP(Q20&amp;"_"&amp;R20,挑战模式!$A$3:$Z$52,5,FALSE)</f>
        <v>4.5</v>
      </c>
      <c r="F20">
        <v>400</v>
      </c>
      <c r="G20" t="b">
        <v>1</v>
      </c>
      <c r="H20">
        <v>1</v>
      </c>
      <c r="I20">
        <v>1</v>
      </c>
      <c r="J20">
        <v>0.25</v>
      </c>
      <c r="K20" s="55">
        <f>VLOOKUP(VLOOKUP(Q20&amp;"_"&amp;R20,挑战模式!$A$3:$Z$52,2+5*S20,FALSE),'⚪设计'!$B$85:$H$104,7,FALSE)</f>
        <v>1</v>
      </c>
      <c r="L20" s="57" t="s">
        <v>840</v>
      </c>
      <c r="M20" t="s">
        <v>468</v>
      </c>
      <c r="N20" t="s">
        <v>469</v>
      </c>
      <c r="O20" t="s">
        <v>470</v>
      </c>
      <c r="Q20" s="110">
        <v>2</v>
      </c>
      <c r="R20" s="110">
        <v>1</v>
      </c>
      <c r="S20" s="110">
        <v>1</v>
      </c>
    </row>
    <row r="21" spans="2:19" s="57" customFormat="1" x14ac:dyDescent="0.2">
      <c r="B21" s="57" t="s">
        <v>790</v>
      </c>
      <c r="C21" s="68" t="s">
        <v>740</v>
      </c>
      <c r="D21" s="55" t="str">
        <f>VLOOKUP(VLOOKUP(Q21&amp;"_"&amp;R21,挑战模式!$A$3:$Z$52,2+5*S21,FALSE),'⚪设计'!$B$85:$H$104,2,FALSE)</f>
        <v>ResUnit_ZhiZhu1</v>
      </c>
      <c r="E21" s="55">
        <f>VLOOKUP(VLOOKUP(Q21&amp;"_"&amp;R21,挑战模式!$A$3:$Z$52,2+5*S21,FALSE),'⚪设计'!$B$85:$H$104,6,FALSE)*VLOOKUP(Q21&amp;"_"&amp;R21,挑战模式!$A$3:$Z$52,5,FALSE)</f>
        <v>4.5</v>
      </c>
      <c r="F21">
        <v>400</v>
      </c>
      <c r="G21" t="b">
        <v>1</v>
      </c>
      <c r="H21">
        <v>1</v>
      </c>
      <c r="I21">
        <v>1</v>
      </c>
      <c r="J21">
        <v>0.25</v>
      </c>
      <c r="K21" s="55">
        <f>VLOOKUP(VLOOKUP(Q21&amp;"_"&amp;R21,挑战模式!$A$3:$Z$52,2+5*S21,FALSE),'⚪设计'!$B$85:$H$104,7,FALSE)</f>
        <v>1</v>
      </c>
      <c r="L21" s="57" t="s">
        <v>841</v>
      </c>
      <c r="M21" t="s">
        <v>468</v>
      </c>
      <c r="N21" t="s">
        <v>469</v>
      </c>
      <c r="O21" t="s">
        <v>470</v>
      </c>
      <c r="Q21" s="110">
        <v>2</v>
      </c>
      <c r="R21" s="110">
        <v>2</v>
      </c>
      <c r="S21" s="110">
        <v>1</v>
      </c>
    </row>
    <row r="22" spans="2:19" s="57" customFormat="1" x14ac:dyDescent="0.2">
      <c r="B22" s="57" t="s">
        <v>791</v>
      </c>
      <c r="C22" s="68" t="s">
        <v>741</v>
      </c>
      <c r="D22" s="55" t="str">
        <f>VLOOKUP(VLOOKUP(Q22&amp;"_"&amp;R22,挑战模式!$A$3:$Z$52,2+5*S22,FALSE),'⚪设计'!$B$85:$H$104,2,FALSE)</f>
        <v>ResUnit_MiFeng2</v>
      </c>
      <c r="E22" s="55">
        <f>VLOOKUP(VLOOKUP(Q22&amp;"_"&amp;R22,挑战模式!$A$3:$Z$52,2+5*S22,FALSE),'⚪设计'!$B$85:$H$104,6,FALSE)*VLOOKUP(Q22&amp;"_"&amp;R22,挑战模式!$A$3:$Z$52,5,FALSE)</f>
        <v>3</v>
      </c>
      <c r="F22">
        <v>400</v>
      </c>
      <c r="G22" t="b">
        <v>1</v>
      </c>
      <c r="H22">
        <v>1</v>
      </c>
      <c r="I22">
        <v>1</v>
      </c>
      <c r="J22">
        <v>0.25</v>
      </c>
      <c r="K22" s="55">
        <f>VLOOKUP(VLOOKUP(Q22&amp;"_"&amp;R22,挑战模式!$A$3:$Z$52,2+5*S22,FALSE),'⚪设计'!$B$85:$H$104,7,FALSE)</f>
        <v>0.8</v>
      </c>
      <c r="L22" s="57" t="s">
        <v>842</v>
      </c>
      <c r="M22" t="s">
        <v>468</v>
      </c>
      <c r="N22" t="s">
        <v>469</v>
      </c>
      <c r="O22" t="s">
        <v>470</v>
      </c>
      <c r="Q22" s="110">
        <v>2</v>
      </c>
      <c r="R22" s="110">
        <v>2</v>
      </c>
      <c r="S22" s="110">
        <v>2</v>
      </c>
    </row>
    <row r="23" spans="2:19" s="57" customFormat="1" x14ac:dyDescent="0.2">
      <c r="B23" s="57" t="s">
        <v>792</v>
      </c>
      <c r="C23" s="68" t="s">
        <v>742</v>
      </c>
      <c r="D23" s="55" t="str">
        <f>VLOOKUP(VLOOKUP(Q23&amp;"_"&amp;R23,挑战模式!$A$3:$Z$52,2+5*S23,FALSE),'⚪设计'!$B$85:$H$104,2,FALSE)</f>
        <v>ResUnit_ZhiZhu1</v>
      </c>
      <c r="E23" s="55">
        <f>VLOOKUP(VLOOKUP(Q23&amp;"_"&amp;R23,挑战模式!$A$3:$Z$52,2+5*S23,FALSE),'⚪设计'!$B$85:$H$104,6,FALSE)*VLOOKUP(Q23&amp;"_"&amp;R23,挑战模式!$A$3:$Z$52,5,FALSE)</f>
        <v>4.5</v>
      </c>
      <c r="F23">
        <v>400</v>
      </c>
      <c r="G23" t="b">
        <v>1</v>
      </c>
      <c r="H23">
        <v>1</v>
      </c>
      <c r="I23">
        <v>1</v>
      </c>
      <c r="J23">
        <v>0.25</v>
      </c>
      <c r="K23" s="55">
        <f>VLOOKUP(VLOOKUP(Q23&amp;"_"&amp;R23,挑战模式!$A$3:$Z$52,2+5*S23,FALSE),'⚪设计'!$B$85:$H$104,7,FALSE)</f>
        <v>1</v>
      </c>
      <c r="L23" s="57" t="s">
        <v>843</v>
      </c>
      <c r="M23" t="s">
        <v>468</v>
      </c>
      <c r="N23" t="s">
        <v>469</v>
      </c>
      <c r="O23" t="s">
        <v>470</v>
      </c>
      <c r="Q23" s="110">
        <v>2</v>
      </c>
      <c r="R23" s="110">
        <v>3</v>
      </c>
      <c r="S23" s="110">
        <v>1</v>
      </c>
    </row>
    <row r="24" spans="2:19" s="57" customFormat="1" x14ac:dyDescent="0.2">
      <c r="B24" s="57" t="s">
        <v>793</v>
      </c>
      <c r="C24" s="68" t="s">
        <v>743</v>
      </c>
      <c r="D24" s="55" t="str">
        <f>VLOOKUP(VLOOKUP(Q24&amp;"_"&amp;R24,挑战模式!$A$3:$Z$52,2+5*S24,FALSE),'⚪设计'!$B$85:$H$104,2,FALSE)</f>
        <v>ResUnit_BianFu1</v>
      </c>
      <c r="E24" s="55">
        <f>VLOOKUP(VLOOKUP(Q24&amp;"_"&amp;R24,挑战模式!$A$3:$Z$52,2+5*S24,FALSE),'⚪设计'!$B$85:$H$104,6,FALSE)*VLOOKUP(Q24&amp;"_"&amp;R24,挑战模式!$A$3:$Z$52,5,FALSE)</f>
        <v>3</v>
      </c>
      <c r="F24">
        <v>400</v>
      </c>
      <c r="G24" t="b">
        <v>1</v>
      </c>
      <c r="H24">
        <v>1</v>
      </c>
      <c r="I24">
        <v>1</v>
      </c>
      <c r="J24">
        <v>0.25</v>
      </c>
      <c r="K24" s="55">
        <f>VLOOKUP(VLOOKUP(Q24&amp;"_"&amp;R24,挑战模式!$A$3:$Z$52,2+5*S24,FALSE),'⚪设计'!$B$85:$H$104,7,FALSE)</f>
        <v>0.5</v>
      </c>
      <c r="L24" s="57" t="s">
        <v>844</v>
      </c>
      <c r="M24" t="s">
        <v>468</v>
      </c>
      <c r="N24" t="s">
        <v>469</v>
      </c>
      <c r="O24" t="s">
        <v>470</v>
      </c>
      <c r="Q24" s="110">
        <v>2</v>
      </c>
      <c r="R24" s="110">
        <v>3</v>
      </c>
      <c r="S24" s="110">
        <v>2</v>
      </c>
    </row>
    <row r="25" spans="2:19" s="57" customFormat="1" x14ac:dyDescent="0.2">
      <c r="B25" s="57" t="s">
        <v>794</v>
      </c>
      <c r="C25" s="68" t="s">
        <v>744</v>
      </c>
      <c r="D25" s="55" t="str">
        <f>VLOOKUP(VLOOKUP(Q25&amp;"_"&amp;R25,挑战模式!$A$3:$Z$52,2+5*S25,FALSE),'⚪设计'!$B$85:$H$104,2,FALSE)</f>
        <v>ResUnit_ZhiZhu1</v>
      </c>
      <c r="E25" s="55">
        <f>VLOOKUP(VLOOKUP(Q25&amp;"_"&amp;R25,挑战模式!$A$3:$Z$52,2+5*S25,FALSE),'⚪设计'!$B$85:$H$104,6,FALSE)*VLOOKUP(Q25&amp;"_"&amp;R25,挑战模式!$A$3:$Z$52,5,FALSE)</f>
        <v>4.5</v>
      </c>
      <c r="F25">
        <v>400</v>
      </c>
      <c r="G25" t="b">
        <v>1</v>
      </c>
      <c r="H25">
        <v>1</v>
      </c>
      <c r="I25">
        <v>1</v>
      </c>
      <c r="J25">
        <v>0.25</v>
      </c>
      <c r="K25" s="55">
        <f>VLOOKUP(VLOOKUP(Q25&amp;"_"&amp;R25,挑战模式!$A$3:$Z$52,2+5*S25,FALSE),'⚪设计'!$B$85:$H$104,7,FALSE)</f>
        <v>1</v>
      </c>
      <c r="L25" s="57" t="s">
        <v>845</v>
      </c>
      <c r="M25" t="s">
        <v>468</v>
      </c>
      <c r="N25" t="s">
        <v>469</v>
      </c>
      <c r="O25" t="s">
        <v>470</v>
      </c>
      <c r="Q25" s="110">
        <v>2</v>
      </c>
      <c r="R25" s="110">
        <v>4</v>
      </c>
      <c r="S25" s="110">
        <v>1</v>
      </c>
    </row>
    <row r="26" spans="2:19" s="57" customFormat="1" x14ac:dyDescent="0.2">
      <c r="B26" s="57" t="s">
        <v>795</v>
      </c>
      <c r="C26" s="68" t="s">
        <v>745</v>
      </c>
      <c r="D26" s="55" t="str">
        <f>VLOOKUP(VLOOKUP(Q26&amp;"_"&amp;R26,挑战模式!$A$3:$Z$52,2+5*S26,FALSE),'⚪设计'!$B$85:$H$104,2,FALSE)</f>
        <v>ResUnit_BianFu1</v>
      </c>
      <c r="E26" s="55">
        <f>VLOOKUP(VLOOKUP(Q26&amp;"_"&amp;R26,挑战模式!$A$3:$Z$52,2+5*S26,FALSE),'⚪设计'!$B$85:$H$104,6,FALSE)*VLOOKUP(Q26&amp;"_"&amp;R26,挑战模式!$A$3:$Z$52,5,FALSE)</f>
        <v>3</v>
      </c>
      <c r="F26">
        <v>400</v>
      </c>
      <c r="G26" t="b">
        <v>1</v>
      </c>
      <c r="H26">
        <v>1</v>
      </c>
      <c r="I26">
        <v>1</v>
      </c>
      <c r="J26">
        <v>0.25</v>
      </c>
      <c r="K26" s="55">
        <f>VLOOKUP(VLOOKUP(Q26&amp;"_"&amp;R26,挑战模式!$A$3:$Z$52,2+5*S26,FALSE),'⚪设计'!$B$85:$H$104,7,FALSE)</f>
        <v>0.5</v>
      </c>
      <c r="L26" s="57" t="s">
        <v>846</v>
      </c>
      <c r="M26" t="s">
        <v>468</v>
      </c>
      <c r="N26" t="s">
        <v>469</v>
      </c>
      <c r="O26" t="s">
        <v>470</v>
      </c>
      <c r="Q26" s="110">
        <v>2</v>
      </c>
      <c r="R26" s="110">
        <v>4</v>
      </c>
      <c r="S26" s="110">
        <v>2</v>
      </c>
    </row>
    <row r="27" spans="2:19" s="57" customFormat="1" x14ac:dyDescent="0.2">
      <c r="B27" s="57" t="s">
        <v>796</v>
      </c>
      <c r="C27" s="68" t="s">
        <v>746</v>
      </c>
      <c r="D27" s="55" t="str">
        <f>VLOOKUP(VLOOKUP(Q27&amp;"_"&amp;R27,挑战模式!$A$3:$Z$52,2+5*S27,FALSE),'⚪设计'!$B$85:$H$104,2,FALSE)</f>
        <v>ResUnit_MiFeng2</v>
      </c>
      <c r="E27" s="55">
        <f>VLOOKUP(VLOOKUP(Q27&amp;"_"&amp;R27,挑战模式!$A$3:$Z$52,2+5*S27,FALSE),'⚪设计'!$B$85:$H$104,6,FALSE)*VLOOKUP(Q27&amp;"_"&amp;R27,挑战模式!$A$3:$Z$52,5,FALSE)</f>
        <v>3</v>
      </c>
      <c r="F27">
        <v>400</v>
      </c>
      <c r="G27" t="b">
        <v>1</v>
      </c>
      <c r="H27">
        <v>1</v>
      </c>
      <c r="I27">
        <v>1</v>
      </c>
      <c r="J27">
        <v>0.25</v>
      </c>
      <c r="K27" s="55">
        <f>VLOOKUP(VLOOKUP(Q27&amp;"_"&amp;R27,挑战模式!$A$3:$Z$52,2+5*S27,FALSE),'⚪设计'!$B$85:$H$104,7,FALSE)</f>
        <v>0.8</v>
      </c>
      <c r="L27" s="57" t="s">
        <v>847</v>
      </c>
      <c r="M27" t="s">
        <v>468</v>
      </c>
      <c r="N27" t="s">
        <v>469</v>
      </c>
      <c r="O27" t="s">
        <v>470</v>
      </c>
      <c r="Q27" s="110">
        <v>2</v>
      </c>
      <c r="R27" s="110">
        <v>4</v>
      </c>
      <c r="S27" s="110">
        <v>3</v>
      </c>
    </row>
    <row r="28" spans="2:19" s="57" customFormat="1" x14ac:dyDescent="0.2">
      <c r="B28" s="57" t="s">
        <v>797</v>
      </c>
      <c r="C28" s="68" t="s">
        <v>747</v>
      </c>
      <c r="D28" s="55" t="str">
        <f>VLOOKUP(VLOOKUP(Q28&amp;"_"&amp;R28,挑战模式!$A$3:$Z$52,2+5*S28,FALSE),'⚪设计'!$B$85:$H$104,2,FALSE)</f>
        <v>ResUnit_ZhiZhu1</v>
      </c>
      <c r="E28" s="55">
        <f>VLOOKUP(VLOOKUP(Q28&amp;"_"&amp;R28,挑战模式!$A$3:$Z$52,2+5*S28,FALSE),'⚪设计'!$B$85:$H$104,6,FALSE)*VLOOKUP(Q28&amp;"_"&amp;R28,挑战模式!$A$3:$Z$52,5,FALSE)</f>
        <v>4.5</v>
      </c>
      <c r="F28">
        <v>400</v>
      </c>
      <c r="G28" t="b">
        <v>1</v>
      </c>
      <c r="H28">
        <v>1</v>
      </c>
      <c r="I28">
        <v>1</v>
      </c>
      <c r="J28">
        <v>0.25</v>
      </c>
      <c r="K28" s="55">
        <f>VLOOKUP(VLOOKUP(Q28&amp;"_"&amp;R28,挑战模式!$A$3:$Z$52,2+5*S28,FALSE),'⚪设计'!$B$85:$H$104,7,FALSE)</f>
        <v>1</v>
      </c>
      <c r="L28" s="57" t="s">
        <v>848</v>
      </c>
      <c r="M28" t="s">
        <v>468</v>
      </c>
      <c r="N28" t="s">
        <v>469</v>
      </c>
      <c r="O28" t="s">
        <v>470</v>
      </c>
      <c r="Q28" s="110">
        <v>2</v>
      </c>
      <c r="R28" s="110">
        <v>5</v>
      </c>
      <c r="S28" s="110">
        <v>1</v>
      </c>
    </row>
    <row r="29" spans="2:19" s="57" customFormat="1" x14ac:dyDescent="0.2">
      <c r="B29" s="57" t="s">
        <v>798</v>
      </c>
      <c r="C29" s="68" t="s">
        <v>748</v>
      </c>
      <c r="D29" s="55" t="str">
        <f>VLOOKUP(VLOOKUP(Q29&amp;"_"&amp;R29,挑战模式!$A$3:$Z$52,2+5*S29,FALSE),'⚪设计'!$B$85:$H$104,2,FALSE)</f>
        <v>ResUnit_BianFu1</v>
      </c>
      <c r="E29" s="55">
        <f>VLOOKUP(VLOOKUP(Q29&amp;"_"&amp;R29,挑战模式!$A$3:$Z$52,2+5*S29,FALSE),'⚪设计'!$B$85:$H$104,6,FALSE)*VLOOKUP(Q29&amp;"_"&amp;R29,挑战模式!$A$3:$Z$52,5,FALSE)</f>
        <v>3</v>
      </c>
      <c r="F29">
        <v>400</v>
      </c>
      <c r="G29" t="b">
        <v>1</v>
      </c>
      <c r="H29">
        <v>1</v>
      </c>
      <c r="I29">
        <v>1</v>
      </c>
      <c r="J29">
        <v>0.25</v>
      </c>
      <c r="K29" s="55">
        <f>VLOOKUP(VLOOKUP(Q29&amp;"_"&amp;R29,挑战模式!$A$3:$Z$52,2+5*S29,FALSE),'⚪设计'!$B$85:$H$104,7,FALSE)</f>
        <v>0.5</v>
      </c>
      <c r="L29" s="57" t="s">
        <v>849</v>
      </c>
      <c r="M29" t="s">
        <v>468</v>
      </c>
      <c r="N29" t="s">
        <v>469</v>
      </c>
      <c r="O29" t="s">
        <v>470</v>
      </c>
      <c r="Q29" s="110">
        <v>2</v>
      </c>
      <c r="R29" s="110">
        <v>5</v>
      </c>
      <c r="S29" s="110">
        <v>2</v>
      </c>
    </row>
    <row r="30" spans="2:19" s="57" customFormat="1" x14ac:dyDescent="0.2">
      <c r="B30" s="57" t="s">
        <v>799</v>
      </c>
      <c r="C30" s="68" t="s">
        <v>749</v>
      </c>
      <c r="D30" s="55" t="str">
        <f>VLOOKUP(VLOOKUP(Q30&amp;"_"&amp;R30,挑战模式!$A$3:$Z$52,2+5*S30,FALSE),'⚪设计'!$B$85:$H$104,2,FALSE)</f>
        <v>ResUnit_MiFeng2</v>
      </c>
      <c r="E30" s="55">
        <f>VLOOKUP(VLOOKUP(Q30&amp;"_"&amp;R30,挑战模式!$A$3:$Z$52,2+5*S30,FALSE),'⚪设计'!$B$85:$H$104,6,FALSE)*VLOOKUP(Q30&amp;"_"&amp;R30,挑战模式!$A$3:$Z$52,5,FALSE)</f>
        <v>3</v>
      </c>
      <c r="F30">
        <v>400</v>
      </c>
      <c r="G30" t="b">
        <v>1</v>
      </c>
      <c r="H30">
        <v>1</v>
      </c>
      <c r="I30">
        <v>1</v>
      </c>
      <c r="J30">
        <v>0.25</v>
      </c>
      <c r="K30" s="55">
        <f>VLOOKUP(VLOOKUP(Q30&amp;"_"&amp;R30,挑战模式!$A$3:$Z$52,2+5*S30,FALSE),'⚪设计'!$B$85:$H$104,7,FALSE)</f>
        <v>0.8</v>
      </c>
      <c r="L30" s="57" t="s">
        <v>850</v>
      </c>
      <c r="M30" t="s">
        <v>468</v>
      </c>
      <c r="N30" t="s">
        <v>469</v>
      </c>
      <c r="O30" t="s">
        <v>470</v>
      </c>
      <c r="Q30" s="110">
        <v>2</v>
      </c>
      <c r="R30" s="110">
        <v>5</v>
      </c>
      <c r="S30" s="110">
        <v>3</v>
      </c>
    </row>
    <row r="31" spans="2:19" s="57" customFormat="1" x14ac:dyDescent="0.2">
      <c r="B31" s="57" t="s">
        <v>882</v>
      </c>
      <c r="C31" s="68" t="s">
        <v>884</v>
      </c>
      <c r="D31" s="55" t="str">
        <f>VLOOKUP(VLOOKUP(Q31&amp;"_"&amp;R31,挑战模式!$A$3:$Z$52,2+5*S31,FALSE),'⚪设计'!$B$85:$H$104,2,FALSE)</f>
        <v>ResUnit_ZhongZi1</v>
      </c>
      <c r="E31" s="55">
        <f>VLOOKUP(VLOOKUP(Q31&amp;"_"&amp;R31,挑战模式!$A$3:$Z$52,2+5*S31,FALSE),'⚪设计'!$B$85:$H$104,6,FALSE)*VLOOKUP(Q31&amp;"_"&amp;R31,挑战模式!$A$3:$Z$52,5,FALSE)</f>
        <v>3</v>
      </c>
      <c r="F31">
        <v>400</v>
      </c>
      <c r="G31" t="b">
        <v>1</v>
      </c>
      <c r="H31">
        <v>1</v>
      </c>
      <c r="I31">
        <v>1</v>
      </c>
      <c r="J31">
        <v>0.25</v>
      </c>
      <c r="K31" s="55">
        <f>VLOOKUP(VLOOKUP(Q31&amp;"_"&amp;R31,挑战模式!$A$3:$Z$52,2+5*S31,FALSE),'⚪设计'!$B$85:$H$104,7,FALSE)</f>
        <v>1</v>
      </c>
      <c r="L31" s="57" t="s">
        <v>883</v>
      </c>
      <c r="M31" t="s">
        <v>468</v>
      </c>
      <c r="N31" t="s">
        <v>469</v>
      </c>
      <c r="O31" t="s">
        <v>470</v>
      </c>
      <c r="P31" s="57" t="s">
        <v>885</v>
      </c>
      <c r="Q31" s="110">
        <v>3</v>
      </c>
      <c r="R31" s="110">
        <v>1</v>
      </c>
      <c r="S31" s="110">
        <v>1</v>
      </c>
    </row>
    <row r="32" spans="2:19" s="57" customFormat="1" x14ac:dyDescent="0.2">
      <c r="B32" s="57" t="s">
        <v>800</v>
      </c>
      <c r="C32" s="68" t="s">
        <v>750</v>
      </c>
      <c r="D32" s="55" t="str">
        <f>VLOOKUP(VLOOKUP(Q32&amp;"_"&amp;R32,挑战模式!$A$3:$Z$52,2+5*S32,FALSE),'⚪设计'!$B$85:$H$104,2,FALSE)</f>
        <v>ResUnit_ZhongZi1</v>
      </c>
      <c r="E32" s="55">
        <f>VLOOKUP(VLOOKUP(Q32&amp;"_"&amp;R32,挑战模式!$A$3:$Z$52,2+5*S32,FALSE),'⚪设计'!$B$85:$H$104,6,FALSE)*VLOOKUP(Q32&amp;"_"&amp;R32,挑战模式!$A$3:$Z$52,5,FALSE)</f>
        <v>3</v>
      </c>
      <c r="F32">
        <v>400</v>
      </c>
      <c r="G32" t="b">
        <v>1</v>
      </c>
      <c r="H32">
        <v>1</v>
      </c>
      <c r="I32">
        <v>1</v>
      </c>
      <c r="J32">
        <v>0.25</v>
      </c>
      <c r="K32" s="55">
        <f>VLOOKUP(VLOOKUP(Q32&amp;"_"&amp;R32,挑战模式!$A$3:$Z$52,2+5*S32,FALSE),'⚪设计'!$B$85:$H$104,7,FALSE)</f>
        <v>1</v>
      </c>
      <c r="L32" s="57" t="s">
        <v>851</v>
      </c>
      <c r="M32" t="s">
        <v>468</v>
      </c>
      <c r="N32" t="s">
        <v>469</v>
      </c>
      <c r="O32" t="s">
        <v>470</v>
      </c>
      <c r="P32" s="57" t="s">
        <v>886</v>
      </c>
      <c r="Q32" s="110">
        <v>3</v>
      </c>
      <c r="R32" s="110">
        <v>2</v>
      </c>
      <c r="S32" s="110">
        <v>1</v>
      </c>
    </row>
    <row r="33" spans="2:19" s="57" customFormat="1" x14ac:dyDescent="0.2">
      <c r="B33" s="57" t="s">
        <v>801</v>
      </c>
      <c r="C33" s="68" t="s">
        <v>751</v>
      </c>
      <c r="D33" s="55" t="str">
        <f>VLOOKUP(VLOOKUP(Q33&amp;"_"&amp;R33,挑战模式!$A$3:$Z$52,2+5*S33,FALSE),'⚪设计'!$B$85:$H$104,2,FALSE)</f>
        <v>ResUnit_MiFeng2</v>
      </c>
      <c r="E33" s="55">
        <f>VLOOKUP(VLOOKUP(Q33&amp;"_"&amp;R33,挑战模式!$A$3:$Z$52,2+5*S33,FALSE),'⚪设计'!$B$85:$H$104,6,FALSE)*VLOOKUP(Q33&amp;"_"&amp;R33,挑战模式!$A$3:$Z$52,5,FALSE)</f>
        <v>3</v>
      </c>
      <c r="F33">
        <v>400</v>
      </c>
      <c r="G33" t="b">
        <v>1</v>
      </c>
      <c r="H33">
        <v>1</v>
      </c>
      <c r="I33">
        <v>1</v>
      </c>
      <c r="J33">
        <v>0.25</v>
      </c>
      <c r="K33" s="55">
        <f>VLOOKUP(VLOOKUP(Q33&amp;"_"&amp;R33,挑战模式!$A$3:$Z$52,2+5*S33,FALSE),'⚪设计'!$B$85:$H$104,7,FALSE)</f>
        <v>0.8</v>
      </c>
      <c r="L33" s="57" t="s">
        <v>852</v>
      </c>
      <c r="M33" t="s">
        <v>468</v>
      </c>
      <c r="N33" t="s">
        <v>469</v>
      </c>
      <c r="O33" t="s">
        <v>470</v>
      </c>
      <c r="Q33" s="110">
        <v>3</v>
      </c>
      <c r="R33" s="110">
        <v>2</v>
      </c>
      <c r="S33" s="110">
        <v>2</v>
      </c>
    </row>
    <row r="34" spans="2:19" s="57" customFormat="1" x14ac:dyDescent="0.2">
      <c r="B34" s="57" t="s">
        <v>802</v>
      </c>
      <c r="C34" s="68" t="s">
        <v>752</v>
      </c>
      <c r="D34" s="55" t="str">
        <f>VLOOKUP(VLOOKUP(Q34&amp;"_"&amp;R34,挑战模式!$A$3:$Z$52,2+5*S34,FALSE),'⚪设计'!$B$85:$H$104,2,FALSE)</f>
        <v>ResUnit_ZhongZi1</v>
      </c>
      <c r="E34" s="55">
        <f>VLOOKUP(VLOOKUP(Q34&amp;"_"&amp;R34,挑战模式!$A$3:$Z$52,2+5*S34,FALSE),'⚪设计'!$B$85:$H$104,6,FALSE)*VLOOKUP(Q34&amp;"_"&amp;R34,挑战模式!$A$3:$Z$52,5,FALSE)</f>
        <v>3</v>
      </c>
      <c r="F34">
        <v>400</v>
      </c>
      <c r="G34" t="b">
        <v>1</v>
      </c>
      <c r="H34">
        <v>1</v>
      </c>
      <c r="I34">
        <v>1</v>
      </c>
      <c r="J34">
        <v>0.25</v>
      </c>
      <c r="K34" s="55">
        <f>VLOOKUP(VLOOKUP(Q34&amp;"_"&amp;R34,挑战模式!$A$3:$Z$52,2+5*S34,FALSE),'⚪设计'!$B$85:$H$104,7,FALSE)</f>
        <v>1</v>
      </c>
      <c r="L34" s="57" t="s">
        <v>853</v>
      </c>
      <c r="M34" t="s">
        <v>468</v>
      </c>
      <c r="N34" t="s">
        <v>469</v>
      </c>
      <c r="O34" t="s">
        <v>470</v>
      </c>
      <c r="P34" s="57" t="s">
        <v>887</v>
      </c>
      <c r="Q34" s="110">
        <v>3</v>
      </c>
      <c r="R34" s="110">
        <v>3</v>
      </c>
      <c r="S34" s="110">
        <v>1</v>
      </c>
    </row>
    <row r="35" spans="2:19" s="57" customFormat="1" x14ac:dyDescent="0.2">
      <c r="B35" s="57" t="s">
        <v>803</v>
      </c>
      <c r="C35" s="68" t="s">
        <v>753</v>
      </c>
      <c r="D35" s="55" t="str">
        <f>VLOOKUP(VLOOKUP(Q35&amp;"_"&amp;R35,挑战模式!$A$3:$Z$52,2+5*S35,FALSE),'⚪设计'!$B$85:$H$104,2,FALSE)</f>
        <v>ResUnit_BianFu1</v>
      </c>
      <c r="E35" s="55">
        <f>VLOOKUP(VLOOKUP(Q35&amp;"_"&amp;R35,挑战模式!$A$3:$Z$52,2+5*S35,FALSE),'⚪设计'!$B$85:$H$104,6,FALSE)*VLOOKUP(Q35&amp;"_"&amp;R35,挑战模式!$A$3:$Z$52,5,FALSE)</f>
        <v>3</v>
      </c>
      <c r="F35">
        <v>400</v>
      </c>
      <c r="G35" t="b">
        <v>1</v>
      </c>
      <c r="H35">
        <v>1</v>
      </c>
      <c r="I35">
        <v>1</v>
      </c>
      <c r="J35">
        <v>0.25</v>
      </c>
      <c r="K35" s="55">
        <f>VLOOKUP(VLOOKUP(Q35&amp;"_"&amp;R35,挑战模式!$A$3:$Z$52,2+5*S35,FALSE),'⚪设计'!$B$85:$H$104,7,FALSE)</f>
        <v>0.5</v>
      </c>
      <c r="L35" s="57" t="s">
        <v>854</v>
      </c>
      <c r="M35" t="s">
        <v>468</v>
      </c>
      <c r="N35" t="s">
        <v>469</v>
      </c>
      <c r="O35" t="s">
        <v>470</v>
      </c>
      <c r="Q35" s="110">
        <v>3</v>
      </c>
      <c r="R35" s="110">
        <v>3</v>
      </c>
      <c r="S35" s="110">
        <v>2</v>
      </c>
    </row>
    <row r="36" spans="2:19" s="57" customFormat="1" x14ac:dyDescent="0.2">
      <c r="B36" s="57" t="s">
        <v>804</v>
      </c>
      <c r="C36" s="68" t="s">
        <v>754</v>
      </c>
      <c r="D36" s="55" t="str">
        <f>VLOOKUP(VLOOKUP(Q36&amp;"_"&amp;R36,挑战模式!$A$3:$Z$52,2+5*S36,FALSE),'⚪设计'!$B$85:$H$104,2,FALSE)</f>
        <v>ResUnit_ZhongZi1</v>
      </c>
      <c r="E36" s="55">
        <f>VLOOKUP(VLOOKUP(Q36&amp;"_"&amp;R36,挑战模式!$A$3:$Z$52,2+5*S36,FALSE),'⚪设计'!$B$85:$H$104,6,FALSE)*VLOOKUP(Q36&amp;"_"&amp;R36,挑战模式!$A$3:$Z$52,5,FALSE)</f>
        <v>3</v>
      </c>
      <c r="F36">
        <v>400</v>
      </c>
      <c r="G36" t="b">
        <v>1</v>
      </c>
      <c r="H36">
        <v>1</v>
      </c>
      <c r="I36">
        <v>1</v>
      </c>
      <c r="J36">
        <v>0.25</v>
      </c>
      <c r="K36" s="55">
        <f>VLOOKUP(VLOOKUP(Q36&amp;"_"&amp;R36,挑战模式!$A$3:$Z$52,2+5*S36,FALSE),'⚪设计'!$B$85:$H$104,7,FALSE)</f>
        <v>1</v>
      </c>
      <c r="L36" s="57" t="s">
        <v>855</v>
      </c>
      <c r="M36" t="s">
        <v>468</v>
      </c>
      <c r="N36" t="s">
        <v>469</v>
      </c>
      <c r="O36" t="s">
        <v>470</v>
      </c>
      <c r="P36" s="57" t="s">
        <v>888</v>
      </c>
      <c r="Q36" s="110">
        <v>3</v>
      </c>
      <c r="R36" s="110">
        <v>4</v>
      </c>
      <c r="S36" s="110">
        <v>1</v>
      </c>
    </row>
    <row r="37" spans="2:19" s="57" customFormat="1" x14ac:dyDescent="0.2">
      <c r="B37" s="57" t="s">
        <v>805</v>
      </c>
      <c r="C37" s="68" t="s">
        <v>755</v>
      </c>
      <c r="D37" s="55" t="str">
        <f>VLOOKUP(VLOOKUP(Q37&amp;"_"&amp;R37,挑战模式!$A$3:$Z$52,2+5*S37,FALSE),'⚪设计'!$B$85:$H$104,2,FALSE)</f>
        <v>ResUnit_BianFu1</v>
      </c>
      <c r="E37" s="55">
        <f>VLOOKUP(VLOOKUP(Q37&amp;"_"&amp;R37,挑战模式!$A$3:$Z$52,2+5*S37,FALSE),'⚪设计'!$B$85:$H$104,6,FALSE)*VLOOKUP(Q37&amp;"_"&amp;R37,挑战模式!$A$3:$Z$52,5,FALSE)</f>
        <v>3</v>
      </c>
      <c r="F37">
        <v>400</v>
      </c>
      <c r="G37" t="b">
        <v>1</v>
      </c>
      <c r="H37">
        <v>1</v>
      </c>
      <c r="I37">
        <v>1</v>
      </c>
      <c r="J37">
        <v>0.25</v>
      </c>
      <c r="K37" s="55">
        <f>VLOOKUP(VLOOKUP(Q37&amp;"_"&amp;R37,挑战模式!$A$3:$Z$52,2+5*S37,FALSE),'⚪设计'!$B$85:$H$104,7,FALSE)</f>
        <v>0.5</v>
      </c>
      <c r="L37" s="57" t="s">
        <v>856</v>
      </c>
      <c r="M37" t="s">
        <v>468</v>
      </c>
      <c r="N37" t="s">
        <v>469</v>
      </c>
      <c r="O37" t="s">
        <v>470</v>
      </c>
      <c r="Q37" s="110">
        <v>3</v>
      </c>
      <c r="R37" s="110">
        <v>4</v>
      </c>
      <c r="S37" s="110">
        <v>2</v>
      </c>
    </row>
    <row r="38" spans="2:19" s="57" customFormat="1" x14ac:dyDescent="0.2">
      <c r="B38" s="57" t="s">
        <v>806</v>
      </c>
      <c r="C38" s="68" t="s">
        <v>756</v>
      </c>
      <c r="D38" s="55" t="str">
        <f>VLOOKUP(VLOOKUP(Q38&amp;"_"&amp;R38,挑战模式!$A$3:$Z$52,2+5*S38,FALSE),'⚪设计'!$B$85:$H$104,2,FALSE)</f>
        <v>ResUnit_ZhiZhu1</v>
      </c>
      <c r="E38" s="55">
        <f>VLOOKUP(VLOOKUP(Q38&amp;"_"&amp;R38,挑战模式!$A$3:$Z$52,2+5*S38,FALSE),'⚪设计'!$B$85:$H$104,6,FALSE)*VLOOKUP(Q38&amp;"_"&amp;R38,挑战模式!$A$3:$Z$52,5,FALSE)</f>
        <v>4.5</v>
      </c>
      <c r="F38">
        <v>400</v>
      </c>
      <c r="G38" t="b">
        <v>1</v>
      </c>
      <c r="H38">
        <v>1</v>
      </c>
      <c r="I38">
        <v>1</v>
      </c>
      <c r="J38">
        <v>0.25</v>
      </c>
      <c r="K38" s="55">
        <f>VLOOKUP(VLOOKUP(Q38&amp;"_"&amp;R38,挑战模式!$A$3:$Z$52,2+5*S38,FALSE),'⚪设计'!$B$85:$H$104,7,FALSE)</f>
        <v>1</v>
      </c>
      <c r="L38" s="57" t="s">
        <v>857</v>
      </c>
      <c r="M38" t="s">
        <v>468</v>
      </c>
      <c r="N38" t="s">
        <v>469</v>
      </c>
      <c r="O38" t="s">
        <v>470</v>
      </c>
      <c r="Q38" s="110">
        <v>3</v>
      </c>
      <c r="R38" s="110">
        <v>4</v>
      </c>
      <c r="S38" s="110">
        <v>3</v>
      </c>
    </row>
    <row r="39" spans="2:19" s="57" customFormat="1" x14ac:dyDescent="0.2">
      <c r="B39" s="57" t="s">
        <v>807</v>
      </c>
      <c r="C39" s="68" t="s">
        <v>757</v>
      </c>
      <c r="D39" s="55" t="str">
        <f>VLOOKUP(VLOOKUP(Q39&amp;"_"&amp;R39,挑战模式!$A$3:$Z$52,2+5*S39,FALSE),'⚪设计'!$B$85:$H$104,2,FALSE)</f>
        <v>ResUnit_ZhongZi1</v>
      </c>
      <c r="E39" s="55">
        <f>VLOOKUP(VLOOKUP(Q39&amp;"_"&amp;R39,挑战模式!$A$3:$Z$52,2+5*S39,FALSE),'⚪设计'!$B$85:$H$104,6,FALSE)*VLOOKUP(Q39&amp;"_"&amp;R39,挑战模式!$A$3:$Z$52,5,FALSE)</f>
        <v>3</v>
      </c>
      <c r="F39">
        <v>400</v>
      </c>
      <c r="G39" t="b">
        <v>1</v>
      </c>
      <c r="H39">
        <v>1</v>
      </c>
      <c r="I39">
        <v>1</v>
      </c>
      <c r="J39">
        <v>0.25</v>
      </c>
      <c r="K39" s="55">
        <f>VLOOKUP(VLOOKUP(Q39&amp;"_"&amp;R39,挑战模式!$A$3:$Z$52,2+5*S39,FALSE),'⚪设计'!$B$85:$H$104,7,FALSE)</f>
        <v>1</v>
      </c>
      <c r="L39" s="57" t="s">
        <v>858</v>
      </c>
      <c r="M39" t="s">
        <v>468</v>
      </c>
      <c r="N39" t="s">
        <v>469</v>
      </c>
      <c r="O39" t="s">
        <v>470</v>
      </c>
      <c r="P39" s="57" t="s">
        <v>889</v>
      </c>
      <c r="Q39" s="110">
        <v>3</v>
      </c>
      <c r="R39" s="110">
        <v>5</v>
      </c>
      <c r="S39" s="110">
        <v>1</v>
      </c>
    </row>
    <row r="40" spans="2:19" s="57" customFormat="1" x14ac:dyDescent="0.2">
      <c r="B40" s="57" t="s">
        <v>808</v>
      </c>
      <c r="C40" s="68" t="s">
        <v>758</v>
      </c>
      <c r="D40" s="55" t="str">
        <f>VLOOKUP(VLOOKUP(Q40&amp;"_"&amp;R40,挑战模式!$A$3:$Z$52,2+5*S40,FALSE),'⚪设计'!$B$85:$H$104,2,FALSE)</f>
        <v>ResUnit_MiFeng2</v>
      </c>
      <c r="E40" s="55">
        <f>VLOOKUP(VLOOKUP(Q40&amp;"_"&amp;R40,挑战模式!$A$3:$Z$52,2+5*S40,FALSE),'⚪设计'!$B$85:$H$104,6,FALSE)*VLOOKUP(Q40&amp;"_"&amp;R40,挑战模式!$A$3:$Z$52,5,FALSE)</f>
        <v>3</v>
      </c>
      <c r="F40">
        <v>400</v>
      </c>
      <c r="G40" t="b">
        <v>1</v>
      </c>
      <c r="H40">
        <v>1</v>
      </c>
      <c r="I40">
        <v>1</v>
      </c>
      <c r="J40">
        <v>0.25</v>
      </c>
      <c r="K40" s="55">
        <f>VLOOKUP(VLOOKUP(Q40&amp;"_"&amp;R40,挑战模式!$A$3:$Z$52,2+5*S40,FALSE),'⚪设计'!$B$85:$H$104,7,FALSE)</f>
        <v>0.8</v>
      </c>
      <c r="L40" s="57" t="s">
        <v>859</v>
      </c>
      <c r="M40" t="s">
        <v>468</v>
      </c>
      <c r="N40" t="s">
        <v>469</v>
      </c>
      <c r="O40" t="s">
        <v>470</v>
      </c>
      <c r="Q40" s="110">
        <v>3</v>
      </c>
      <c r="R40" s="110">
        <v>5</v>
      </c>
      <c r="S40" s="110">
        <v>2</v>
      </c>
    </row>
    <row r="41" spans="2:19" s="57" customFormat="1" x14ac:dyDescent="0.2">
      <c r="B41" s="57" t="s">
        <v>809</v>
      </c>
      <c r="C41" s="68" t="s">
        <v>759</v>
      </c>
      <c r="D41" s="55" t="str">
        <f>VLOOKUP(VLOOKUP(Q41&amp;"_"&amp;R41,挑战模式!$A$3:$Z$52,2+5*S41,FALSE),'⚪设计'!$B$85:$H$104,2,FALSE)</f>
        <v>ResUnit_ZhiZhu1</v>
      </c>
      <c r="E41" s="55">
        <f>VLOOKUP(VLOOKUP(Q41&amp;"_"&amp;R41,挑战模式!$A$3:$Z$52,2+5*S41,FALSE),'⚪设计'!$B$85:$H$104,6,FALSE)*VLOOKUP(Q41&amp;"_"&amp;R41,挑战模式!$A$3:$Z$52,5,FALSE)</f>
        <v>4.5</v>
      </c>
      <c r="F41">
        <v>400</v>
      </c>
      <c r="G41" t="b">
        <v>1</v>
      </c>
      <c r="H41">
        <v>1</v>
      </c>
      <c r="I41">
        <v>1</v>
      </c>
      <c r="J41">
        <v>0.25</v>
      </c>
      <c r="K41" s="55">
        <f>VLOOKUP(VLOOKUP(Q41&amp;"_"&amp;R41,挑战模式!$A$3:$Z$52,2+5*S41,FALSE),'⚪设计'!$B$85:$H$104,7,FALSE)</f>
        <v>1</v>
      </c>
      <c r="L41" s="57" t="s">
        <v>860</v>
      </c>
      <c r="M41" t="s">
        <v>468</v>
      </c>
      <c r="N41" t="s">
        <v>469</v>
      </c>
      <c r="O41" t="s">
        <v>470</v>
      </c>
      <c r="Q41" s="110">
        <v>3</v>
      </c>
      <c r="R41" s="110">
        <v>5</v>
      </c>
      <c r="S41" s="110">
        <v>3</v>
      </c>
    </row>
    <row r="42" spans="2:19" s="57" customFormat="1" x14ac:dyDescent="0.2">
      <c r="B42" s="57" t="s">
        <v>810</v>
      </c>
      <c r="C42" s="68" t="s">
        <v>760</v>
      </c>
      <c r="D42" s="55" t="str">
        <f>VLOOKUP(VLOOKUP(Q42&amp;"_"&amp;R42,挑战模式!$A$3:$Z$52,2+5*S42,FALSE),'⚪设计'!$B$85:$H$104,2,FALSE)</f>
        <v>ResUnit_Gui1</v>
      </c>
      <c r="E42" s="55">
        <f>VLOOKUP(VLOOKUP(Q42&amp;"_"&amp;R42,挑战模式!$A$3:$Z$52,2+5*S42,FALSE),'⚪设计'!$B$85:$H$104,6,FALSE)*VLOOKUP(Q42&amp;"_"&amp;R42,挑战模式!$A$3:$Z$52,5,FALSE)</f>
        <v>3</v>
      </c>
      <c r="F42">
        <v>400</v>
      </c>
      <c r="G42" t="b">
        <v>1</v>
      </c>
      <c r="H42">
        <v>1</v>
      </c>
      <c r="I42">
        <v>1</v>
      </c>
      <c r="J42">
        <v>0.25</v>
      </c>
      <c r="K42" s="55">
        <f>VLOOKUP(VLOOKUP(Q42&amp;"_"&amp;R42,挑战模式!$A$3:$Z$52,2+5*S42,FALSE),'⚪设计'!$B$85:$H$104,7,FALSE)</f>
        <v>1</v>
      </c>
      <c r="L42" s="57" t="s">
        <v>861</v>
      </c>
      <c r="M42" t="s">
        <v>468</v>
      </c>
      <c r="N42" t="s">
        <v>469</v>
      </c>
      <c r="O42" t="s">
        <v>470</v>
      </c>
      <c r="P42" s="57" t="s">
        <v>912</v>
      </c>
      <c r="Q42" s="110">
        <v>4</v>
      </c>
      <c r="R42" s="110">
        <v>1</v>
      </c>
      <c r="S42" s="110">
        <v>1</v>
      </c>
    </row>
    <row r="43" spans="2:19" s="57" customFormat="1" x14ac:dyDescent="0.2">
      <c r="B43" s="57" t="s">
        <v>811</v>
      </c>
      <c r="C43" s="68" t="s">
        <v>761</v>
      </c>
      <c r="D43" s="55" t="str">
        <f>VLOOKUP(VLOOKUP(Q43&amp;"_"&amp;R43,挑战模式!$A$3:$Z$52,2+5*S43,FALSE),'⚪设计'!$B$85:$H$104,2,FALSE)</f>
        <v>ResUnit_Gui1</v>
      </c>
      <c r="E43" s="55">
        <f>VLOOKUP(VLOOKUP(Q43&amp;"_"&amp;R43,挑战模式!$A$3:$Z$52,2+5*S43,FALSE),'⚪设计'!$B$85:$H$104,6,FALSE)*VLOOKUP(Q43&amp;"_"&amp;R43,挑战模式!$A$3:$Z$52,5,FALSE)</f>
        <v>3</v>
      </c>
      <c r="F43">
        <v>400</v>
      </c>
      <c r="G43" t="b">
        <v>1</v>
      </c>
      <c r="H43">
        <v>1</v>
      </c>
      <c r="I43">
        <v>1</v>
      </c>
      <c r="J43">
        <v>0.25</v>
      </c>
      <c r="K43" s="55">
        <f>VLOOKUP(VLOOKUP(Q43&amp;"_"&amp;R43,挑战模式!$A$3:$Z$52,2+5*S43,FALSE),'⚪设计'!$B$85:$H$104,7,FALSE)</f>
        <v>1</v>
      </c>
      <c r="L43" s="57" t="s">
        <v>862</v>
      </c>
      <c r="M43" t="s">
        <v>468</v>
      </c>
      <c r="N43" t="s">
        <v>469</v>
      </c>
      <c r="O43" t="s">
        <v>470</v>
      </c>
      <c r="P43" s="57" t="s">
        <v>913</v>
      </c>
      <c r="Q43" s="110">
        <v>4</v>
      </c>
      <c r="R43" s="110">
        <v>2</v>
      </c>
      <c r="S43" s="110">
        <v>1</v>
      </c>
    </row>
    <row r="44" spans="2:19" s="57" customFormat="1" x14ac:dyDescent="0.2">
      <c r="B44" s="57" t="s">
        <v>812</v>
      </c>
      <c r="C44" s="68" t="s">
        <v>762</v>
      </c>
      <c r="D44" s="55" t="str">
        <f>VLOOKUP(VLOOKUP(Q44&amp;"_"&amp;R44,挑战模式!$A$3:$Z$52,2+5*S44,FALSE),'⚪设计'!$B$85:$H$104,2,FALSE)</f>
        <v>ResUnit_MiFeng2</v>
      </c>
      <c r="E44" s="55">
        <f>VLOOKUP(VLOOKUP(Q44&amp;"_"&amp;R44,挑战模式!$A$3:$Z$52,2+5*S44,FALSE),'⚪设计'!$B$85:$H$104,6,FALSE)*VLOOKUP(Q44&amp;"_"&amp;R44,挑战模式!$A$3:$Z$52,5,FALSE)</f>
        <v>3</v>
      </c>
      <c r="F44">
        <v>400</v>
      </c>
      <c r="G44" t="b">
        <v>1</v>
      </c>
      <c r="H44">
        <v>1</v>
      </c>
      <c r="I44">
        <v>1</v>
      </c>
      <c r="J44">
        <v>0.25</v>
      </c>
      <c r="K44" s="55">
        <f>VLOOKUP(VLOOKUP(Q44&amp;"_"&amp;R44,挑战模式!$A$3:$Z$52,2+5*S44,FALSE),'⚪设计'!$B$85:$H$104,7,FALSE)</f>
        <v>0.8</v>
      </c>
      <c r="L44" s="57" t="s">
        <v>863</v>
      </c>
      <c r="M44" t="s">
        <v>468</v>
      </c>
      <c r="N44" t="s">
        <v>469</v>
      </c>
      <c r="O44" t="s">
        <v>470</v>
      </c>
      <c r="Q44" s="110">
        <v>4</v>
      </c>
      <c r="R44" s="110">
        <v>2</v>
      </c>
      <c r="S44" s="110">
        <v>2</v>
      </c>
    </row>
    <row r="45" spans="2:19" s="57" customFormat="1" x14ac:dyDescent="0.2">
      <c r="B45" s="57" t="s">
        <v>813</v>
      </c>
      <c r="C45" s="68" t="s">
        <v>763</v>
      </c>
      <c r="D45" s="55" t="str">
        <f>VLOOKUP(VLOOKUP(Q45&amp;"_"&amp;R45,挑战模式!$A$3:$Z$52,2+5*S45,FALSE),'⚪设计'!$B$85:$H$104,2,FALSE)</f>
        <v>ResUnit_Gui1</v>
      </c>
      <c r="E45" s="55">
        <f>VLOOKUP(VLOOKUP(Q45&amp;"_"&amp;R45,挑战模式!$A$3:$Z$52,2+5*S45,FALSE),'⚪设计'!$B$85:$H$104,6,FALSE)*VLOOKUP(Q45&amp;"_"&amp;R45,挑战模式!$A$3:$Z$52,5,FALSE)</f>
        <v>3</v>
      </c>
      <c r="F45">
        <v>400</v>
      </c>
      <c r="G45" t="b">
        <v>1</v>
      </c>
      <c r="H45">
        <v>1</v>
      </c>
      <c r="I45">
        <v>1</v>
      </c>
      <c r="J45">
        <v>0.25</v>
      </c>
      <c r="K45" s="55">
        <f>VLOOKUP(VLOOKUP(Q45&amp;"_"&amp;R45,挑战模式!$A$3:$Z$52,2+5*S45,FALSE),'⚪设计'!$B$85:$H$104,7,FALSE)</f>
        <v>1</v>
      </c>
      <c r="L45" s="57" t="s">
        <v>864</v>
      </c>
      <c r="M45" t="s">
        <v>468</v>
      </c>
      <c r="N45" t="s">
        <v>469</v>
      </c>
      <c r="O45" t="s">
        <v>470</v>
      </c>
      <c r="P45" s="57" t="s">
        <v>914</v>
      </c>
      <c r="Q45" s="110">
        <v>4</v>
      </c>
      <c r="R45" s="110">
        <v>3</v>
      </c>
      <c r="S45" s="110">
        <v>1</v>
      </c>
    </row>
    <row r="46" spans="2:19" s="57" customFormat="1" x14ac:dyDescent="0.2">
      <c r="B46" s="57" t="s">
        <v>814</v>
      </c>
      <c r="C46" s="68" t="s">
        <v>764</v>
      </c>
      <c r="D46" s="55" t="str">
        <f>VLOOKUP(VLOOKUP(Q46&amp;"_"&amp;R46,挑战模式!$A$3:$Z$52,2+5*S46,FALSE),'⚪设计'!$B$85:$H$104,2,FALSE)</f>
        <v>ResUnit_BianFu1</v>
      </c>
      <c r="E46" s="55">
        <f>VLOOKUP(VLOOKUP(Q46&amp;"_"&amp;R46,挑战模式!$A$3:$Z$52,2+5*S46,FALSE),'⚪设计'!$B$85:$H$104,6,FALSE)*VLOOKUP(Q46&amp;"_"&amp;R46,挑战模式!$A$3:$Z$52,5,FALSE)</f>
        <v>3</v>
      </c>
      <c r="F46">
        <v>400</v>
      </c>
      <c r="G46" t="b">
        <v>1</v>
      </c>
      <c r="H46">
        <v>1</v>
      </c>
      <c r="I46">
        <v>1</v>
      </c>
      <c r="J46">
        <v>0.25</v>
      </c>
      <c r="K46" s="55">
        <f>VLOOKUP(VLOOKUP(Q46&amp;"_"&amp;R46,挑战模式!$A$3:$Z$52,2+5*S46,FALSE),'⚪设计'!$B$85:$H$104,7,FALSE)</f>
        <v>0.5</v>
      </c>
      <c r="L46" s="57" t="s">
        <v>865</v>
      </c>
      <c r="M46" t="s">
        <v>468</v>
      </c>
      <c r="N46" t="s">
        <v>469</v>
      </c>
      <c r="O46" t="s">
        <v>470</v>
      </c>
      <c r="Q46" s="110">
        <v>4</v>
      </c>
      <c r="R46" s="110">
        <v>3</v>
      </c>
      <c r="S46" s="110">
        <v>2</v>
      </c>
    </row>
    <row r="47" spans="2:19" s="57" customFormat="1" x14ac:dyDescent="0.2">
      <c r="B47" s="57" t="s">
        <v>815</v>
      </c>
      <c r="C47" s="68" t="s">
        <v>765</v>
      </c>
      <c r="D47" s="55" t="str">
        <f>VLOOKUP(VLOOKUP(Q47&amp;"_"&amp;R47,挑战模式!$A$3:$Z$52,2+5*S47,FALSE),'⚪设计'!$B$85:$H$104,2,FALSE)</f>
        <v>ResUnit_Gui1</v>
      </c>
      <c r="E47" s="55">
        <f>VLOOKUP(VLOOKUP(Q47&amp;"_"&amp;R47,挑战模式!$A$3:$Z$52,2+5*S47,FALSE),'⚪设计'!$B$85:$H$104,6,FALSE)*VLOOKUP(Q47&amp;"_"&amp;R47,挑战模式!$A$3:$Z$52,5,FALSE)</f>
        <v>3</v>
      </c>
      <c r="F47">
        <v>400</v>
      </c>
      <c r="G47" t="b">
        <v>1</v>
      </c>
      <c r="H47">
        <v>1</v>
      </c>
      <c r="I47">
        <v>1</v>
      </c>
      <c r="J47">
        <v>0.25</v>
      </c>
      <c r="K47" s="55">
        <f>VLOOKUP(VLOOKUP(Q47&amp;"_"&amp;R47,挑战模式!$A$3:$Z$52,2+5*S47,FALSE),'⚪设计'!$B$85:$H$104,7,FALSE)</f>
        <v>1</v>
      </c>
      <c r="L47" s="57" t="s">
        <v>866</v>
      </c>
      <c r="M47" t="s">
        <v>468</v>
      </c>
      <c r="N47" t="s">
        <v>469</v>
      </c>
      <c r="O47" t="s">
        <v>470</v>
      </c>
      <c r="P47" s="57" t="s">
        <v>915</v>
      </c>
      <c r="Q47" s="110">
        <v>4</v>
      </c>
      <c r="R47" s="110">
        <v>4</v>
      </c>
      <c r="S47" s="110">
        <v>1</v>
      </c>
    </row>
    <row r="48" spans="2:19" s="57" customFormat="1" x14ac:dyDescent="0.2">
      <c r="B48" s="57" t="s">
        <v>816</v>
      </c>
      <c r="C48" s="68" t="s">
        <v>766</v>
      </c>
      <c r="D48" s="55" t="str">
        <f>VLOOKUP(VLOOKUP(Q48&amp;"_"&amp;R48,挑战模式!$A$3:$Z$52,2+5*S48,FALSE),'⚪设计'!$B$85:$H$104,2,FALSE)</f>
        <v>ResUnit_ZhiZhu1</v>
      </c>
      <c r="E48" s="55">
        <f>VLOOKUP(VLOOKUP(Q48&amp;"_"&amp;R48,挑战模式!$A$3:$Z$52,2+5*S48,FALSE),'⚪设计'!$B$85:$H$104,6,FALSE)*VLOOKUP(Q48&amp;"_"&amp;R48,挑战模式!$A$3:$Z$52,5,FALSE)</f>
        <v>4.5</v>
      </c>
      <c r="F48">
        <v>400</v>
      </c>
      <c r="G48" t="b">
        <v>1</v>
      </c>
      <c r="H48">
        <v>1</v>
      </c>
      <c r="I48">
        <v>1</v>
      </c>
      <c r="J48">
        <v>0.25</v>
      </c>
      <c r="K48" s="55">
        <f>VLOOKUP(VLOOKUP(Q48&amp;"_"&amp;R48,挑战模式!$A$3:$Z$52,2+5*S48,FALSE),'⚪设计'!$B$85:$H$104,7,FALSE)</f>
        <v>1</v>
      </c>
      <c r="L48" s="57" t="s">
        <v>867</v>
      </c>
      <c r="M48" t="s">
        <v>468</v>
      </c>
      <c r="N48" t="s">
        <v>469</v>
      </c>
      <c r="O48" t="s">
        <v>470</v>
      </c>
      <c r="Q48" s="110">
        <v>4</v>
      </c>
      <c r="R48" s="110">
        <v>4</v>
      </c>
      <c r="S48" s="110">
        <v>2</v>
      </c>
    </row>
    <row r="49" spans="2:19" s="57" customFormat="1" x14ac:dyDescent="0.2">
      <c r="B49" s="57" t="s">
        <v>817</v>
      </c>
      <c r="C49" s="68" t="s">
        <v>767</v>
      </c>
      <c r="D49" s="55" t="str">
        <f>VLOOKUP(VLOOKUP(Q49&amp;"_"&amp;R49,挑战模式!$A$3:$Z$52,2+5*S49,FALSE),'⚪设计'!$B$85:$H$104,2,FALSE)</f>
        <v>ResUnit_Gui1</v>
      </c>
      <c r="E49" s="55">
        <f>VLOOKUP(VLOOKUP(Q49&amp;"_"&amp;R49,挑战模式!$A$3:$Z$52,2+5*S49,FALSE),'⚪设计'!$B$85:$H$104,6,FALSE)*VLOOKUP(Q49&amp;"_"&amp;R49,挑战模式!$A$3:$Z$52,5,FALSE)</f>
        <v>3</v>
      </c>
      <c r="F49">
        <v>400</v>
      </c>
      <c r="G49" t="b">
        <v>1</v>
      </c>
      <c r="H49">
        <v>1</v>
      </c>
      <c r="I49">
        <v>1</v>
      </c>
      <c r="J49">
        <v>0.25</v>
      </c>
      <c r="K49" s="55">
        <f>VLOOKUP(VLOOKUP(Q49&amp;"_"&amp;R49,挑战模式!$A$3:$Z$52,2+5*S49,FALSE),'⚪设计'!$B$85:$H$104,7,FALSE)</f>
        <v>1</v>
      </c>
      <c r="L49" s="57" t="s">
        <v>868</v>
      </c>
      <c r="M49" t="s">
        <v>468</v>
      </c>
      <c r="N49" t="s">
        <v>469</v>
      </c>
      <c r="O49" t="s">
        <v>470</v>
      </c>
      <c r="P49" s="57" t="s">
        <v>916</v>
      </c>
      <c r="Q49" s="110">
        <v>4</v>
      </c>
      <c r="R49" s="110">
        <v>5</v>
      </c>
      <c r="S49" s="110">
        <v>1</v>
      </c>
    </row>
    <row r="50" spans="2:19" s="57" customFormat="1" x14ac:dyDescent="0.2">
      <c r="B50" s="57" t="s">
        <v>818</v>
      </c>
      <c r="C50" s="68" t="s">
        <v>768</v>
      </c>
      <c r="D50" s="55" t="str">
        <f>VLOOKUP(VLOOKUP(Q50&amp;"_"&amp;R50,挑战模式!$A$3:$Z$52,2+5*S50,FALSE),'⚪设计'!$B$85:$H$104,2,FALSE)</f>
        <v>ResUnit_ZhongZi1</v>
      </c>
      <c r="E50" s="55">
        <f>VLOOKUP(VLOOKUP(Q50&amp;"_"&amp;R50,挑战模式!$A$3:$Z$52,2+5*S50,FALSE),'⚪设计'!$B$85:$H$104,6,FALSE)*VLOOKUP(Q50&amp;"_"&amp;R50,挑战模式!$A$3:$Z$52,5,FALSE)</f>
        <v>3</v>
      </c>
      <c r="F50">
        <v>400</v>
      </c>
      <c r="G50" t="b">
        <v>1</v>
      </c>
      <c r="H50">
        <v>1</v>
      </c>
      <c r="I50">
        <v>1</v>
      </c>
      <c r="J50">
        <v>0.25</v>
      </c>
      <c r="K50" s="55">
        <f>VLOOKUP(VLOOKUP(Q50&amp;"_"&amp;R50,挑战模式!$A$3:$Z$52,2+5*S50,FALSE),'⚪设计'!$B$85:$H$104,7,FALSE)</f>
        <v>1</v>
      </c>
      <c r="L50" s="57" t="s">
        <v>869</v>
      </c>
      <c r="M50" t="s">
        <v>468</v>
      </c>
      <c r="N50" t="s">
        <v>469</v>
      </c>
      <c r="O50" t="s">
        <v>470</v>
      </c>
      <c r="P50" s="57" t="s">
        <v>890</v>
      </c>
      <c r="Q50" s="110">
        <v>4</v>
      </c>
      <c r="R50" s="110">
        <v>5</v>
      </c>
      <c r="S50" s="110">
        <v>2</v>
      </c>
    </row>
    <row r="51" spans="2:19" s="57" customFormat="1" x14ac:dyDescent="0.2">
      <c r="B51" s="57" t="s">
        <v>831</v>
      </c>
      <c r="C51" s="68" t="s">
        <v>769</v>
      </c>
      <c r="D51" s="55" t="str">
        <f>VLOOKUP(VLOOKUP(Q51&amp;"_"&amp;R51,挑战模式!$A$3:$Z$52,2+5*S51,FALSE),'⚪设计'!$B$85:$H$104,2,FALSE)</f>
        <v>ResUnit_Dan2</v>
      </c>
      <c r="E51" s="55">
        <f>VLOOKUP(VLOOKUP(Q51&amp;"_"&amp;R51,挑战模式!$A$3:$Z$52,2+5*S51,FALSE),'⚪设计'!$B$85:$H$104,6,FALSE)*VLOOKUP(Q51&amp;"_"&amp;R51,挑战模式!$A$3:$Z$52,5,FALSE)</f>
        <v>3</v>
      </c>
      <c r="F51">
        <v>400</v>
      </c>
      <c r="G51" t="b">
        <v>1</v>
      </c>
      <c r="H51">
        <v>1</v>
      </c>
      <c r="I51">
        <v>1</v>
      </c>
      <c r="J51">
        <v>0.25</v>
      </c>
      <c r="K51" s="55">
        <f>VLOOKUP(VLOOKUP(Q51&amp;"_"&amp;R51,挑战模式!$A$3:$Z$52,2+5*S51,FALSE),'⚪设计'!$B$85:$H$104,7,FALSE)</f>
        <v>1.3</v>
      </c>
      <c r="L51" s="57" t="s">
        <v>870</v>
      </c>
      <c r="M51" t="s">
        <v>468</v>
      </c>
      <c r="N51" t="s">
        <v>469</v>
      </c>
      <c r="O51" t="s">
        <v>470</v>
      </c>
      <c r="P51" s="57" t="s">
        <v>930</v>
      </c>
      <c r="Q51" s="110">
        <v>5</v>
      </c>
      <c r="R51" s="110">
        <v>1</v>
      </c>
      <c r="S51" s="110">
        <v>1</v>
      </c>
    </row>
    <row r="52" spans="2:19" s="57" customFormat="1" x14ac:dyDescent="0.2">
      <c r="B52" s="57" t="s">
        <v>819</v>
      </c>
      <c r="C52" s="68" t="s">
        <v>770</v>
      </c>
      <c r="D52" s="55" t="str">
        <f>VLOOKUP(VLOOKUP(Q52&amp;"_"&amp;R52,挑战模式!$A$3:$Z$52,2+5*S52,FALSE),'⚪设计'!$B$85:$H$104,2,FALSE)</f>
        <v>ResUnit_Dan2</v>
      </c>
      <c r="E52" s="55">
        <f>VLOOKUP(VLOOKUP(Q52&amp;"_"&amp;R52,挑战模式!$A$3:$Z$52,2+5*S52,FALSE),'⚪设计'!$B$85:$H$104,6,FALSE)*VLOOKUP(Q52&amp;"_"&amp;R52,挑战模式!$A$3:$Z$52,5,FALSE)</f>
        <v>3</v>
      </c>
      <c r="F52">
        <v>400</v>
      </c>
      <c r="G52" t="b">
        <v>1</v>
      </c>
      <c r="H52">
        <v>1</v>
      </c>
      <c r="I52">
        <v>1</v>
      </c>
      <c r="J52">
        <v>0.25</v>
      </c>
      <c r="K52" s="55">
        <f>VLOOKUP(VLOOKUP(Q52&amp;"_"&amp;R52,挑战模式!$A$3:$Z$52,2+5*S52,FALSE),'⚪设计'!$B$85:$H$104,7,FALSE)</f>
        <v>1.3</v>
      </c>
      <c r="L52" s="57" t="s">
        <v>871</v>
      </c>
      <c r="M52" t="s">
        <v>468</v>
      </c>
      <c r="N52" t="s">
        <v>469</v>
      </c>
      <c r="O52" t="s">
        <v>470</v>
      </c>
      <c r="P52" s="57" t="s">
        <v>931</v>
      </c>
      <c r="Q52" s="110">
        <v>5</v>
      </c>
      <c r="R52" s="110">
        <v>2</v>
      </c>
      <c r="S52" s="110">
        <v>1</v>
      </c>
    </row>
    <row r="53" spans="2:19" s="57" customFormat="1" x14ac:dyDescent="0.2">
      <c r="B53" s="57" t="s">
        <v>820</v>
      </c>
      <c r="C53" s="68" t="s">
        <v>771</v>
      </c>
      <c r="D53" s="55" t="str">
        <f>VLOOKUP(VLOOKUP(Q53&amp;"_"&amp;R53,挑战模式!$A$3:$Z$52,2+5*S53,FALSE),'⚪设计'!$B$85:$H$104,2,FALSE)</f>
        <v>ResUnit_BianFu1</v>
      </c>
      <c r="E53" s="55">
        <f>VLOOKUP(VLOOKUP(Q53&amp;"_"&amp;R53,挑战模式!$A$3:$Z$52,2+5*S53,FALSE),'⚪设计'!$B$85:$H$104,6,FALSE)*VLOOKUP(Q53&amp;"_"&amp;R53,挑战模式!$A$3:$Z$52,5,FALSE)</f>
        <v>3</v>
      </c>
      <c r="F53">
        <v>400</v>
      </c>
      <c r="G53" t="b">
        <v>1</v>
      </c>
      <c r="H53">
        <v>1</v>
      </c>
      <c r="I53">
        <v>1</v>
      </c>
      <c r="J53">
        <v>0.25</v>
      </c>
      <c r="K53" s="55">
        <f>VLOOKUP(VLOOKUP(Q53&amp;"_"&amp;R53,挑战模式!$A$3:$Z$52,2+5*S53,FALSE),'⚪设计'!$B$85:$H$104,7,FALSE)</f>
        <v>0.5</v>
      </c>
      <c r="L53" s="57" t="s">
        <v>872</v>
      </c>
      <c r="M53" t="s">
        <v>468</v>
      </c>
      <c r="N53" t="s">
        <v>469</v>
      </c>
      <c r="O53" t="s">
        <v>470</v>
      </c>
      <c r="Q53" s="110">
        <v>5</v>
      </c>
      <c r="R53" s="110">
        <v>2</v>
      </c>
      <c r="S53" s="110">
        <v>2</v>
      </c>
    </row>
    <row r="54" spans="2:19" s="57" customFormat="1" x14ac:dyDescent="0.2">
      <c r="B54" s="57" t="s">
        <v>821</v>
      </c>
      <c r="C54" s="68" t="s">
        <v>772</v>
      </c>
      <c r="D54" s="55" t="str">
        <f>VLOOKUP(VLOOKUP(Q54&amp;"_"&amp;R54,挑战模式!$A$3:$Z$52,2+5*S54,FALSE),'⚪设计'!$B$85:$H$104,2,FALSE)</f>
        <v>ResUnit_Dan2</v>
      </c>
      <c r="E54" s="55">
        <f>VLOOKUP(VLOOKUP(Q54&amp;"_"&amp;R54,挑战模式!$A$3:$Z$52,2+5*S54,FALSE),'⚪设计'!$B$85:$H$104,6,FALSE)*VLOOKUP(Q54&amp;"_"&amp;R54,挑战模式!$A$3:$Z$52,5,FALSE)</f>
        <v>3</v>
      </c>
      <c r="F54">
        <v>400</v>
      </c>
      <c r="G54" t="b">
        <v>1</v>
      </c>
      <c r="H54">
        <v>1</v>
      </c>
      <c r="I54">
        <v>1</v>
      </c>
      <c r="J54">
        <v>0.25</v>
      </c>
      <c r="K54" s="55">
        <f>VLOOKUP(VLOOKUP(Q54&amp;"_"&amp;R54,挑战模式!$A$3:$Z$52,2+5*S54,FALSE),'⚪设计'!$B$85:$H$104,7,FALSE)</f>
        <v>1.3</v>
      </c>
      <c r="L54" s="57" t="s">
        <v>873</v>
      </c>
      <c r="M54" t="s">
        <v>468</v>
      </c>
      <c r="N54" t="s">
        <v>469</v>
      </c>
      <c r="O54" t="s">
        <v>470</v>
      </c>
      <c r="P54" s="57" t="s">
        <v>932</v>
      </c>
      <c r="Q54" s="110">
        <v>5</v>
      </c>
      <c r="R54" s="110">
        <v>3</v>
      </c>
      <c r="S54" s="110">
        <v>1</v>
      </c>
    </row>
    <row r="55" spans="2:19" s="57" customFormat="1" x14ac:dyDescent="0.2">
      <c r="B55" s="57" t="s">
        <v>822</v>
      </c>
      <c r="C55" s="68" t="s">
        <v>773</v>
      </c>
      <c r="D55" s="55" t="str">
        <f>VLOOKUP(VLOOKUP(Q55&amp;"_"&amp;R55,挑战模式!$A$3:$Z$52,2+5*S55,FALSE),'⚪设计'!$B$85:$H$104,2,FALSE)</f>
        <v>ResUnit_ZhiZhu1</v>
      </c>
      <c r="E55" s="55">
        <f>VLOOKUP(VLOOKUP(Q55&amp;"_"&amp;R55,挑战模式!$A$3:$Z$52,2+5*S55,FALSE),'⚪设计'!$B$85:$H$104,6,FALSE)*VLOOKUP(Q55&amp;"_"&amp;R55,挑战模式!$A$3:$Z$52,5,FALSE)</f>
        <v>4.5</v>
      </c>
      <c r="F55">
        <v>400</v>
      </c>
      <c r="G55" t="b">
        <v>1</v>
      </c>
      <c r="H55">
        <v>1</v>
      </c>
      <c r="I55">
        <v>1</v>
      </c>
      <c r="J55">
        <v>0.25</v>
      </c>
      <c r="K55" s="55">
        <f>VLOOKUP(VLOOKUP(Q55&amp;"_"&amp;R55,挑战模式!$A$3:$Z$52,2+5*S55,FALSE),'⚪设计'!$B$85:$H$104,7,FALSE)</f>
        <v>1</v>
      </c>
      <c r="L55" s="57" t="s">
        <v>874</v>
      </c>
      <c r="M55" t="s">
        <v>468</v>
      </c>
      <c r="N55" t="s">
        <v>469</v>
      </c>
      <c r="O55" t="s">
        <v>470</v>
      </c>
      <c r="Q55" s="110">
        <v>5</v>
      </c>
      <c r="R55" s="110">
        <v>3</v>
      </c>
      <c r="S55" s="110">
        <v>2</v>
      </c>
    </row>
    <row r="56" spans="2:19" s="57" customFormat="1" x14ac:dyDescent="0.2">
      <c r="B56" s="57" t="s">
        <v>823</v>
      </c>
      <c r="C56" s="68" t="s">
        <v>774</v>
      </c>
      <c r="D56" s="55" t="str">
        <f>VLOOKUP(VLOOKUP(Q56&amp;"_"&amp;R56,挑战模式!$A$3:$Z$52,2+5*S56,FALSE),'⚪设计'!$B$85:$H$104,2,FALSE)</f>
        <v>ResUnit_Gui1</v>
      </c>
      <c r="E56" s="55">
        <f>VLOOKUP(VLOOKUP(Q56&amp;"_"&amp;R56,挑战模式!$A$3:$Z$52,2+5*S56,FALSE),'⚪设计'!$B$85:$H$104,6,FALSE)*VLOOKUP(Q56&amp;"_"&amp;R56,挑战模式!$A$3:$Z$52,5,FALSE)</f>
        <v>3</v>
      </c>
      <c r="F56">
        <v>400</v>
      </c>
      <c r="G56" t="b">
        <v>1</v>
      </c>
      <c r="H56">
        <v>1</v>
      </c>
      <c r="I56">
        <v>1</v>
      </c>
      <c r="J56">
        <v>0.25</v>
      </c>
      <c r="K56" s="55">
        <f>VLOOKUP(VLOOKUP(Q56&amp;"_"&amp;R56,挑战模式!$A$3:$Z$52,2+5*S56,FALSE),'⚪设计'!$B$85:$H$104,7,FALSE)</f>
        <v>1</v>
      </c>
      <c r="L56" s="57" t="s">
        <v>875</v>
      </c>
      <c r="M56" t="s">
        <v>468</v>
      </c>
      <c r="N56" t="s">
        <v>469</v>
      </c>
      <c r="O56" t="s">
        <v>470</v>
      </c>
      <c r="P56" s="57" t="s">
        <v>917</v>
      </c>
      <c r="Q56" s="110">
        <v>5</v>
      </c>
      <c r="R56" s="110">
        <v>3</v>
      </c>
      <c r="S56" s="110">
        <v>3</v>
      </c>
    </row>
    <row r="57" spans="2:19" s="57" customFormat="1" x14ac:dyDescent="0.2">
      <c r="B57" s="57" t="s">
        <v>824</v>
      </c>
      <c r="C57" s="68" t="s">
        <v>775</v>
      </c>
      <c r="D57" s="55" t="str">
        <f>VLOOKUP(VLOOKUP(Q57&amp;"_"&amp;R57,挑战模式!$A$3:$Z$52,2+5*S57,FALSE),'⚪设计'!$B$85:$H$104,2,FALSE)</f>
        <v>ResUnit_Dan2</v>
      </c>
      <c r="E57" s="55">
        <f>VLOOKUP(VLOOKUP(Q57&amp;"_"&amp;R57,挑战模式!$A$3:$Z$52,2+5*S57,FALSE),'⚪设计'!$B$85:$H$104,6,FALSE)*VLOOKUP(Q57&amp;"_"&amp;R57,挑战模式!$A$3:$Z$52,5,FALSE)</f>
        <v>3</v>
      </c>
      <c r="F57">
        <v>400</v>
      </c>
      <c r="G57" t="b">
        <v>1</v>
      </c>
      <c r="H57">
        <v>1</v>
      </c>
      <c r="I57">
        <v>1</v>
      </c>
      <c r="J57">
        <v>0.25</v>
      </c>
      <c r="K57" s="55">
        <f>VLOOKUP(VLOOKUP(Q57&amp;"_"&amp;R57,挑战模式!$A$3:$Z$52,2+5*S57,FALSE),'⚪设计'!$B$85:$H$104,7,FALSE)</f>
        <v>1.3</v>
      </c>
      <c r="L57" s="57" t="s">
        <v>876</v>
      </c>
      <c r="M57" t="s">
        <v>468</v>
      </c>
      <c r="N57" t="s">
        <v>469</v>
      </c>
      <c r="O57" t="s">
        <v>470</v>
      </c>
      <c r="P57" s="57" t="s">
        <v>933</v>
      </c>
      <c r="Q57" s="110">
        <v>5</v>
      </c>
      <c r="R57" s="110">
        <v>4</v>
      </c>
      <c r="S57" s="110">
        <v>1</v>
      </c>
    </row>
    <row r="58" spans="2:19" s="57" customFormat="1" x14ac:dyDescent="0.2">
      <c r="B58" s="57" t="s">
        <v>825</v>
      </c>
      <c r="C58" s="68" t="s">
        <v>776</v>
      </c>
      <c r="D58" s="55" t="str">
        <f>VLOOKUP(VLOOKUP(Q58&amp;"_"&amp;R58,挑战模式!$A$3:$Z$52,2+5*S58,FALSE),'⚪设计'!$B$85:$H$104,2,FALSE)</f>
        <v>ResUnit_Gui1</v>
      </c>
      <c r="E58" s="55">
        <f>VLOOKUP(VLOOKUP(Q58&amp;"_"&amp;R58,挑战模式!$A$3:$Z$52,2+5*S58,FALSE),'⚪设计'!$B$85:$H$104,6,FALSE)*VLOOKUP(Q58&amp;"_"&amp;R58,挑战模式!$A$3:$Z$52,5,FALSE)</f>
        <v>3</v>
      </c>
      <c r="F58">
        <v>400</v>
      </c>
      <c r="G58" t="b">
        <v>1</v>
      </c>
      <c r="H58">
        <v>1</v>
      </c>
      <c r="I58">
        <v>1</v>
      </c>
      <c r="J58">
        <v>0.25</v>
      </c>
      <c r="K58" s="55">
        <f>VLOOKUP(VLOOKUP(Q58&amp;"_"&amp;R58,挑战模式!$A$3:$Z$52,2+5*S58,FALSE),'⚪设计'!$B$85:$H$104,7,FALSE)</f>
        <v>1</v>
      </c>
      <c r="L58" s="57" t="s">
        <v>877</v>
      </c>
      <c r="M58" t="s">
        <v>468</v>
      </c>
      <c r="N58" t="s">
        <v>469</v>
      </c>
      <c r="O58" t="s">
        <v>470</v>
      </c>
      <c r="P58" s="57" t="s">
        <v>918</v>
      </c>
      <c r="Q58" s="110">
        <v>5</v>
      </c>
      <c r="R58" s="110">
        <v>4</v>
      </c>
      <c r="S58" s="110">
        <v>2</v>
      </c>
    </row>
    <row r="59" spans="2:19" s="57" customFormat="1" x14ac:dyDescent="0.2">
      <c r="B59" s="57" t="s">
        <v>826</v>
      </c>
      <c r="C59" s="68" t="s">
        <v>777</v>
      </c>
      <c r="D59" s="55" t="str">
        <f>VLOOKUP(VLOOKUP(Q59&amp;"_"&amp;R59,挑战模式!$A$3:$Z$52,2+5*S59,FALSE),'⚪设计'!$B$85:$H$104,2,FALSE)</f>
        <v>ResUnit_Dan2</v>
      </c>
      <c r="E59" s="55">
        <f>VLOOKUP(VLOOKUP(Q59&amp;"_"&amp;R59,挑战模式!$A$3:$Z$52,2+5*S59,FALSE),'⚪设计'!$B$85:$H$104,6,FALSE)*VLOOKUP(Q59&amp;"_"&amp;R59,挑战模式!$A$3:$Z$52,5,FALSE)</f>
        <v>3</v>
      </c>
      <c r="F59">
        <v>400</v>
      </c>
      <c r="G59" t="b">
        <v>1</v>
      </c>
      <c r="H59">
        <v>1</v>
      </c>
      <c r="I59">
        <v>1</v>
      </c>
      <c r="J59">
        <v>0.25</v>
      </c>
      <c r="K59" s="55">
        <f>VLOOKUP(VLOOKUP(Q59&amp;"_"&amp;R59,挑战模式!$A$3:$Z$52,2+5*S59,FALSE),'⚪设计'!$B$85:$H$104,7,FALSE)</f>
        <v>1.3</v>
      </c>
      <c r="L59" s="57" t="s">
        <v>878</v>
      </c>
      <c r="M59" t="s">
        <v>468</v>
      </c>
      <c r="N59" t="s">
        <v>469</v>
      </c>
      <c r="O59" t="s">
        <v>470</v>
      </c>
      <c r="P59" s="57" t="s">
        <v>934</v>
      </c>
      <c r="Q59" s="110">
        <v>5</v>
      </c>
      <c r="R59" s="110">
        <v>5</v>
      </c>
      <c r="S59" s="110">
        <v>1</v>
      </c>
    </row>
    <row r="60" spans="2:19" s="57" customFormat="1" x14ac:dyDescent="0.2">
      <c r="B60" s="57" t="s">
        <v>827</v>
      </c>
      <c r="C60" s="68" t="s">
        <v>778</v>
      </c>
      <c r="D60" s="55" t="str">
        <f>VLOOKUP(VLOOKUP(Q60&amp;"_"&amp;R60,挑战模式!$A$3:$Z$52,2+5*S60,FALSE),'⚪设计'!$B$85:$H$104,2,FALSE)</f>
        <v>ResUnit_Gui1</v>
      </c>
      <c r="E60" s="55">
        <f>VLOOKUP(VLOOKUP(Q60&amp;"_"&amp;R60,挑战模式!$A$3:$Z$52,2+5*S60,FALSE),'⚪设计'!$B$85:$H$104,6,FALSE)*VLOOKUP(Q60&amp;"_"&amp;R60,挑战模式!$A$3:$Z$52,5,FALSE)</f>
        <v>3</v>
      </c>
      <c r="F60">
        <v>400</v>
      </c>
      <c r="G60" t="b">
        <v>1</v>
      </c>
      <c r="H60">
        <v>1</v>
      </c>
      <c r="I60">
        <v>1</v>
      </c>
      <c r="J60">
        <v>0.25</v>
      </c>
      <c r="K60" s="55">
        <f>VLOOKUP(VLOOKUP(Q60&amp;"_"&amp;R60,挑战模式!$A$3:$Z$52,2+5*S60,FALSE),'⚪设计'!$B$85:$H$104,7,FALSE)</f>
        <v>1</v>
      </c>
      <c r="L60" s="57" t="s">
        <v>879</v>
      </c>
      <c r="M60" t="s">
        <v>468</v>
      </c>
      <c r="N60" t="s">
        <v>469</v>
      </c>
      <c r="O60" t="s">
        <v>470</v>
      </c>
      <c r="P60" s="57" t="s">
        <v>919</v>
      </c>
      <c r="Q60" s="110">
        <v>5</v>
      </c>
      <c r="R60" s="110">
        <v>5</v>
      </c>
      <c r="S60" s="110">
        <v>2</v>
      </c>
    </row>
    <row r="61" spans="2:19" s="57" customFormat="1" x14ac:dyDescent="0.2">
      <c r="B61" s="57" t="s">
        <v>828</v>
      </c>
      <c r="C61" s="68" t="s">
        <v>779</v>
      </c>
      <c r="D61" s="55" t="str">
        <f>VLOOKUP(VLOOKUP(Q61&amp;"_"&amp;R61,挑战模式!$A$3:$Z$52,2+5*S61,FALSE),'⚪设计'!$B$85:$H$104,2,FALSE)</f>
        <v>ResUnit_ZhongZi1</v>
      </c>
      <c r="E61" s="55">
        <f>VLOOKUP(VLOOKUP(Q61&amp;"_"&amp;R61,挑战模式!$A$3:$Z$52,2+5*S61,FALSE),'⚪设计'!$B$85:$H$104,6,FALSE)*VLOOKUP(Q61&amp;"_"&amp;R61,挑战模式!$A$3:$Z$52,5,FALSE)</f>
        <v>3</v>
      </c>
      <c r="F61">
        <v>400</v>
      </c>
      <c r="G61" t="b">
        <v>1</v>
      </c>
      <c r="H61">
        <v>1</v>
      </c>
      <c r="I61">
        <v>1</v>
      </c>
      <c r="J61">
        <v>0.25</v>
      </c>
      <c r="K61" s="55">
        <f>VLOOKUP(VLOOKUP(Q61&amp;"_"&amp;R61,挑战模式!$A$3:$Z$52,2+5*S61,FALSE),'⚪设计'!$B$85:$H$104,7,FALSE)</f>
        <v>1</v>
      </c>
      <c r="L61" s="57" t="s">
        <v>880</v>
      </c>
      <c r="M61" t="s">
        <v>468</v>
      </c>
      <c r="N61" t="s">
        <v>469</v>
      </c>
      <c r="O61" t="s">
        <v>470</v>
      </c>
      <c r="P61" s="57" t="s">
        <v>891</v>
      </c>
      <c r="Q61" s="110">
        <v>5</v>
      </c>
      <c r="R61" s="110">
        <v>5</v>
      </c>
      <c r="S61" s="110">
        <v>3</v>
      </c>
    </row>
    <row r="62" spans="2:19" s="57" customFormat="1" x14ac:dyDescent="0.2">
      <c r="B62" s="57" t="s">
        <v>829</v>
      </c>
      <c r="C62" s="68" t="s">
        <v>780</v>
      </c>
      <c r="D62" s="55" t="str">
        <f>VLOOKUP(VLOOKUP(Q62&amp;"_"&amp;R62,挑战模式!$A$3:$Z$52,2+5*S62,FALSE),'⚪设计'!$B$85:$H$104,2,FALSE)</f>
        <v>ResUnit_Dan3</v>
      </c>
      <c r="E62" s="55">
        <f>VLOOKUP(VLOOKUP(Q62&amp;"_"&amp;R62,挑战模式!$A$3:$Z$52,2+5*S62,FALSE),'⚪设计'!$B$85:$H$104,6,FALSE)*VLOOKUP(Q62&amp;"_"&amp;R62,挑战模式!$A$3:$Z$52,5,FALSE)</f>
        <v>1.25</v>
      </c>
      <c r="F62">
        <v>400</v>
      </c>
      <c r="G62" t="b">
        <v>1</v>
      </c>
      <c r="H62">
        <v>1</v>
      </c>
      <c r="I62">
        <v>1</v>
      </c>
      <c r="J62">
        <v>0.25</v>
      </c>
      <c r="K62" s="55">
        <f>VLOOKUP(VLOOKUP(Q62&amp;"_"&amp;R62,挑战模式!$A$3:$Z$52,2+5*S62,FALSE),'⚪设计'!$B$85:$H$104,7,FALSE)</f>
        <v>2.5</v>
      </c>
      <c r="L62" s="57" t="s">
        <v>881</v>
      </c>
      <c r="M62" t="s">
        <v>468</v>
      </c>
      <c r="N62" t="s">
        <v>469</v>
      </c>
      <c r="O62" t="s">
        <v>470</v>
      </c>
      <c r="P62" s="57" t="s">
        <v>935</v>
      </c>
      <c r="Q62" s="110">
        <v>5</v>
      </c>
      <c r="R62" s="110">
        <v>5</v>
      </c>
      <c r="S62" s="110">
        <v>4</v>
      </c>
    </row>
    <row r="63" spans="2:19" x14ac:dyDescent="0.2">
      <c r="B63" s="120" t="s">
        <v>1004</v>
      </c>
      <c r="C63" s="120" t="s">
        <v>1079</v>
      </c>
      <c r="D63" s="55" t="str">
        <f>VLOOKUP(VLOOKUP(Q63&amp;"_"&amp;R63,挑战模式!$A$3:$Z$52,2+5*S63,FALSE),'⚪设计'!$B$85:$H$104,2,FALSE)</f>
        <v>ResUnit_MiFeng1</v>
      </c>
      <c r="E63" s="55">
        <f>VLOOKUP(VLOOKUP(Q63&amp;"_"&amp;R63,挑战模式!$A$3:$Z$52,2+5*S63,FALSE),'⚪设计'!$B$85:$H$104,6,FALSE)*VLOOKUP(Q63&amp;"_"&amp;R63,挑战模式!$A$3:$Z$52,5,FALSE)</f>
        <v>3</v>
      </c>
      <c r="F63">
        <v>400</v>
      </c>
      <c r="G63" t="b">
        <v>1</v>
      </c>
      <c r="H63">
        <v>1</v>
      </c>
      <c r="I63">
        <v>1</v>
      </c>
      <c r="J63">
        <v>0.25</v>
      </c>
      <c r="K63" s="55">
        <f>VLOOKUP(VLOOKUP(Q63&amp;"_"&amp;R63,挑战模式!$A$3:$Z$52,2+5*S63,FALSE),'⚪设计'!$B$85:$H$104,7,FALSE)</f>
        <v>0.5</v>
      </c>
      <c r="L63" s="120" t="s">
        <v>1154</v>
      </c>
      <c r="M63" t="s">
        <v>468</v>
      </c>
      <c r="N63" t="s">
        <v>469</v>
      </c>
      <c r="O63" t="s">
        <v>470</v>
      </c>
      <c r="P63" t="str">
        <f>IF(LEFT(D63,LEN(D63)-1)="ResUnit_Niao",RIGHT(D63,LEN(D63)-8),"")</f>
        <v/>
      </c>
      <c r="Q63" s="120">
        <v>6</v>
      </c>
      <c r="R63" s="120">
        <v>1</v>
      </c>
      <c r="S63" s="120">
        <v>1</v>
      </c>
    </row>
    <row r="64" spans="2:19" x14ac:dyDescent="0.2">
      <c r="B64" s="120" t="s">
        <v>1005</v>
      </c>
      <c r="C64" s="120" t="s">
        <v>1080</v>
      </c>
      <c r="D64" s="55" t="str">
        <f>VLOOKUP(VLOOKUP(Q64&amp;"_"&amp;R64,挑战模式!$A$3:$Z$52,2+5*S64,FALSE),'⚪设计'!$B$85:$H$104,2,FALSE)</f>
        <v>ResUnit_Niao1</v>
      </c>
      <c r="E64" s="55">
        <f>VLOOKUP(VLOOKUP(Q64&amp;"_"&amp;R64,挑战模式!$A$3:$Z$52,2+5*S64,FALSE),'⚪设计'!$B$85:$H$104,6,FALSE)*VLOOKUP(Q64&amp;"_"&amp;R64,挑战模式!$A$3:$Z$52,5,FALSE)</f>
        <v>3</v>
      </c>
      <c r="F64">
        <v>400</v>
      </c>
      <c r="G64" t="b">
        <v>1</v>
      </c>
      <c r="H64">
        <v>1</v>
      </c>
      <c r="I64">
        <v>1</v>
      </c>
      <c r="J64">
        <v>0.25</v>
      </c>
      <c r="K64" s="55">
        <f>VLOOKUP(VLOOKUP(Q64&amp;"_"&amp;R64,挑战模式!$A$3:$Z$52,2+5*S64,FALSE),'⚪设计'!$B$85:$H$104,7,FALSE)</f>
        <v>1</v>
      </c>
      <c r="L64" s="120" t="s">
        <v>1155</v>
      </c>
      <c r="M64" t="s">
        <v>468</v>
      </c>
      <c r="N64" t="s">
        <v>469</v>
      </c>
      <c r="O64" t="s">
        <v>470</v>
      </c>
      <c r="P64" t="str">
        <f>IF(LEFT(D64,LEN(D64)-1)="ResUnit_Niao","Skill_Monster_Challenge_"&amp;RIGHT(D64,LEN(D64)-8),"")</f>
        <v>Skill_Monster_Challenge_Niao1</v>
      </c>
      <c r="Q64" s="120">
        <v>6</v>
      </c>
      <c r="R64" s="120">
        <v>1</v>
      </c>
      <c r="S64" s="120">
        <v>2</v>
      </c>
    </row>
    <row r="65" spans="2:19" x14ac:dyDescent="0.2">
      <c r="B65" s="120" t="s">
        <v>1006</v>
      </c>
      <c r="C65" s="120" t="s">
        <v>1081</v>
      </c>
      <c r="D65" s="55" t="str">
        <f>VLOOKUP(VLOOKUP(Q65&amp;"_"&amp;R65,挑战模式!$A$3:$Z$52,2+5*S65,FALSE),'⚪设计'!$B$85:$H$104,2,FALSE)</f>
        <v>ResUnit_MiFeng1</v>
      </c>
      <c r="E65" s="55">
        <f>VLOOKUP(VLOOKUP(Q65&amp;"_"&amp;R65,挑战模式!$A$3:$Z$52,2+5*S65,FALSE),'⚪设计'!$B$85:$H$104,6,FALSE)*VLOOKUP(Q65&amp;"_"&amp;R65,挑战模式!$A$3:$Z$52,5,FALSE)</f>
        <v>3</v>
      </c>
      <c r="F65">
        <v>400</v>
      </c>
      <c r="G65" t="b">
        <v>1</v>
      </c>
      <c r="H65">
        <v>1</v>
      </c>
      <c r="I65">
        <v>1</v>
      </c>
      <c r="J65">
        <v>0.25</v>
      </c>
      <c r="K65" s="55">
        <f>VLOOKUP(VLOOKUP(Q65&amp;"_"&amp;R65,挑战模式!$A$3:$Z$52,2+5*S65,FALSE),'⚪设计'!$B$85:$H$104,7,FALSE)</f>
        <v>0.5</v>
      </c>
      <c r="L65" s="120" t="s">
        <v>1156</v>
      </c>
      <c r="M65" t="s">
        <v>468</v>
      </c>
      <c r="N65" t="s">
        <v>469</v>
      </c>
      <c r="O65" t="s">
        <v>470</v>
      </c>
      <c r="P65" t="str">
        <f t="shared" ref="P65:P128" si="0">IF(LEFT(D65,LEN(D65)-1)="ResUnit_Niao","Skill_Monster_Challenge_"&amp;RIGHT(D65,LEN(D65)-8),"")</f>
        <v/>
      </c>
      <c r="Q65" s="120">
        <v>6</v>
      </c>
      <c r="R65" s="120">
        <v>2</v>
      </c>
      <c r="S65" s="120">
        <v>1</v>
      </c>
    </row>
    <row r="66" spans="2:19" x14ac:dyDescent="0.2">
      <c r="B66" s="120" t="s">
        <v>1007</v>
      </c>
      <c r="C66" s="120" t="s">
        <v>1082</v>
      </c>
      <c r="D66" s="55" t="str">
        <f>VLOOKUP(VLOOKUP(Q66&amp;"_"&amp;R66,挑战模式!$A$3:$Z$52,2+5*S66,FALSE),'⚪设计'!$B$85:$H$104,2,FALSE)</f>
        <v>ResUnit_Niao1</v>
      </c>
      <c r="E66" s="55">
        <f>VLOOKUP(VLOOKUP(Q66&amp;"_"&amp;R66,挑战模式!$A$3:$Z$52,2+5*S66,FALSE),'⚪设计'!$B$85:$H$104,6,FALSE)*VLOOKUP(Q66&amp;"_"&amp;R66,挑战模式!$A$3:$Z$52,5,FALSE)</f>
        <v>3</v>
      </c>
      <c r="F66">
        <v>400</v>
      </c>
      <c r="G66" t="b">
        <v>1</v>
      </c>
      <c r="H66">
        <v>1</v>
      </c>
      <c r="I66">
        <v>1</v>
      </c>
      <c r="J66">
        <v>0.25</v>
      </c>
      <c r="K66" s="55">
        <f>VLOOKUP(VLOOKUP(Q66&amp;"_"&amp;R66,挑战模式!$A$3:$Z$52,2+5*S66,FALSE),'⚪设计'!$B$85:$H$104,7,FALSE)</f>
        <v>1</v>
      </c>
      <c r="L66" s="120" t="s">
        <v>1157</v>
      </c>
      <c r="M66" t="s">
        <v>468</v>
      </c>
      <c r="N66" t="s">
        <v>469</v>
      </c>
      <c r="O66" t="s">
        <v>470</v>
      </c>
      <c r="P66" t="str">
        <f t="shared" si="0"/>
        <v>Skill_Monster_Challenge_Niao1</v>
      </c>
      <c r="Q66" s="120">
        <v>6</v>
      </c>
      <c r="R66" s="120">
        <v>2</v>
      </c>
      <c r="S66" s="120">
        <v>2</v>
      </c>
    </row>
    <row r="67" spans="2:19" x14ac:dyDescent="0.2">
      <c r="B67" s="120" t="s">
        <v>1008</v>
      </c>
      <c r="C67" s="120" t="s">
        <v>1083</v>
      </c>
      <c r="D67" s="55" t="str">
        <f>VLOOKUP(VLOOKUP(Q67&amp;"_"&amp;R67,挑战模式!$A$3:$Z$52,2+5*S67,FALSE),'⚪设计'!$B$85:$H$104,2,FALSE)</f>
        <v>ResUnit_MiFeng1</v>
      </c>
      <c r="E67" s="55">
        <f>VLOOKUP(VLOOKUP(Q67&amp;"_"&amp;R67,挑战模式!$A$3:$Z$52,2+5*S67,FALSE),'⚪设计'!$B$85:$H$104,6,FALSE)*VLOOKUP(Q67&amp;"_"&amp;R67,挑战模式!$A$3:$Z$52,5,FALSE)</f>
        <v>3</v>
      </c>
      <c r="F67">
        <v>400</v>
      </c>
      <c r="G67" t="b">
        <v>1</v>
      </c>
      <c r="H67">
        <v>1</v>
      </c>
      <c r="I67">
        <v>1</v>
      </c>
      <c r="J67">
        <v>0.25</v>
      </c>
      <c r="K67" s="55">
        <f>VLOOKUP(VLOOKUP(Q67&amp;"_"&amp;R67,挑战模式!$A$3:$Z$52,2+5*S67,FALSE),'⚪设计'!$B$85:$H$104,7,FALSE)</f>
        <v>0.5</v>
      </c>
      <c r="L67" s="120" t="s">
        <v>1158</v>
      </c>
      <c r="M67" t="s">
        <v>468</v>
      </c>
      <c r="N67" t="s">
        <v>469</v>
      </c>
      <c r="O67" t="s">
        <v>470</v>
      </c>
      <c r="P67" t="str">
        <f t="shared" si="0"/>
        <v/>
      </c>
      <c r="Q67" s="120">
        <v>6</v>
      </c>
      <c r="R67" s="120">
        <v>3</v>
      </c>
      <c r="S67" s="120">
        <v>1</v>
      </c>
    </row>
    <row r="68" spans="2:19" x14ac:dyDescent="0.2">
      <c r="B68" s="120" t="s">
        <v>1009</v>
      </c>
      <c r="C68" s="120" t="s">
        <v>1084</v>
      </c>
      <c r="D68" s="55" t="str">
        <f>VLOOKUP(VLOOKUP(Q68&amp;"_"&amp;R68,挑战模式!$A$3:$Z$52,2+5*S68,FALSE),'⚪设计'!$B$85:$H$104,2,FALSE)</f>
        <v>ResUnit_MiFeng2</v>
      </c>
      <c r="E68" s="55">
        <f>VLOOKUP(VLOOKUP(Q68&amp;"_"&amp;R68,挑战模式!$A$3:$Z$52,2+5*S68,FALSE),'⚪设计'!$B$85:$H$104,6,FALSE)*VLOOKUP(Q68&amp;"_"&amp;R68,挑战模式!$A$3:$Z$52,5,FALSE)</f>
        <v>3</v>
      </c>
      <c r="F68">
        <v>400</v>
      </c>
      <c r="G68" t="b">
        <v>1</v>
      </c>
      <c r="H68">
        <v>1</v>
      </c>
      <c r="I68">
        <v>1</v>
      </c>
      <c r="J68">
        <v>0.25</v>
      </c>
      <c r="K68" s="55">
        <f>VLOOKUP(VLOOKUP(Q68&amp;"_"&amp;R68,挑战模式!$A$3:$Z$52,2+5*S68,FALSE),'⚪设计'!$B$85:$H$104,7,FALSE)</f>
        <v>0.8</v>
      </c>
      <c r="L68" s="120" t="s">
        <v>1159</v>
      </c>
      <c r="M68" t="s">
        <v>468</v>
      </c>
      <c r="N68" t="s">
        <v>469</v>
      </c>
      <c r="O68" t="s">
        <v>470</v>
      </c>
      <c r="P68" t="str">
        <f t="shared" si="0"/>
        <v/>
      </c>
      <c r="Q68" s="120">
        <v>6</v>
      </c>
      <c r="R68" s="120">
        <v>3</v>
      </c>
      <c r="S68" s="120">
        <v>2</v>
      </c>
    </row>
    <row r="69" spans="2:19" x14ac:dyDescent="0.2">
      <c r="B69" s="120" t="s">
        <v>1010</v>
      </c>
      <c r="C69" s="120" t="s">
        <v>1085</v>
      </c>
      <c r="D69" s="55" t="str">
        <f>VLOOKUP(VLOOKUP(Q69&amp;"_"&amp;R69,挑战模式!$A$3:$Z$52,2+5*S69,FALSE),'⚪设计'!$B$85:$H$104,2,FALSE)</f>
        <v>ResUnit_Niao1</v>
      </c>
      <c r="E69" s="55">
        <f>VLOOKUP(VLOOKUP(Q69&amp;"_"&amp;R69,挑战模式!$A$3:$Z$52,2+5*S69,FALSE),'⚪设计'!$B$85:$H$104,6,FALSE)*VLOOKUP(Q69&amp;"_"&amp;R69,挑战模式!$A$3:$Z$52,5,FALSE)</f>
        <v>3</v>
      </c>
      <c r="F69">
        <v>400</v>
      </c>
      <c r="G69" t="b">
        <v>1</v>
      </c>
      <c r="H69">
        <v>1</v>
      </c>
      <c r="I69">
        <v>1</v>
      </c>
      <c r="J69">
        <v>0.25</v>
      </c>
      <c r="K69" s="55">
        <f>VLOOKUP(VLOOKUP(Q69&amp;"_"&amp;R69,挑战模式!$A$3:$Z$52,2+5*S69,FALSE),'⚪设计'!$B$85:$H$104,7,FALSE)</f>
        <v>1</v>
      </c>
      <c r="L69" s="120" t="s">
        <v>1160</v>
      </c>
      <c r="M69" t="s">
        <v>468</v>
      </c>
      <c r="N69" t="s">
        <v>469</v>
      </c>
      <c r="O69" t="s">
        <v>470</v>
      </c>
      <c r="P69" t="str">
        <f t="shared" si="0"/>
        <v>Skill_Monster_Challenge_Niao1</v>
      </c>
      <c r="Q69" s="120">
        <v>6</v>
      </c>
      <c r="R69" s="120">
        <v>3</v>
      </c>
      <c r="S69" s="120">
        <v>3</v>
      </c>
    </row>
    <row r="70" spans="2:19" x14ac:dyDescent="0.2">
      <c r="B70" s="120" t="s">
        <v>1011</v>
      </c>
      <c r="C70" s="120" t="s">
        <v>1086</v>
      </c>
      <c r="D70" s="55" t="str">
        <f>VLOOKUP(VLOOKUP(Q70&amp;"_"&amp;R70,挑战模式!$A$3:$Z$52,2+5*S70,FALSE),'⚪设计'!$B$85:$H$104,2,FALSE)</f>
        <v>ResUnit_MiFeng1</v>
      </c>
      <c r="E70" s="55">
        <f>VLOOKUP(VLOOKUP(Q70&amp;"_"&amp;R70,挑战模式!$A$3:$Z$52,2+5*S70,FALSE),'⚪设计'!$B$85:$H$104,6,FALSE)*VLOOKUP(Q70&amp;"_"&amp;R70,挑战模式!$A$3:$Z$52,5,FALSE)</f>
        <v>3</v>
      </c>
      <c r="F70">
        <v>400</v>
      </c>
      <c r="G70" t="b">
        <v>1</v>
      </c>
      <c r="H70">
        <v>1</v>
      </c>
      <c r="I70">
        <v>1</v>
      </c>
      <c r="J70">
        <v>0.25</v>
      </c>
      <c r="K70" s="55">
        <f>VLOOKUP(VLOOKUP(Q70&amp;"_"&amp;R70,挑战模式!$A$3:$Z$52,2+5*S70,FALSE),'⚪设计'!$B$85:$H$104,7,FALSE)</f>
        <v>0.5</v>
      </c>
      <c r="L70" s="120" t="s">
        <v>1161</v>
      </c>
      <c r="M70" t="s">
        <v>468</v>
      </c>
      <c r="N70" t="s">
        <v>469</v>
      </c>
      <c r="O70" t="s">
        <v>470</v>
      </c>
      <c r="P70" t="str">
        <f t="shared" si="0"/>
        <v/>
      </c>
      <c r="Q70" s="120">
        <v>6</v>
      </c>
      <c r="R70" s="120">
        <v>4</v>
      </c>
      <c r="S70" s="120">
        <v>1</v>
      </c>
    </row>
    <row r="71" spans="2:19" x14ac:dyDescent="0.2">
      <c r="B71" s="120" t="s">
        <v>1012</v>
      </c>
      <c r="C71" s="120" t="s">
        <v>1087</v>
      </c>
      <c r="D71" s="55" t="str">
        <f>VLOOKUP(VLOOKUP(Q71&amp;"_"&amp;R71,挑战模式!$A$3:$Z$52,2+5*S71,FALSE),'⚪设计'!$B$85:$H$104,2,FALSE)</f>
        <v>ResUnit_MiFeng2</v>
      </c>
      <c r="E71" s="55">
        <f>VLOOKUP(VLOOKUP(Q71&amp;"_"&amp;R71,挑战模式!$A$3:$Z$52,2+5*S71,FALSE),'⚪设计'!$B$85:$H$104,6,FALSE)*VLOOKUP(Q71&amp;"_"&amp;R71,挑战模式!$A$3:$Z$52,5,FALSE)</f>
        <v>3</v>
      </c>
      <c r="F71">
        <v>400</v>
      </c>
      <c r="G71" t="b">
        <v>1</v>
      </c>
      <c r="H71">
        <v>1</v>
      </c>
      <c r="I71">
        <v>1</v>
      </c>
      <c r="J71">
        <v>0.25</v>
      </c>
      <c r="K71" s="55">
        <f>VLOOKUP(VLOOKUP(Q71&amp;"_"&amp;R71,挑战模式!$A$3:$Z$52,2+5*S71,FALSE),'⚪设计'!$B$85:$H$104,7,FALSE)</f>
        <v>0.8</v>
      </c>
      <c r="L71" s="120" t="s">
        <v>1162</v>
      </c>
      <c r="M71" t="s">
        <v>468</v>
      </c>
      <c r="N71" t="s">
        <v>469</v>
      </c>
      <c r="O71" t="s">
        <v>470</v>
      </c>
      <c r="P71" t="str">
        <f t="shared" si="0"/>
        <v/>
      </c>
      <c r="Q71" s="120">
        <v>6</v>
      </c>
      <c r="R71" s="120">
        <v>4</v>
      </c>
      <c r="S71" s="120">
        <v>2</v>
      </c>
    </row>
    <row r="72" spans="2:19" x14ac:dyDescent="0.2">
      <c r="B72" s="120" t="s">
        <v>1013</v>
      </c>
      <c r="C72" s="120" t="s">
        <v>1088</v>
      </c>
      <c r="D72" s="55" t="str">
        <f>VLOOKUP(VLOOKUP(Q72&amp;"_"&amp;R72,挑战模式!$A$3:$Z$52,2+5*S72,FALSE),'⚪设计'!$B$85:$H$104,2,FALSE)</f>
        <v>ResUnit_Niao1</v>
      </c>
      <c r="E72" s="55">
        <f>VLOOKUP(VLOOKUP(Q72&amp;"_"&amp;R72,挑战模式!$A$3:$Z$52,2+5*S72,FALSE),'⚪设计'!$B$85:$H$104,6,FALSE)*VLOOKUP(Q72&amp;"_"&amp;R72,挑战模式!$A$3:$Z$52,5,FALSE)</f>
        <v>3</v>
      </c>
      <c r="F72">
        <v>400</v>
      </c>
      <c r="G72" t="b">
        <v>1</v>
      </c>
      <c r="H72">
        <v>1</v>
      </c>
      <c r="I72">
        <v>1</v>
      </c>
      <c r="J72">
        <v>0.25</v>
      </c>
      <c r="K72" s="55">
        <f>VLOOKUP(VLOOKUP(Q72&amp;"_"&amp;R72,挑战模式!$A$3:$Z$52,2+5*S72,FALSE),'⚪设计'!$B$85:$H$104,7,FALSE)</f>
        <v>1</v>
      </c>
      <c r="L72" s="120" t="s">
        <v>1163</v>
      </c>
      <c r="M72" t="s">
        <v>468</v>
      </c>
      <c r="N72" t="s">
        <v>469</v>
      </c>
      <c r="O72" t="s">
        <v>470</v>
      </c>
      <c r="P72" t="str">
        <f t="shared" si="0"/>
        <v>Skill_Monster_Challenge_Niao1</v>
      </c>
      <c r="Q72" s="120">
        <v>6</v>
      </c>
      <c r="R72" s="120">
        <v>4</v>
      </c>
      <c r="S72" s="120">
        <v>3</v>
      </c>
    </row>
    <row r="73" spans="2:19" x14ac:dyDescent="0.2">
      <c r="B73" s="120" t="s">
        <v>1014</v>
      </c>
      <c r="C73" s="120" t="s">
        <v>1089</v>
      </c>
      <c r="D73" s="55" t="str">
        <f>VLOOKUP(VLOOKUP(Q73&amp;"_"&amp;R73,挑战模式!$A$3:$Z$52,2+5*S73,FALSE),'⚪设计'!$B$85:$H$104,2,FALSE)</f>
        <v>ResUnit_MiFeng1</v>
      </c>
      <c r="E73" s="55">
        <f>VLOOKUP(VLOOKUP(Q73&amp;"_"&amp;R73,挑战模式!$A$3:$Z$52,2+5*S73,FALSE),'⚪设计'!$B$85:$H$104,6,FALSE)*VLOOKUP(Q73&amp;"_"&amp;R73,挑战模式!$A$3:$Z$52,5,FALSE)</f>
        <v>3</v>
      </c>
      <c r="F73">
        <v>400</v>
      </c>
      <c r="G73" t="b">
        <v>1</v>
      </c>
      <c r="H73">
        <v>1</v>
      </c>
      <c r="I73">
        <v>1</v>
      </c>
      <c r="J73">
        <v>0.25</v>
      </c>
      <c r="K73" s="55">
        <f>VLOOKUP(VLOOKUP(Q73&amp;"_"&amp;R73,挑战模式!$A$3:$Z$52,2+5*S73,FALSE),'⚪设计'!$B$85:$H$104,7,FALSE)</f>
        <v>0.5</v>
      </c>
      <c r="L73" s="120" t="s">
        <v>1164</v>
      </c>
      <c r="M73" t="s">
        <v>468</v>
      </c>
      <c r="N73" t="s">
        <v>469</v>
      </c>
      <c r="O73" t="s">
        <v>470</v>
      </c>
      <c r="P73" t="str">
        <f t="shared" si="0"/>
        <v/>
      </c>
      <c r="Q73" s="120">
        <v>6</v>
      </c>
      <c r="R73" s="120">
        <v>5</v>
      </c>
      <c r="S73" s="120">
        <v>1</v>
      </c>
    </row>
    <row r="74" spans="2:19" x14ac:dyDescent="0.2">
      <c r="B74" s="120" t="s">
        <v>1015</v>
      </c>
      <c r="C74" s="120" t="s">
        <v>1090</v>
      </c>
      <c r="D74" s="55" t="str">
        <f>VLOOKUP(VLOOKUP(Q74&amp;"_"&amp;R74,挑战模式!$A$3:$Z$52,2+5*S74,FALSE),'⚪设计'!$B$85:$H$104,2,FALSE)</f>
        <v>ResUnit_MiFeng2</v>
      </c>
      <c r="E74" s="55">
        <f>VLOOKUP(VLOOKUP(Q74&amp;"_"&amp;R74,挑战模式!$A$3:$Z$52,2+5*S74,FALSE),'⚪设计'!$B$85:$H$104,6,FALSE)*VLOOKUP(Q74&amp;"_"&amp;R74,挑战模式!$A$3:$Z$52,5,FALSE)</f>
        <v>3</v>
      </c>
      <c r="F74">
        <v>400</v>
      </c>
      <c r="G74" t="b">
        <v>1</v>
      </c>
      <c r="H74">
        <v>1</v>
      </c>
      <c r="I74">
        <v>1</v>
      </c>
      <c r="J74">
        <v>0.25</v>
      </c>
      <c r="K74" s="55">
        <f>VLOOKUP(VLOOKUP(Q74&amp;"_"&amp;R74,挑战模式!$A$3:$Z$52,2+5*S74,FALSE),'⚪设计'!$B$85:$H$104,7,FALSE)</f>
        <v>0.8</v>
      </c>
      <c r="L74" s="120" t="s">
        <v>1165</v>
      </c>
      <c r="M74" t="s">
        <v>468</v>
      </c>
      <c r="N74" t="s">
        <v>469</v>
      </c>
      <c r="O74" t="s">
        <v>470</v>
      </c>
      <c r="P74" t="str">
        <f t="shared" si="0"/>
        <v/>
      </c>
      <c r="Q74" s="120">
        <v>6</v>
      </c>
      <c r="R74" s="120">
        <v>5</v>
      </c>
      <c r="S74" s="120">
        <v>2</v>
      </c>
    </row>
    <row r="75" spans="2:19" x14ac:dyDescent="0.2">
      <c r="B75" s="120" t="s">
        <v>1016</v>
      </c>
      <c r="C75" s="120" t="s">
        <v>1091</v>
      </c>
      <c r="D75" s="55" t="str">
        <f>VLOOKUP(VLOOKUP(Q75&amp;"_"&amp;R75,挑战模式!$A$3:$Z$52,2+5*S75,FALSE),'⚪设计'!$B$85:$H$104,2,FALSE)</f>
        <v>ResUnit_Niao1</v>
      </c>
      <c r="E75" s="55">
        <f>VLOOKUP(VLOOKUP(Q75&amp;"_"&amp;R75,挑战模式!$A$3:$Z$52,2+5*S75,FALSE),'⚪设计'!$B$85:$H$104,6,FALSE)*VLOOKUP(Q75&amp;"_"&amp;R75,挑战模式!$A$3:$Z$52,5,FALSE)</f>
        <v>3</v>
      </c>
      <c r="F75">
        <v>400</v>
      </c>
      <c r="G75" t="b">
        <v>1</v>
      </c>
      <c r="H75">
        <v>1</v>
      </c>
      <c r="I75">
        <v>1</v>
      </c>
      <c r="J75">
        <v>0.25</v>
      </c>
      <c r="K75" s="55">
        <f>VLOOKUP(VLOOKUP(Q75&amp;"_"&amp;R75,挑战模式!$A$3:$Z$52,2+5*S75,FALSE),'⚪设计'!$B$85:$H$104,7,FALSE)</f>
        <v>1</v>
      </c>
      <c r="L75" s="120" t="s">
        <v>1166</v>
      </c>
      <c r="M75" t="s">
        <v>468</v>
      </c>
      <c r="N75" t="s">
        <v>469</v>
      </c>
      <c r="O75" t="s">
        <v>470</v>
      </c>
      <c r="P75" t="str">
        <f t="shared" si="0"/>
        <v>Skill_Monster_Challenge_Niao1</v>
      </c>
      <c r="Q75" s="120">
        <v>6</v>
      </c>
      <c r="R75" s="120">
        <v>5</v>
      </c>
      <c r="S75" s="120">
        <v>3</v>
      </c>
    </row>
    <row r="76" spans="2:19" x14ac:dyDescent="0.2">
      <c r="B76" s="120" t="s">
        <v>1017</v>
      </c>
      <c r="C76" s="120" t="s">
        <v>1092</v>
      </c>
      <c r="D76" s="55" t="str">
        <f>VLOOKUP(VLOOKUP(Q76&amp;"_"&amp;R76,挑战模式!$A$3:$Z$52,2+5*S76,FALSE),'⚪设计'!$B$85:$H$104,2,FALSE)</f>
        <v>ResUnit_ZhiZhu1</v>
      </c>
      <c r="E76" s="55">
        <f>VLOOKUP(VLOOKUP(Q76&amp;"_"&amp;R76,挑战模式!$A$3:$Z$52,2+5*S76,FALSE),'⚪设计'!$B$85:$H$104,6,FALSE)*VLOOKUP(Q76&amp;"_"&amp;R76,挑战模式!$A$3:$Z$52,5,FALSE)</f>
        <v>4.5</v>
      </c>
      <c r="F76">
        <v>400</v>
      </c>
      <c r="G76" t="b">
        <v>1</v>
      </c>
      <c r="H76">
        <v>1</v>
      </c>
      <c r="I76">
        <v>1</v>
      </c>
      <c r="J76">
        <v>0.25</v>
      </c>
      <c r="K76" s="55">
        <f>VLOOKUP(VLOOKUP(Q76&amp;"_"&amp;R76,挑战模式!$A$3:$Z$52,2+5*S76,FALSE),'⚪设计'!$B$85:$H$104,7,FALSE)</f>
        <v>1</v>
      </c>
      <c r="L76" s="120" t="s">
        <v>1167</v>
      </c>
      <c r="M76" t="s">
        <v>468</v>
      </c>
      <c r="N76" t="s">
        <v>469</v>
      </c>
      <c r="O76" t="s">
        <v>470</v>
      </c>
      <c r="P76" t="str">
        <f t="shared" si="0"/>
        <v/>
      </c>
      <c r="Q76" s="120">
        <v>7</v>
      </c>
      <c r="R76" s="120">
        <v>1</v>
      </c>
      <c r="S76" s="120">
        <v>1</v>
      </c>
    </row>
    <row r="77" spans="2:19" x14ac:dyDescent="0.2">
      <c r="B77" s="120" t="s">
        <v>1018</v>
      </c>
      <c r="C77" s="120" t="s">
        <v>1093</v>
      </c>
      <c r="D77" s="55" t="str">
        <f>VLOOKUP(VLOOKUP(Q77&amp;"_"&amp;R77,挑战模式!$A$3:$Z$52,2+5*S77,FALSE),'⚪设计'!$B$85:$H$104,2,FALSE)</f>
        <v>ResUnit_Niao1</v>
      </c>
      <c r="E77" s="55">
        <f>VLOOKUP(VLOOKUP(Q77&amp;"_"&amp;R77,挑战模式!$A$3:$Z$52,2+5*S77,FALSE),'⚪设计'!$B$85:$H$104,6,FALSE)*VLOOKUP(Q77&amp;"_"&amp;R77,挑战模式!$A$3:$Z$52,5,FALSE)</f>
        <v>3</v>
      </c>
      <c r="F77">
        <v>400</v>
      </c>
      <c r="G77" t="b">
        <v>1</v>
      </c>
      <c r="H77">
        <v>1</v>
      </c>
      <c r="I77">
        <v>1</v>
      </c>
      <c r="J77">
        <v>0.25</v>
      </c>
      <c r="K77" s="55">
        <f>VLOOKUP(VLOOKUP(Q77&amp;"_"&amp;R77,挑战模式!$A$3:$Z$52,2+5*S77,FALSE),'⚪设计'!$B$85:$H$104,7,FALSE)</f>
        <v>1</v>
      </c>
      <c r="L77" s="120" t="s">
        <v>1168</v>
      </c>
      <c r="M77" t="s">
        <v>468</v>
      </c>
      <c r="N77" t="s">
        <v>469</v>
      </c>
      <c r="O77" t="s">
        <v>470</v>
      </c>
      <c r="P77" t="str">
        <f t="shared" si="0"/>
        <v>Skill_Monster_Challenge_Niao1</v>
      </c>
      <c r="Q77" s="120">
        <v>7</v>
      </c>
      <c r="R77" s="120">
        <v>1</v>
      </c>
      <c r="S77" s="120">
        <v>2</v>
      </c>
    </row>
    <row r="78" spans="2:19" x14ac:dyDescent="0.2">
      <c r="B78" s="120" t="s">
        <v>1019</v>
      </c>
      <c r="C78" s="120" t="s">
        <v>1094</v>
      </c>
      <c r="D78" s="55" t="str">
        <f>VLOOKUP(VLOOKUP(Q78&amp;"_"&amp;R78,挑战模式!$A$3:$Z$52,2+5*S78,FALSE),'⚪设计'!$B$85:$H$104,2,FALSE)</f>
        <v>ResUnit_ZhiZhu1</v>
      </c>
      <c r="E78" s="55">
        <f>VLOOKUP(VLOOKUP(Q78&amp;"_"&amp;R78,挑战模式!$A$3:$Z$52,2+5*S78,FALSE),'⚪设计'!$B$85:$H$104,6,FALSE)*VLOOKUP(Q78&amp;"_"&amp;R78,挑战模式!$A$3:$Z$52,5,FALSE)</f>
        <v>4.5</v>
      </c>
      <c r="F78">
        <v>400</v>
      </c>
      <c r="G78" t="b">
        <v>1</v>
      </c>
      <c r="H78">
        <v>1</v>
      </c>
      <c r="I78">
        <v>1</v>
      </c>
      <c r="J78">
        <v>0.25</v>
      </c>
      <c r="K78" s="55">
        <f>VLOOKUP(VLOOKUP(Q78&amp;"_"&amp;R78,挑战模式!$A$3:$Z$52,2+5*S78,FALSE),'⚪设计'!$B$85:$H$104,7,FALSE)</f>
        <v>1</v>
      </c>
      <c r="L78" s="120" t="s">
        <v>1169</v>
      </c>
      <c r="M78" t="s">
        <v>468</v>
      </c>
      <c r="N78" t="s">
        <v>469</v>
      </c>
      <c r="O78" t="s">
        <v>470</v>
      </c>
      <c r="P78" t="str">
        <f t="shared" si="0"/>
        <v/>
      </c>
      <c r="Q78" s="120">
        <v>7</v>
      </c>
      <c r="R78" s="120">
        <v>2</v>
      </c>
      <c r="S78" s="120">
        <v>1</v>
      </c>
    </row>
    <row r="79" spans="2:19" x14ac:dyDescent="0.2">
      <c r="B79" s="120" t="s">
        <v>1020</v>
      </c>
      <c r="C79" s="120" t="s">
        <v>1095</v>
      </c>
      <c r="D79" s="55" t="str">
        <f>VLOOKUP(VLOOKUP(Q79&amp;"_"&amp;R79,挑战模式!$A$3:$Z$52,2+5*S79,FALSE),'⚪设计'!$B$85:$H$104,2,FALSE)</f>
        <v>ResUnit_MiFeng2</v>
      </c>
      <c r="E79" s="55">
        <f>VLOOKUP(VLOOKUP(Q79&amp;"_"&amp;R79,挑战模式!$A$3:$Z$52,2+5*S79,FALSE),'⚪设计'!$B$85:$H$104,6,FALSE)*VLOOKUP(Q79&amp;"_"&amp;R79,挑战模式!$A$3:$Z$52,5,FALSE)</f>
        <v>3</v>
      </c>
      <c r="F79">
        <v>400</v>
      </c>
      <c r="G79" t="b">
        <v>1</v>
      </c>
      <c r="H79">
        <v>1</v>
      </c>
      <c r="I79">
        <v>1</v>
      </c>
      <c r="J79">
        <v>0.25</v>
      </c>
      <c r="K79" s="55">
        <f>VLOOKUP(VLOOKUP(Q79&amp;"_"&amp;R79,挑战模式!$A$3:$Z$52,2+5*S79,FALSE),'⚪设计'!$B$85:$H$104,7,FALSE)</f>
        <v>0.8</v>
      </c>
      <c r="L79" s="120" t="s">
        <v>1170</v>
      </c>
      <c r="M79" t="s">
        <v>468</v>
      </c>
      <c r="N79" t="s">
        <v>469</v>
      </c>
      <c r="O79" t="s">
        <v>470</v>
      </c>
      <c r="P79" t="str">
        <f t="shared" si="0"/>
        <v/>
      </c>
      <c r="Q79" s="120">
        <v>7</v>
      </c>
      <c r="R79" s="120">
        <v>2</v>
      </c>
      <c r="S79" s="120">
        <v>2</v>
      </c>
    </row>
    <row r="80" spans="2:19" x14ac:dyDescent="0.2">
      <c r="B80" s="120" t="s">
        <v>1021</v>
      </c>
      <c r="C80" s="120" t="s">
        <v>1096</v>
      </c>
      <c r="D80" s="55" t="str">
        <f>VLOOKUP(VLOOKUP(Q80&amp;"_"&amp;R80,挑战模式!$A$3:$Z$52,2+5*S80,FALSE),'⚪设计'!$B$85:$H$104,2,FALSE)</f>
        <v>ResUnit_Niao1</v>
      </c>
      <c r="E80" s="55">
        <f>VLOOKUP(VLOOKUP(Q80&amp;"_"&amp;R80,挑战模式!$A$3:$Z$52,2+5*S80,FALSE),'⚪设计'!$B$85:$H$104,6,FALSE)*VLOOKUP(Q80&amp;"_"&amp;R80,挑战模式!$A$3:$Z$52,5,FALSE)</f>
        <v>3</v>
      </c>
      <c r="F80">
        <v>400</v>
      </c>
      <c r="G80" t="b">
        <v>1</v>
      </c>
      <c r="H80">
        <v>1</v>
      </c>
      <c r="I80">
        <v>1</v>
      </c>
      <c r="J80">
        <v>0.25</v>
      </c>
      <c r="K80" s="55">
        <f>VLOOKUP(VLOOKUP(Q80&amp;"_"&amp;R80,挑战模式!$A$3:$Z$52,2+5*S80,FALSE),'⚪设计'!$B$85:$H$104,7,FALSE)</f>
        <v>1</v>
      </c>
      <c r="L80" s="120" t="s">
        <v>1171</v>
      </c>
      <c r="M80" t="s">
        <v>468</v>
      </c>
      <c r="N80" t="s">
        <v>469</v>
      </c>
      <c r="O80" t="s">
        <v>470</v>
      </c>
      <c r="P80" t="str">
        <f t="shared" si="0"/>
        <v>Skill_Monster_Challenge_Niao1</v>
      </c>
      <c r="Q80" s="120">
        <v>7</v>
      </c>
      <c r="R80" s="120">
        <v>2</v>
      </c>
      <c r="S80" s="120">
        <v>3</v>
      </c>
    </row>
    <row r="81" spans="2:19" x14ac:dyDescent="0.2">
      <c r="B81" s="120" t="s">
        <v>1022</v>
      </c>
      <c r="C81" s="120" t="s">
        <v>1097</v>
      </c>
      <c r="D81" s="55" t="str">
        <f>VLOOKUP(VLOOKUP(Q81&amp;"_"&amp;R81,挑战模式!$A$3:$Z$52,2+5*S81,FALSE),'⚪设计'!$B$85:$H$104,2,FALSE)</f>
        <v>ResUnit_ZhiZhu1</v>
      </c>
      <c r="E81" s="55">
        <f>VLOOKUP(VLOOKUP(Q81&amp;"_"&amp;R81,挑战模式!$A$3:$Z$52,2+5*S81,FALSE),'⚪设计'!$B$85:$H$104,6,FALSE)*VLOOKUP(Q81&amp;"_"&amp;R81,挑战模式!$A$3:$Z$52,5,FALSE)</f>
        <v>4.5</v>
      </c>
      <c r="F81">
        <v>400</v>
      </c>
      <c r="G81" t="b">
        <v>1</v>
      </c>
      <c r="H81">
        <v>1</v>
      </c>
      <c r="I81">
        <v>1</v>
      </c>
      <c r="J81">
        <v>0.25</v>
      </c>
      <c r="K81" s="55">
        <f>VLOOKUP(VLOOKUP(Q81&amp;"_"&amp;R81,挑战模式!$A$3:$Z$52,2+5*S81,FALSE),'⚪设计'!$B$85:$H$104,7,FALSE)</f>
        <v>1</v>
      </c>
      <c r="L81" s="120" t="s">
        <v>1172</v>
      </c>
      <c r="M81" t="s">
        <v>468</v>
      </c>
      <c r="N81" t="s">
        <v>469</v>
      </c>
      <c r="O81" t="s">
        <v>470</v>
      </c>
      <c r="P81" t="str">
        <f t="shared" si="0"/>
        <v/>
      </c>
      <c r="Q81" s="120">
        <v>7</v>
      </c>
      <c r="R81" s="120">
        <v>3</v>
      </c>
      <c r="S81" s="120">
        <v>1</v>
      </c>
    </row>
    <row r="82" spans="2:19" x14ac:dyDescent="0.2">
      <c r="B82" s="120" t="s">
        <v>1023</v>
      </c>
      <c r="C82" s="120" t="s">
        <v>1098</v>
      </c>
      <c r="D82" s="55" t="str">
        <f>VLOOKUP(VLOOKUP(Q82&amp;"_"&amp;R82,挑战模式!$A$3:$Z$52,2+5*S82,FALSE),'⚪设计'!$B$85:$H$104,2,FALSE)</f>
        <v>ResUnit_BianFu1</v>
      </c>
      <c r="E82" s="55">
        <f>VLOOKUP(VLOOKUP(Q82&amp;"_"&amp;R82,挑战模式!$A$3:$Z$52,2+5*S82,FALSE),'⚪设计'!$B$85:$H$104,6,FALSE)*VLOOKUP(Q82&amp;"_"&amp;R82,挑战模式!$A$3:$Z$52,5,FALSE)</f>
        <v>3</v>
      </c>
      <c r="F82">
        <v>400</v>
      </c>
      <c r="G82" t="b">
        <v>1</v>
      </c>
      <c r="H82">
        <v>1</v>
      </c>
      <c r="I82">
        <v>1</v>
      </c>
      <c r="J82">
        <v>0.25</v>
      </c>
      <c r="K82" s="55">
        <f>VLOOKUP(VLOOKUP(Q82&amp;"_"&amp;R82,挑战模式!$A$3:$Z$52,2+5*S82,FALSE),'⚪设计'!$B$85:$H$104,7,FALSE)</f>
        <v>0.5</v>
      </c>
      <c r="L82" s="120" t="s">
        <v>1173</v>
      </c>
      <c r="M82" t="s">
        <v>468</v>
      </c>
      <c r="N82" t="s">
        <v>469</v>
      </c>
      <c r="O82" t="s">
        <v>470</v>
      </c>
      <c r="P82" t="str">
        <f t="shared" si="0"/>
        <v/>
      </c>
      <c r="Q82" s="120">
        <v>7</v>
      </c>
      <c r="R82" s="120">
        <v>3</v>
      </c>
      <c r="S82" s="120">
        <v>2</v>
      </c>
    </row>
    <row r="83" spans="2:19" x14ac:dyDescent="0.2">
      <c r="B83" s="120" t="s">
        <v>1024</v>
      </c>
      <c r="C83" s="120" t="s">
        <v>1099</v>
      </c>
      <c r="D83" s="55" t="str">
        <f>VLOOKUP(VLOOKUP(Q83&amp;"_"&amp;R83,挑战模式!$A$3:$Z$52,2+5*S83,FALSE),'⚪设计'!$B$85:$H$104,2,FALSE)</f>
        <v>ResUnit_Niao1</v>
      </c>
      <c r="E83" s="55">
        <f>VLOOKUP(VLOOKUP(Q83&amp;"_"&amp;R83,挑战模式!$A$3:$Z$52,2+5*S83,FALSE),'⚪设计'!$B$85:$H$104,6,FALSE)*VLOOKUP(Q83&amp;"_"&amp;R83,挑战模式!$A$3:$Z$52,5,FALSE)</f>
        <v>3</v>
      </c>
      <c r="F83">
        <v>400</v>
      </c>
      <c r="G83" t="b">
        <v>1</v>
      </c>
      <c r="H83">
        <v>1</v>
      </c>
      <c r="I83">
        <v>1</v>
      </c>
      <c r="J83">
        <v>0.25</v>
      </c>
      <c r="K83" s="55">
        <f>VLOOKUP(VLOOKUP(Q83&amp;"_"&amp;R83,挑战模式!$A$3:$Z$52,2+5*S83,FALSE),'⚪设计'!$B$85:$H$104,7,FALSE)</f>
        <v>1</v>
      </c>
      <c r="L83" s="120" t="s">
        <v>1174</v>
      </c>
      <c r="M83" t="s">
        <v>468</v>
      </c>
      <c r="N83" t="s">
        <v>469</v>
      </c>
      <c r="O83" t="s">
        <v>470</v>
      </c>
      <c r="P83" t="str">
        <f t="shared" si="0"/>
        <v>Skill_Monster_Challenge_Niao1</v>
      </c>
      <c r="Q83" s="120">
        <v>7</v>
      </c>
      <c r="R83" s="120">
        <v>3</v>
      </c>
      <c r="S83" s="120">
        <v>3</v>
      </c>
    </row>
    <row r="84" spans="2:19" x14ac:dyDescent="0.2">
      <c r="B84" s="120" t="s">
        <v>1025</v>
      </c>
      <c r="C84" s="120" t="s">
        <v>1100</v>
      </c>
      <c r="D84" s="55" t="str">
        <f>VLOOKUP(VLOOKUP(Q84&amp;"_"&amp;R84,挑战模式!$A$3:$Z$52,2+5*S84,FALSE),'⚪设计'!$B$85:$H$104,2,FALSE)</f>
        <v>ResUnit_ZhiZhu1</v>
      </c>
      <c r="E84" s="55">
        <f>VLOOKUP(VLOOKUP(Q84&amp;"_"&amp;R84,挑战模式!$A$3:$Z$52,2+5*S84,FALSE),'⚪设计'!$B$85:$H$104,6,FALSE)*VLOOKUP(Q84&amp;"_"&amp;R84,挑战模式!$A$3:$Z$52,5,FALSE)</f>
        <v>4.5</v>
      </c>
      <c r="F84">
        <v>400</v>
      </c>
      <c r="G84" t="b">
        <v>1</v>
      </c>
      <c r="H84">
        <v>1</v>
      </c>
      <c r="I84">
        <v>1</v>
      </c>
      <c r="J84">
        <v>0.25</v>
      </c>
      <c r="K84" s="55">
        <f>VLOOKUP(VLOOKUP(Q84&amp;"_"&amp;R84,挑战模式!$A$3:$Z$52,2+5*S84,FALSE),'⚪设计'!$B$85:$H$104,7,FALSE)</f>
        <v>1</v>
      </c>
      <c r="L84" s="120" t="s">
        <v>1175</v>
      </c>
      <c r="M84" t="s">
        <v>468</v>
      </c>
      <c r="N84" t="s">
        <v>469</v>
      </c>
      <c r="O84" t="s">
        <v>470</v>
      </c>
      <c r="P84" t="str">
        <f t="shared" si="0"/>
        <v/>
      </c>
      <c r="Q84" s="120">
        <v>7</v>
      </c>
      <c r="R84" s="120">
        <v>4</v>
      </c>
      <c r="S84" s="120">
        <v>1</v>
      </c>
    </row>
    <row r="85" spans="2:19" x14ac:dyDescent="0.2">
      <c r="B85" s="120" t="s">
        <v>1026</v>
      </c>
      <c r="C85" s="120" t="s">
        <v>1101</v>
      </c>
      <c r="D85" s="55" t="str">
        <f>VLOOKUP(VLOOKUP(Q85&amp;"_"&amp;R85,挑战模式!$A$3:$Z$52,2+5*S85,FALSE),'⚪设计'!$B$85:$H$104,2,FALSE)</f>
        <v>ResUnit_BianFu1</v>
      </c>
      <c r="E85" s="55">
        <f>VLOOKUP(VLOOKUP(Q85&amp;"_"&amp;R85,挑战模式!$A$3:$Z$52,2+5*S85,FALSE),'⚪设计'!$B$85:$H$104,6,FALSE)*VLOOKUP(Q85&amp;"_"&amp;R85,挑战模式!$A$3:$Z$52,5,FALSE)</f>
        <v>3</v>
      </c>
      <c r="F85">
        <v>400</v>
      </c>
      <c r="G85" t="b">
        <v>1</v>
      </c>
      <c r="H85">
        <v>1</v>
      </c>
      <c r="I85">
        <v>1</v>
      </c>
      <c r="J85">
        <v>0.25</v>
      </c>
      <c r="K85" s="55">
        <f>VLOOKUP(VLOOKUP(Q85&amp;"_"&amp;R85,挑战模式!$A$3:$Z$52,2+5*S85,FALSE),'⚪设计'!$B$85:$H$104,7,FALSE)</f>
        <v>0.5</v>
      </c>
      <c r="L85" s="120" t="s">
        <v>1176</v>
      </c>
      <c r="M85" t="s">
        <v>468</v>
      </c>
      <c r="N85" t="s">
        <v>469</v>
      </c>
      <c r="O85" t="s">
        <v>470</v>
      </c>
      <c r="P85" t="str">
        <f t="shared" si="0"/>
        <v/>
      </c>
      <c r="Q85" s="120">
        <v>7</v>
      </c>
      <c r="R85" s="120">
        <v>4</v>
      </c>
      <c r="S85" s="120">
        <v>2</v>
      </c>
    </row>
    <row r="86" spans="2:19" x14ac:dyDescent="0.2">
      <c r="B86" s="120" t="s">
        <v>1027</v>
      </c>
      <c r="C86" s="120" t="s">
        <v>1102</v>
      </c>
      <c r="D86" s="55" t="str">
        <f>VLOOKUP(VLOOKUP(Q86&amp;"_"&amp;R86,挑战模式!$A$3:$Z$52,2+5*S86,FALSE),'⚪设计'!$B$85:$H$104,2,FALSE)</f>
        <v>ResUnit_MiFeng2</v>
      </c>
      <c r="E86" s="55">
        <f>VLOOKUP(VLOOKUP(Q86&amp;"_"&amp;R86,挑战模式!$A$3:$Z$52,2+5*S86,FALSE),'⚪设计'!$B$85:$H$104,6,FALSE)*VLOOKUP(Q86&amp;"_"&amp;R86,挑战模式!$A$3:$Z$52,5,FALSE)</f>
        <v>3</v>
      </c>
      <c r="F86">
        <v>400</v>
      </c>
      <c r="G86" t="b">
        <v>1</v>
      </c>
      <c r="H86">
        <v>1</v>
      </c>
      <c r="I86">
        <v>1</v>
      </c>
      <c r="J86">
        <v>0.25</v>
      </c>
      <c r="K86" s="55">
        <f>VLOOKUP(VLOOKUP(Q86&amp;"_"&amp;R86,挑战模式!$A$3:$Z$52,2+5*S86,FALSE),'⚪设计'!$B$85:$H$104,7,FALSE)</f>
        <v>0.8</v>
      </c>
      <c r="L86" s="120" t="s">
        <v>1177</v>
      </c>
      <c r="M86" t="s">
        <v>468</v>
      </c>
      <c r="N86" t="s">
        <v>469</v>
      </c>
      <c r="O86" t="s">
        <v>470</v>
      </c>
      <c r="P86" t="str">
        <f t="shared" si="0"/>
        <v/>
      </c>
      <c r="Q86" s="120">
        <v>7</v>
      </c>
      <c r="R86" s="120">
        <v>4</v>
      </c>
      <c r="S86" s="120">
        <v>3</v>
      </c>
    </row>
    <row r="87" spans="2:19" x14ac:dyDescent="0.2">
      <c r="B87" s="120" t="s">
        <v>1028</v>
      </c>
      <c r="C87" s="120" t="s">
        <v>1103</v>
      </c>
      <c r="D87" s="55" t="str">
        <f>VLOOKUP(VLOOKUP(Q87&amp;"_"&amp;R87,挑战模式!$A$3:$Z$52,2+5*S87,FALSE),'⚪设计'!$B$85:$H$104,2,FALSE)</f>
        <v>ResUnit_Niao1</v>
      </c>
      <c r="E87" s="55">
        <f>VLOOKUP(VLOOKUP(Q87&amp;"_"&amp;R87,挑战模式!$A$3:$Z$52,2+5*S87,FALSE),'⚪设计'!$B$85:$H$104,6,FALSE)*VLOOKUP(Q87&amp;"_"&amp;R87,挑战模式!$A$3:$Z$52,5,FALSE)</f>
        <v>3</v>
      </c>
      <c r="F87">
        <v>400</v>
      </c>
      <c r="G87" t="b">
        <v>1</v>
      </c>
      <c r="H87">
        <v>1</v>
      </c>
      <c r="I87">
        <v>1</v>
      </c>
      <c r="J87">
        <v>0.25</v>
      </c>
      <c r="K87" s="55">
        <f>VLOOKUP(VLOOKUP(Q87&amp;"_"&amp;R87,挑战模式!$A$3:$Z$52,2+5*S87,FALSE),'⚪设计'!$B$85:$H$104,7,FALSE)</f>
        <v>1</v>
      </c>
      <c r="L87" s="120" t="s">
        <v>1178</v>
      </c>
      <c r="M87" t="s">
        <v>468</v>
      </c>
      <c r="N87" t="s">
        <v>469</v>
      </c>
      <c r="O87" t="s">
        <v>470</v>
      </c>
      <c r="P87" t="str">
        <f t="shared" si="0"/>
        <v>Skill_Monster_Challenge_Niao1</v>
      </c>
      <c r="Q87" s="120">
        <v>7</v>
      </c>
      <c r="R87" s="120">
        <v>4</v>
      </c>
      <c r="S87" s="120">
        <v>4</v>
      </c>
    </row>
    <row r="88" spans="2:19" x14ac:dyDescent="0.2">
      <c r="B88" s="120" t="s">
        <v>1029</v>
      </c>
      <c r="C88" s="120" t="s">
        <v>1104</v>
      </c>
      <c r="D88" s="55" t="str">
        <f>VLOOKUP(VLOOKUP(Q88&amp;"_"&amp;R88,挑战模式!$A$3:$Z$52,2+5*S88,FALSE),'⚪设计'!$B$85:$H$104,2,FALSE)</f>
        <v>ResUnit_ZhiZhu1</v>
      </c>
      <c r="E88" s="55">
        <f>VLOOKUP(VLOOKUP(Q88&amp;"_"&amp;R88,挑战模式!$A$3:$Z$52,2+5*S88,FALSE),'⚪设计'!$B$85:$H$104,6,FALSE)*VLOOKUP(Q88&amp;"_"&amp;R88,挑战模式!$A$3:$Z$52,5,FALSE)</f>
        <v>4.5</v>
      </c>
      <c r="F88">
        <v>400</v>
      </c>
      <c r="G88" t="b">
        <v>1</v>
      </c>
      <c r="H88">
        <v>1</v>
      </c>
      <c r="I88">
        <v>1</v>
      </c>
      <c r="J88">
        <v>0.25</v>
      </c>
      <c r="K88" s="55">
        <f>VLOOKUP(VLOOKUP(Q88&amp;"_"&amp;R88,挑战模式!$A$3:$Z$52,2+5*S88,FALSE),'⚪设计'!$B$85:$H$104,7,FALSE)</f>
        <v>1</v>
      </c>
      <c r="L88" s="120" t="s">
        <v>1179</v>
      </c>
      <c r="M88" t="s">
        <v>468</v>
      </c>
      <c r="N88" t="s">
        <v>469</v>
      </c>
      <c r="O88" t="s">
        <v>470</v>
      </c>
      <c r="P88" t="str">
        <f t="shared" si="0"/>
        <v/>
      </c>
      <c r="Q88" s="120">
        <v>7</v>
      </c>
      <c r="R88" s="120">
        <v>5</v>
      </c>
      <c r="S88" s="120">
        <v>1</v>
      </c>
    </row>
    <row r="89" spans="2:19" x14ac:dyDescent="0.2">
      <c r="B89" s="120" t="s">
        <v>1030</v>
      </c>
      <c r="C89" s="120" t="s">
        <v>1105</v>
      </c>
      <c r="D89" s="55" t="str">
        <f>VLOOKUP(VLOOKUP(Q89&amp;"_"&amp;R89,挑战模式!$A$3:$Z$52,2+5*S89,FALSE),'⚪设计'!$B$85:$H$104,2,FALSE)</f>
        <v>ResUnit_BianFu1</v>
      </c>
      <c r="E89" s="55">
        <f>VLOOKUP(VLOOKUP(Q89&amp;"_"&amp;R89,挑战模式!$A$3:$Z$52,2+5*S89,FALSE),'⚪设计'!$B$85:$H$104,6,FALSE)*VLOOKUP(Q89&amp;"_"&amp;R89,挑战模式!$A$3:$Z$52,5,FALSE)</f>
        <v>3</v>
      </c>
      <c r="F89">
        <v>400</v>
      </c>
      <c r="G89" t="b">
        <v>1</v>
      </c>
      <c r="H89">
        <v>1</v>
      </c>
      <c r="I89">
        <v>1</v>
      </c>
      <c r="J89">
        <v>0.25</v>
      </c>
      <c r="K89" s="55">
        <f>VLOOKUP(VLOOKUP(Q89&amp;"_"&amp;R89,挑战模式!$A$3:$Z$52,2+5*S89,FALSE),'⚪设计'!$B$85:$H$104,7,FALSE)</f>
        <v>0.5</v>
      </c>
      <c r="L89" s="120" t="s">
        <v>1180</v>
      </c>
      <c r="M89" t="s">
        <v>468</v>
      </c>
      <c r="N89" t="s">
        <v>469</v>
      </c>
      <c r="O89" t="s">
        <v>470</v>
      </c>
      <c r="P89" t="str">
        <f t="shared" si="0"/>
        <v/>
      </c>
      <c r="Q89" s="120">
        <v>7</v>
      </c>
      <c r="R89" s="120">
        <v>5</v>
      </c>
      <c r="S89" s="120">
        <v>2</v>
      </c>
    </row>
    <row r="90" spans="2:19" x14ac:dyDescent="0.2">
      <c r="B90" s="120" t="s">
        <v>1031</v>
      </c>
      <c r="C90" s="120" t="s">
        <v>1106</v>
      </c>
      <c r="D90" s="55" t="str">
        <f>VLOOKUP(VLOOKUP(Q90&amp;"_"&amp;R90,挑战模式!$A$3:$Z$52,2+5*S90,FALSE),'⚪设计'!$B$85:$H$104,2,FALSE)</f>
        <v>ResUnit_MiFeng2</v>
      </c>
      <c r="E90" s="55">
        <f>VLOOKUP(VLOOKUP(Q90&amp;"_"&amp;R90,挑战模式!$A$3:$Z$52,2+5*S90,FALSE),'⚪设计'!$B$85:$H$104,6,FALSE)*VLOOKUP(Q90&amp;"_"&amp;R90,挑战模式!$A$3:$Z$52,5,FALSE)</f>
        <v>3</v>
      </c>
      <c r="F90">
        <v>400</v>
      </c>
      <c r="G90" t="b">
        <v>1</v>
      </c>
      <c r="H90">
        <v>1</v>
      </c>
      <c r="I90">
        <v>1</v>
      </c>
      <c r="J90">
        <v>0.25</v>
      </c>
      <c r="K90" s="55">
        <f>VLOOKUP(VLOOKUP(Q90&amp;"_"&amp;R90,挑战模式!$A$3:$Z$52,2+5*S90,FALSE),'⚪设计'!$B$85:$H$104,7,FALSE)</f>
        <v>0.8</v>
      </c>
      <c r="L90" s="120" t="s">
        <v>1181</v>
      </c>
      <c r="M90" t="s">
        <v>468</v>
      </c>
      <c r="N90" t="s">
        <v>469</v>
      </c>
      <c r="O90" t="s">
        <v>470</v>
      </c>
      <c r="P90" t="str">
        <f t="shared" si="0"/>
        <v/>
      </c>
      <c r="Q90" s="120">
        <v>7</v>
      </c>
      <c r="R90" s="120">
        <v>5</v>
      </c>
      <c r="S90" s="120">
        <v>3</v>
      </c>
    </row>
    <row r="91" spans="2:19" x14ac:dyDescent="0.2">
      <c r="B91" s="120" t="s">
        <v>1032</v>
      </c>
      <c r="C91" s="120" t="s">
        <v>1107</v>
      </c>
      <c r="D91" s="55" t="str">
        <f>VLOOKUP(VLOOKUP(Q91&amp;"_"&amp;R91,挑战模式!$A$3:$Z$52,2+5*S91,FALSE),'⚪设计'!$B$85:$H$104,2,FALSE)</f>
        <v>ResUnit_Niao1</v>
      </c>
      <c r="E91" s="55">
        <f>VLOOKUP(VLOOKUP(Q91&amp;"_"&amp;R91,挑战模式!$A$3:$Z$52,2+5*S91,FALSE),'⚪设计'!$B$85:$H$104,6,FALSE)*VLOOKUP(Q91&amp;"_"&amp;R91,挑战模式!$A$3:$Z$52,5,FALSE)</f>
        <v>3</v>
      </c>
      <c r="F91">
        <v>400</v>
      </c>
      <c r="G91" t="b">
        <v>1</v>
      </c>
      <c r="H91">
        <v>1</v>
      </c>
      <c r="I91">
        <v>1</v>
      </c>
      <c r="J91">
        <v>0.25</v>
      </c>
      <c r="K91" s="55">
        <f>VLOOKUP(VLOOKUP(Q91&amp;"_"&amp;R91,挑战模式!$A$3:$Z$52,2+5*S91,FALSE),'⚪设计'!$B$85:$H$104,7,FALSE)</f>
        <v>1</v>
      </c>
      <c r="L91" s="120" t="s">
        <v>1182</v>
      </c>
      <c r="M91" t="s">
        <v>468</v>
      </c>
      <c r="N91" t="s">
        <v>469</v>
      </c>
      <c r="O91" t="s">
        <v>470</v>
      </c>
      <c r="P91" t="str">
        <f t="shared" si="0"/>
        <v>Skill_Monster_Challenge_Niao1</v>
      </c>
      <c r="Q91" s="120">
        <v>7</v>
      </c>
      <c r="R91" s="120">
        <v>5</v>
      </c>
      <c r="S91" s="120">
        <v>4</v>
      </c>
    </row>
    <row r="92" spans="2:19" x14ac:dyDescent="0.2">
      <c r="B92" s="120" t="s">
        <v>1033</v>
      </c>
      <c r="C92" s="120" t="s">
        <v>1108</v>
      </c>
      <c r="D92" s="55" t="str">
        <f>VLOOKUP(VLOOKUP(Q92&amp;"_"&amp;R92,挑战模式!$A$3:$Z$52,2+5*S92,FALSE),'⚪设计'!$B$85:$H$104,2,FALSE)</f>
        <v>ResUnit_ZhongZi1</v>
      </c>
      <c r="E92" s="55">
        <f>VLOOKUP(VLOOKUP(Q92&amp;"_"&amp;R92,挑战模式!$A$3:$Z$52,2+5*S92,FALSE),'⚪设计'!$B$85:$H$104,6,FALSE)*VLOOKUP(Q92&amp;"_"&amp;R92,挑战模式!$A$3:$Z$52,5,FALSE)</f>
        <v>3</v>
      </c>
      <c r="F92">
        <v>400</v>
      </c>
      <c r="G92" t="b">
        <v>1</v>
      </c>
      <c r="H92">
        <v>1</v>
      </c>
      <c r="I92">
        <v>1</v>
      </c>
      <c r="J92">
        <v>0.25</v>
      </c>
      <c r="K92" s="55">
        <f>VLOOKUP(VLOOKUP(Q92&amp;"_"&amp;R92,挑战模式!$A$3:$Z$52,2+5*S92,FALSE),'⚪设计'!$B$85:$H$104,7,FALSE)</f>
        <v>1</v>
      </c>
      <c r="L92" s="120" t="s">
        <v>1183</v>
      </c>
      <c r="M92" t="s">
        <v>468</v>
      </c>
      <c r="N92" t="s">
        <v>469</v>
      </c>
      <c r="O92" t="s">
        <v>470</v>
      </c>
      <c r="P92" t="str">
        <f t="shared" si="0"/>
        <v/>
      </c>
      <c r="Q92" s="120">
        <v>8</v>
      </c>
      <c r="R92" s="120">
        <v>1</v>
      </c>
      <c r="S92" s="120">
        <v>1</v>
      </c>
    </row>
    <row r="93" spans="2:19" x14ac:dyDescent="0.2">
      <c r="B93" s="120" t="s">
        <v>1034</v>
      </c>
      <c r="C93" s="120" t="s">
        <v>1109</v>
      </c>
      <c r="D93" s="55" t="str">
        <f>VLOOKUP(VLOOKUP(Q93&amp;"_"&amp;R93,挑战模式!$A$3:$Z$52,2+5*S93,FALSE),'⚪设计'!$B$85:$H$104,2,FALSE)</f>
        <v>ResUnit_Niao2</v>
      </c>
      <c r="E93" s="55">
        <f>VLOOKUP(VLOOKUP(Q93&amp;"_"&amp;R93,挑战模式!$A$3:$Z$52,2+5*S93,FALSE),'⚪设计'!$B$85:$H$104,6,FALSE)*VLOOKUP(Q93&amp;"_"&amp;R93,挑战模式!$A$3:$Z$52,5,FALSE)</f>
        <v>3</v>
      </c>
      <c r="F93">
        <v>400</v>
      </c>
      <c r="G93" t="b">
        <v>1</v>
      </c>
      <c r="H93">
        <v>1</v>
      </c>
      <c r="I93">
        <v>1</v>
      </c>
      <c r="J93">
        <v>0.25</v>
      </c>
      <c r="K93" s="55">
        <f>VLOOKUP(VLOOKUP(Q93&amp;"_"&amp;R93,挑战模式!$A$3:$Z$52,2+5*S93,FALSE),'⚪设计'!$B$85:$H$104,7,FALSE)</f>
        <v>1.2</v>
      </c>
      <c r="L93" s="120" t="s">
        <v>1184</v>
      </c>
      <c r="M93" t="s">
        <v>468</v>
      </c>
      <c r="N93" t="s">
        <v>469</v>
      </c>
      <c r="O93" t="s">
        <v>470</v>
      </c>
      <c r="P93" t="str">
        <f t="shared" si="0"/>
        <v>Skill_Monster_Challenge_Niao2</v>
      </c>
      <c r="Q93" s="120">
        <v>8</v>
      </c>
      <c r="R93" s="120">
        <v>1</v>
      </c>
      <c r="S93" s="120">
        <v>2</v>
      </c>
    </row>
    <row r="94" spans="2:19" x14ac:dyDescent="0.2">
      <c r="B94" s="120" t="s">
        <v>1035</v>
      </c>
      <c r="C94" s="120" t="s">
        <v>1110</v>
      </c>
      <c r="D94" s="55" t="str">
        <f>VLOOKUP(VLOOKUP(Q94&amp;"_"&amp;R94,挑战模式!$A$3:$Z$52,2+5*S94,FALSE),'⚪设计'!$B$85:$H$104,2,FALSE)</f>
        <v>ResUnit_ZhongZi1</v>
      </c>
      <c r="E94" s="55">
        <f>VLOOKUP(VLOOKUP(Q94&amp;"_"&amp;R94,挑战模式!$A$3:$Z$52,2+5*S94,FALSE),'⚪设计'!$B$85:$H$104,6,FALSE)*VLOOKUP(Q94&amp;"_"&amp;R94,挑战模式!$A$3:$Z$52,5,FALSE)</f>
        <v>3</v>
      </c>
      <c r="F94">
        <v>400</v>
      </c>
      <c r="G94" t="b">
        <v>1</v>
      </c>
      <c r="H94">
        <v>1</v>
      </c>
      <c r="I94">
        <v>1</v>
      </c>
      <c r="J94">
        <v>0.25</v>
      </c>
      <c r="K94" s="55">
        <f>VLOOKUP(VLOOKUP(Q94&amp;"_"&amp;R94,挑战模式!$A$3:$Z$52,2+5*S94,FALSE),'⚪设计'!$B$85:$H$104,7,FALSE)</f>
        <v>1</v>
      </c>
      <c r="L94" s="120" t="s">
        <v>1185</v>
      </c>
      <c r="M94" t="s">
        <v>468</v>
      </c>
      <c r="N94" t="s">
        <v>469</v>
      </c>
      <c r="O94" t="s">
        <v>470</v>
      </c>
      <c r="P94" t="str">
        <f t="shared" si="0"/>
        <v/>
      </c>
      <c r="Q94" s="120">
        <v>8</v>
      </c>
      <c r="R94" s="120">
        <v>2</v>
      </c>
      <c r="S94" s="120">
        <v>1</v>
      </c>
    </row>
    <row r="95" spans="2:19" x14ac:dyDescent="0.2">
      <c r="B95" s="120" t="s">
        <v>1036</v>
      </c>
      <c r="C95" s="120" t="s">
        <v>1111</v>
      </c>
      <c r="D95" s="55" t="str">
        <f>VLOOKUP(VLOOKUP(Q95&amp;"_"&amp;R95,挑战模式!$A$3:$Z$52,2+5*S95,FALSE),'⚪设计'!$B$85:$H$104,2,FALSE)</f>
        <v>ResUnit_MiFeng2</v>
      </c>
      <c r="E95" s="55">
        <f>VLOOKUP(VLOOKUP(Q95&amp;"_"&amp;R95,挑战模式!$A$3:$Z$52,2+5*S95,FALSE),'⚪设计'!$B$85:$H$104,6,FALSE)*VLOOKUP(Q95&amp;"_"&amp;R95,挑战模式!$A$3:$Z$52,5,FALSE)</f>
        <v>3</v>
      </c>
      <c r="F95">
        <v>400</v>
      </c>
      <c r="G95" t="b">
        <v>1</v>
      </c>
      <c r="H95">
        <v>1</v>
      </c>
      <c r="I95">
        <v>1</v>
      </c>
      <c r="J95">
        <v>0.25</v>
      </c>
      <c r="K95" s="55">
        <f>VLOOKUP(VLOOKUP(Q95&amp;"_"&amp;R95,挑战模式!$A$3:$Z$52,2+5*S95,FALSE),'⚪设计'!$B$85:$H$104,7,FALSE)</f>
        <v>0.8</v>
      </c>
      <c r="L95" s="120" t="s">
        <v>1186</v>
      </c>
      <c r="M95" t="s">
        <v>468</v>
      </c>
      <c r="N95" t="s">
        <v>469</v>
      </c>
      <c r="O95" t="s">
        <v>470</v>
      </c>
      <c r="P95" t="str">
        <f t="shared" si="0"/>
        <v/>
      </c>
      <c r="Q95" s="120">
        <v>8</v>
      </c>
      <c r="R95" s="120">
        <v>2</v>
      </c>
      <c r="S95" s="120">
        <v>2</v>
      </c>
    </row>
    <row r="96" spans="2:19" x14ac:dyDescent="0.2">
      <c r="B96" s="120" t="s">
        <v>1037</v>
      </c>
      <c r="C96" s="120" t="s">
        <v>1112</v>
      </c>
      <c r="D96" s="55" t="str">
        <f>VLOOKUP(VLOOKUP(Q96&amp;"_"&amp;R96,挑战模式!$A$3:$Z$52,2+5*S96,FALSE),'⚪设计'!$B$85:$H$104,2,FALSE)</f>
        <v>ResUnit_Niao2</v>
      </c>
      <c r="E96" s="55">
        <f>VLOOKUP(VLOOKUP(Q96&amp;"_"&amp;R96,挑战模式!$A$3:$Z$52,2+5*S96,FALSE),'⚪设计'!$B$85:$H$104,6,FALSE)*VLOOKUP(Q96&amp;"_"&amp;R96,挑战模式!$A$3:$Z$52,5,FALSE)</f>
        <v>3</v>
      </c>
      <c r="F96">
        <v>400</v>
      </c>
      <c r="G96" t="b">
        <v>1</v>
      </c>
      <c r="H96">
        <v>1</v>
      </c>
      <c r="I96">
        <v>1</v>
      </c>
      <c r="J96">
        <v>0.25</v>
      </c>
      <c r="K96" s="55">
        <f>VLOOKUP(VLOOKUP(Q96&amp;"_"&amp;R96,挑战模式!$A$3:$Z$52,2+5*S96,FALSE),'⚪设计'!$B$85:$H$104,7,FALSE)</f>
        <v>1.2</v>
      </c>
      <c r="L96" s="120" t="s">
        <v>1187</v>
      </c>
      <c r="M96" t="s">
        <v>468</v>
      </c>
      <c r="N96" t="s">
        <v>469</v>
      </c>
      <c r="O96" t="s">
        <v>470</v>
      </c>
      <c r="P96" t="str">
        <f t="shared" si="0"/>
        <v>Skill_Monster_Challenge_Niao2</v>
      </c>
      <c r="Q96" s="120">
        <v>8</v>
      </c>
      <c r="R96" s="120">
        <v>2</v>
      </c>
      <c r="S96" s="120">
        <v>3</v>
      </c>
    </row>
    <row r="97" spans="2:19" x14ac:dyDescent="0.2">
      <c r="B97" s="120" t="s">
        <v>1038</v>
      </c>
      <c r="C97" s="120" t="s">
        <v>1113</v>
      </c>
      <c r="D97" s="55" t="str">
        <f>VLOOKUP(VLOOKUP(Q97&amp;"_"&amp;R97,挑战模式!$A$3:$Z$52,2+5*S97,FALSE),'⚪设计'!$B$85:$H$104,2,FALSE)</f>
        <v>ResUnit_ZhongZi1</v>
      </c>
      <c r="E97" s="55">
        <f>VLOOKUP(VLOOKUP(Q97&amp;"_"&amp;R97,挑战模式!$A$3:$Z$52,2+5*S97,FALSE),'⚪设计'!$B$85:$H$104,6,FALSE)*VLOOKUP(Q97&amp;"_"&amp;R97,挑战模式!$A$3:$Z$52,5,FALSE)</f>
        <v>3</v>
      </c>
      <c r="F97">
        <v>400</v>
      </c>
      <c r="G97" t="b">
        <v>1</v>
      </c>
      <c r="H97">
        <v>1</v>
      </c>
      <c r="I97">
        <v>1</v>
      </c>
      <c r="J97">
        <v>0.25</v>
      </c>
      <c r="K97" s="55">
        <f>VLOOKUP(VLOOKUP(Q97&amp;"_"&amp;R97,挑战模式!$A$3:$Z$52,2+5*S97,FALSE),'⚪设计'!$B$85:$H$104,7,FALSE)</f>
        <v>1</v>
      </c>
      <c r="L97" s="120" t="s">
        <v>1188</v>
      </c>
      <c r="M97" t="s">
        <v>468</v>
      </c>
      <c r="N97" t="s">
        <v>469</v>
      </c>
      <c r="O97" t="s">
        <v>470</v>
      </c>
      <c r="P97" t="str">
        <f t="shared" si="0"/>
        <v/>
      </c>
      <c r="Q97" s="120">
        <v>8</v>
      </c>
      <c r="R97" s="120">
        <v>3</v>
      </c>
      <c r="S97" s="120">
        <v>1</v>
      </c>
    </row>
    <row r="98" spans="2:19" x14ac:dyDescent="0.2">
      <c r="B98" s="120" t="s">
        <v>1039</v>
      </c>
      <c r="C98" s="120" t="s">
        <v>1114</v>
      </c>
      <c r="D98" s="55" t="str">
        <f>VLOOKUP(VLOOKUP(Q98&amp;"_"&amp;R98,挑战模式!$A$3:$Z$52,2+5*S98,FALSE),'⚪设计'!$B$85:$H$104,2,FALSE)</f>
        <v>ResUnit_BianFu1</v>
      </c>
      <c r="E98" s="55">
        <f>VLOOKUP(VLOOKUP(Q98&amp;"_"&amp;R98,挑战模式!$A$3:$Z$52,2+5*S98,FALSE),'⚪设计'!$B$85:$H$104,6,FALSE)*VLOOKUP(Q98&amp;"_"&amp;R98,挑战模式!$A$3:$Z$52,5,FALSE)</f>
        <v>3</v>
      </c>
      <c r="F98">
        <v>400</v>
      </c>
      <c r="G98" t="b">
        <v>1</v>
      </c>
      <c r="H98">
        <v>1</v>
      </c>
      <c r="I98">
        <v>1</v>
      </c>
      <c r="J98">
        <v>0.25</v>
      </c>
      <c r="K98" s="55">
        <f>VLOOKUP(VLOOKUP(Q98&amp;"_"&amp;R98,挑战模式!$A$3:$Z$52,2+5*S98,FALSE),'⚪设计'!$B$85:$H$104,7,FALSE)</f>
        <v>0.5</v>
      </c>
      <c r="L98" s="120" t="s">
        <v>1189</v>
      </c>
      <c r="M98" t="s">
        <v>468</v>
      </c>
      <c r="N98" t="s">
        <v>469</v>
      </c>
      <c r="O98" t="s">
        <v>470</v>
      </c>
      <c r="P98" t="str">
        <f t="shared" si="0"/>
        <v/>
      </c>
      <c r="Q98" s="120">
        <v>8</v>
      </c>
      <c r="R98" s="120">
        <v>3</v>
      </c>
      <c r="S98" s="120">
        <v>2</v>
      </c>
    </row>
    <row r="99" spans="2:19" x14ac:dyDescent="0.2">
      <c r="B99" s="120" t="s">
        <v>1040</v>
      </c>
      <c r="C99" s="120" t="s">
        <v>1115</v>
      </c>
      <c r="D99" s="55" t="str">
        <f>VLOOKUP(VLOOKUP(Q99&amp;"_"&amp;R99,挑战模式!$A$3:$Z$52,2+5*S99,FALSE),'⚪设计'!$B$85:$H$104,2,FALSE)</f>
        <v>ResUnit_Niao2</v>
      </c>
      <c r="E99" s="55">
        <f>VLOOKUP(VLOOKUP(Q99&amp;"_"&amp;R99,挑战模式!$A$3:$Z$52,2+5*S99,FALSE),'⚪设计'!$B$85:$H$104,6,FALSE)*VLOOKUP(Q99&amp;"_"&amp;R99,挑战模式!$A$3:$Z$52,5,FALSE)</f>
        <v>3</v>
      </c>
      <c r="F99">
        <v>400</v>
      </c>
      <c r="G99" t="b">
        <v>1</v>
      </c>
      <c r="H99">
        <v>1</v>
      </c>
      <c r="I99">
        <v>1</v>
      </c>
      <c r="J99">
        <v>0.25</v>
      </c>
      <c r="K99" s="55">
        <f>VLOOKUP(VLOOKUP(Q99&amp;"_"&amp;R99,挑战模式!$A$3:$Z$52,2+5*S99,FALSE),'⚪设计'!$B$85:$H$104,7,FALSE)</f>
        <v>1.2</v>
      </c>
      <c r="L99" s="120" t="s">
        <v>1190</v>
      </c>
      <c r="M99" t="s">
        <v>468</v>
      </c>
      <c r="N99" t="s">
        <v>469</v>
      </c>
      <c r="O99" t="s">
        <v>470</v>
      </c>
      <c r="P99" t="str">
        <f t="shared" si="0"/>
        <v>Skill_Monster_Challenge_Niao2</v>
      </c>
      <c r="Q99" s="120">
        <v>8</v>
      </c>
      <c r="R99" s="120">
        <v>3</v>
      </c>
      <c r="S99" s="120">
        <v>3</v>
      </c>
    </row>
    <row r="100" spans="2:19" x14ac:dyDescent="0.2">
      <c r="B100" s="120" t="s">
        <v>1041</v>
      </c>
      <c r="C100" s="120" t="s">
        <v>1116</v>
      </c>
      <c r="D100" s="55" t="str">
        <f>VLOOKUP(VLOOKUP(Q100&amp;"_"&amp;R100,挑战模式!$A$3:$Z$52,2+5*S100,FALSE),'⚪设计'!$B$85:$H$104,2,FALSE)</f>
        <v>ResUnit_ZhongZi1</v>
      </c>
      <c r="E100" s="55">
        <f>VLOOKUP(VLOOKUP(Q100&amp;"_"&amp;R100,挑战模式!$A$3:$Z$52,2+5*S100,FALSE),'⚪设计'!$B$85:$H$104,6,FALSE)*VLOOKUP(Q100&amp;"_"&amp;R100,挑战模式!$A$3:$Z$52,5,FALSE)</f>
        <v>3</v>
      </c>
      <c r="F100">
        <v>400</v>
      </c>
      <c r="G100" t="b">
        <v>1</v>
      </c>
      <c r="H100">
        <v>1</v>
      </c>
      <c r="I100">
        <v>1</v>
      </c>
      <c r="J100">
        <v>0.25</v>
      </c>
      <c r="K100" s="55">
        <f>VLOOKUP(VLOOKUP(Q100&amp;"_"&amp;R100,挑战模式!$A$3:$Z$52,2+5*S100,FALSE),'⚪设计'!$B$85:$H$104,7,FALSE)</f>
        <v>1</v>
      </c>
      <c r="L100" s="120" t="s">
        <v>1191</v>
      </c>
      <c r="M100" t="s">
        <v>468</v>
      </c>
      <c r="N100" t="s">
        <v>469</v>
      </c>
      <c r="O100" t="s">
        <v>470</v>
      </c>
      <c r="P100" t="str">
        <f t="shared" si="0"/>
        <v/>
      </c>
      <c r="Q100" s="120">
        <v>8</v>
      </c>
      <c r="R100" s="120">
        <v>4</v>
      </c>
      <c r="S100" s="120">
        <v>1</v>
      </c>
    </row>
    <row r="101" spans="2:19" x14ac:dyDescent="0.2">
      <c r="B101" s="120" t="s">
        <v>1042</v>
      </c>
      <c r="C101" s="120" t="s">
        <v>1117</v>
      </c>
      <c r="D101" s="55" t="str">
        <f>VLOOKUP(VLOOKUP(Q101&amp;"_"&amp;R101,挑战模式!$A$3:$Z$52,2+5*S101,FALSE),'⚪设计'!$B$85:$H$104,2,FALSE)</f>
        <v>ResUnit_BianFu1</v>
      </c>
      <c r="E101" s="55">
        <f>VLOOKUP(VLOOKUP(Q101&amp;"_"&amp;R101,挑战模式!$A$3:$Z$52,2+5*S101,FALSE),'⚪设计'!$B$85:$H$104,6,FALSE)*VLOOKUP(Q101&amp;"_"&amp;R101,挑战模式!$A$3:$Z$52,5,FALSE)</f>
        <v>3</v>
      </c>
      <c r="F101">
        <v>400</v>
      </c>
      <c r="G101" t="b">
        <v>1</v>
      </c>
      <c r="H101">
        <v>1</v>
      </c>
      <c r="I101">
        <v>1</v>
      </c>
      <c r="J101">
        <v>0.25</v>
      </c>
      <c r="K101" s="55">
        <f>VLOOKUP(VLOOKUP(Q101&amp;"_"&amp;R101,挑战模式!$A$3:$Z$52,2+5*S101,FALSE),'⚪设计'!$B$85:$H$104,7,FALSE)</f>
        <v>0.5</v>
      </c>
      <c r="L101" s="120" t="s">
        <v>1192</v>
      </c>
      <c r="M101" t="s">
        <v>468</v>
      </c>
      <c r="N101" t="s">
        <v>469</v>
      </c>
      <c r="O101" t="s">
        <v>470</v>
      </c>
      <c r="P101" t="str">
        <f t="shared" si="0"/>
        <v/>
      </c>
      <c r="Q101" s="120">
        <v>8</v>
      </c>
      <c r="R101" s="120">
        <v>4</v>
      </c>
      <c r="S101" s="120">
        <v>2</v>
      </c>
    </row>
    <row r="102" spans="2:19" x14ac:dyDescent="0.2">
      <c r="B102" s="120" t="s">
        <v>1043</v>
      </c>
      <c r="C102" s="120" t="s">
        <v>1118</v>
      </c>
      <c r="D102" s="55" t="str">
        <f>VLOOKUP(VLOOKUP(Q102&amp;"_"&amp;R102,挑战模式!$A$3:$Z$52,2+5*S102,FALSE),'⚪设计'!$B$85:$H$104,2,FALSE)</f>
        <v>ResUnit_ZhiZhu1</v>
      </c>
      <c r="E102" s="55">
        <f>VLOOKUP(VLOOKUP(Q102&amp;"_"&amp;R102,挑战模式!$A$3:$Z$52,2+5*S102,FALSE),'⚪设计'!$B$85:$H$104,6,FALSE)*VLOOKUP(Q102&amp;"_"&amp;R102,挑战模式!$A$3:$Z$52,5,FALSE)</f>
        <v>4.5</v>
      </c>
      <c r="F102">
        <v>400</v>
      </c>
      <c r="G102" t="b">
        <v>1</v>
      </c>
      <c r="H102">
        <v>1</v>
      </c>
      <c r="I102">
        <v>1</v>
      </c>
      <c r="J102">
        <v>0.25</v>
      </c>
      <c r="K102" s="55">
        <f>VLOOKUP(VLOOKUP(Q102&amp;"_"&amp;R102,挑战模式!$A$3:$Z$52,2+5*S102,FALSE),'⚪设计'!$B$85:$H$104,7,FALSE)</f>
        <v>1</v>
      </c>
      <c r="L102" s="120" t="s">
        <v>1193</v>
      </c>
      <c r="M102" t="s">
        <v>468</v>
      </c>
      <c r="N102" t="s">
        <v>469</v>
      </c>
      <c r="O102" t="s">
        <v>470</v>
      </c>
      <c r="P102" t="str">
        <f t="shared" si="0"/>
        <v/>
      </c>
      <c r="Q102" s="120">
        <v>8</v>
      </c>
      <c r="R102" s="120">
        <v>4</v>
      </c>
      <c r="S102" s="120">
        <v>3</v>
      </c>
    </row>
    <row r="103" spans="2:19" x14ac:dyDescent="0.2">
      <c r="B103" s="120" t="s">
        <v>1044</v>
      </c>
      <c r="C103" s="120" t="s">
        <v>1119</v>
      </c>
      <c r="D103" s="55" t="str">
        <f>VLOOKUP(VLOOKUP(Q103&amp;"_"&amp;R103,挑战模式!$A$3:$Z$52,2+5*S103,FALSE),'⚪设计'!$B$85:$H$104,2,FALSE)</f>
        <v>ResUnit_Niao2</v>
      </c>
      <c r="E103" s="55">
        <f>VLOOKUP(VLOOKUP(Q103&amp;"_"&amp;R103,挑战模式!$A$3:$Z$52,2+5*S103,FALSE),'⚪设计'!$B$85:$H$104,6,FALSE)*VLOOKUP(Q103&amp;"_"&amp;R103,挑战模式!$A$3:$Z$52,5,FALSE)</f>
        <v>3</v>
      </c>
      <c r="F103">
        <v>400</v>
      </c>
      <c r="G103" t="b">
        <v>1</v>
      </c>
      <c r="H103">
        <v>1</v>
      </c>
      <c r="I103">
        <v>1</v>
      </c>
      <c r="J103">
        <v>0.25</v>
      </c>
      <c r="K103" s="55">
        <f>VLOOKUP(VLOOKUP(Q103&amp;"_"&amp;R103,挑战模式!$A$3:$Z$52,2+5*S103,FALSE),'⚪设计'!$B$85:$H$104,7,FALSE)</f>
        <v>1.2</v>
      </c>
      <c r="L103" s="120" t="s">
        <v>1194</v>
      </c>
      <c r="M103" t="s">
        <v>468</v>
      </c>
      <c r="N103" t="s">
        <v>469</v>
      </c>
      <c r="O103" t="s">
        <v>470</v>
      </c>
      <c r="P103" t="str">
        <f t="shared" si="0"/>
        <v>Skill_Monster_Challenge_Niao2</v>
      </c>
      <c r="Q103" s="120">
        <v>8</v>
      </c>
      <c r="R103" s="120">
        <v>4</v>
      </c>
      <c r="S103" s="120">
        <v>4</v>
      </c>
    </row>
    <row r="104" spans="2:19" x14ac:dyDescent="0.2">
      <c r="B104" s="120" t="s">
        <v>1045</v>
      </c>
      <c r="C104" s="120" t="s">
        <v>1120</v>
      </c>
      <c r="D104" s="55" t="str">
        <f>VLOOKUP(VLOOKUP(Q104&amp;"_"&amp;R104,挑战模式!$A$3:$Z$52,2+5*S104,FALSE),'⚪设计'!$B$85:$H$104,2,FALSE)</f>
        <v>ResUnit_ZhongZi1</v>
      </c>
      <c r="E104" s="55">
        <f>VLOOKUP(VLOOKUP(Q104&amp;"_"&amp;R104,挑战模式!$A$3:$Z$52,2+5*S104,FALSE),'⚪设计'!$B$85:$H$104,6,FALSE)*VLOOKUP(Q104&amp;"_"&amp;R104,挑战模式!$A$3:$Z$52,5,FALSE)</f>
        <v>3</v>
      </c>
      <c r="F104">
        <v>400</v>
      </c>
      <c r="G104" t="b">
        <v>1</v>
      </c>
      <c r="H104">
        <v>1</v>
      </c>
      <c r="I104">
        <v>1</v>
      </c>
      <c r="J104">
        <v>0.25</v>
      </c>
      <c r="K104" s="55">
        <f>VLOOKUP(VLOOKUP(Q104&amp;"_"&amp;R104,挑战模式!$A$3:$Z$52,2+5*S104,FALSE),'⚪设计'!$B$85:$H$104,7,FALSE)</f>
        <v>1</v>
      </c>
      <c r="L104" s="120" t="s">
        <v>1195</v>
      </c>
      <c r="M104" t="s">
        <v>468</v>
      </c>
      <c r="N104" t="s">
        <v>469</v>
      </c>
      <c r="O104" t="s">
        <v>470</v>
      </c>
      <c r="P104" t="str">
        <f t="shared" si="0"/>
        <v/>
      </c>
      <c r="Q104" s="120">
        <v>8</v>
      </c>
      <c r="R104" s="120">
        <v>5</v>
      </c>
      <c r="S104" s="120">
        <v>1</v>
      </c>
    </row>
    <row r="105" spans="2:19" x14ac:dyDescent="0.2">
      <c r="B105" s="120" t="s">
        <v>1046</v>
      </c>
      <c r="C105" s="120" t="s">
        <v>1121</v>
      </c>
      <c r="D105" s="55" t="str">
        <f>VLOOKUP(VLOOKUP(Q105&amp;"_"&amp;R105,挑战模式!$A$3:$Z$52,2+5*S105,FALSE),'⚪设计'!$B$85:$H$104,2,FALSE)</f>
        <v>ResUnit_MiFeng2</v>
      </c>
      <c r="E105" s="55">
        <f>VLOOKUP(VLOOKUP(Q105&amp;"_"&amp;R105,挑战模式!$A$3:$Z$52,2+5*S105,FALSE),'⚪设计'!$B$85:$H$104,6,FALSE)*VLOOKUP(Q105&amp;"_"&amp;R105,挑战模式!$A$3:$Z$52,5,FALSE)</f>
        <v>3</v>
      </c>
      <c r="F105">
        <v>400</v>
      </c>
      <c r="G105" t="b">
        <v>1</v>
      </c>
      <c r="H105">
        <v>1</v>
      </c>
      <c r="I105">
        <v>1</v>
      </c>
      <c r="J105">
        <v>0.25</v>
      </c>
      <c r="K105" s="55">
        <f>VLOOKUP(VLOOKUP(Q105&amp;"_"&amp;R105,挑战模式!$A$3:$Z$52,2+5*S105,FALSE),'⚪设计'!$B$85:$H$104,7,FALSE)</f>
        <v>0.8</v>
      </c>
      <c r="L105" s="120" t="s">
        <v>1196</v>
      </c>
      <c r="M105" t="s">
        <v>468</v>
      </c>
      <c r="N105" t="s">
        <v>469</v>
      </c>
      <c r="O105" t="s">
        <v>470</v>
      </c>
      <c r="P105" t="str">
        <f t="shared" si="0"/>
        <v/>
      </c>
      <c r="Q105" s="120">
        <v>8</v>
      </c>
      <c r="R105" s="120">
        <v>5</v>
      </c>
      <c r="S105" s="120">
        <v>2</v>
      </c>
    </row>
    <row r="106" spans="2:19" x14ac:dyDescent="0.2">
      <c r="B106" s="120" t="s">
        <v>1047</v>
      </c>
      <c r="C106" s="120" t="s">
        <v>1122</v>
      </c>
      <c r="D106" s="55" t="str">
        <f>VLOOKUP(VLOOKUP(Q106&amp;"_"&amp;R106,挑战模式!$A$3:$Z$52,2+5*S106,FALSE),'⚪设计'!$B$85:$H$104,2,FALSE)</f>
        <v>ResUnit_ZhiZhu1</v>
      </c>
      <c r="E106" s="55">
        <f>VLOOKUP(VLOOKUP(Q106&amp;"_"&amp;R106,挑战模式!$A$3:$Z$52,2+5*S106,FALSE),'⚪设计'!$B$85:$H$104,6,FALSE)*VLOOKUP(Q106&amp;"_"&amp;R106,挑战模式!$A$3:$Z$52,5,FALSE)</f>
        <v>4.5</v>
      </c>
      <c r="F106">
        <v>400</v>
      </c>
      <c r="G106" t="b">
        <v>1</v>
      </c>
      <c r="H106">
        <v>1</v>
      </c>
      <c r="I106">
        <v>1</v>
      </c>
      <c r="J106">
        <v>0.25</v>
      </c>
      <c r="K106" s="55">
        <f>VLOOKUP(VLOOKUP(Q106&amp;"_"&amp;R106,挑战模式!$A$3:$Z$52,2+5*S106,FALSE),'⚪设计'!$B$85:$H$104,7,FALSE)</f>
        <v>1</v>
      </c>
      <c r="L106" s="120" t="s">
        <v>1197</v>
      </c>
      <c r="M106" t="s">
        <v>468</v>
      </c>
      <c r="N106" t="s">
        <v>469</v>
      </c>
      <c r="O106" t="s">
        <v>470</v>
      </c>
      <c r="P106" t="str">
        <f t="shared" si="0"/>
        <v/>
      </c>
      <c r="Q106" s="120">
        <v>8</v>
      </c>
      <c r="R106" s="120">
        <v>5</v>
      </c>
      <c r="S106" s="120">
        <v>3</v>
      </c>
    </row>
    <row r="107" spans="2:19" x14ac:dyDescent="0.2">
      <c r="B107" s="120" t="s">
        <v>1048</v>
      </c>
      <c r="C107" s="120" t="s">
        <v>1123</v>
      </c>
      <c r="D107" s="55" t="str">
        <f>VLOOKUP(VLOOKUP(Q107&amp;"_"&amp;R107,挑战模式!$A$3:$Z$52,2+5*S107,FALSE),'⚪设计'!$B$85:$H$104,2,FALSE)</f>
        <v>ResUnit_Niao2</v>
      </c>
      <c r="E107" s="55">
        <f>VLOOKUP(VLOOKUP(Q107&amp;"_"&amp;R107,挑战模式!$A$3:$Z$52,2+5*S107,FALSE),'⚪设计'!$B$85:$H$104,6,FALSE)*VLOOKUP(Q107&amp;"_"&amp;R107,挑战模式!$A$3:$Z$52,5,FALSE)</f>
        <v>3</v>
      </c>
      <c r="F107">
        <v>400</v>
      </c>
      <c r="G107" t="b">
        <v>1</v>
      </c>
      <c r="H107">
        <v>1</v>
      </c>
      <c r="I107">
        <v>1</v>
      </c>
      <c r="J107">
        <v>0.25</v>
      </c>
      <c r="K107" s="55">
        <f>VLOOKUP(VLOOKUP(Q107&amp;"_"&amp;R107,挑战模式!$A$3:$Z$52,2+5*S107,FALSE),'⚪设计'!$B$85:$H$104,7,FALSE)</f>
        <v>1.2</v>
      </c>
      <c r="L107" s="120" t="s">
        <v>1198</v>
      </c>
      <c r="M107" t="s">
        <v>468</v>
      </c>
      <c r="N107" t="s">
        <v>469</v>
      </c>
      <c r="O107" t="s">
        <v>470</v>
      </c>
      <c r="P107" t="str">
        <f t="shared" si="0"/>
        <v>Skill_Monster_Challenge_Niao2</v>
      </c>
      <c r="Q107" s="120">
        <v>8</v>
      </c>
      <c r="R107" s="120">
        <v>5</v>
      </c>
      <c r="S107" s="120">
        <v>4</v>
      </c>
    </row>
    <row r="108" spans="2:19" x14ac:dyDescent="0.2">
      <c r="B108" s="120" t="s">
        <v>1049</v>
      </c>
      <c r="C108" s="120" t="s">
        <v>1124</v>
      </c>
      <c r="D108" s="55" t="str">
        <f>VLOOKUP(VLOOKUP(Q108&amp;"_"&amp;R108,挑战模式!$A$3:$Z$52,2+5*S108,FALSE),'⚪设计'!$B$85:$H$104,2,FALSE)</f>
        <v>ResUnit_Gui1</v>
      </c>
      <c r="E108" s="55">
        <f>VLOOKUP(VLOOKUP(Q108&amp;"_"&amp;R108,挑战模式!$A$3:$Z$52,2+5*S108,FALSE),'⚪设计'!$B$85:$H$104,6,FALSE)*VLOOKUP(Q108&amp;"_"&amp;R108,挑战模式!$A$3:$Z$52,5,FALSE)</f>
        <v>3</v>
      </c>
      <c r="F108">
        <v>400</v>
      </c>
      <c r="G108" t="b">
        <v>1</v>
      </c>
      <c r="H108">
        <v>1</v>
      </c>
      <c r="I108">
        <v>1</v>
      </c>
      <c r="J108">
        <v>0.25</v>
      </c>
      <c r="K108" s="55">
        <f>VLOOKUP(VLOOKUP(Q108&amp;"_"&amp;R108,挑战模式!$A$3:$Z$52,2+5*S108,FALSE),'⚪设计'!$B$85:$H$104,7,FALSE)</f>
        <v>1</v>
      </c>
      <c r="L108" s="120" t="s">
        <v>1199</v>
      </c>
      <c r="M108" t="s">
        <v>468</v>
      </c>
      <c r="N108" t="s">
        <v>469</v>
      </c>
      <c r="O108" t="s">
        <v>470</v>
      </c>
      <c r="P108" t="str">
        <f t="shared" si="0"/>
        <v/>
      </c>
      <c r="Q108" s="120">
        <v>9</v>
      </c>
      <c r="R108" s="120">
        <v>1</v>
      </c>
      <c r="S108" s="120">
        <v>1</v>
      </c>
    </row>
    <row r="109" spans="2:19" x14ac:dyDescent="0.2">
      <c r="B109" s="120" t="s">
        <v>1050</v>
      </c>
      <c r="C109" s="120" t="s">
        <v>1125</v>
      </c>
      <c r="D109" s="55" t="str">
        <f>VLOOKUP(VLOOKUP(Q109&amp;"_"&amp;R109,挑战模式!$A$3:$Z$52,2+5*S109,FALSE),'⚪设计'!$B$85:$H$104,2,FALSE)</f>
        <v>ResUnit_Niao2</v>
      </c>
      <c r="E109" s="55">
        <f>VLOOKUP(VLOOKUP(Q109&amp;"_"&amp;R109,挑战模式!$A$3:$Z$52,2+5*S109,FALSE),'⚪设计'!$B$85:$H$104,6,FALSE)*VLOOKUP(Q109&amp;"_"&amp;R109,挑战模式!$A$3:$Z$52,5,FALSE)</f>
        <v>3</v>
      </c>
      <c r="F109">
        <v>400</v>
      </c>
      <c r="G109" t="b">
        <v>1</v>
      </c>
      <c r="H109">
        <v>1</v>
      </c>
      <c r="I109">
        <v>1</v>
      </c>
      <c r="J109">
        <v>0.25</v>
      </c>
      <c r="K109" s="55">
        <f>VLOOKUP(VLOOKUP(Q109&amp;"_"&amp;R109,挑战模式!$A$3:$Z$52,2+5*S109,FALSE),'⚪设计'!$B$85:$H$104,7,FALSE)</f>
        <v>1.2</v>
      </c>
      <c r="L109" s="120" t="s">
        <v>1200</v>
      </c>
      <c r="M109" t="s">
        <v>468</v>
      </c>
      <c r="N109" t="s">
        <v>469</v>
      </c>
      <c r="O109" t="s">
        <v>470</v>
      </c>
      <c r="P109" t="str">
        <f t="shared" si="0"/>
        <v>Skill_Monster_Challenge_Niao2</v>
      </c>
      <c r="Q109" s="120">
        <v>9</v>
      </c>
      <c r="R109" s="120">
        <v>1</v>
      </c>
      <c r="S109" s="120">
        <v>2</v>
      </c>
    </row>
    <row r="110" spans="2:19" x14ac:dyDescent="0.2">
      <c r="B110" s="120" t="s">
        <v>1051</v>
      </c>
      <c r="C110" s="120" t="s">
        <v>1126</v>
      </c>
      <c r="D110" s="55" t="str">
        <f>VLOOKUP(VLOOKUP(Q110&amp;"_"&amp;R110,挑战模式!$A$3:$Z$52,2+5*S110,FALSE),'⚪设计'!$B$85:$H$104,2,FALSE)</f>
        <v>ResUnit_Gui1</v>
      </c>
      <c r="E110" s="55">
        <f>VLOOKUP(VLOOKUP(Q110&amp;"_"&amp;R110,挑战模式!$A$3:$Z$52,2+5*S110,FALSE),'⚪设计'!$B$85:$H$104,6,FALSE)*VLOOKUP(Q110&amp;"_"&amp;R110,挑战模式!$A$3:$Z$52,5,FALSE)</f>
        <v>3</v>
      </c>
      <c r="F110">
        <v>400</v>
      </c>
      <c r="G110" t="b">
        <v>1</v>
      </c>
      <c r="H110">
        <v>1</v>
      </c>
      <c r="I110">
        <v>1</v>
      </c>
      <c r="J110">
        <v>0.25</v>
      </c>
      <c r="K110" s="55">
        <f>VLOOKUP(VLOOKUP(Q110&amp;"_"&amp;R110,挑战模式!$A$3:$Z$52,2+5*S110,FALSE),'⚪设计'!$B$85:$H$104,7,FALSE)</f>
        <v>1</v>
      </c>
      <c r="L110" s="120" t="s">
        <v>1201</v>
      </c>
      <c r="M110" t="s">
        <v>468</v>
      </c>
      <c r="N110" t="s">
        <v>469</v>
      </c>
      <c r="O110" t="s">
        <v>470</v>
      </c>
      <c r="P110" t="str">
        <f t="shared" si="0"/>
        <v/>
      </c>
      <c r="Q110" s="120">
        <v>9</v>
      </c>
      <c r="R110" s="120">
        <v>2</v>
      </c>
      <c r="S110" s="120">
        <v>1</v>
      </c>
    </row>
    <row r="111" spans="2:19" x14ac:dyDescent="0.2">
      <c r="B111" s="120" t="s">
        <v>1052</v>
      </c>
      <c r="C111" s="120" t="s">
        <v>1127</v>
      </c>
      <c r="D111" s="55" t="str">
        <f>VLOOKUP(VLOOKUP(Q111&amp;"_"&amp;R111,挑战模式!$A$3:$Z$52,2+5*S111,FALSE),'⚪设计'!$B$85:$H$104,2,FALSE)</f>
        <v>ResUnit_MiFeng2</v>
      </c>
      <c r="E111" s="55">
        <f>VLOOKUP(VLOOKUP(Q111&amp;"_"&amp;R111,挑战模式!$A$3:$Z$52,2+5*S111,FALSE),'⚪设计'!$B$85:$H$104,6,FALSE)*VLOOKUP(Q111&amp;"_"&amp;R111,挑战模式!$A$3:$Z$52,5,FALSE)</f>
        <v>3</v>
      </c>
      <c r="F111">
        <v>400</v>
      </c>
      <c r="G111" t="b">
        <v>1</v>
      </c>
      <c r="H111">
        <v>1</v>
      </c>
      <c r="I111">
        <v>1</v>
      </c>
      <c r="J111">
        <v>0.25</v>
      </c>
      <c r="K111" s="55">
        <f>VLOOKUP(VLOOKUP(Q111&amp;"_"&amp;R111,挑战模式!$A$3:$Z$52,2+5*S111,FALSE),'⚪设计'!$B$85:$H$104,7,FALSE)</f>
        <v>0.8</v>
      </c>
      <c r="L111" s="120" t="s">
        <v>1202</v>
      </c>
      <c r="M111" t="s">
        <v>468</v>
      </c>
      <c r="N111" t="s">
        <v>469</v>
      </c>
      <c r="O111" t="s">
        <v>470</v>
      </c>
      <c r="P111" t="str">
        <f t="shared" si="0"/>
        <v/>
      </c>
      <c r="Q111" s="120">
        <v>9</v>
      </c>
      <c r="R111" s="120">
        <v>2</v>
      </c>
      <c r="S111" s="120">
        <v>2</v>
      </c>
    </row>
    <row r="112" spans="2:19" x14ac:dyDescent="0.2">
      <c r="B112" s="120" t="s">
        <v>1053</v>
      </c>
      <c r="C112" s="120" t="s">
        <v>1128</v>
      </c>
      <c r="D112" s="55" t="str">
        <f>VLOOKUP(VLOOKUP(Q112&amp;"_"&amp;R112,挑战模式!$A$3:$Z$52,2+5*S112,FALSE),'⚪设计'!$B$85:$H$104,2,FALSE)</f>
        <v>ResUnit_Niao2</v>
      </c>
      <c r="E112" s="55">
        <f>VLOOKUP(VLOOKUP(Q112&amp;"_"&amp;R112,挑战模式!$A$3:$Z$52,2+5*S112,FALSE),'⚪设计'!$B$85:$H$104,6,FALSE)*VLOOKUP(Q112&amp;"_"&amp;R112,挑战模式!$A$3:$Z$52,5,FALSE)</f>
        <v>3</v>
      </c>
      <c r="F112">
        <v>400</v>
      </c>
      <c r="G112" t="b">
        <v>1</v>
      </c>
      <c r="H112">
        <v>1</v>
      </c>
      <c r="I112">
        <v>1</v>
      </c>
      <c r="J112">
        <v>0.25</v>
      </c>
      <c r="K112" s="55">
        <f>VLOOKUP(VLOOKUP(Q112&amp;"_"&amp;R112,挑战模式!$A$3:$Z$52,2+5*S112,FALSE),'⚪设计'!$B$85:$H$104,7,FALSE)</f>
        <v>1.2</v>
      </c>
      <c r="L112" s="120" t="s">
        <v>1203</v>
      </c>
      <c r="M112" t="s">
        <v>468</v>
      </c>
      <c r="N112" t="s">
        <v>469</v>
      </c>
      <c r="O112" t="s">
        <v>470</v>
      </c>
      <c r="P112" t="str">
        <f t="shared" si="0"/>
        <v>Skill_Monster_Challenge_Niao2</v>
      </c>
      <c r="Q112" s="120">
        <v>9</v>
      </c>
      <c r="R112" s="120">
        <v>2</v>
      </c>
      <c r="S112" s="120">
        <v>3</v>
      </c>
    </row>
    <row r="113" spans="2:19" x14ac:dyDescent="0.2">
      <c r="B113" s="120" t="s">
        <v>1054</v>
      </c>
      <c r="C113" s="120" t="s">
        <v>1129</v>
      </c>
      <c r="D113" s="55" t="str">
        <f>VLOOKUP(VLOOKUP(Q113&amp;"_"&amp;R113,挑战模式!$A$3:$Z$52,2+5*S113,FALSE),'⚪设计'!$B$85:$H$104,2,FALSE)</f>
        <v>ResUnit_Gui1</v>
      </c>
      <c r="E113" s="55">
        <f>VLOOKUP(VLOOKUP(Q113&amp;"_"&amp;R113,挑战模式!$A$3:$Z$52,2+5*S113,FALSE),'⚪设计'!$B$85:$H$104,6,FALSE)*VLOOKUP(Q113&amp;"_"&amp;R113,挑战模式!$A$3:$Z$52,5,FALSE)</f>
        <v>3</v>
      </c>
      <c r="F113">
        <v>400</v>
      </c>
      <c r="G113" t="b">
        <v>1</v>
      </c>
      <c r="H113">
        <v>1</v>
      </c>
      <c r="I113">
        <v>1</v>
      </c>
      <c r="J113">
        <v>0.25</v>
      </c>
      <c r="K113" s="55">
        <f>VLOOKUP(VLOOKUP(Q113&amp;"_"&amp;R113,挑战模式!$A$3:$Z$52,2+5*S113,FALSE),'⚪设计'!$B$85:$H$104,7,FALSE)</f>
        <v>1</v>
      </c>
      <c r="L113" s="120" t="s">
        <v>1204</v>
      </c>
      <c r="M113" t="s">
        <v>468</v>
      </c>
      <c r="N113" t="s">
        <v>469</v>
      </c>
      <c r="O113" t="s">
        <v>470</v>
      </c>
      <c r="P113" t="str">
        <f t="shared" si="0"/>
        <v/>
      </c>
      <c r="Q113" s="120">
        <v>9</v>
      </c>
      <c r="R113" s="120">
        <v>3</v>
      </c>
      <c r="S113" s="120">
        <v>1</v>
      </c>
    </row>
    <row r="114" spans="2:19" x14ac:dyDescent="0.2">
      <c r="B114" s="120" t="s">
        <v>1055</v>
      </c>
      <c r="C114" s="120" t="s">
        <v>1130</v>
      </c>
      <c r="D114" s="55" t="str">
        <f>VLOOKUP(VLOOKUP(Q114&amp;"_"&amp;R114,挑战模式!$A$3:$Z$52,2+5*S114,FALSE),'⚪设计'!$B$85:$H$104,2,FALSE)</f>
        <v>ResUnit_BianFu1</v>
      </c>
      <c r="E114" s="55">
        <f>VLOOKUP(VLOOKUP(Q114&amp;"_"&amp;R114,挑战模式!$A$3:$Z$52,2+5*S114,FALSE),'⚪设计'!$B$85:$H$104,6,FALSE)*VLOOKUP(Q114&amp;"_"&amp;R114,挑战模式!$A$3:$Z$52,5,FALSE)</f>
        <v>3</v>
      </c>
      <c r="F114">
        <v>400</v>
      </c>
      <c r="G114" t="b">
        <v>1</v>
      </c>
      <c r="H114">
        <v>1</v>
      </c>
      <c r="I114">
        <v>1</v>
      </c>
      <c r="J114">
        <v>0.25</v>
      </c>
      <c r="K114" s="55">
        <f>VLOOKUP(VLOOKUP(Q114&amp;"_"&amp;R114,挑战模式!$A$3:$Z$52,2+5*S114,FALSE),'⚪设计'!$B$85:$H$104,7,FALSE)</f>
        <v>0.5</v>
      </c>
      <c r="L114" s="120" t="s">
        <v>1205</v>
      </c>
      <c r="M114" t="s">
        <v>468</v>
      </c>
      <c r="N114" t="s">
        <v>469</v>
      </c>
      <c r="O114" t="s">
        <v>470</v>
      </c>
      <c r="P114" t="str">
        <f t="shared" si="0"/>
        <v/>
      </c>
      <c r="Q114" s="120">
        <v>9</v>
      </c>
      <c r="R114" s="120">
        <v>3</v>
      </c>
      <c r="S114" s="120">
        <v>2</v>
      </c>
    </row>
    <row r="115" spans="2:19" x14ac:dyDescent="0.2">
      <c r="B115" s="120" t="s">
        <v>1056</v>
      </c>
      <c r="C115" s="120" t="s">
        <v>1131</v>
      </c>
      <c r="D115" s="55" t="str">
        <f>VLOOKUP(VLOOKUP(Q115&amp;"_"&amp;R115,挑战模式!$A$3:$Z$52,2+5*S115,FALSE),'⚪设计'!$B$85:$H$104,2,FALSE)</f>
        <v>ResUnit_Niao2</v>
      </c>
      <c r="E115" s="55">
        <f>VLOOKUP(VLOOKUP(Q115&amp;"_"&amp;R115,挑战模式!$A$3:$Z$52,2+5*S115,FALSE),'⚪设计'!$B$85:$H$104,6,FALSE)*VLOOKUP(Q115&amp;"_"&amp;R115,挑战模式!$A$3:$Z$52,5,FALSE)</f>
        <v>3</v>
      </c>
      <c r="F115">
        <v>400</v>
      </c>
      <c r="G115" t="b">
        <v>1</v>
      </c>
      <c r="H115">
        <v>1</v>
      </c>
      <c r="I115">
        <v>1</v>
      </c>
      <c r="J115">
        <v>0.25</v>
      </c>
      <c r="K115" s="55">
        <f>VLOOKUP(VLOOKUP(Q115&amp;"_"&amp;R115,挑战模式!$A$3:$Z$52,2+5*S115,FALSE),'⚪设计'!$B$85:$H$104,7,FALSE)</f>
        <v>1.2</v>
      </c>
      <c r="L115" s="120" t="s">
        <v>1206</v>
      </c>
      <c r="M115" t="s">
        <v>468</v>
      </c>
      <c r="N115" t="s">
        <v>469</v>
      </c>
      <c r="O115" t="s">
        <v>470</v>
      </c>
      <c r="P115" t="str">
        <f t="shared" si="0"/>
        <v>Skill_Monster_Challenge_Niao2</v>
      </c>
      <c r="Q115" s="120">
        <v>9</v>
      </c>
      <c r="R115" s="120">
        <v>3</v>
      </c>
      <c r="S115" s="120">
        <v>3</v>
      </c>
    </row>
    <row r="116" spans="2:19" x14ac:dyDescent="0.2">
      <c r="B116" s="120" t="s">
        <v>1057</v>
      </c>
      <c r="C116" s="120" t="s">
        <v>1132</v>
      </c>
      <c r="D116" s="55" t="str">
        <f>VLOOKUP(VLOOKUP(Q116&amp;"_"&amp;R116,挑战模式!$A$3:$Z$52,2+5*S116,FALSE),'⚪设计'!$B$85:$H$104,2,FALSE)</f>
        <v>ResUnit_Gui1</v>
      </c>
      <c r="E116" s="55">
        <f>VLOOKUP(VLOOKUP(Q116&amp;"_"&amp;R116,挑战模式!$A$3:$Z$52,2+5*S116,FALSE),'⚪设计'!$B$85:$H$104,6,FALSE)*VLOOKUP(Q116&amp;"_"&amp;R116,挑战模式!$A$3:$Z$52,5,FALSE)</f>
        <v>3</v>
      </c>
      <c r="F116">
        <v>400</v>
      </c>
      <c r="G116" t="b">
        <v>1</v>
      </c>
      <c r="H116">
        <v>1</v>
      </c>
      <c r="I116">
        <v>1</v>
      </c>
      <c r="J116">
        <v>0.25</v>
      </c>
      <c r="K116" s="55">
        <f>VLOOKUP(VLOOKUP(Q116&amp;"_"&amp;R116,挑战模式!$A$3:$Z$52,2+5*S116,FALSE),'⚪设计'!$B$85:$H$104,7,FALSE)</f>
        <v>1</v>
      </c>
      <c r="L116" s="120" t="s">
        <v>1207</v>
      </c>
      <c r="M116" t="s">
        <v>468</v>
      </c>
      <c r="N116" t="s">
        <v>469</v>
      </c>
      <c r="O116" t="s">
        <v>470</v>
      </c>
      <c r="P116" t="str">
        <f t="shared" si="0"/>
        <v/>
      </c>
      <c r="Q116" s="120">
        <v>9</v>
      </c>
      <c r="R116" s="120">
        <v>4</v>
      </c>
      <c r="S116" s="120">
        <v>1</v>
      </c>
    </row>
    <row r="117" spans="2:19" x14ac:dyDescent="0.2">
      <c r="B117" s="120" t="s">
        <v>1058</v>
      </c>
      <c r="C117" s="120" t="s">
        <v>1133</v>
      </c>
      <c r="D117" s="55" t="str">
        <f>VLOOKUP(VLOOKUP(Q117&amp;"_"&amp;R117,挑战模式!$A$3:$Z$52,2+5*S117,FALSE),'⚪设计'!$B$85:$H$104,2,FALSE)</f>
        <v>ResUnit_ZhiZhu1</v>
      </c>
      <c r="E117" s="55">
        <f>VLOOKUP(VLOOKUP(Q117&amp;"_"&amp;R117,挑战模式!$A$3:$Z$52,2+5*S117,FALSE),'⚪设计'!$B$85:$H$104,6,FALSE)*VLOOKUP(Q117&amp;"_"&amp;R117,挑战模式!$A$3:$Z$52,5,FALSE)</f>
        <v>4.5</v>
      </c>
      <c r="F117">
        <v>400</v>
      </c>
      <c r="G117" t="b">
        <v>1</v>
      </c>
      <c r="H117">
        <v>1</v>
      </c>
      <c r="I117">
        <v>1</v>
      </c>
      <c r="J117">
        <v>0.25</v>
      </c>
      <c r="K117" s="55">
        <f>VLOOKUP(VLOOKUP(Q117&amp;"_"&amp;R117,挑战模式!$A$3:$Z$52,2+5*S117,FALSE),'⚪设计'!$B$85:$H$104,7,FALSE)</f>
        <v>1</v>
      </c>
      <c r="L117" s="120" t="s">
        <v>1208</v>
      </c>
      <c r="M117" t="s">
        <v>468</v>
      </c>
      <c r="N117" t="s">
        <v>469</v>
      </c>
      <c r="O117" t="s">
        <v>470</v>
      </c>
      <c r="P117" t="str">
        <f t="shared" si="0"/>
        <v/>
      </c>
      <c r="Q117" s="120">
        <v>9</v>
      </c>
      <c r="R117" s="120">
        <v>4</v>
      </c>
      <c r="S117" s="120">
        <v>2</v>
      </c>
    </row>
    <row r="118" spans="2:19" x14ac:dyDescent="0.2">
      <c r="B118" s="120" t="s">
        <v>1059</v>
      </c>
      <c r="C118" s="120" t="s">
        <v>1134</v>
      </c>
      <c r="D118" s="55" t="str">
        <f>VLOOKUP(VLOOKUP(Q118&amp;"_"&amp;R118,挑战模式!$A$3:$Z$52,2+5*S118,FALSE),'⚪设计'!$B$85:$H$104,2,FALSE)</f>
        <v>ResUnit_Niao2</v>
      </c>
      <c r="E118" s="55">
        <f>VLOOKUP(VLOOKUP(Q118&amp;"_"&amp;R118,挑战模式!$A$3:$Z$52,2+5*S118,FALSE),'⚪设计'!$B$85:$H$104,6,FALSE)*VLOOKUP(Q118&amp;"_"&amp;R118,挑战模式!$A$3:$Z$52,5,FALSE)</f>
        <v>3</v>
      </c>
      <c r="F118">
        <v>400</v>
      </c>
      <c r="G118" t="b">
        <v>1</v>
      </c>
      <c r="H118">
        <v>1</v>
      </c>
      <c r="I118">
        <v>1</v>
      </c>
      <c r="J118">
        <v>0.25</v>
      </c>
      <c r="K118" s="55">
        <f>VLOOKUP(VLOOKUP(Q118&amp;"_"&amp;R118,挑战模式!$A$3:$Z$52,2+5*S118,FALSE),'⚪设计'!$B$85:$H$104,7,FALSE)</f>
        <v>1.2</v>
      </c>
      <c r="L118" s="120" t="s">
        <v>1209</v>
      </c>
      <c r="M118" t="s">
        <v>468</v>
      </c>
      <c r="N118" t="s">
        <v>469</v>
      </c>
      <c r="O118" t="s">
        <v>470</v>
      </c>
      <c r="P118" t="str">
        <f t="shared" si="0"/>
        <v>Skill_Monster_Challenge_Niao2</v>
      </c>
      <c r="Q118" s="120">
        <v>9</v>
      </c>
      <c r="R118" s="120">
        <v>4</v>
      </c>
      <c r="S118" s="120">
        <v>3</v>
      </c>
    </row>
    <row r="119" spans="2:19" x14ac:dyDescent="0.2">
      <c r="B119" s="120" t="s">
        <v>1060</v>
      </c>
      <c r="C119" s="120" t="s">
        <v>1135</v>
      </c>
      <c r="D119" s="55" t="str">
        <f>VLOOKUP(VLOOKUP(Q119&amp;"_"&amp;R119,挑战模式!$A$3:$Z$52,2+5*S119,FALSE),'⚪设计'!$B$85:$H$104,2,FALSE)</f>
        <v>ResUnit_Gui1</v>
      </c>
      <c r="E119" s="55">
        <f>VLOOKUP(VLOOKUP(Q119&amp;"_"&amp;R119,挑战模式!$A$3:$Z$52,2+5*S119,FALSE),'⚪设计'!$B$85:$H$104,6,FALSE)*VLOOKUP(Q119&amp;"_"&amp;R119,挑战模式!$A$3:$Z$52,5,FALSE)</f>
        <v>3</v>
      </c>
      <c r="F119">
        <v>400</v>
      </c>
      <c r="G119" t="b">
        <v>1</v>
      </c>
      <c r="H119">
        <v>1</v>
      </c>
      <c r="I119">
        <v>1</v>
      </c>
      <c r="J119">
        <v>0.25</v>
      </c>
      <c r="K119" s="55">
        <f>VLOOKUP(VLOOKUP(Q119&amp;"_"&amp;R119,挑战模式!$A$3:$Z$52,2+5*S119,FALSE),'⚪设计'!$B$85:$H$104,7,FALSE)</f>
        <v>1</v>
      </c>
      <c r="L119" s="120" t="s">
        <v>1210</v>
      </c>
      <c r="M119" t="s">
        <v>468</v>
      </c>
      <c r="N119" t="s">
        <v>469</v>
      </c>
      <c r="O119" t="s">
        <v>470</v>
      </c>
      <c r="P119" t="str">
        <f t="shared" si="0"/>
        <v/>
      </c>
      <c r="Q119" s="120">
        <v>9</v>
      </c>
      <c r="R119" s="120">
        <v>5</v>
      </c>
      <c r="S119" s="120">
        <v>1</v>
      </c>
    </row>
    <row r="120" spans="2:19" x14ac:dyDescent="0.2">
      <c r="B120" s="120" t="s">
        <v>1061</v>
      </c>
      <c r="C120" s="120" t="s">
        <v>1136</v>
      </c>
      <c r="D120" s="55" t="str">
        <f>VLOOKUP(VLOOKUP(Q120&amp;"_"&amp;R120,挑战模式!$A$3:$Z$52,2+5*S120,FALSE),'⚪设计'!$B$85:$H$104,2,FALSE)</f>
        <v>ResUnit_ZhongZi1</v>
      </c>
      <c r="E120" s="55">
        <f>VLOOKUP(VLOOKUP(Q120&amp;"_"&amp;R120,挑战模式!$A$3:$Z$52,2+5*S120,FALSE),'⚪设计'!$B$85:$H$104,6,FALSE)*VLOOKUP(Q120&amp;"_"&amp;R120,挑战模式!$A$3:$Z$52,5,FALSE)</f>
        <v>3</v>
      </c>
      <c r="F120">
        <v>400</v>
      </c>
      <c r="G120" t="b">
        <v>1</v>
      </c>
      <c r="H120">
        <v>1</v>
      </c>
      <c r="I120">
        <v>1</v>
      </c>
      <c r="J120">
        <v>0.25</v>
      </c>
      <c r="K120" s="55">
        <f>VLOOKUP(VLOOKUP(Q120&amp;"_"&amp;R120,挑战模式!$A$3:$Z$52,2+5*S120,FALSE),'⚪设计'!$B$85:$H$104,7,FALSE)</f>
        <v>1</v>
      </c>
      <c r="L120" s="120" t="s">
        <v>1211</v>
      </c>
      <c r="M120" t="s">
        <v>468</v>
      </c>
      <c r="N120" t="s">
        <v>469</v>
      </c>
      <c r="O120" t="s">
        <v>470</v>
      </c>
      <c r="P120" t="str">
        <f t="shared" si="0"/>
        <v/>
      </c>
      <c r="Q120" s="120">
        <v>9</v>
      </c>
      <c r="R120" s="120">
        <v>5</v>
      </c>
      <c r="S120" s="120">
        <v>2</v>
      </c>
    </row>
    <row r="121" spans="2:19" x14ac:dyDescent="0.2">
      <c r="B121" s="120" t="s">
        <v>1062</v>
      </c>
      <c r="C121" s="120" t="s">
        <v>1137</v>
      </c>
      <c r="D121" s="55" t="str">
        <f>VLOOKUP(VLOOKUP(Q121&amp;"_"&amp;R121,挑战模式!$A$3:$Z$52,2+5*S121,FALSE),'⚪设计'!$B$85:$H$104,2,FALSE)</f>
        <v>ResUnit_Niao2</v>
      </c>
      <c r="E121" s="55">
        <f>VLOOKUP(VLOOKUP(Q121&amp;"_"&amp;R121,挑战模式!$A$3:$Z$52,2+5*S121,FALSE),'⚪设计'!$B$85:$H$104,6,FALSE)*VLOOKUP(Q121&amp;"_"&amp;R121,挑战模式!$A$3:$Z$52,5,FALSE)</f>
        <v>3</v>
      </c>
      <c r="F121">
        <v>400</v>
      </c>
      <c r="G121" t="b">
        <v>1</v>
      </c>
      <c r="H121">
        <v>1</v>
      </c>
      <c r="I121">
        <v>1</v>
      </c>
      <c r="J121">
        <v>0.25</v>
      </c>
      <c r="K121" s="55">
        <f>VLOOKUP(VLOOKUP(Q121&amp;"_"&amp;R121,挑战模式!$A$3:$Z$52,2+5*S121,FALSE),'⚪设计'!$B$85:$H$104,7,FALSE)</f>
        <v>1.2</v>
      </c>
      <c r="L121" s="120" t="s">
        <v>1212</v>
      </c>
      <c r="M121" t="s">
        <v>468</v>
      </c>
      <c r="N121" t="s">
        <v>469</v>
      </c>
      <c r="O121" t="s">
        <v>470</v>
      </c>
      <c r="P121" t="str">
        <f t="shared" si="0"/>
        <v>Skill_Monster_Challenge_Niao2</v>
      </c>
      <c r="Q121" s="120">
        <v>9</v>
      </c>
      <c r="R121" s="120">
        <v>5</v>
      </c>
      <c r="S121" s="120">
        <v>3</v>
      </c>
    </row>
    <row r="122" spans="2:19" x14ac:dyDescent="0.2">
      <c r="B122" s="120" t="s">
        <v>1063</v>
      </c>
      <c r="C122" s="120" t="s">
        <v>1138</v>
      </c>
      <c r="D122" s="55" t="str">
        <f>VLOOKUP(VLOOKUP(Q122&amp;"_"&amp;R122,挑战模式!$A$3:$Z$52,2+5*S122,FALSE),'⚪设计'!$B$85:$H$104,2,FALSE)</f>
        <v>ResUnit_Dan2</v>
      </c>
      <c r="E122" s="55">
        <f>VLOOKUP(VLOOKUP(Q122&amp;"_"&amp;R122,挑战模式!$A$3:$Z$52,2+5*S122,FALSE),'⚪设计'!$B$85:$H$104,6,FALSE)*VLOOKUP(Q122&amp;"_"&amp;R122,挑战模式!$A$3:$Z$52,5,FALSE)</f>
        <v>3</v>
      </c>
      <c r="F122">
        <v>400</v>
      </c>
      <c r="G122" t="b">
        <v>1</v>
      </c>
      <c r="H122">
        <v>1</v>
      </c>
      <c r="I122">
        <v>1</v>
      </c>
      <c r="J122">
        <v>0.25</v>
      </c>
      <c r="K122" s="55">
        <f>VLOOKUP(VLOOKUP(Q122&amp;"_"&amp;R122,挑战模式!$A$3:$Z$52,2+5*S122,FALSE),'⚪设计'!$B$85:$H$104,7,FALSE)</f>
        <v>1.3</v>
      </c>
      <c r="L122" s="120" t="s">
        <v>1213</v>
      </c>
      <c r="M122" t="s">
        <v>468</v>
      </c>
      <c r="N122" t="s">
        <v>469</v>
      </c>
      <c r="O122" t="s">
        <v>470</v>
      </c>
      <c r="P122" t="str">
        <f t="shared" si="0"/>
        <v/>
      </c>
      <c r="Q122" s="120">
        <v>10</v>
      </c>
      <c r="R122" s="120">
        <v>1</v>
      </c>
      <c r="S122" s="120">
        <v>1</v>
      </c>
    </row>
    <row r="123" spans="2:19" x14ac:dyDescent="0.2">
      <c r="B123" s="120" t="s">
        <v>1064</v>
      </c>
      <c r="C123" s="120" t="s">
        <v>1139</v>
      </c>
      <c r="D123" s="55" t="str">
        <f>VLOOKUP(VLOOKUP(Q123&amp;"_"&amp;R123,挑战模式!$A$3:$Z$52,2+5*S123,FALSE),'⚪设计'!$B$85:$H$104,2,FALSE)</f>
        <v>ResUnit_Niao3</v>
      </c>
      <c r="E123" s="55">
        <f>VLOOKUP(VLOOKUP(Q123&amp;"_"&amp;R123,挑战模式!$A$3:$Z$52,2+5*S123,FALSE),'⚪设计'!$B$85:$H$104,6,FALSE)*VLOOKUP(Q123&amp;"_"&amp;R123,挑战模式!$A$3:$Z$52,5,FALSE)</f>
        <v>3</v>
      </c>
      <c r="F123">
        <v>400</v>
      </c>
      <c r="G123" t="b">
        <v>1</v>
      </c>
      <c r="H123">
        <v>1</v>
      </c>
      <c r="I123">
        <v>1</v>
      </c>
      <c r="J123">
        <v>0.25</v>
      </c>
      <c r="K123" s="55">
        <f>VLOOKUP(VLOOKUP(Q123&amp;"_"&amp;R123,挑战模式!$A$3:$Z$52,2+5*S123,FALSE),'⚪设计'!$B$85:$H$104,7,FALSE)</f>
        <v>1.8</v>
      </c>
      <c r="L123" s="120" t="s">
        <v>1214</v>
      </c>
      <c r="M123" t="s">
        <v>468</v>
      </c>
      <c r="N123" t="s">
        <v>469</v>
      </c>
      <c r="O123" t="s">
        <v>470</v>
      </c>
      <c r="P123" t="str">
        <f t="shared" si="0"/>
        <v>Skill_Monster_Challenge_Niao3</v>
      </c>
      <c r="Q123" s="120">
        <v>10</v>
      </c>
      <c r="R123" s="120">
        <v>1</v>
      </c>
      <c r="S123" s="120">
        <v>2</v>
      </c>
    </row>
    <row r="124" spans="2:19" x14ac:dyDescent="0.2">
      <c r="B124" s="120" t="s">
        <v>1065</v>
      </c>
      <c r="C124" s="120" t="s">
        <v>1140</v>
      </c>
      <c r="D124" s="55" t="str">
        <f>VLOOKUP(VLOOKUP(Q124&amp;"_"&amp;R124,挑战模式!$A$3:$Z$52,2+5*S124,FALSE),'⚪设计'!$B$85:$H$104,2,FALSE)</f>
        <v>ResUnit_Dan2</v>
      </c>
      <c r="E124" s="55">
        <f>VLOOKUP(VLOOKUP(Q124&amp;"_"&amp;R124,挑战模式!$A$3:$Z$52,2+5*S124,FALSE),'⚪设计'!$B$85:$H$104,6,FALSE)*VLOOKUP(Q124&amp;"_"&amp;R124,挑战模式!$A$3:$Z$52,5,FALSE)</f>
        <v>3</v>
      </c>
      <c r="F124">
        <v>400</v>
      </c>
      <c r="G124" t="b">
        <v>1</v>
      </c>
      <c r="H124">
        <v>1</v>
      </c>
      <c r="I124">
        <v>1</v>
      </c>
      <c r="J124">
        <v>0.25</v>
      </c>
      <c r="K124" s="55">
        <f>VLOOKUP(VLOOKUP(Q124&amp;"_"&amp;R124,挑战模式!$A$3:$Z$52,2+5*S124,FALSE),'⚪设计'!$B$85:$H$104,7,FALSE)</f>
        <v>1.3</v>
      </c>
      <c r="L124" s="120" t="s">
        <v>1215</v>
      </c>
      <c r="M124" t="s">
        <v>468</v>
      </c>
      <c r="N124" t="s">
        <v>469</v>
      </c>
      <c r="O124" t="s">
        <v>470</v>
      </c>
      <c r="P124" t="str">
        <f t="shared" si="0"/>
        <v/>
      </c>
      <c r="Q124" s="120">
        <v>10</v>
      </c>
      <c r="R124" s="120">
        <v>2</v>
      </c>
      <c r="S124" s="120">
        <v>1</v>
      </c>
    </row>
    <row r="125" spans="2:19" x14ac:dyDescent="0.2">
      <c r="B125" s="120" t="s">
        <v>1066</v>
      </c>
      <c r="C125" s="120" t="s">
        <v>1141</v>
      </c>
      <c r="D125" s="55" t="str">
        <f>VLOOKUP(VLOOKUP(Q125&amp;"_"&amp;R125,挑战模式!$A$3:$Z$52,2+5*S125,FALSE),'⚪设计'!$B$85:$H$104,2,FALSE)</f>
        <v>ResUnit_BianFu1</v>
      </c>
      <c r="E125" s="55">
        <f>VLOOKUP(VLOOKUP(Q125&amp;"_"&amp;R125,挑战模式!$A$3:$Z$52,2+5*S125,FALSE),'⚪设计'!$B$85:$H$104,6,FALSE)*VLOOKUP(Q125&amp;"_"&amp;R125,挑战模式!$A$3:$Z$52,5,FALSE)</f>
        <v>3</v>
      </c>
      <c r="F125">
        <v>400</v>
      </c>
      <c r="G125" t="b">
        <v>1</v>
      </c>
      <c r="H125">
        <v>1</v>
      </c>
      <c r="I125">
        <v>1</v>
      </c>
      <c r="J125">
        <v>0.25</v>
      </c>
      <c r="K125" s="55">
        <f>VLOOKUP(VLOOKUP(Q125&amp;"_"&amp;R125,挑战模式!$A$3:$Z$52,2+5*S125,FALSE),'⚪设计'!$B$85:$H$104,7,FALSE)</f>
        <v>0.5</v>
      </c>
      <c r="L125" s="120" t="s">
        <v>1216</v>
      </c>
      <c r="M125" t="s">
        <v>468</v>
      </c>
      <c r="N125" t="s">
        <v>469</v>
      </c>
      <c r="O125" t="s">
        <v>470</v>
      </c>
      <c r="P125" t="str">
        <f t="shared" si="0"/>
        <v/>
      </c>
      <c r="Q125" s="120">
        <v>10</v>
      </c>
      <c r="R125" s="120">
        <v>2</v>
      </c>
      <c r="S125" s="120">
        <v>2</v>
      </c>
    </row>
    <row r="126" spans="2:19" x14ac:dyDescent="0.2">
      <c r="B126" s="120" t="s">
        <v>1067</v>
      </c>
      <c r="C126" s="120" t="s">
        <v>1142</v>
      </c>
      <c r="D126" s="55" t="str">
        <f>VLOOKUP(VLOOKUP(Q126&amp;"_"&amp;R126,挑战模式!$A$3:$Z$52,2+5*S126,FALSE),'⚪设计'!$B$85:$H$104,2,FALSE)</f>
        <v>ResUnit_Niao3</v>
      </c>
      <c r="E126" s="55">
        <f>VLOOKUP(VLOOKUP(Q126&amp;"_"&amp;R126,挑战模式!$A$3:$Z$52,2+5*S126,FALSE),'⚪设计'!$B$85:$H$104,6,FALSE)*VLOOKUP(Q126&amp;"_"&amp;R126,挑战模式!$A$3:$Z$52,5,FALSE)</f>
        <v>3</v>
      </c>
      <c r="F126">
        <v>400</v>
      </c>
      <c r="G126" t="b">
        <v>1</v>
      </c>
      <c r="H126">
        <v>1</v>
      </c>
      <c r="I126">
        <v>1</v>
      </c>
      <c r="J126">
        <v>0.25</v>
      </c>
      <c r="K126" s="55">
        <f>VLOOKUP(VLOOKUP(Q126&amp;"_"&amp;R126,挑战模式!$A$3:$Z$52,2+5*S126,FALSE),'⚪设计'!$B$85:$H$104,7,FALSE)</f>
        <v>1.8</v>
      </c>
      <c r="L126" s="120" t="s">
        <v>1217</v>
      </c>
      <c r="M126" t="s">
        <v>468</v>
      </c>
      <c r="N126" t="s">
        <v>469</v>
      </c>
      <c r="O126" t="s">
        <v>470</v>
      </c>
      <c r="P126" t="str">
        <f t="shared" si="0"/>
        <v>Skill_Monster_Challenge_Niao3</v>
      </c>
      <c r="Q126" s="120">
        <v>10</v>
      </c>
      <c r="R126" s="120">
        <v>2</v>
      </c>
      <c r="S126" s="120">
        <v>3</v>
      </c>
    </row>
    <row r="127" spans="2:19" x14ac:dyDescent="0.2">
      <c r="B127" s="120" t="s">
        <v>1068</v>
      </c>
      <c r="C127" s="120" t="s">
        <v>1143</v>
      </c>
      <c r="D127" s="55" t="str">
        <f>VLOOKUP(VLOOKUP(Q127&amp;"_"&amp;R127,挑战模式!$A$3:$Z$52,2+5*S127,FALSE),'⚪设计'!$B$85:$H$104,2,FALSE)</f>
        <v>ResUnit_Dan2</v>
      </c>
      <c r="E127" s="55">
        <f>VLOOKUP(VLOOKUP(Q127&amp;"_"&amp;R127,挑战模式!$A$3:$Z$52,2+5*S127,FALSE),'⚪设计'!$B$85:$H$104,6,FALSE)*VLOOKUP(Q127&amp;"_"&amp;R127,挑战模式!$A$3:$Z$52,5,FALSE)</f>
        <v>3</v>
      </c>
      <c r="F127">
        <v>400</v>
      </c>
      <c r="G127" t="b">
        <v>1</v>
      </c>
      <c r="H127">
        <v>1</v>
      </c>
      <c r="I127">
        <v>1</v>
      </c>
      <c r="J127">
        <v>0.25</v>
      </c>
      <c r="K127" s="55">
        <f>VLOOKUP(VLOOKUP(Q127&amp;"_"&amp;R127,挑战模式!$A$3:$Z$52,2+5*S127,FALSE),'⚪设计'!$B$85:$H$104,7,FALSE)</f>
        <v>1.3</v>
      </c>
      <c r="L127" s="120" t="s">
        <v>1218</v>
      </c>
      <c r="M127" t="s">
        <v>468</v>
      </c>
      <c r="N127" t="s">
        <v>469</v>
      </c>
      <c r="O127" t="s">
        <v>470</v>
      </c>
      <c r="P127" t="str">
        <f t="shared" si="0"/>
        <v/>
      </c>
      <c r="Q127" s="120">
        <v>10</v>
      </c>
      <c r="R127" s="120">
        <v>3</v>
      </c>
      <c r="S127" s="120">
        <v>1</v>
      </c>
    </row>
    <row r="128" spans="2:19" x14ac:dyDescent="0.2">
      <c r="B128" s="120" t="s">
        <v>1069</v>
      </c>
      <c r="C128" s="120" t="s">
        <v>1144</v>
      </c>
      <c r="D128" s="55" t="str">
        <f>VLOOKUP(VLOOKUP(Q128&amp;"_"&amp;R128,挑战模式!$A$3:$Z$52,2+5*S128,FALSE),'⚪设计'!$B$85:$H$104,2,FALSE)</f>
        <v>ResUnit_ZhiZhu1</v>
      </c>
      <c r="E128" s="55">
        <f>VLOOKUP(VLOOKUP(Q128&amp;"_"&amp;R128,挑战模式!$A$3:$Z$52,2+5*S128,FALSE),'⚪设计'!$B$85:$H$104,6,FALSE)*VLOOKUP(Q128&amp;"_"&amp;R128,挑战模式!$A$3:$Z$52,5,FALSE)</f>
        <v>4.5</v>
      </c>
      <c r="F128">
        <v>400</v>
      </c>
      <c r="G128" t="b">
        <v>1</v>
      </c>
      <c r="H128">
        <v>1</v>
      </c>
      <c r="I128">
        <v>1</v>
      </c>
      <c r="J128">
        <v>0.25</v>
      </c>
      <c r="K128" s="55">
        <f>VLOOKUP(VLOOKUP(Q128&amp;"_"&amp;R128,挑战模式!$A$3:$Z$52,2+5*S128,FALSE),'⚪设计'!$B$85:$H$104,7,FALSE)</f>
        <v>1</v>
      </c>
      <c r="L128" s="120" t="s">
        <v>1219</v>
      </c>
      <c r="M128" t="s">
        <v>468</v>
      </c>
      <c r="N128" t="s">
        <v>469</v>
      </c>
      <c r="O128" t="s">
        <v>470</v>
      </c>
      <c r="P128" t="str">
        <f t="shared" si="0"/>
        <v/>
      </c>
      <c r="Q128" s="120">
        <v>10</v>
      </c>
      <c r="R128" s="120">
        <v>3</v>
      </c>
      <c r="S128" s="120">
        <v>2</v>
      </c>
    </row>
    <row r="129" spans="2:19" x14ac:dyDescent="0.2">
      <c r="B129" s="120" t="s">
        <v>1070</v>
      </c>
      <c r="C129" s="120" t="s">
        <v>1145</v>
      </c>
      <c r="D129" s="55" t="str">
        <f>VLOOKUP(VLOOKUP(Q129&amp;"_"&amp;R129,挑战模式!$A$3:$Z$52,2+5*S129,FALSE),'⚪设计'!$B$85:$H$104,2,FALSE)</f>
        <v>ResUnit_Gui1</v>
      </c>
      <c r="E129" s="55">
        <f>VLOOKUP(VLOOKUP(Q129&amp;"_"&amp;R129,挑战模式!$A$3:$Z$52,2+5*S129,FALSE),'⚪设计'!$B$85:$H$104,6,FALSE)*VLOOKUP(Q129&amp;"_"&amp;R129,挑战模式!$A$3:$Z$52,5,FALSE)</f>
        <v>3</v>
      </c>
      <c r="F129">
        <v>400</v>
      </c>
      <c r="G129" t="b">
        <v>1</v>
      </c>
      <c r="H129">
        <v>1</v>
      </c>
      <c r="I129">
        <v>1</v>
      </c>
      <c r="J129">
        <v>0.25</v>
      </c>
      <c r="K129" s="55">
        <f>VLOOKUP(VLOOKUP(Q129&amp;"_"&amp;R129,挑战模式!$A$3:$Z$52,2+5*S129,FALSE),'⚪设计'!$B$85:$H$104,7,FALSE)</f>
        <v>1</v>
      </c>
      <c r="L129" s="120" t="s">
        <v>1220</v>
      </c>
      <c r="M129" t="s">
        <v>468</v>
      </c>
      <c r="N129" t="s">
        <v>469</v>
      </c>
      <c r="O129" t="s">
        <v>470</v>
      </c>
      <c r="P129" t="str">
        <f t="shared" ref="P129:P137" si="1">IF(LEFT(D129,LEN(D129)-1)="ResUnit_Niao","Skill_Monster_Challenge_"&amp;RIGHT(D129,LEN(D129)-8),"")</f>
        <v/>
      </c>
      <c r="Q129" s="120">
        <v>10</v>
      </c>
      <c r="R129" s="120">
        <v>3</v>
      </c>
      <c r="S129" s="120">
        <v>3</v>
      </c>
    </row>
    <row r="130" spans="2:19" x14ac:dyDescent="0.2">
      <c r="B130" s="120" t="s">
        <v>1071</v>
      </c>
      <c r="C130" s="120" t="s">
        <v>1146</v>
      </c>
      <c r="D130" s="55" t="str">
        <f>VLOOKUP(VLOOKUP(Q130&amp;"_"&amp;R130,挑战模式!$A$3:$Z$52,2+5*S130,FALSE),'⚪设计'!$B$85:$H$104,2,FALSE)</f>
        <v>ResUnit_Niao3</v>
      </c>
      <c r="E130" s="55">
        <f>VLOOKUP(VLOOKUP(Q130&amp;"_"&amp;R130,挑战模式!$A$3:$Z$52,2+5*S130,FALSE),'⚪设计'!$B$85:$H$104,6,FALSE)*VLOOKUP(Q130&amp;"_"&amp;R130,挑战模式!$A$3:$Z$52,5,FALSE)</f>
        <v>3</v>
      </c>
      <c r="F130">
        <v>400</v>
      </c>
      <c r="G130" t="b">
        <v>1</v>
      </c>
      <c r="H130">
        <v>1</v>
      </c>
      <c r="I130">
        <v>1</v>
      </c>
      <c r="J130">
        <v>0.25</v>
      </c>
      <c r="K130" s="55">
        <f>VLOOKUP(VLOOKUP(Q130&amp;"_"&amp;R130,挑战模式!$A$3:$Z$52,2+5*S130,FALSE),'⚪设计'!$B$85:$H$104,7,FALSE)</f>
        <v>1.8</v>
      </c>
      <c r="L130" s="120" t="s">
        <v>1221</v>
      </c>
      <c r="M130" t="s">
        <v>468</v>
      </c>
      <c r="N130" t="s">
        <v>469</v>
      </c>
      <c r="O130" t="s">
        <v>470</v>
      </c>
      <c r="P130" t="str">
        <f t="shared" si="1"/>
        <v>Skill_Monster_Challenge_Niao3</v>
      </c>
      <c r="Q130" s="120">
        <v>10</v>
      </c>
      <c r="R130" s="120">
        <v>3</v>
      </c>
      <c r="S130" s="120">
        <v>4</v>
      </c>
    </row>
    <row r="131" spans="2:19" x14ac:dyDescent="0.2">
      <c r="B131" s="120" t="s">
        <v>1072</v>
      </c>
      <c r="C131" s="120" t="s">
        <v>1147</v>
      </c>
      <c r="D131" s="55" t="str">
        <f>VLOOKUP(VLOOKUP(Q131&amp;"_"&amp;R131,挑战模式!$A$3:$Z$52,2+5*S131,FALSE),'⚪设计'!$B$85:$H$104,2,FALSE)</f>
        <v>ResUnit_Dan2</v>
      </c>
      <c r="E131" s="55">
        <f>VLOOKUP(VLOOKUP(Q131&amp;"_"&amp;R131,挑战模式!$A$3:$Z$52,2+5*S131,FALSE),'⚪设计'!$B$85:$H$104,6,FALSE)*VLOOKUP(Q131&amp;"_"&amp;R131,挑战模式!$A$3:$Z$52,5,FALSE)</f>
        <v>3</v>
      </c>
      <c r="F131">
        <v>400</v>
      </c>
      <c r="G131" t="b">
        <v>1</v>
      </c>
      <c r="H131">
        <v>1</v>
      </c>
      <c r="I131">
        <v>1</v>
      </c>
      <c r="J131">
        <v>0.25</v>
      </c>
      <c r="K131" s="55">
        <f>VLOOKUP(VLOOKUP(Q131&amp;"_"&amp;R131,挑战模式!$A$3:$Z$52,2+5*S131,FALSE),'⚪设计'!$B$85:$H$104,7,FALSE)</f>
        <v>1.3</v>
      </c>
      <c r="L131" s="120" t="s">
        <v>1222</v>
      </c>
      <c r="M131" t="s">
        <v>468</v>
      </c>
      <c r="N131" t="s">
        <v>469</v>
      </c>
      <c r="O131" t="s">
        <v>470</v>
      </c>
      <c r="P131" t="str">
        <f t="shared" si="1"/>
        <v/>
      </c>
      <c r="Q131" s="120">
        <v>10</v>
      </c>
      <c r="R131" s="120">
        <v>4</v>
      </c>
      <c r="S131" s="120">
        <v>1</v>
      </c>
    </row>
    <row r="132" spans="2:19" x14ac:dyDescent="0.2">
      <c r="B132" s="120" t="s">
        <v>1073</v>
      </c>
      <c r="C132" s="120" t="s">
        <v>1148</v>
      </c>
      <c r="D132" s="55" t="str">
        <f>VLOOKUP(VLOOKUP(Q132&amp;"_"&amp;R132,挑战模式!$A$3:$Z$52,2+5*S132,FALSE),'⚪设计'!$B$85:$H$104,2,FALSE)</f>
        <v>ResUnit_Gui1</v>
      </c>
      <c r="E132" s="55">
        <f>VLOOKUP(VLOOKUP(Q132&amp;"_"&amp;R132,挑战模式!$A$3:$Z$52,2+5*S132,FALSE),'⚪设计'!$B$85:$H$104,6,FALSE)*VLOOKUP(Q132&amp;"_"&amp;R132,挑战模式!$A$3:$Z$52,5,FALSE)</f>
        <v>3</v>
      </c>
      <c r="F132">
        <v>400</v>
      </c>
      <c r="G132" t="b">
        <v>1</v>
      </c>
      <c r="H132">
        <v>1</v>
      </c>
      <c r="I132">
        <v>1</v>
      </c>
      <c r="J132">
        <v>0.25</v>
      </c>
      <c r="K132" s="55">
        <f>VLOOKUP(VLOOKUP(Q132&amp;"_"&amp;R132,挑战模式!$A$3:$Z$52,2+5*S132,FALSE),'⚪设计'!$B$85:$H$104,7,FALSE)</f>
        <v>1</v>
      </c>
      <c r="L132" s="120" t="s">
        <v>1223</v>
      </c>
      <c r="M132" t="s">
        <v>468</v>
      </c>
      <c r="N132" t="s">
        <v>469</v>
      </c>
      <c r="O132" t="s">
        <v>470</v>
      </c>
      <c r="P132" t="str">
        <f t="shared" si="1"/>
        <v/>
      </c>
      <c r="Q132" s="120">
        <v>10</v>
      </c>
      <c r="R132" s="120">
        <v>4</v>
      </c>
      <c r="S132" s="120">
        <v>2</v>
      </c>
    </row>
    <row r="133" spans="2:19" x14ac:dyDescent="0.2">
      <c r="B133" s="120" t="s">
        <v>1074</v>
      </c>
      <c r="C133" s="120" t="s">
        <v>1149</v>
      </c>
      <c r="D133" s="55" t="str">
        <f>VLOOKUP(VLOOKUP(Q133&amp;"_"&amp;R133,挑战模式!$A$3:$Z$52,2+5*S133,FALSE),'⚪设计'!$B$85:$H$104,2,FALSE)</f>
        <v>ResUnit_Niao3</v>
      </c>
      <c r="E133" s="55">
        <f>VLOOKUP(VLOOKUP(Q133&amp;"_"&amp;R133,挑战模式!$A$3:$Z$52,2+5*S133,FALSE),'⚪设计'!$B$85:$H$104,6,FALSE)*VLOOKUP(Q133&amp;"_"&amp;R133,挑战模式!$A$3:$Z$52,5,FALSE)</f>
        <v>3</v>
      </c>
      <c r="F133">
        <v>400</v>
      </c>
      <c r="G133" t="b">
        <v>1</v>
      </c>
      <c r="H133">
        <v>1</v>
      </c>
      <c r="I133">
        <v>1</v>
      </c>
      <c r="J133">
        <v>0.25</v>
      </c>
      <c r="K133" s="55">
        <f>VLOOKUP(VLOOKUP(Q133&amp;"_"&amp;R133,挑战模式!$A$3:$Z$52,2+5*S133,FALSE),'⚪设计'!$B$85:$H$104,7,FALSE)</f>
        <v>1.8</v>
      </c>
      <c r="L133" s="120" t="s">
        <v>1224</v>
      </c>
      <c r="M133" t="s">
        <v>468</v>
      </c>
      <c r="N133" t="s">
        <v>469</v>
      </c>
      <c r="O133" t="s">
        <v>470</v>
      </c>
      <c r="P133" t="str">
        <f t="shared" si="1"/>
        <v>Skill_Monster_Challenge_Niao3</v>
      </c>
      <c r="Q133" s="120">
        <v>10</v>
      </c>
      <c r="R133" s="120">
        <v>4</v>
      </c>
      <c r="S133" s="120">
        <v>3</v>
      </c>
    </row>
    <row r="134" spans="2:19" x14ac:dyDescent="0.2">
      <c r="B134" s="120" t="s">
        <v>1075</v>
      </c>
      <c r="C134" s="120" t="s">
        <v>1150</v>
      </c>
      <c r="D134" s="55" t="str">
        <f>VLOOKUP(VLOOKUP(Q134&amp;"_"&amp;R134,挑战模式!$A$3:$Z$52,2+5*S134,FALSE),'⚪设计'!$B$85:$H$104,2,FALSE)</f>
        <v>ResUnit_Dan2</v>
      </c>
      <c r="E134" s="55">
        <f>VLOOKUP(VLOOKUP(Q134&amp;"_"&amp;R134,挑战模式!$A$3:$Z$52,2+5*S134,FALSE),'⚪设计'!$B$85:$H$104,6,FALSE)*VLOOKUP(Q134&amp;"_"&amp;R134,挑战模式!$A$3:$Z$52,5,FALSE)</f>
        <v>3</v>
      </c>
      <c r="F134">
        <v>400</v>
      </c>
      <c r="G134" t="b">
        <v>1</v>
      </c>
      <c r="H134">
        <v>1</v>
      </c>
      <c r="I134">
        <v>1</v>
      </c>
      <c r="J134">
        <v>0.25</v>
      </c>
      <c r="K134" s="55">
        <f>VLOOKUP(VLOOKUP(Q134&amp;"_"&amp;R134,挑战模式!$A$3:$Z$52,2+5*S134,FALSE),'⚪设计'!$B$85:$H$104,7,FALSE)</f>
        <v>1.3</v>
      </c>
      <c r="L134" s="120" t="s">
        <v>1225</v>
      </c>
      <c r="M134" t="s">
        <v>468</v>
      </c>
      <c r="N134" t="s">
        <v>469</v>
      </c>
      <c r="O134" t="s">
        <v>470</v>
      </c>
      <c r="P134" t="str">
        <f t="shared" si="1"/>
        <v/>
      </c>
      <c r="Q134" s="120">
        <v>10</v>
      </c>
      <c r="R134" s="120">
        <v>5</v>
      </c>
      <c r="S134" s="120">
        <v>1</v>
      </c>
    </row>
    <row r="135" spans="2:19" x14ac:dyDescent="0.2">
      <c r="B135" s="120" t="s">
        <v>1076</v>
      </c>
      <c r="C135" s="120" t="s">
        <v>1151</v>
      </c>
      <c r="D135" s="55" t="str">
        <f>VLOOKUP(VLOOKUP(Q135&amp;"_"&amp;R135,挑战模式!$A$3:$Z$52,2+5*S135,FALSE),'⚪设计'!$B$85:$H$104,2,FALSE)</f>
        <v>ResUnit_Gui1</v>
      </c>
      <c r="E135" s="55">
        <f>VLOOKUP(VLOOKUP(Q135&amp;"_"&amp;R135,挑战模式!$A$3:$Z$52,2+5*S135,FALSE),'⚪设计'!$B$85:$H$104,6,FALSE)*VLOOKUP(Q135&amp;"_"&amp;R135,挑战模式!$A$3:$Z$52,5,FALSE)</f>
        <v>3</v>
      </c>
      <c r="F135">
        <v>400</v>
      </c>
      <c r="G135" t="b">
        <v>1</v>
      </c>
      <c r="H135">
        <v>1</v>
      </c>
      <c r="I135">
        <v>1</v>
      </c>
      <c r="J135">
        <v>0.25</v>
      </c>
      <c r="K135" s="55">
        <f>VLOOKUP(VLOOKUP(Q135&amp;"_"&amp;R135,挑战模式!$A$3:$Z$52,2+5*S135,FALSE),'⚪设计'!$B$85:$H$104,7,FALSE)</f>
        <v>1</v>
      </c>
      <c r="L135" s="120" t="s">
        <v>1226</v>
      </c>
      <c r="M135" t="s">
        <v>468</v>
      </c>
      <c r="N135" t="s">
        <v>469</v>
      </c>
      <c r="O135" t="s">
        <v>470</v>
      </c>
      <c r="P135" t="str">
        <f t="shared" si="1"/>
        <v/>
      </c>
      <c r="Q135" s="120">
        <v>10</v>
      </c>
      <c r="R135" s="120">
        <v>5</v>
      </c>
      <c r="S135" s="120">
        <v>2</v>
      </c>
    </row>
    <row r="136" spans="2:19" x14ac:dyDescent="0.2">
      <c r="B136" s="120" t="s">
        <v>1077</v>
      </c>
      <c r="C136" s="120" t="s">
        <v>1152</v>
      </c>
      <c r="D136" s="55" t="str">
        <f>VLOOKUP(VLOOKUP(Q136&amp;"_"&amp;R136,挑战模式!$A$3:$Z$52,2+5*S136,FALSE),'⚪设计'!$B$85:$H$104,2,FALSE)</f>
        <v>ResUnit_ZhongZi1</v>
      </c>
      <c r="E136" s="55">
        <f>VLOOKUP(VLOOKUP(Q136&amp;"_"&amp;R136,挑战模式!$A$3:$Z$52,2+5*S136,FALSE),'⚪设计'!$B$85:$H$104,6,FALSE)*VLOOKUP(Q136&amp;"_"&amp;R136,挑战模式!$A$3:$Z$52,5,FALSE)</f>
        <v>3</v>
      </c>
      <c r="F136">
        <v>400</v>
      </c>
      <c r="G136" t="b">
        <v>1</v>
      </c>
      <c r="H136">
        <v>1</v>
      </c>
      <c r="I136">
        <v>1</v>
      </c>
      <c r="J136">
        <v>0.25</v>
      </c>
      <c r="K136" s="55">
        <f>VLOOKUP(VLOOKUP(Q136&amp;"_"&amp;R136,挑战模式!$A$3:$Z$52,2+5*S136,FALSE),'⚪设计'!$B$85:$H$104,7,FALSE)</f>
        <v>1</v>
      </c>
      <c r="L136" s="120" t="s">
        <v>1227</v>
      </c>
      <c r="M136" t="s">
        <v>468</v>
      </c>
      <c r="N136" t="s">
        <v>469</v>
      </c>
      <c r="O136" t="s">
        <v>470</v>
      </c>
      <c r="P136" t="str">
        <f t="shared" si="1"/>
        <v/>
      </c>
      <c r="Q136" s="120">
        <v>10</v>
      </c>
      <c r="R136" s="120">
        <v>5</v>
      </c>
      <c r="S136" s="120">
        <v>3</v>
      </c>
    </row>
    <row r="137" spans="2:19" x14ac:dyDescent="0.2">
      <c r="B137" s="120" t="s">
        <v>1078</v>
      </c>
      <c r="C137" s="120" t="s">
        <v>1153</v>
      </c>
      <c r="D137" s="55" t="str">
        <f>VLOOKUP(VLOOKUP(Q137&amp;"_"&amp;R137,挑战模式!$A$3:$Z$52,2+5*S137,FALSE),'⚪设计'!$B$85:$H$104,2,FALSE)</f>
        <v>ResUnit_Niao3</v>
      </c>
      <c r="E137" s="55">
        <f>VLOOKUP(VLOOKUP(Q137&amp;"_"&amp;R137,挑战模式!$A$3:$Z$52,2+5*S137,FALSE),'⚪设计'!$B$85:$H$104,6,FALSE)*VLOOKUP(Q137&amp;"_"&amp;R137,挑战模式!$A$3:$Z$52,5,FALSE)</f>
        <v>3</v>
      </c>
      <c r="F137">
        <v>400</v>
      </c>
      <c r="G137" t="b">
        <v>1</v>
      </c>
      <c r="H137">
        <v>1</v>
      </c>
      <c r="I137">
        <v>1</v>
      </c>
      <c r="J137">
        <v>0.25</v>
      </c>
      <c r="K137" s="55">
        <f>VLOOKUP(VLOOKUP(Q137&amp;"_"&amp;R137,挑战模式!$A$3:$Z$52,2+5*S137,FALSE),'⚪设计'!$B$85:$H$104,7,FALSE)</f>
        <v>1.8</v>
      </c>
      <c r="L137" s="120" t="s">
        <v>1228</v>
      </c>
      <c r="M137" t="s">
        <v>468</v>
      </c>
      <c r="N137" t="s">
        <v>469</v>
      </c>
      <c r="O137" t="s">
        <v>470</v>
      </c>
      <c r="P137" t="str">
        <f t="shared" si="1"/>
        <v>Skill_Monster_Challenge_Niao3</v>
      </c>
      <c r="Q137" s="120">
        <v>10</v>
      </c>
      <c r="R137" s="120">
        <v>5</v>
      </c>
      <c r="S137" s="120">
        <v>4</v>
      </c>
    </row>
    <row r="138" spans="2:19" s="57" customFormat="1" x14ac:dyDescent="0.2">
      <c r="C138" s="68"/>
    </row>
    <row r="139" spans="2:19" x14ac:dyDescent="0.2">
      <c r="B139" t="s">
        <v>467</v>
      </c>
      <c r="C139" t="s">
        <v>689</v>
      </c>
      <c r="D139" s="55" t="str">
        <f>VLOOKUP(VLOOKUP(Q139,'⚪设计'!$A$193:$G$212,3+UnitCfg!R139,FALSE),'⚪设计'!$B$85:$C$101,2,FALSE)</f>
        <v>ResUnit_MiFeng1</v>
      </c>
      <c r="E139" s="55">
        <f>VLOOKUP(D139,'⚪设计'!$C$85:$G$101,5,FALSE)*VLOOKUP(UnitCfg!Q139,无限模式!$A$3:$C$22,3,FALSE)</f>
        <v>3</v>
      </c>
      <c r="F139">
        <v>400</v>
      </c>
      <c r="G139" t="b">
        <v>1</v>
      </c>
      <c r="H139">
        <v>1</v>
      </c>
      <c r="I139">
        <v>1</v>
      </c>
      <c r="J139">
        <v>0.25</v>
      </c>
      <c r="K139" s="55">
        <f>VLOOKUP(D139,'⚪设计'!$C$85:$H$104,6,FALSE)</f>
        <v>0.5</v>
      </c>
      <c r="L139" t="s">
        <v>830</v>
      </c>
      <c r="M139" t="s">
        <v>468</v>
      </c>
      <c r="N139" t="s">
        <v>469</v>
      </c>
      <c r="O139" t="s">
        <v>470</v>
      </c>
      <c r="Q139" s="110">
        <v>1</v>
      </c>
      <c r="R139" s="110">
        <v>1</v>
      </c>
      <c r="S139" s="110"/>
    </row>
    <row r="140" spans="2:19" x14ac:dyDescent="0.2">
      <c r="B140" t="s">
        <v>471</v>
      </c>
      <c r="C140" t="s">
        <v>690</v>
      </c>
      <c r="D140" s="55" t="str">
        <f>VLOOKUP(VLOOKUP(Q140,'⚪设计'!$A$193:$G$212,3+UnitCfg!R140,FALSE),'⚪设计'!$B$85:$C$101,2,FALSE)</f>
        <v>ResUnit_MiFeng1</v>
      </c>
      <c r="E140" s="55">
        <f>VLOOKUP(D140,'⚪设计'!$C$85:$G$101,5,FALSE)*VLOOKUP(UnitCfg!Q140,无限模式!$A$3:$C$22,3,FALSE)</f>
        <v>3.1500000000000004</v>
      </c>
      <c r="F140">
        <v>400</v>
      </c>
      <c r="G140" t="b">
        <v>1</v>
      </c>
      <c r="H140">
        <v>1</v>
      </c>
      <c r="I140">
        <v>1</v>
      </c>
      <c r="J140">
        <v>0.25</v>
      </c>
      <c r="K140" s="55">
        <f>VLOOKUP(D140,'⚪设计'!$C$85:$H$104,6,FALSE)</f>
        <v>0.5</v>
      </c>
      <c r="L140" t="s">
        <v>529</v>
      </c>
      <c r="M140" t="s">
        <v>468</v>
      </c>
      <c r="N140" t="s">
        <v>469</v>
      </c>
      <c r="O140" t="s">
        <v>470</v>
      </c>
      <c r="Q140" s="110">
        <v>2</v>
      </c>
      <c r="R140" s="110">
        <v>1</v>
      </c>
      <c r="S140" s="110"/>
    </row>
    <row r="141" spans="2:19" x14ac:dyDescent="0.2">
      <c r="B141" t="s">
        <v>472</v>
      </c>
      <c r="C141" t="s">
        <v>691</v>
      </c>
      <c r="D141" s="55" t="str">
        <f>VLOOKUP(VLOOKUP(Q141,'⚪设计'!$A$193:$G$212,3+UnitCfg!R141,FALSE),'⚪设计'!$B$85:$C$101,2,FALSE)</f>
        <v>ResUnit_MiFeng2</v>
      </c>
      <c r="E141" s="55">
        <f>VLOOKUP(D141,'⚪设计'!$C$85:$G$101,5,FALSE)*VLOOKUP(UnitCfg!Q141,无限模式!$A$3:$C$22,3,FALSE)</f>
        <v>3.1500000000000004</v>
      </c>
      <c r="F141">
        <v>400</v>
      </c>
      <c r="G141" t="b">
        <v>1</v>
      </c>
      <c r="H141">
        <v>1</v>
      </c>
      <c r="I141">
        <v>1</v>
      </c>
      <c r="J141">
        <v>0.25</v>
      </c>
      <c r="K141" s="55">
        <f>VLOOKUP(D141,'⚪设计'!$C$85:$H$104,6,FALSE)</f>
        <v>0.8</v>
      </c>
      <c r="L141" t="s">
        <v>565</v>
      </c>
      <c r="M141" t="s">
        <v>468</v>
      </c>
      <c r="N141" t="s">
        <v>469</v>
      </c>
      <c r="O141" t="s">
        <v>470</v>
      </c>
      <c r="Q141" s="110">
        <v>2</v>
      </c>
      <c r="R141" s="110">
        <v>2</v>
      </c>
      <c r="S141" s="110"/>
    </row>
    <row r="142" spans="2:19" x14ac:dyDescent="0.2">
      <c r="B142" t="s">
        <v>473</v>
      </c>
      <c r="C142" t="s">
        <v>692</v>
      </c>
      <c r="D142" s="55" t="str">
        <f>VLOOKUP(VLOOKUP(Q142,'⚪设计'!$A$193:$G$212,3+UnitCfg!R142,FALSE),'⚪设计'!$B$85:$C$101,2,FALSE)</f>
        <v>ResUnit_MiFeng2</v>
      </c>
      <c r="E142" s="55">
        <f>VLOOKUP(D142,'⚪设计'!$C$85:$G$101,5,FALSE)*VLOOKUP(UnitCfg!Q142,无限模式!$A$3:$C$22,3,FALSE)</f>
        <v>3.3000000000000003</v>
      </c>
      <c r="F142">
        <v>400</v>
      </c>
      <c r="G142" t="b">
        <v>1</v>
      </c>
      <c r="H142">
        <v>1</v>
      </c>
      <c r="I142">
        <v>1</v>
      </c>
      <c r="J142">
        <v>0.25</v>
      </c>
      <c r="K142" s="55">
        <f>VLOOKUP(D142,'⚪设计'!$C$85:$H$104,6,FALSE)</f>
        <v>0.8</v>
      </c>
      <c r="L142" t="s">
        <v>530</v>
      </c>
      <c r="M142" t="s">
        <v>468</v>
      </c>
      <c r="N142" t="s">
        <v>469</v>
      </c>
      <c r="O142" t="s">
        <v>470</v>
      </c>
      <c r="Q142" s="110">
        <v>3</v>
      </c>
      <c r="R142" s="110">
        <v>1</v>
      </c>
      <c r="S142" s="110"/>
    </row>
    <row r="143" spans="2:19" x14ac:dyDescent="0.2">
      <c r="B143" t="s">
        <v>474</v>
      </c>
      <c r="C143" t="s">
        <v>693</v>
      </c>
      <c r="D143" s="55" t="str">
        <f>VLOOKUP(VLOOKUP(Q143,'⚪设计'!$A$193:$G$212,3+UnitCfg!R143,FALSE),'⚪设计'!$B$85:$C$101,2,FALSE)</f>
        <v>ResUnit_BianFu1</v>
      </c>
      <c r="E143" s="55">
        <f>VLOOKUP(D143,'⚪设计'!$C$85:$G$101,5,FALSE)*VLOOKUP(UnitCfg!Q143,无限模式!$A$3:$C$22,3,FALSE)</f>
        <v>3.3000000000000003</v>
      </c>
      <c r="F143">
        <v>400</v>
      </c>
      <c r="G143" t="b">
        <v>1</v>
      </c>
      <c r="H143">
        <v>1</v>
      </c>
      <c r="I143">
        <v>1</v>
      </c>
      <c r="J143">
        <v>0.25</v>
      </c>
      <c r="K143" s="55">
        <f>VLOOKUP(D143,'⚪设计'!$C$85:$H$104,6,FALSE)</f>
        <v>0.5</v>
      </c>
      <c r="L143" t="s">
        <v>566</v>
      </c>
      <c r="M143" t="s">
        <v>468</v>
      </c>
      <c r="N143" t="s">
        <v>469</v>
      </c>
      <c r="O143" t="s">
        <v>470</v>
      </c>
      <c r="Q143" s="110">
        <v>3</v>
      </c>
      <c r="R143" s="110">
        <v>2</v>
      </c>
      <c r="S143" s="110"/>
    </row>
    <row r="144" spans="2:19" x14ac:dyDescent="0.2">
      <c r="B144" t="s">
        <v>475</v>
      </c>
      <c r="C144" t="s">
        <v>694</v>
      </c>
      <c r="D144" s="55" t="str">
        <f>VLOOKUP(VLOOKUP(Q144,'⚪设计'!$A$193:$G$212,3+UnitCfg!R144,FALSE),'⚪设计'!$B$85:$C$101,2,FALSE)</f>
        <v>ResUnit_MiFeng3</v>
      </c>
      <c r="E144" s="55">
        <f>VLOOKUP(D144,'⚪设计'!$C$85:$G$101,5,FALSE)*VLOOKUP(UnitCfg!Q144,无限模式!$A$3:$C$22,3,FALSE)</f>
        <v>1.4375</v>
      </c>
      <c r="F144">
        <v>400</v>
      </c>
      <c r="G144" t="b">
        <v>1</v>
      </c>
      <c r="H144">
        <v>1</v>
      </c>
      <c r="I144">
        <v>1</v>
      </c>
      <c r="J144">
        <v>0.25</v>
      </c>
      <c r="K144" s="55">
        <f>VLOOKUP(D144,'⚪设计'!$C$85:$H$104,6,FALSE)</f>
        <v>1.8</v>
      </c>
      <c r="L144" t="s">
        <v>531</v>
      </c>
      <c r="M144" t="s">
        <v>468</v>
      </c>
      <c r="N144" t="s">
        <v>469</v>
      </c>
      <c r="O144" t="s">
        <v>470</v>
      </c>
      <c r="Q144" s="110">
        <v>4</v>
      </c>
      <c r="R144" s="110">
        <v>1</v>
      </c>
      <c r="S144" s="110"/>
    </row>
    <row r="145" spans="2:19" x14ac:dyDescent="0.2">
      <c r="B145" t="s">
        <v>476</v>
      </c>
      <c r="C145" t="s">
        <v>695</v>
      </c>
      <c r="D145" s="55" t="str">
        <f>VLOOKUP(VLOOKUP(Q145,'⚪设计'!$A$193:$G$212,3+UnitCfg!R145,FALSE),'⚪设计'!$B$85:$C$101,2,FALSE)</f>
        <v>ResUnit_BianFu1</v>
      </c>
      <c r="E145" s="55">
        <f>VLOOKUP(D145,'⚪设计'!$C$85:$G$101,5,FALSE)*VLOOKUP(UnitCfg!Q145,无限模式!$A$3:$C$22,3,FALSE)</f>
        <v>3.4499999999999997</v>
      </c>
      <c r="F145">
        <v>400</v>
      </c>
      <c r="G145" t="b">
        <v>1</v>
      </c>
      <c r="H145">
        <v>1</v>
      </c>
      <c r="I145">
        <v>1</v>
      </c>
      <c r="J145">
        <v>0.25</v>
      </c>
      <c r="K145" s="55">
        <f>VLOOKUP(D145,'⚪设计'!$C$85:$H$104,6,FALSE)</f>
        <v>0.5</v>
      </c>
      <c r="L145" t="s">
        <v>532</v>
      </c>
      <c r="M145" t="s">
        <v>468</v>
      </c>
      <c r="N145" t="s">
        <v>469</v>
      </c>
      <c r="O145" t="s">
        <v>470</v>
      </c>
      <c r="Q145" s="110">
        <v>4</v>
      </c>
      <c r="R145" s="110">
        <v>2</v>
      </c>
      <c r="S145" s="110"/>
    </row>
    <row r="146" spans="2:19" x14ac:dyDescent="0.2">
      <c r="B146" t="s">
        <v>477</v>
      </c>
      <c r="C146" t="s">
        <v>696</v>
      </c>
      <c r="D146" s="55" t="str">
        <f>VLOOKUP(VLOOKUP(Q146,'⚪设计'!$A$193:$G$212,3+UnitCfg!R146,FALSE),'⚪设计'!$B$85:$C$101,2,FALSE)</f>
        <v>ResUnit_MiFeng2</v>
      </c>
      <c r="E146" s="55">
        <f>VLOOKUP(D146,'⚪设计'!$C$85:$G$101,5,FALSE)*VLOOKUP(UnitCfg!Q146,无限模式!$A$3:$C$22,3,FALSE)</f>
        <v>3.5999999999999996</v>
      </c>
      <c r="F146">
        <v>400</v>
      </c>
      <c r="G146" t="b">
        <v>1</v>
      </c>
      <c r="H146">
        <v>1</v>
      </c>
      <c r="I146">
        <v>1</v>
      </c>
      <c r="J146">
        <v>0.25</v>
      </c>
      <c r="K146" s="55">
        <f>VLOOKUP(D146,'⚪设计'!$C$85:$H$104,6,FALSE)</f>
        <v>0.8</v>
      </c>
      <c r="L146" t="s">
        <v>533</v>
      </c>
      <c r="M146" t="s">
        <v>468</v>
      </c>
      <c r="N146" t="s">
        <v>469</v>
      </c>
      <c r="O146" t="s">
        <v>470</v>
      </c>
      <c r="Q146" s="110">
        <v>5</v>
      </c>
      <c r="R146" s="110">
        <v>1</v>
      </c>
      <c r="S146" s="110"/>
    </row>
    <row r="147" spans="2:19" x14ac:dyDescent="0.2">
      <c r="B147" t="s">
        <v>478</v>
      </c>
      <c r="C147" t="s">
        <v>697</v>
      </c>
      <c r="D147" s="55" t="str">
        <f>VLOOKUP(VLOOKUP(Q147,'⚪设计'!$A$193:$G$212,3+UnitCfg!R147,FALSE),'⚪设计'!$B$85:$C$101,2,FALSE)</f>
        <v>ResUnit_ZhiZhu1</v>
      </c>
      <c r="E147" s="55">
        <f>VLOOKUP(D147,'⚪设计'!$C$85:$G$101,5,FALSE)*VLOOKUP(UnitCfg!Q147,无限模式!$A$3:$C$22,3,FALSE)</f>
        <v>5.3999999999999995</v>
      </c>
      <c r="F147">
        <v>400</v>
      </c>
      <c r="G147" t="b">
        <v>1</v>
      </c>
      <c r="H147">
        <v>1</v>
      </c>
      <c r="I147">
        <v>1</v>
      </c>
      <c r="J147">
        <v>0.25</v>
      </c>
      <c r="K147" s="55">
        <f>VLOOKUP(D147,'⚪设计'!$C$85:$H$104,6,FALSE)</f>
        <v>1</v>
      </c>
      <c r="L147" t="s">
        <v>534</v>
      </c>
      <c r="M147" t="s">
        <v>468</v>
      </c>
      <c r="N147" t="s">
        <v>469</v>
      </c>
      <c r="O147" t="s">
        <v>470</v>
      </c>
      <c r="Q147" s="110">
        <v>5</v>
      </c>
      <c r="R147" s="110">
        <v>2</v>
      </c>
      <c r="S147" s="110"/>
    </row>
    <row r="148" spans="2:19" x14ac:dyDescent="0.2">
      <c r="B148" t="s">
        <v>479</v>
      </c>
      <c r="C148" t="s">
        <v>698</v>
      </c>
      <c r="D148" s="55" t="str">
        <f>VLOOKUP(VLOOKUP(Q148,'⚪设计'!$A$193:$G$212,3+UnitCfg!R148,FALSE),'⚪设计'!$B$85:$C$101,2,FALSE)</f>
        <v>ResUnit_MiFeng2</v>
      </c>
      <c r="E148" s="55">
        <f>VLOOKUP(D148,'⚪设计'!$C$85:$G$101,5,FALSE)*VLOOKUP(UnitCfg!Q148,无限模式!$A$3:$C$22,3,FALSE)</f>
        <v>3.75</v>
      </c>
      <c r="F148">
        <v>400</v>
      </c>
      <c r="G148" t="b">
        <v>1</v>
      </c>
      <c r="H148">
        <v>1</v>
      </c>
      <c r="I148">
        <v>1</v>
      </c>
      <c r="J148">
        <v>0.25</v>
      </c>
      <c r="K148" s="55">
        <f>VLOOKUP(D148,'⚪设计'!$C$85:$H$104,6,FALSE)</f>
        <v>0.8</v>
      </c>
      <c r="L148" t="s">
        <v>535</v>
      </c>
      <c r="M148" t="s">
        <v>468</v>
      </c>
      <c r="N148" t="s">
        <v>469</v>
      </c>
      <c r="O148" t="s">
        <v>470</v>
      </c>
      <c r="Q148" s="110">
        <v>6</v>
      </c>
      <c r="R148" s="110">
        <v>1</v>
      </c>
      <c r="S148" s="110"/>
    </row>
    <row r="149" spans="2:19" x14ac:dyDescent="0.2">
      <c r="B149" t="s">
        <v>480</v>
      </c>
      <c r="C149" t="s">
        <v>699</v>
      </c>
      <c r="D149" s="55" t="str">
        <f>VLOOKUP(VLOOKUP(Q149,'⚪设计'!$A$193:$G$212,3+UnitCfg!R149,FALSE),'⚪设计'!$B$85:$C$101,2,FALSE)</f>
        <v>ResUnit_ZhiZhu1</v>
      </c>
      <c r="E149" s="55">
        <f>VLOOKUP(D149,'⚪设计'!$C$85:$G$101,5,FALSE)*VLOOKUP(UnitCfg!Q149,无限模式!$A$3:$C$22,3,FALSE)</f>
        <v>5.625</v>
      </c>
      <c r="F149">
        <v>400</v>
      </c>
      <c r="G149" t="b">
        <v>1</v>
      </c>
      <c r="H149">
        <v>1</v>
      </c>
      <c r="I149">
        <v>1</v>
      </c>
      <c r="J149">
        <v>0.25</v>
      </c>
      <c r="K149" s="55">
        <f>VLOOKUP(D149,'⚪设计'!$C$85:$H$104,6,FALSE)</f>
        <v>1</v>
      </c>
      <c r="L149" t="s">
        <v>536</v>
      </c>
      <c r="M149" t="s">
        <v>468</v>
      </c>
      <c r="N149" t="s">
        <v>469</v>
      </c>
      <c r="O149" t="s">
        <v>470</v>
      </c>
      <c r="Q149" s="110">
        <v>6</v>
      </c>
      <c r="R149" s="110">
        <v>2</v>
      </c>
      <c r="S149" s="110"/>
    </row>
    <row r="150" spans="2:19" x14ac:dyDescent="0.2">
      <c r="B150" t="s">
        <v>481</v>
      </c>
      <c r="C150" t="s">
        <v>700</v>
      </c>
      <c r="D150" s="55" t="str">
        <f>VLOOKUP(VLOOKUP(Q150,'⚪设计'!$A$193:$G$212,3+UnitCfg!R150,FALSE),'⚪设计'!$B$85:$C$101,2,FALSE)</f>
        <v>ResUnit_MiFeng1</v>
      </c>
      <c r="E150" s="55">
        <f>VLOOKUP(D150,'⚪设计'!$C$85:$G$101,5,FALSE)*VLOOKUP(UnitCfg!Q150,无限模式!$A$3:$C$22,3,FALSE)</f>
        <v>3.9000000000000004</v>
      </c>
      <c r="F150">
        <v>400</v>
      </c>
      <c r="G150" t="b">
        <v>1</v>
      </c>
      <c r="H150">
        <v>1</v>
      </c>
      <c r="I150">
        <v>1</v>
      </c>
      <c r="J150">
        <v>0.25</v>
      </c>
      <c r="K150" s="55">
        <f>VLOOKUP(D150,'⚪设计'!$C$85:$H$104,6,FALSE)</f>
        <v>0.5</v>
      </c>
      <c r="L150" t="s">
        <v>537</v>
      </c>
      <c r="M150" t="s">
        <v>468</v>
      </c>
      <c r="N150" t="s">
        <v>469</v>
      </c>
      <c r="O150" t="s">
        <v>470</v>
      </c>
      <c r="Q150" s="110">
        <v>7</v>
      </c>
      <c r="R150" s="110">
        <v>1</v>
      </c>
      <c r="S150" s="110"/>
    </row>
    <row r="151" spans="2:19" x14ac:dyDescent="0.2">
      <c r="B151" t="s">
        <v>482</v>
      </c>
      <c r="C151" t="s">
        <v>701</v>
      </c>
      <c r="D151" s="55" t="str">
        <f>VLOOKUP(VLOOKUP(Q151,'⚪设计'!$A$193:$G$212,3+UnitCfg!R151,FALSE),'⚪设计'!$B$85:$C$101,2,FALSE)</f>
        <v>ResUnit_ZhiZhu1</v>
      </c>
      <c r="E151" s="55">
        <f>VLOOKUP(D151,'⚪设计'!$C$85:$G$101,5,FALSE)*VLOOKUP(UnitCfg!Q151,无限模式!$A$3:$C$22,3,FALSE)</f>
        <v>5.8500000000000005</v>
      </c>
      <c r="F151">
        <v>400</v>
      </c>
      <c r="G151" t="b">
        <v>1</v>
      </c>
      <c r="H151">
        <v>1</v>
      </c>
      <c r="I151">
        <v>1</v>
      </c>
      <c r="J151">
        <v>0.25</v>
      </c>
      <c r="K151" s="55">
        <f>VLOOKUP(D151,'⚪设计'!$C$85:$H$104,6,FALSE)</f>
        <v>1</v>
      </c>
      <c r="L151" t="s">
        <v>538</v>
      </c>
      <c r="M151" t="s">
        <v>468</v>
      </c>
      <c r="N151" t="s">
        <v>469</v>
      </c>
      <c r="O151" t="s">
        <v>470</v>
      </c>
      <c r="Q151" s="110">
        <v>7</v>
      </c>
      <c r="R151" s="110">
        <v>2</v>
      </c>
      <c r="S151" s="110"/>
    </row>
    <row r="152" spans="2:19" x14ac:dyDescent="0.2">
      <c r="B152" t="s">
        <v>483</v>
      </c>
      <c r="C152" t="s">
        <v>702</v>
      </c>
      <c r="D152" s="55" t="str">
        <f>VLOOKUP(VLOOKUP(Q152,'⚪设计'!$A$193:$G$212,3+UnitCfg!R152,FALSE),'⚪设计'!$B$85:$C$101,2,FALSE)</f>
        <v>ResUnit_BianFu2</v>
      </c>
      <c r="E152" s="55">
        <f>VLOOKUP(D152,'⚪设计'!$C$85:$G$101,5,FALSE)*VLOOKUP(UnitCfg!Q152,无限模式!$A$3:$C$22,3,FALSE)</f>
        <v>4.0500000000000007</v>
      </c>
      <c r="F152">
        <v>400</v>
      </c>
      <c r="G152" t="b">
        <v>1</v>
      </c>
      <c r="H152">
        <v>1</v>
      </c>
      <c r="I152">
        <v>1</v>
      </c>
      <c r="J152">
        <v>0.25</v>
      </c>
      <c r="K152" s="55">
        <f>VLOOKUP(D152,'⚪设计'!$C$85:$H$104,6,FALSE)</f>
        <v>0.5</v>
      </c>
      <c r="L152" t="s">
        <v>539</v>
      </c>
      <c r="M152" t="s">
        <v>468</v>
      </c>
      <c r="N152" t="s">
        <v>469</v>
      </c>
      <c r="O152" t="s">
        <v>470</v>
      </c>
      <c r="Q152" s="110">
        <v>8</v>
      </c>
      <c r="R152" s="110">
        <v>1</v>
      </c>
      <c r="S152" s="110"/>
    </row>
    <row r="153" spans="2:19" x14ac:dyDescent="0.2">
      <c r="B153" t="s">
        <v>484</v>
      </c>
      <c r="C153" t="s">
        <v>703</v>
      </c>
      <c r="D153" s="55" t="str">
        <f>VLOOKUP(VLOOKUP(Q153,'⚪设计'!$A$193:$G$212,3+UnitCfg!R153,FALSE),'⚪设计'!$B$85:$C$101,2,FALSE)</f>
        <v>ResUnit_ZhiZhu3</v>
      </c>
      <c r="E153" s="55">
        <f>VLOOKUP(D153,'⚪设计'!$C$85:$G$101,5,FALSE)*VLOOKUP(UnitCfg!Q153,无限模式!$A$3:$C$22,3,FALSE)</f>
        <v>1.6875</v>
      </c>
      <c r="F153">
        <v>400</v>
      </c>
      <c r="G153" t="b">
        <v>1</v>
      </c>
      <c r="H153">
        <v>1</v>
      </c>
      <c r="I153">
        <v>1</v>
      </c>
      <c r="J153">
        <v>0.25</v>
      </c>
      <c r="K153" s="55">
        <f>VLOOKUP(D153,'⚪设计'!$C$85:$H$104,6,FALSE)</f>
        <v>1.5</v>
      </c>
      <c r="L153" t="s">
        <v>540</v>
      </c>
      <c r="M153" t="s">
        <v>468</v>
      </c>
      <c r="N153" t="s">
        <v>469</v>
      </c>
      <c r="O153" t="s">
        <v>470</v>
      </c>
      <c r="Q153" s="110">
        <v>8</v>
      </c>
      <c r="R153" s="110">
        <v>2</v>
      </c>
      <c r="S153" s="110"/>
    </row>
    <row r="154" spans="2:19" x14ac:dyDescent="0.2">
      <c r="B154" t="s">
        <v>485</v>
      </c>
      <c r="C154" t="s">
        <v>704</v>
      </c>
      <c r="D154" s="55" t="str">
        <f>VLOOKUP(VLOOKUP(Q154,'⚪设计'!$A$193:$G$212,3+UnitCfg!R154,FALSE),'⚪设计'!$B$85:$C$101,2,FALSE)</f>
        <v>ResUnit_MiFeng2</v>
      </c>
      <c r="E154" s="55">
        <f>VLOOKUP(D154,'⚪设计'!$C$85:$G$101,5,FALSE)*VLOOKUP(UnitCfg!Q154,无限模式!$A$3:$C$22,3,FALSE)</f>
        <v>4.1999999999999993</v>
      </c>
      <c r="F154">
        <v>400</v>
      </c>
      <c r="G154" t="b">
        <v>1</v>
      </c>
      <c r="H154">
        <v>1</v>
      </c>
      <c r="I154">
        <v>1</v>
      </c>
      <c r="J154">
        <v>0.25</v>
      </c>
      <c r="K154" s="55">
        <f>VLOOKUP(D154,'⚪设计'!$C$85:$H$104,6,FALSE)</f>
        <v>0.8</v>
      </c>
      <c r="L154" t="s">
        <v>541</v>
      </c>
      <c r="M154" t="s">
        <v>468</v>
      </c>
      <c r="N154" t="s">
        <v>469</v>
      </c>
      <c r="O154" t="s">
        <v>470</v>
      </c>
      <c r="Q154" s="110">
        <v>9</v>
      </c>
      <c r="R154" s="110">
        <v>1</v>
      </c>
      <c r="S154" s="110"/>
    </row>
    <row r="155" spans="2:19" x14ac:dyDescent="0.2">
      <c r="B155" t="s">
        <v>486</v>
      </c>
      <c r="C155" t="s">
        <v>705</v>
      </c>
      <c r="D155" s="55" t="str">
        <f>VLOOKUP(VLOOKUP(Q155,'⚪设计'!$A$193:$G$212,3+UnitCfg!R155,FALSE),'⚪设计'!$B$85:$C$101,2,FALSE)</f>
        <v>ResUnit_ZhongZi1</v>
      </c>
      <c r="E155" s="55">
        <f>VLOOKUP(D155,'⚪设计'!$C$85:$G$101,5,FALSE)*VLOOKUP(UnitCfg!Q155,无限模式!$A$3:$C$22,3,FALSE)</f>
        <v>4.1999999999999993</v>
      </c>
      <c r="F155">
        <v>400</v>
      </c>
      <c r="G155" t="b">
        <v>1</v>
      </c>
      <c r="H155">
        <v>1</v>
      </c>
      <c r="I155">
        <v>1</v>
      </c>
      <c r="J155">
        <v>0.25</v>
      </c>
      <c r="K155" s="55">
        <f>VLOOKUP(D155,'⚪设计'!$C$85:$H$104,6,FALSE)</f>
        <v>1</v>
      </c>
      <c r="L155" t="s">
        <v>542</v>
      </c>
      <c r="M155" t="s">
        <v>468</v>
      </c>
      <c r="N155" t="s">
        <v>469</v>
      </c>
      <c r="O155" t="s">
        <v>470</v>
      </c>
      <c r="P155" t="str">
        <f>"Skill_"&amp;MID($B155,6,99)&amp;"_"&amp;MID(LEFT(D155,LEN(D155)-1),9,99)</f>
        <v>Skill_Monster_Infinite_9_2_ZhongZi</v>
      </c>
      <c r="Q155" s="110">
        <v>9</v>
      </c>
      <c r="R155" s="110">
        <v>2</v>
      </c>
      <c r="S155" s="110"/>
    </row>
    <row r="156" spans="2:19" x14ac:dyDescent="0.2">
      <c r="B156" t="s">
        <v>487</v>
      </c>
      <c r="C156" t="s">
        <v>706</v>
      </c>
      <c r="D156" s="55" t="str">
        <f>VLOOKUP(VLOOKUP(Q156,'⚪设计'!$A$193:$G$212,3+UnitCfg!R156,FALSE),'⚪设计'!$B$85:$C$101,2,FALSE)</f>
        <v>ResUnit_MiFeng2</v>
      </c>
      <c r="E156" s="55">
        <f>VLOOKUP(D156,'⚪设计'!$C$85:$G$101,5,FALSE)*VLOOKUP(UnitCfg!Q156,无限模式!$A$3:$C$22,3,FALSE)</f>
        <v>4.3499999999999996</v>
      </c>
      <c r="F156">
        <v>400</v>
      </c>
      <c r="G156" t="b">
        <v>1</v>
      </c>
      <c r="H156">
        <v>1</v>
      </c>
      <c r="I156">
        <v>1</v>
      </c>
      <c r="J156">
        <v>0.25</v>
      </c>
      <c r="K156" s="55">
        <f>VLOOKUP(D156,'⚪设计'!$C$85:$H$104,6,FALSE)</f>
        <v>0.8</v>
      </c>
      <c r="L156" t="s">
        <v>543</v>
      </c>
      <c r="M156" t="s">
        <v>468</v>
      </c>
      <c r="N156" t="s">
        <v>469</v>
      </c>
      <c r="O156" t="s">
        <v>470</v>
      </c>
      <c r="Q156" s="110">
        <v>10</v>
      </c>
      <c r="R156" s="110">
        <v>1</v>
      </c>
      <c r="S156" s="110"/>
    </row>
    <row r="157" spans="2:19" x14ac:dyDescent="0.2">
      <c r="B157" t="s">
        <v>488</v>
      </c>
      <c r="C157" t="s">
        <v>707</v>
      </c>
      <c r="D157" s="55" t="str">
        <f>VLOOKUP(VLOOKUP(Q157,'⚪设计'!$A$193:$G$212,3+UnitCfg!R157,FALSE),'⚪设计'!$B$85:$C$101,2,FALSE)</f>
        <v>ResUnit_ZhongZi1</v>
      </c>
      <c r="E157" s="55">
        <f>VLOOKUP(D157,'⚪设计'!$C$85:$G$101,5,FALSE)*VLOOKUP(UnitCfg!Q157,无限模式!$A$3:$C$22,3,FALSE)</f>
        <v>4.3499999999999996</v>
      </c>
      <c r="F157">
        <v>400</v>
      </c>
      <c r="G157" t="b">
        <v>1</v>
      </c>
      <c r="H157">
        <v>1</v>
      </c>
      <c r="I157">
        <v>1</v>
      </c>
      <c r="J157">
        <v>0.25</v>
      </c>
      <c r="K157" s="55">
        <f>VLOOKUP(D157,'⚪设计'!$C$85:$H$104,6,FALSE)</f>
        <v>1</v>
      </c>
      <c r="L157" t="s">
        <v>544</v>
      </c>
      <c r="M157" t="s">
        <v>468</v>
      </c>
      <c r="N157" t="s">
        <v>469</v>
      </c>
      <c r="O157" t="s">
        <v>470</v>
      </c>
      <c r="P157" t="str">
        <f t="shared" ref="P157:P158" si="2">"Skill_"&amp;MID($B157,6,99)&amp;"_"&amp;MID(LEFT(D157,LEN(D157)-1),9,99)</f>
        <v>Skill_Monster_Infinite_10_2_ZhongZi</v>
      </c>
      <c r="Q157" s="110">
        <v>10</v>
      </c>
      <c r="R157" s="110">
        <v>2</v>
      </c>
      <c r="S157" s="110"/>
    </row>
    <row r="158" spans="2:19" x14ac:dyDescent="0.2">
      <c r="B158" t="s">
        <v>489</v>
      </c>
      <c r="C158" t="s">
        <v>708</v>
      </c>
      <c r="D158" s="55" t="str">
        <f>VLOOKUP(VLOOKUP(Q158,'⚪设计'!$A$193:$G$212,3+UnitCfg!R158,FALSE),'⚪设计'!$B$85:$C$101,2,FALSE)</f>
        <v>ResUnit_ZhongZi1</v>
      </c>
      <c r="E158" s="55">
        <f>VLOOKUP(D158,'⚪设计'!$C$85:$G$101,5,FALSE)*VLOOKUP(UnitCfg!Q158,无限模式!$A$3:$C$22,3,FALSE)</f>
        <v>4.5</v>
      </c>
      <c r="F158">
        <v>400</v>
      </c>
      <c r="G158" t="b">
        <v>1</v>
      </c>
      <c r="H158">
        <v>1</v>
      </c>
      <c r="I158">
        <v>1</v>
      </c>
      <c r="J158">
        <v>0.25</v>
      </c>
      <c r="K158" s="55">
        <f>VLOOKUP(D158,'⚪设计'!$C$85:$H$104,6,FALSE)</f>
        <v>1</v>
      </c>
      <c r="L158" t="s">
        <v>545</v>
      </c>
      <c r="M158" t="s">
        <v>468</v>
      </c>
      <c r="N158" t="s">
        <v>469</v>
      </c>
      <c r="O158" t="s">
        <v>470</v>
      </c>
      <c r="P158" t="str">
        <f t="shared" si="2"/>
        <v>Skill_Monster_Infinite_11_1_ZhongZi</v>
      </c>
      <c r="Q158" s="110">
        <v>11</v>
      </c>
      <c r="R158" s="110">
        <v>1</v>
      </c>
      <c r="S158" s="110"/>
    </row>
    <row r="159" spans="2:19" x14ac:dyDescent="0.2">
      <c r="B159" t="s">
        <v>490</v>
      </c>
      <c r="C159" t="s">
        <v>709</v>
      </c>
      <c r="D159" s="55" t="str">
        <f>VLOOKUP(VLOOKUP(Q159,'⚪设计'!$A$193:$G$212,3+UnitCfg!R159,FALSE),'⚪设计'!$B$85:$C$101,2,FALSE)</f>
        <v>ResUnit_ZhiZhu2</v>
      </c>
      <c r="E159" s="55">
        <f>VLOOKUP(D159,'⚪设计'!$C$85:$G$101,5,FALSE)*VLOOKUP(UnitCfg!Q159,无限模式!$A$3:$C$22,3,FALSE)</f>
        <v>6.75</v>
      </c>
      <c r="F159">
        <v>400</v>
      </c>
      <c r="G159" t="b">
        <v>1</v>
      </c>
      <c r="H159">
        <v>1</v>
      </c>
      <c r="I159">
        <v>1</v>
      </c>
      <c r="J159">
        <v>0.25</v>
      </c>
      <c r="K159" s="55">
        <f>VLOOKUP(D159,'⚪设计'!$C$85:$H$104,6,FALSE)</f>
        <v>1</v>
      </c>
      <c r="L159" t="s">
        <v>546</v>
      </c>
      <c r="M159" t="s">
        <v>468</v>
      </c>
      <c r="N159" t="s">
        <v>469</v>
      </c>
      <c r="O159" t="s">
        <v>470</v>
      </c>
      <c r="Q159" s="110">
        <v>11</v>
      </c>
      <c r="R159" s="110">
        <v>2</v>
      </c>
      <c r="S159" s="110"/>
    </row>
    <row r="160" spans="2:19" x14ac:dyDescent="0.2">
      <c r="B160" t="s">
        <v>491</v>
      </c>
      <c r="C160" t="s">
        <v>710</v>
      </c>
      <c r="D160" s="55" t="str">
        <f>VLOOKUP(VLOOKUP(Q160,'⚪设计'!$A$193:$G$212,3+UnitCfg!R160,FALSE),'⚪设计'!$B$85:$C$101,2,FALSE)</f>
        <v>ResUnit_MiFeng2</v>
      </c>
      <c r="E160" s="55">
        <f>VLOOKUP(D160,'⚪设计'!$C$85:$G$101,5,FALSE)*VLOOKUP(UnitCfg!Q160,无限模式!$A$3:$C$22,3,FALSE)</f>
        <v>4.6500000000000004</v>
      </c>
      <c r="F160">
        <v>400</v>
      </c>
      <c r="G160" t="b">
        <v>1</v>
      </c>
      <c r="H160">
        <v>1</v>
      </c>
      <c r="I160">
        <v>1</v>
      </c>
      <c r="J160">
        <v>0.25</v>
      </c>
      <c r="K160" s="55">
        <f>VLOOKUP(D160,'⚪设计'!$C$85:$H$104,6,FALSE)</f>
        <v>0.8</v>
      </c>
      <c r="L160" t="s">
        <v>547</v>
      </c>
      <c r="M160" t="s">
        <v>468</v>
      </c>
      <c r="N160" t="s">
        <v>469</v>
      </c>
      <c r="O160" t="s">
        <v>470</v>
      </c>
      <c r="Q160" s="110">
        <v>12</v>
      </c>
      <c r="R160" s="110">
        <v>1</v>
      </c>
      <c r="S160" s="110"/>
    </row>
    <row r="161" spans="2:19" x14ac:dyDescent="0.2">
      <c r="B161" t="s">
        <v>492</v>
      </c>
      <c r="C161" t="s">
        <v>711</v>
      </c>
      <c r="D161" s="55" t="str">
        <f>VLOOKUP(VLOOKUP(Q161,'⚪设计'!$A$193:$G$212,3+UnitCfg!R161,FALSE),'⚪设计'!$B$85:$C$101,2,FALSE)</f>
        <v>ResUnit_ZhongZi1</v>
      </c>
      <c r="E161" s="55">
        <f>VLOOKUP(D161,'⚪设计'!$C$85:$G$101,5,FALSE)*VLOOKUP(UnitCfg!Q161,无限模式!$A$3:$C$22,3,FALSE)</f>
        <v>4.6500000000000004</v>
      </c>
      <c r="F161">
        <v>400</v>
      </c>
      <c r="G161" t="b">
        <v>1</v>
      </c>
      <c r="H161">
        <v>1</v>
      </c>
      <c r="I161">
        <v>1</v>
      </c>
      <c r="J161">
        <v>0.25</v>
      </c>
      <c r="K161" s="55">
        <f>VLOOKUP(D161,'⚪设计'!$C$85:$H$104,6,FALSE)</f>
        <v>1</v>
      </c>
      <c r="L161" t="s">
        <v>548</v>
      </c>
      <c r="M161" t="s">
        <v>468</v>
      </c>
      <c r="N161" t="s">
        <v>469</v>
      </c>
      <c r="O161" t="s">
        <v>470</v>
      </c>
      <c r="P161" t="str">
        <f t="shared" ref="P161:P164" si="3">"Skill_"&amp;MID($B161,6,99)&amp;"_"&amp;MID(LEFT(D161,LEN(D161)-1),9,99)</f>
        <v>Skill_Monster_Infinite_12_2_ZhongZi</v>
      </c>
      <c r="Q161" s="110">
        <v>12</v>
      </c>
      <c r="R161" s="110">
        <v>2</v>
      </c>
      <c r="S161" s="110"/>
    </row>
    <row r="162" spans="2:19" x14ac:dyDescent="0.2">
      <c r="B162" t="s">
        <v>493</v>
      </c>
      <c r="C162" t="s">
        <v>712</v>
      </c>
      <c r="D162" s="55" t="str">
        <f>VLOOKUP(VLOOKUP(Q162,'⚪设计'!$A$193:$G$212,3+UnitCfg!R162,FALSE),'⚪设计'!$B$85:$C$101,2,FALSE)</f>
        <v>ResUnit_ZhongZi3</v>
      </c>
      <c r="E162" s="55">
        <f>VLOOKUP(D162,'⚪设计'!$C$85:$G$101,5,FALSE)*VLOOKUP(UnitCfg!Q162,无限模式!$A$3:$C$22,3,FALSE)</f>
        <v>1.9375</v>
      </c>
      <c r="F162">
        <v>400</v>
      </c>
      <c r="G162" t="b">
        <v>1</v>
      </c>
      <c r="H162">
        <v>1</v>
      </c>
      <c r="I162">
        <v>1</v>
      </c>
      <c r="J162">
        <v>0.25</v>
      </c>
      <c r="K162" s="55">
        <f>VLOOKUP(D162,'⚪设计'!$C$85:$H$104,6,FALSE)</f>
        <v>1.8</v>
      </c>
      <c r="L162" t="s">
        <v>567</v>
      </c>
      <c r="M162" t="s">
        <v>468</v>
      </c>
      <c r="N162" t="s">
        <v>469</v>
      </c>
      <c r="O162" t="s">
        <v>470</v>
      </c>
      <c r="P162" t="str">
        <f t="shared" si="3"/>
        <v>Skill_Monster_Infinite_12_3_ZhongZi</v>
      </c>
      <c r="Q162" s="110">
        <v>12</v>
      </c>
      <c r="R162" s="110">
        <v>3</v>
      </c>
      <c r="S162" s="110"/>
    </row>
    <row r="163" spans="2:19" x14ac:dyDescent="0.2">
      <c r="B163" t="s">
        <v>494</v>
      </c>
      <c r="C163" t="s">
        <v>713</v>
      </c>
      <c r="D163" s="55" t="str">
        <f>VLOOKUP(VLOOKUP(Q163,'⚪设计'!$A$193:$G$212,3+UnitCfg!R163,FALSE),'⚪设计'!$B$85:$C$101,2,FALSE)</f>
        <v>ResUnit_Gui1</v>
      </c>
      <c r="E163" s="55">
        <f>VLOOKUP(D163,'⚪设计'!$C$85:$G$101,5,FALSE)*VLOOKUP(UnitCfg!Q163,无限模式!$A$3:$C$22,3,FALSE)</f>
        <v>4.8000000000000007</v>
      </c>
      <c r="F163">
        <v>400</v>
      </c>
      <c r="G163" t="b">
        <v>1</v>
      </c>
      <c r="H163">
        <v>1</v>
      </c>
      <c r="I163">
        <v>1</v>
      </c>
      <c r="J163">
        <v>0.25</v>
      </c>
      <c r="K163" s="55">
        <f>VLOOKUP(D163,'⚪设计'!$C$85:$H$104,6,FALSE)</f>
        <v>1</v>
      </c>
      <c r="L163" t="s">
        <v>549</v>
      </c>
      <c r="M163" t="s">
        <v>468</v>
      </c>
      <c r="N163" t="s">
        <v>469</v>
      </c>
      <c r="O163" t="s">
        <v>470</v>
      </c>
      <c r="P163" t="str">
        <f t="shared" si="3"/>
        <v>Skill_Monster_Infinite_13_1_Gui</v>
      </c>
      <c r="Q163" s="110">
        <v>13</v>
      </c>
      <c r="R163" s="110">
        <v>1</v>
      </c>
      <c r="S163" s="110"/>
    </row>
    <row r="164" spans="2:19" x14ac:dyDescent="0.2">
      <c r="B164" t="s">
        <v>495</v>
      </c>
      <c r="C164" t="s">
        <v>714</v>
      </c>
      <c r="D164" s="55" t="str">
        <f>VLOOKUP(VLOOKUP(Q164,'⚪设计'!$A$193:$G$212,3+UnitCfg!R164,FALSE),'⚪设计'!$B$85:$C$101,2,FALSE)</f>
        <v>ResUnit_Gui1</v>
      </c>
      <c r="E164" s="55">
        <f>VLOOKUP(D164,'⚪设计'!$C$85:$G$101,5,FALSE)*VLOOKUP(UnitCfg!Q164,无限模式!$A$3:$C$22,3,FALSE)</f>
        <v>4.9499999999999993</v>
      </c>
      <c r="F164">
        <v>400</v>
      </c>
      <c r="G164" t="b">
        <v>1</v>
      </c>
      <c r="H164">
        <v>1</v>
      </c>
      <c r="I164">
        <v>1</v>
      </c>
      <c r="J164">
        <v>0.25</v>
      </c>
      <c r="K164" s="55">
        <f>VLOOKUP(D164,'⚪设计'!$C$85:$H$104,6,FALSE)</f>
        <v>1</v>
      </c>
      <c r="L164" t="s">
        <v>550</v>
      </c>
      <c r="M164" t="s">
        <v>468</v>
      </c>
      <c r="N164" t="s">
        <v>469</v>
      </c>
      <c r="O164" t="s">
        <v>470</v>
      </c>
      <c r="P164" t="str">
        <f t="shared" si="3"/>
        <v>Skill_Monster_Infinite_14_1_Gui</v>
      </c>
      <c r="Q164" s="110">
        <v>14</v>
      </c>
      <c r="R164" s="110">
        <v>1</v>
      </c>
      <c r="S164" s="110"/>
    </row>
    <row r="165" spans="2:19" x14ac:dyDescent="0.2">
      <c r="B165" t="s">
        <v>496</v>
      </c>
      <c r="C165" t="s">
        <v>715</v>
      </c>
      <c r="D165" s="55" t="str">
        <f>VLOOKUP(VLOOKUP(Q165,'⚪设计'!$A$193:$G$212,3+UnitCfg!R165,FALSE),'⚪设计'!$B$85:$C$101,2,FALSE)</f>
        <v>ResUnit_ZhiZhu2</v>
      </c>
      <c r="E165" s="55">
        <f>VLOOKUP(D165,'⚪设计'!$C$85:$G$101,5,FALSE)*VLOOKUP(UnitCfg!Q165,无限模式!$A$3:$C$22,3,FALSE)</f>
        <v>7.4249999999999998</v>
      </c>
      <c r="F165">
        <v>400</v>
      </c>
      <c r="G165" t="b">
        <v>1</v>
      </c>
      <c r="H165">
        <v>1</v>
      </c>
      <c r="I165">
        <v>1</v>
      </c>
      <c r="J165">
        <v>0.25</v>
      </c>
      <c r="K165" s="55">
        <f>VLOOKUP(D165,'⚪设计'!$C$85:$H$104,6,FALSE)</f>
        <v>1</v>
      </c>
      <c r="L165" t="s">
        <v>551</v>
      </c>
      <c r="M165" t="s">
        <v>468</v>
      </c>
      <c r="N165" t="s">
        <v>469</v>
      </c>
      <c r="O165" t="s">
        <v>470</v>
      </c>
      <c r="Q165" s="110">
        <v>14</v>
      </c>
      <c r="R165" s="110">
        <v>2</v>
      </c>
      <c r="S165" s="110"/>
    </row>
    <row r="166" spans="2:19" x14ac:dyDescent="0.2">
      <c r="B166" t="s">
        <v>497</v>
      </c>
      <c r="C166" t="s">
        <v>716</v>
      </c>
      <c r="D166" s="55" t="str">
        <f>VLOOKUP(VLOOKUP(Q166,'⚪设计'!$A$193:$G$212,3+UnitCfg!R166,FALSE),'⚪设计'!$B$85:$C$101,2,FALSE)</f>
        <v>ResUnit_Gui1</v>
      </c>
      <c r="E166" s="55">
        <f>VLOOKUP(D166,'⚪设计'!$C$85:$G$101,5,FALSE)*VLOOKUP(UnitCfg!Q166,无限模式!$A$3:$C$22,3,FALSE)</f>
        <v>5.0999999999999996</v>
      </c>
      <c r="F166">
        <v>400</v>
      </c>
      <c r="G166" t="b">
        <v>1</v>
      </c>
      <c r="H166">
        <v>1</v>
      </c>
      <c r="I166">
        <v>1</v>
      </c>
      <c r="J166">
        <v>0.25</v>
      </c>
      <c r="K166" s="55">
        <f>VLOOKUP(D166,'⚪设计'!$C$85:$H$104,6,FALSE)</f>
        <v>1</v>
      </c>
      <c r="L166" t="s">
        <v>552</v>
      </c>
      <c r="M166" t="s">
        <v>468</v>
      </c>
      <c r="N166" t="s">
        <v>469</v>
      </c>
      <c r="O166" t="s">
        <v>470</v>
      </c>
      <c r="P166" t="str">
        <f t="shared" ref="P166:P167" si="4">"Skill_"&amp;MID($B166,6,99)&amp;"_"&amp;MID(LEFT(D166,LEN(D166)-1),9,99)</f>
        <v>Skill_Monster_Infinite_15_1_Gui</v>
      </c>
      <c r="Q166" s="110">
        <v>15</v>
      </c>
      <c r="R166" s="110">
        <v>1</v>
      </c>
      <c r="S166" s="110"/>
    </row>
    <row r="167" spans="2:19" x14ac:dyDescent="0.2">
      <c r="B167" t="s">
        <v>498</v>
      </c>
      <c r="C167" t="s">
        <v>717</v>
      </c>
      <c r="D167" s="55" t="str">
        <f>VLOOKUP(VLOOKUP(Q167,'⚪设计'!$A$193:$G$212,3+UnitCfg!R167,FALSE),'⚪设计'!$B$85:$C$101,2,FALSE)</f>
        <v>ResUnit_ZhongZi2</v>
      </c>
      <c r="E167" s="55">
        <f>VLOOKUP(D167,'⚪设计'!$C$85:$G$101,5,FALSE)*VLOOKUP(UnitCfg!Q167,无限模式!$A$3:$C$22,3,FALSE)</f>
        <v>5.0999999999999996</v>
      </c>
      <c r="F167">
        <v>400</v>
      </c>
      <c r="G167" t="b">
        <v>1</v>
      </c>
      <c r="H167">
        <v>1</v>
      </c>
      <c r="I167">
        <v>1</v>
      </c>
      <c r="J167">
        <v>0.25</v>
      </c>
      <c r="K167" s="55">
        <f>VLOOKUP(D167,'⚪设计'!$C$85:$H$104,6,FALSE)</f>
        <v>1.2</v>
      </c>
      <c r="L167" t="s">
        <v>553</v>
      </c>
      <c r="M167" t="s">
        <v>468</v>
      </c>
      <c r="N167" t="s">
        <v>469</v>
      </c>
      <c r="O167" t="s">
        <v>470</v>
      </c>
      <c r="P167" t="str">
        <f t="shared" si="4"/>
        <v>Skill_Monster_Infinite_15_2_ZhongZi</v>
      </c>
      <c r="Q167" s="110">
        <v>15</v>
      </c>
      <c r="R167" s="110">
        <v>2</v>
      </c>
      <c r="S167" s="110"/>
    </row>
    <row r="168" spans="2:19" x14ac:dyDescent="0.2">
      <c r="B168" t="s">
        <v>499</v>
      </c>
      <c r="C168" t="s">
        <v>718</v>
      </c>
      <c r="D168" s="55" t="str">
        <f>VLOOKUP(VLOOKUP(Q168,'⚪设计'!$A$193:$G$212,3+UnitCfg!R168,FALSE),'⚪设计'!$B$85:$C$101,2,FALSE)</f>
        <v>ResUnit_MiFeng2</v>
      </c>
      <c r="E168" s="55">
        <f>VLOOKUP(D168,'⚪设计'!$C$85:$G$101,5,FALSE)*VLOOKUP(UnitCfg!Q168,无限模式!$A$3:$C$22,3,FALSE)</f>
        <v>5.25</v>
      </c>
      <c r="F168">
        <v>400</v>
      </c>
      <c r="G168" t="b">
        <v>1</v>
      </c>
      <c r="H168">
        <v>1</v>
      </c>
      <c r="I168">
        <v>1</v>
      </c>
      <c r="J168">
        <v>0.25</v>
      </c>
      <c r="K168" s="55">
        <f>VLOOKUP(D168,'⚪设计'!$C$85:$H$104,6,FALSE)</f>
        <v>0.8</v>
      </c>
      <c r="L168" t="s">
        <v>554</v>
      </c>
      <c r="M168" t="s">
        <v>468</v>
      </c>
      <c r="N168" t="s">
        <v>469</v>
      </c>
      <c r="O168" t="s">
        <v>470</v>
      </c>
      <c r="Q168" s="110">
        <v>16</v>
      </c>
      <c r="R168" s="110">
        <v>1</v>
      </c>
      <c r="S168" s="110"/>
    </row>
    <row r="169" spans="2:19" x14ac:dyDescent="0.2">
      <c r="B169" t="s">
        <v>500</v>
      </c>
      <c r="C169" t="s">
        <v>719</v>
      </c>
      <c r="D169" s="55" t="str">
        <f>VLOOKUP(VLOOKUP(Q169,'⚪设计'!$A$193:$G$212,3+UnitCfg!R169,FALSE),'⚪设计'!$B$85:$C$101,2,FALSE)</f>
        <v>ResUnit_Gui3</v>
      </c>
      <c r="E169" s="55">
        <f>VLOOKUP(D169,'⚪设计'!$C$85:$G$101,5,FALSE)*VLOOKUP(UnitCfg!Q169,无限模式!$A$3:$C$22,3,FALSE)</f>
        <v>2.1875</v>
      </c>
      <c r="F169">
        <v>400</v>
      </c>
      <c r="G169" t="b">
        <v>1</v>
      </c>
      <c r="H169">
        <v>1</v>
      </c>
      <c r="I169">
        <v>1</v>
      </c>
      <c r="J169">
        <v>0.25</v>
      </c>
      <c r="K169" s="55">
        <f>VLOOKUP(D169,'⚪设计'!$C$85:$H$104,6,FALSE)</f>
        <v>2.5</v>
      </c>
      <c r="L169" t="s">
        <v>555</v>
      </c>
      <c r="M169" t="s">
        <v>468</v>
      </c>
      <c r="N169" t="s">
        <v>469</v>
      </c>
      <c r="O169" t="s">
        <v>470</v>
      </c>
      <c r="P169" t="str">
        <f>"Skill_"&amp;MID($B169,6,99)&amp;"_"&amp;MID(LEFT(D169,LEN(D169)-1),9,99)</f>
        <v>Skill_Monster_Infinite_16_2_Gui</v>
      </c>
      <c r="Q169" s="110">
        <v>16</v>
      </c>
      <c r="R169" s="110">
        <v>2</v>
      </c>
      <c r="S169" s="110"/>
    </row>
    <row r="170" spans="2:19" x14ac:dyDescent="0.2">
      <c r="B170" t="s">
        <v>501</v>
      </c>
      <c r="C170" t="s">
        <v>720</v>
      </c>
      <c r="D170" s="55" t="str">
        <f>VLOOKUP(VLOOKUP(Q170,'⚪设计'!$A$193:$G$212,3+UnitCfg!R170,FALSE),'⚪设计'!$B$85:$C$101,2,FALSE)</f>
        <v>ResUnit_Dan1</v>
      </c>
      <c r="E170" s="55">
        <f>VLOOKUP(D170,'⚪设计'!$C$85:$G$101,5,FALSE)*VLOOKUP(UnitCfg!Q170,无限模式!$A$3:$C$22,3,FALSE)</f>
        <v>5.4</v>
      </c>
      <c r="F170">
        <v>400</v>
      </c>
      <c r="G170" t="b">
        <v>1</v>
      </c>
      <c r="H170">
        <v>1</v>
      </c>
      <c r="I170">
        <v>1</v>
      </c>
      <c r="J170">
        <v>0.25</v>
      </c>
      <c r="K170" s="55">
        <f>VLOOKUP(D170,'⚪设计'!$C$85:$H$104,6,FALSE)</f>
        <v>1.25</v>
      </c>
      <c r="L170" t="s">
        <v>556</v>
      </c>
      <c r="M170" t="s">
        <v>468</v>
      </c>
      <c r="N170" t="s">
        <v>469</v>
      </c>
      <c r="O170" t="s">
        <v>470</v>
      </c>
      <c r="Q170" s="110">
        <v>17</v>
      </c>
      <c r="R170" s="110">
        <v>1</v>
      </c>
      <c r="S170" s="110"/>
    </row>
    <row r="171" spans="2:19" x14ac:dyDescent="0.2">
      <c r="B171" t="s">
        <v>502</v>
      </c>
      <c r="C171" t="s">
        <v>721</v>
      </c>
      <c r="D171" s="55" t="str">
        <f>VLOOKUP(VLOOKUP(Q171,'⚪设计'!$A$193:$G$212,3+UnitCfg!R171,FALSE),'⚪设计'!$B$85:$C$101,2,FALSE)</f>
        <v>ResUnit_Dan2</v>
      </c>
      <c r="E171" s="55">
        <f>VLOOKUP(D171,'⚪设计'!$C$85:$G$101,5,FALSE)*VLOOKUP(UnitCfg!Q171,无限模式!$A$3:$C$22,3,FALSE)</f>
        <v>5.4</v>
      </c>
      <c r="F171">
        <v>400</v>
      </c>
      <c r="G171" t="b">
        <v>1</v>
      </c>
      <c r="H171">
        <v>1</v>
      </c>
      <c r="I171">
        <v>1</v>
      </c>
      <c r="J171">
        <v>0.25</v>
      </c>
      <c r="K171" s="55">
        <f>VLOOKUP(D171,'⚪设计'!$C$85:$H$104,6,FALSE)</f>
        <v>1.3</v>
      </c>
      <c r="L171" t="s">
        <v>557</v>
      </c>
      <c r="M171" t="s">
        <v>468</v>
      </c>
      <c r="N171" t="s">
        <v>469</v>
      </c>
      <c r="O171" t="s">
        <v>470</v>
      </c>
      <c r="P171" t="str">
        <f t="shared" ref="P171:P172" si="5">"Skill_"&amp;MID($B171,6,99)&amp;"_"&amp;MID(LEFT(D171,LEN(D171)-1),9,99)</f>
        <v>Skill_Monster_Infinite_17_2_Dan</v>
      </c>
      <c r="Q171" s="110">
        <v>17</v>
      </c>
      <c r="R171" s="110">
        <v>2</v>
      </c>
      <c r="S171" s="110"/>
    </row>
    <row r="172" spans="2:19" x14ac:dyDescent="0.2">
      <c r="B172" t="s">
        <v>503</v>
      </c>
      <c r="C172" t="s">
        <v>722</v>
      </c>
      <c r="D172" s="55" t="str">
        <f>VLOOKUP(VLOOKUP(Q172,'⚪设计'!$A$193:$G$212,3+UnitCfg!R172,FALSE),'⚪设计'!$B$85:$C$101,2,FALSE)</f>
        <v>ResUnit_Dan2</v>
      </c>
      <c r="E172" s="55">
        <f>VLOOKUP(D172,'⚪设计'!$C$85:$G$101,5,FALSE)*VLOOKUP(UnitCfg!Q172,无限模式!$A$3:$C$22,3,FALSE)</f>
        <v>5.5500000000000007</v>
      </c>
      <c r="F172">
        <v>400</v>
      </c>
      <c r="G172" t="b">
        <v>1</v>
      </c>
      <c r="H172">
        <v>1</v>
      </c>
      <c r="I172">
        <v>1</v>
      </c>
      <c r="J172">
        <v>0.25</v>
      </c>
      <c r="K172" s="55">
        <f>VLOOKUP(D172,'⚪设计'!$C$85:$H$104,6,FALSE)</f>
        <v>1.3</v>
      </c>
      <c r="L172" t="s">
        <v>558</v>
      </c>
      <c r="M172" t="s">
        <v>468</v>
      </c>
      <c r="N172" t="s">
        <v>469</v>
      </c>
      <c r="O172" t="s">
        <v>470</v>
      </c>
      <c r="P172" t="str">
        <f t="shared" si="5"/>
        <v>Skill_Monster_Infinite_18_1_Dan</v>
      </c>
      <c r="Q172" s="110">
        <v>18</v>
      </c>
      <c r="R172" s="110">
        <v>1</v>
      </c>
      <c r="S172" s="110"/>
    </row>
    <row r="173" spans="2:19" x14ac:dyDescent="0.2">
      <c r="B173" t="s">
        <v>504</v>
      </c>
      <c r="C173" t="s">
        <v>723</v>
      </c>
      <c r="D173" s="55" t="str">
        <f>VLOOKUP(VLOOKUP(Q173,'⚪设计'!$A$193:$G$212,3+UnitCfg!R173,FALSE),'⚪设计'!$B$85:$C$101,2,FALSE)</f>
        <v>ResUnit_ZhiZhu2</v>
      </c>
      <c r="E173" s="55">
        <f>VLOOKUP(D173,'⚪设计'!$C$85:$G$101,5,FALSE)*VLOOKUP(UnitCfg!Q173,无限模式!$A$3:$C$22,3,FALSE)</f>
        <v>8.3250000000000011</v>
      </c>
      <c r="F173">
        <v>400</v>
      </c>
      <c r="G173" t="b">
        <v>1</v>
      </c>
      <c r="H173">
        <v>1</v>
      </c>
      <c r="I173">
        <v>1</v>
      </c>
      <c r="J173">
        <v>0.25</v>
      </c>
      <c r="K173" s="55">
        <f>VLOOKUP(D173,'⚪设计'!$C$85:$H$104,6,FALSE)</f>
        <v>1</v>
      </c>
      <c r="L173" t="s">
        <v>559</v>
      </c>
      <c r="M173" t="s">
        <v>468</v>
      </c>
      <c r="N173" t="s">
        <v>469</v>
      </c>
      <c r="O173" t="s">
        <v>470</v>
      </c>
      <c r="Q173" s="110">
        <v>18</v>
      </c>
      <c r="R173" s="110">
        <v>2</v>
      </c>
      <c r="S173" s="110"/>
    </row>
    <row r="174" spans="2:19" x14ac:dyDescent="0.2">
      <c r="B174" t="s">
        <v>505</v>
      </c>
      <c r="C174" t="s">
        <v>724</v>
      </c>
      <c r="D174" s="55" t="str">
        <f>VLOOKUP(VLOOKUP(Q174,'⚪设计'!$A$193:$G$212,3+UnitCfg!R174,FALSE),'⚪设计'!$B$85:$C$101,2,FALSE)</f>
        <v>ResUnit_Dan2</v>
      </c>
      <c r="E174" s="55">
        <f>VLOOKUP(D174,'⚪设计'!$C$85:$G$101,5,FALSE)*VLOOKUP(UnitCfg!Q174,无限模式!$A$3:$C$22,3,FALSE)</f>
        <v>5.6999999999999993</v>
      </c>
      <c r="F174">
        <v>400</v>
      </c>
      <c r="G174" t="b">
        <v>1</v>
      </c>
      <c r="H174">
        <v>1</v>
      </c>
      <c r="I174">
        <v>1</v>
      </c>
      <c r="J174">
        <v>0.25</v>
      </c>
      <c r="K174" s="55">
        <f>VLOOKUP(D174,'⚪设计'!$C$85:$H$104,6,FALSE)</f>
        <v>1.3</v>
      </c>
      <c r="L174" t="s">
        <v>560</v>
      </c>
      <c r="M174" t="s">
        <v>468</v>
      </c>
      <c r="N174" t="s">
        <v>469</v>
      </c>
      <c r="O174" t="s">
        <v>470</v>
      </c>
      <c r="Q174" s="110">
        <v>19</v>
      </c>
      <c r="R174" s="110">
        <v>1</v>
      </c>
      <c r="S174" s="110"/>
    </row>
    <row r="175" spans="2:19" x14ac:dyDescent="0.2">
      <c r="B175" t="s">
        <v>506</v>
      </c>
      <c r="C175" t="s">
        <v>725</v>
      </c>
      <c r="D175" s="55" t="str">
        <f>VLOOKUP(VLOOKUP(Q175,'⚪设计'!$A$193:$G$212,3+UnitCfg!R175,FALSE),'⚪设计'!$B$85:$C$101,2,FALSE)</f>
        <v>ResUnit_ZhiZhu2</v>
      </c>
      <c r="E175" s="55">
        <f>VLOOKUP(D175,'⚪设计'!$C$85:$G$101,5,FALSE)*VLOOKUP(UnitCfg!Q175,无限模式!$A$3:$C$22,3,FALSE)</f>
        <v>8.5499999999999989</v>
      </c>
      <c r="F175">
        <v>400</v>
      </c>
      <c r="G175" t="b">
        <v>1</v>
      </c>
      <c r="H175">
        <v>1</v>
      </c>
      <c r="I175">
        <v>1</v>
      </c>
      <c r="J175">
        <v>0.25</v>
      </c>
      <c r="K175" s="55">
        <f>VLOOKUP(D175,'⚪设计'!$C$85:$H$104,6,FALSE)</f>
        <v>1</v>
      </c>
      <c r="L175" t="s">
        <v>561</v>
      </c>
      <c r="M175" t="s">
        <v>468</v>
      </c>
      <c r="N175" t="s">
        <v>469</v>
      </c>
      <c r="O175" t="s">
        <v>470</v>
      </c>
      <c r="Q175" s="110">
        <v>19</v>
      </c>
      <c r="R175" s="110">
        <v>2</v>
      </c>
      <c r="S175" s="110"/>
    </row>
    <row r="176" spans="2:19" x14ac:dyDescent="0.2">
      <c r="B176" t="s">
        <v>507</v>
      </c>
      <c r="C176" t="s">
        <v>726</v>
      </c>
      <c r="D176" s="55" t="str">
        <f>VLOOKUP(VLOOKUP(Q176,'⚪设计'!$A$193:$G$212,3+UnitCfg!R176,FALSE),'⚪设计'!$B$85:$C$101,2,FALSE)</f>
        <v>ResUnit_ZhongZi2</v>
      </c>
      <c r="E176" s="55">
        <f>VLOOKUP(D176,'⚪设计'!$C$85:$G$101,5,FALSE)*VLOOKUP(UnitCfg!Q176,无限模式!$A$3:$C$22,3,FALSE)</f>
        <v>5.6999999999999993</v>
      </c>
      <c r="F176">
        <v>400</v>
      </c>
      <c r="G176" t="b">
        <v>1</v>
      </c>
      <c r="H176">
        <v>1</v>
      </c>
      <c r="I176">
        <v>1</v>
      </c>
      <c r="J176">
        <v>0.25</v>
      </c>
      <c r="K176" s="55">
        <f>VLOOKUP(D176,'⚪设计'!$C$85:$H$104,6,FALSE)</f>
        <v>1.2</v>
      </c>
      <c r="L176" t="s">
        <v>568</v>
      </c>
      <c r="M176" t="s">
        <v>468</v>
      </c>
      <c r="N176" t="s">
        <v>469</v>
      </c>
      <c r="O176" t="s">
        <v>470</v>
      </c>
      <c r="P176" t="str">
        <f t="shared" ref="P176:P179" si="6">"Skill_"&amp;MID($B176,6,99)&amp;"_"&amp;MID(LEFT(D176,LEN(D176)-1),9,99)</f>
        <v>Skill_Monster_Infinite_19_3_ZhongZi</v>
      </c>
      <c r="Q176" s="110">
        <v>19</v>
      </c>
      <c r="R176" s="110">
        <v>3</v>
      </c>
      <c r="S176" s="110"/>
    </row>
    <row r="177" spans="2:19" x14ac:dyDescent="0.2">
      <c r="B177" t="s">
        <v>508</v>
      </c>
      <c r="C177" t="s">
        <v>727</v>
      </c>
      <c r="D177" s="55" t="str">
        <f>VLOOKUP(VLOOKUP(Q177,'⚪设计'!$A$193:$G$212,3+UnitCfg!R177,FALSE),'⚪设计'!$B$85:$C$101,2,FALSE)</f>
        <v>ResUnit_Dan2</v>
      </c>
      <c r="E177" s="55">
        <f>VLOOKUP(D177,'⚪设计'!$C$85:$G$101,5,FALSE)*VLOOKUP(UnitCfg!Q177,无限模式!$A$3:$C$22,3,FALSE)</f>
        <v>5.85</v>
      </c>
      <c r="F177">
        <v>400</v>
      </c>
      <c r="G177" t="b">
        <v>1</v>
      </c>
      <c r="H177">
        <v>1</v>
      </c>
      <c r="I177">
        <v>1</v>
      </c>
      <c r="J177">
        <v>0.25</v>
      </c>
      <c r="K177" s="55">
        <f>VLOOKUP(D177,'⚪设计'!$C$85:$H$104,6,FALSE)</f>
        <v>1.3</v>
      </c>
      <c r="L177" t="s">
        <v>562</v>
      </c>
      <c r="M177" t="s">
        <v>468</v>
      </c>
      <c r="N177" t="s">
        <v>469</v>
      </c>
      <c r="O177" t="s">
        <v>470</v>
      </c>
      <c r="P177" t="str">
        <f t="shared" si="6"/>
        <v>Skill_Monster_Infinite_20_1_Dan</v>
      </c>
      <c r="Q177" s="110">
        <v>20</v>
      </c>
      <c r="R177" s="110">
        <v>1</v>
      </c>
      <c r="S177" s="110"/>
    </row>
    <row r="178" spans="2:19" x14ac:dyDescent="0.2">
      <c r="B178" t="s">
        <v>509</v>
      </c>
      <c r="C178" t="s">
        <v>728</v>
      </c>
      <c r="D178" s="55" t="str">
        <f>VLOOKUP(VLOOKUP(Q178,'⚪设计'!$A$193:$G$212,3+UnitCfg!R178,FALSE),'⚪设计'!$B$85:$C$101,2,FALSE)</f>
        <v>ResUnit_Gui2</v>
      </c>
      <c r="E178" s="55">
        <f>VLOOKUP(D178,'⚪设计'!$C$85:$G$101,5,FALSE)*VLOOKUP(UnitCfg!Q178,无限模式!$A$3:$C$22,3,FALSE)</f>
        <v>5.85</v>
      </c>
      <c r="F178">
        <v>400</v>
      </c>
      <c r="G178" t="b">
        <v>1</v>
      </c>
      <c r="H178">
        <v>1</v>
      </c>
      <c r="I178">
        <v>1</v>
      </c>
      <c r="J178">
        <v>0.25</v>
      </c>
      <c r="K178" s="55">
        <f>VLOOKUP(D178,'⚪设计'!$C$85:$H$104,6,FALSE)</f>
        <v>1</v>
      </c>
      <c r="L178" t="s">
        <v>563</v>
      </c>
      <c r="M178" t="s">
        <v>468</v>
      </c>
      <c r="N178" t="s">
        <v>469</v>
      </c>
      <c r="O178" t="s">
        <v>470</v>
      </c>
      <c r="P178" t="str">
        <f t="shared" si="6"/>
        <v>Skill_Monster_Infinite_20_2_Gui</v>
      </c>
      <c r="Q178" s="110">
        <v>20</v>
      </c>
      <c r="R178" s="110">
        <v>2</v>
      </c>
      <c r="S178" s="110"/>
    </row>
    <row r="179" spans="2:19" x14ac:dyDescent="0.2">
      <c r="B179" t="s">
        <v>510</v>
      </c>
      <c r="C179" t="s">
        <v>729</v>
      </c>
      <c r="D179" s="55" t="str">
        <f>VLOOKUP(VLOOKUP(Q179,'⚪设计'!$A$193:$G$212,3+UnitCfg!R179,FALSE),'⚪设计'!$B$85:$C$101,2,FALSE)</f>
        <v>ResUnit_ZhongZi2</v>
      </c>
      <c r="E179" s="55">
        <f>VLOOKUP(D179,'⚪设计'!$C$85:$G$101,5,FALSE)*VLOOKUP(UnitCfg!Q179,无限模式!$A$3:$C$22,3,FALSE)</f>
        <v>5.85</v>
      </c>
      <c r="F179">
        <v>400</v>
      </c>
      <c r="G179" t="b">
        <v>1</v>
      </c>
      <c r="H179">
        <v>1</v>
      </c>
      <c r="I179">
        <v>1</v>
      </c>
      <c r="J179">
        <v>0.25</v>
      </c>
      <c r="K179" s="55">
        <f>VLOOKUP(D179,'⚪设计'!$C$85:$H$104,6,FALSE)</f>
        <v>1.2</v>
      </c>
      <c r="L179" t="s">
        <v>569</v>
      </c>
      <c r="M179" t="s">
        <v>468</v>
      </c>
      <c r="N179" t="s">
        <v>469</v>
      </c>
      <c r="O179" t="s">
        <v>470</v>
      </c>
      <c r="P179" t="str">
        <f t="shared" si="6"/>
        <v>Skill_Monster_Infinite_20_3_ZhongZi</v>
      </c>
      <c r="Q179" s="110">
        <v>20</v>
      </c>
      <c r="R179" s="110">
        <v>3</v>
      </c>
      <c r="S179" s="110"/>
    </row>
    <row r="180" spans="2:19" x14ac:dyDescent="0.2">
      <c r="B180" t="s">
        <v>511</v>
      </c>
      <c r="C180" t="s">
        <v>730</v>
      </c>
      <c r="D180" s="55" t="str">
        <f>VLOOKUP(VLOOKUP(Q180,'⚪设计'!$A$193:$G$212,3+UnitCfg!R180,FALSE),'⚪设计'!$B$85:$C$101,2,FALSE)</f>
        <v>ResUnit_Dan3</v>
      </c>
      <c r="E180" s="55">
        <f>VLOOKUP(D180,'⚪设计'!$C$85:$G$101,5,FALSE)*VLOOKUP(UnitCfg!Q180,无限模式!$A$3:$C$22,3,FALSE)</f>
        <v>2.4375</v>
      </c>
      <c r="F180">
        <v>400</v>
      </c>
      <c r="G180" t="b">
        <v>1</v>
      </c>
      <c r="H180">
        <v>1</v>
      </c>
      <c r="I180">
        <v>1</v>
      </c>
      <c r="J180">
        <v>0.25</v>
      </c>
      <c r="K180" s="55">
        <f>VLOOKUP(D180,'⚪设计'!$C$85:$H$104,6,FALSE)</f>
        <v>2.5</v>
      </c>
      <c r="L180" t="s">
        <v>570</v>
      </c>
      <c r="M180" t="s">
        <v>468</v>
      </c>
      <c r="N180" t="s">
        <v>469</v>
      </c>
      <c r="O180" t="s">
        <v>470</v>
      </c>
      <c r="P180" t="str">
        <f>"Skill_"&amp;MID($B180,6,99)&amp;"_"&amp;MID(LEFT(D180,LEN(D180)-1),9,99)</f>
        <v>Skill_Monster_Infinite_20_4_Dan</v>
      </c>
      <c r="Q180" s="110">
        <v>20</v>
      </c>
      <c r="R180" s="110">
        <v>4</v>
      </c>
      <c r="S180" s="110"/>
    </row>
    <row r="182" spans="2:19" x14ac:dyDescent="0.2">
      <c r="B182" t="s">
        <v>1850</v>
      </c>
      <c r="C182" t="s">
        <v>1892</v>
      </c>
      <c r="D182" s="55" t="str">
        <f>VLOOKUP(VLOOKUP(Q182,'⚪设计'!$A$218:$G$238,3+UnitCfg!R182,FALSE),'⚪设计'!$B$85:$C$101,2,FALSE)</f>
        <v>ResUnit_MiFeng1</v>
      </c>
      <c r="E182" s="55">
        <f>VLOOKUP(D182,'⚪设计'!$C$85:$G$101,5,FALSE)*VLOOKUP(UnitCfg!Q182,线下模式!$A$3:$C$22,3,FALSE)</f>
        <v>3</v>
      </c>
      <c r="F182">
        <v>400</v>
      </c>
      <c r="G182" t="b">
        <v>1</v>
      </c>
      <c r="H182">
        <v>1</v>
      </c>
      <c r="I182">
        <v>1</v>
      </c>
      <c r="J182">
        <v>0.25</v>
      </c>
      <c r="K182" s="55">
        <f>VLOOKUP(D182,'⚪设计'!$C$85:$H$104,6,FALSE)</f>
        <v>0.5</v>
      </c>
      <c r="L182" t="str">
        <f>RIGHT(B182,LEN(B182)-5)</f>
        <v>Monster_Offline_1_1</v>
      </c>
      <c r="M182" t="s">
        <v>468</v>
      </c>
      <c r="N182" t="s">
        <v>469</v>
      </c>
      <c r="O182" t="s">
        <v>470</v>
      </c>
      <c r="Q182" s="110">
        <v>1</v>
      </c>
      <c r="R182" s="110">
        <v>1</v>
      </c>
    </row>
    <row r="183" spans="2:19" x14ac:dyDescent="0.2">
      <c r="B183" t="s">
        <v>1851</v>
      </c>
      <c r="C183" t="s">
        <v>1893</v>
      </c>
      <c r="D183" s="55" t="str">
        <f>VLOOKUP(VLOOKUP(Q183,'⚪设计'!$A$218:$G$238,3+UnitCfg!R183,FALSE),'⚪设计'!$B$85:$C$101,2,FALSE)</f>
        <v>ResUnit_MiFeng1</v>
      </c>
      <c r="E183" s="55">
        <f>VLOOKUP(D183,'⚪设计'!$C$85:$G$101,5,FALSE)*VLOOKUP(UnitCfg!Q183,线下模式!$A$3:$C$22,3,FALSE)</f>
        <v>3.1500000000000004</v>
      </c>
      <c r="F183">
        <v>400</v>
      </c>
      <c r="G183" t="b">
        <v>1</v>
      </c>
      <c r="H183">
        <v>1</v>
      </c>
      <c r="I183">
        <v>1</v>
      </c>
      <c r="J183">
        <v>0.25</v>
      </c>
      <c r="K183" s="55">
        <f>VLOOKUP(D183,'⚪设计'!$C$85:$H$104,6,FALSE)</f>
        <v>0.5</v>
      </c>
      <c r="L183" t="str">
        <f t="shared" ref="L183:L223" si="7">RIGHT(B183,LEN(B183)-5)</f>
        <v>Monster_Offline_2_1</v>
      </c>
      <c r="M183" t="s">
        <v>468</v>
      </c>
      <c r="N183" t="s">
        <v>469</v>
      </c>
      <c r="O183" t="s">
        <v>470</v>
      </c>
      <c r="Q183" s="110">
        <v>2</v>
      </c>
      <c r="R183" s="110">
        <v>1</v>
      </c>
    </row>
    <row r="184" spans="2:19" x14ac:dyDescent="0.2">
      <c r="B184" t="s">
        <v>1852</v>
      </c>
      <c r="C184" t="s">
        <v>1894</v>
      </c>
      <c r="D184" s="55" t="str">
        <f>VLOOKUP(VLOOKUP(Q184,'⚪设计'!$A$218:$G$238,3+UnitCfg!R184,FALSE),'⚪设计'!$B$85:$C$101,2,FALSE)</f>
        <v>ResUnit_MiFeng2</v>
      </c>
      <c r="E184" s="55">
        <f>VLOOKUP(D184,'⚪设计'!$C$85:$G$101,5,FALSE)*VLOOKUP(UnitCfg!Q184,线下模式!$A$3:$C$22,3,FALSE)</f>
        <v>3.1500000000000004</v>
      </c>
      <c r="F184">
        <v>400</v>
      </c>
      <c r="G184" t="b">
        <v>1</v>
      </c>
      <c r="H184">
        <v>1</v>
      </c>
      <c r="I184">
        <v>1</v>
      </c>
      <c r="J184">
        <v>0.25</v>
      </c>
      <c r="K184" s="55">
        <f>VLOOKUP(D184,'⚪设计'!$C$85:$H$104,6,FALSE)</f>
        <v>0.8</v>
      </c>
      <c r="L184" t="str">
        <f t="shared" si="7"/>
        <v>Monster_Offline_2_2</v>
      </c>
      <c r="M184" t="s">
        <v>468</v>
      </c>
      <c r="N184" t="s">
        <v>469</v>
      </c>
      <c r="O184" t="s">
        <v>470</v>
      </c>
      <c r="Q184" s="110">
        <v>2</v>
      </c>
      <c r="R184" s="110">
        <v>2</v>
      </c>
    </row>
    <row r="185" spans="2:19" x14ac:dyDescent="0.2">
      <c r="B185" t="s">
        <v>1853</v>
      </c>
      <c r="C185" t="s">
        <v>1895</v>
      </c>
      <c r="D185" s="55" t="str">
        <f>VLOOKUP(VLOOKUP(Q185,'⚪设计'!$A$218:$G$238,3+UnitCfg!R185,FALSE),'⚪设计'!$B$85:$C$101,2,FALSE)</f>
        <v>ResUnit_MiFeng2</v>
      </c>
      <c r="E185" s="55">
        <f>VLOOKUP(D185,'⚪设计'!$C$85:$G$101,5,FALSE)*VLOOKUP(UnitCfg!Q185,线下模式!$A$3:$C$22,3,FALSE)</f>
        <v>3.3000000000000003</v>
      </c>
      <c r="F185">
        <v>400</v>
      </c>
      <c r="G185" t="b">
        <v>1</v>
      </c>
      <c r="H185">
        <v>1</v>
      </c>
      <c r="I185">
        <v>1</v>
      </c>
      <c r="J185">
        <v>0.25</v>
      </c>
      <c r="K185" s="55">
        <f>VLOOKUP(D185,'⚪设计'!$C$85:$H$104,6,FALSE)</f>
        <v>0.8</v>
      </c>
      <c r="L185" t="str">
        <f t="shared" si="7"/>
        <v>Monster_Offline_3_1</v>
      </c>
      <c r="M185" t="s">
        <v>468</v>
      </c>
      <c r="N185" t="s">
        <v>469</v>
      </c>
      <c r="O185" t="s">
        <v>470</v>
      </c>
      <c r="Q185" s="110">
        <v>3</v>
      </c>
      <c r="R185" s="110">
        <v>1</v>
      </c>
    </row>
    <row r="186" spans="2:19" x14ac:dyDescent="0.2">
      <c r="B186" t="s">
        <v>1854</v>
      </c>
      <c r="C186" t="s">
        <v>1896</v>
      </c>
      <c r="D186" s="55" t="str">
        <f>VLOOKUP(VLOOKUP(Q186,'⚪设计'!$A$218:$G$238,3+UnitCfg!R186,FALSE),'⚪设计'!$B$85:$C$101,2,FALSE)</f>
        <v>ResUnit_BianFu1</v>
      </c>
      <c r="E186" s="55">
        <f>VLOOKUP(D186,'⚪设计'!$C$85:$G$101,5,FALSE)*VLOOKUP(UnitCfg!Q186,线下模式!$A$3:$C$22,3,FALSE)</f>
        <v>3.3000000000000003</v>
      </c>
      <c r="F186">
        <v>400</v>
      </c>
      <c r="G186" t="b">
        <v>1</v>
      </c>
      <c r="H186">
        <v>1</v>
      </c>
      <c r="I186">
        <v>1</v>
      </c>
      <c r="J186">
        <v>0.25</v>
      </c>
      <c r="K186" s="55">
        <f>VLOOKUP(D186,'⚪设计'!$C$85:$H$104,6,FALSE)</f>
        <v>0.5</v>
      </c>
      <c r="L186" t="str">
        <f t="shared" si="7"/>
        <v>Monster_Offline_3_2</v>
      </c>
      <c r="M186" t="s">
        <v>468</v>
      </c>
      <c r="N186" t="s">
        <v>469</v>
      </c>
      <c r="O186" t="s">
        <v>470</v>
      </c>
      <c r="Q186" s="110">
        <v>3</v>
      </c>
      <c r="R186" s="110">
        <v>2</v>
      </c>
    </row>
    <row r="187" spans="2:19" x14ac:dyDescent="0.2">
      <c r="B187" t="s">
        <v>1855</v>
      </c>
      <c r="C187" t="s">
        <v>1897</v>
      </c>
      <c r="D187" s="55" t="str">
        <f>VLOOKUP(VLOOKUP(Q187,'⚪设计'!$A$218:$G$238,3+UnitCfg!R187,FALSE),'⚪设计'!$B$85:$C$101,2,FALSE)</f>
        <v>ResUnit_MiFeng1</v>
      </c>
      <c r="E187" s="55">
        <f>VLOOKUP(D187,'⚪设计'!$C$85:$G$101,5,FALSE)*VLOOKUP(UnitCfg!Q187,线下模式!$A$3:$C$22,3,FALSE)</f>
        <v>3.4499999999999997</v>
      </c>
      <c r="F187">
        <v>400</v>
      </c>
      <c r="G187" t="b">
        <v>1</v>
      </c>
      <c r="H187">
        <v>1</v>
      </c>
      <c r="I187">
        <v>1</v>
      </c>
      <c r="J187">
        <v>0.25</v>
      </c>
      <c r="K187" s="55">
        <f>VLOOKUP(D187,'⚪设计'!$C$85:$H$104,6,FALSE)</f>
        <v>0.5</v>
      </c>
      <c r="L187" t="str">
        <f t="shared" si="7"/>
        <v>Monster_Offline_4_1</v>
      </c>
      <c r="M187" t="s">
        <v>468</v>
      </c>
      <c r="N187" t="s">
        <v>469</v>
      </c>
      <c r="O187" t="s">
        <v>470</v>
      </c>
      <c r="Q187" s="110">
        <v>4</v>
      </c>
      <c r="R187" s="110">
        <v>1</v>
      </c>
    </row>
    <row r="188" spans="2:19" x14ac:dyDescent="0.2">
      <c r="B188" t="s">
        <v>1856</v>
      </c>
      <c r="C188" t="s">
        <v>1898</v>
      </c>
      <c r="D188" s="55" t="str">
        <f>VLOOKUP(VLOOKUP(Q188,'⚪设计'!$A$218:$G$238,3+UnitCfg!R188,FALSE),'⚪设计'!$B$85:$C$101,2,FALSE)</f>
        <v>ResUnit_ZhiZhu1</v>
      </c>
      <c r="E188" s="55">
        <f>VLOOKUP(D188,'⚪设计'!$C$85:$G$101,5,FALSE)*VLOOKUP(UnitCfg!Q188,线下模式!$A$3:$C$22,3,FALSE)</f>
        <v>5.1749999999999998</v>
      </c>
      <c r="F188">
        <v>400</v>
      </c>
      <c r="G188" t="b">
        <v>1</v>
      </c>
      <c r="H188">
        <v>1</v>
      </c>
      <c r="I188">
        <v>1</v>
      </c>
      <c r="J188">
        <v>0.25</v>
      </c>
      <c r="K188" s="55">
        <f>VLOOKUP(D188,'⚪设计'!$C$85:$H$104,6,FALSE)</f>
        <v>1</v>
      </c>
      <c r="L188" t="str">
        <f t="shared" si="7"/>
        <v>Monster_Offline_4_2</v>
      </c>
      <c r="M188" t="s">
        <v>468</v>
      </c>
      <c r="N188" t="s">
        <v>469</v>
      </c>
      <c r="O188" t="s">
        <v>470</v>
      </c>
      <c r="Q188" s="110">
        <v>4</v>
      </c>
      <c r="R188" s="110">
        <v>2</v>
      </c>
    </row>
    <row r="189" spans="2:19" x14ac:dyDescent="0.2">
      <c r="B189" t="s">
        <v>1857</v>
      </c>
      <c r="C189" t="s">
        <v>1899</v>
      </c>
      <c r="D189" s="55" t="str">
        <f>VLOOKUP(VLOOKUP(Q189,'⚪设计'!$A$218:$G$238,3+UnitCfg!R189,FALSE),'⚪设计'!$B$85:$C$101,2,FALSE)</f>
        <v>ResUnit_MiFeng3</v>
      </c>
      <c r="E189" s="55">
        <f>VLOOKUP(D189,'⚪设计'!$C$85:$G$101,5,FALSE)*VLOOKUP(UnitCfg!Q189,线下模式!$A$3:$C$22,3,FALSE)</f>
        <v>1.5</v>
      </c>
      <c r="F189">
        <v>400</v>
      </c>
      <c r="G189" t="b">
        <v>1</v>
      </c>
      <c r="H189">
        <v>1</v>
      </c>
      <c r="I189">
        <v>1</v>
      </c>
      <c r="J189">
        <v>0.25</v>
      </c>
      <c r="K189" s="55">
        <f>VLOOKUP(D189,'⚪设计'!$C$85:$H$104,6,FALSE)</f>
        <v>1.8</v>
      </c>
      <c r="L189" t="str">
        <f t="shared" si="7"/>
        <v>Monster_Offline_5_1</v>
      </c>
      <c r="M189" t="s">
        <v>468</v>
      </c>
      <c r="N189" t="s">
        <v>469</v>
      </c>
      <c r="O189" t="s">
        <v>470</v>
      </c>
      <c r="Q189" s="110">
        <v>5</v>
      </c>
      <c r="R189" s="110">
        <v>1</v>
      </c>
    </row>
    <row r="190" spans="2:19" x14ac:dyDescent="0.2">
      <c r="B190" t="s">
        <v>1858</v>
      </c>
      <c r="C190" t="s">
        <v>1900</v>
      </c>
      <c r="D190" s="55" t="str">
        <f>VLOOKUP(VLOOKUP(Q190,'⚪设计'!$A$218:$G$238,3+UnitCfg!R190,FALSE),'⚪设计'!$B$85:$C$101,2,FALSE)</f>
        <v>ResUnit_BianFu1</v>
      </c>
      <c r="E190" s="55">
        <f>VLOOKUP(D190,'⚪设计'!$C$85:$G$101,5,FALSE)*VLOOKUP(UnitCfg!Q190,线下模式!$A$3:$C$22,3,FALSE)</f>
        <v>3.5999999999999996</v>
      </c>
      <c r="F190">
        <v>400</v>
      </c>
      <c r="G190" t="b">
        <v>1</v>
      </c>
      <c r="H190">
        <v>1</v>
      </c>
      <c r="I190">
        <v>1</v>
      </c>
      <c r="J190">
        <v>0.25</v>
      </c>
      <c r="K190" s="55">
        <f>VLOOKUP(D190,'⚪设计'!$C$85:$H$104,6,FALSE)</f>
        <v>0.5</v>
      </c>
      <c r="L190" t="str">
        <f t="shared" si="7"/>
        <v>Monster_Offline_5_2</v>
      </c>
      <c r="M190" t="s">
        <v>468</v>
      </c>
      <c r="N190" t="s">
        <v>469</v>
      </c>
      <c r="O190" t="s">
        <v>470</v>
      </c>
      <c r="Q190" s="110">
        <v>5</v>
      </c>
      <c r="R190" s="110">
        <v>2</v>
      </c>
    </row>
    <row r="191" spans="2:19" x14ac:dyDescent="0.2">
      <c r="B191" t="s">
        <v>1859</v>
      </c>
      <c r="C191" t="s">
        <v>1901</v>
      </c>
      <c r="D191" s="55" t="str">
        <f>VLOOKUP(VLOOKUP(Q191,'⚪设计'!$A$218:$G$238,3+UnitCfg!R191,FALSE),'⚪设计'!$B$85:$C$101,2,FALSE)</f>
        <v>ResUnit_MiFeng2</v>
      </c>
      <c r="E191" s="55">
        <f>VLOOKUP(D191,'⚪设计'!$C$85:$G$101,5,FALSE)*VLOOKUP(UnitCfg!Q191,线下模式!$A$3:$C$22,3,FALSE)</f>
        <v>3.75</v>
      </c>
      <c r="F191">
        <v>400</v>
      </c>
      <c r="G191" t="b">
        <v>1</v>
      </c>
      <c r="H191">
        <v>1</v>
      </c>
      <c r="I191">
        <v>1</v>
      </c>
      <c r="J191">
        <v>0.25</v>
      </c>
      <c r="K191" s="55">
        <f>VLOOKUP(D191,'⚪设计'!$C$85:$H$104,6,FALSE)</f>
        <v>0.8</v>
      </c>
      <c r="L191" t="str">
        <f t="shared" si="7"/>
        <v>Monster_Offline_6_1</v>
      </c>
      <c r="M191" t="s">
        <v>468</v>
      </c>
      <c r="N191" t="s">
        <v>469</v>
      </c>
      <c r="O191" t="s">
        <v>470</v>
      </c>
      <c r="Q191" s="110">
        <v>6</v>
      </c>
      <c r="R191" s="110">
        <v>1</v>
      </c>
    </row>
    <row r="192" spans="2:19" x14ac:dyDescent="0.2">
      <c r="B192" t="s">
        <v>1860</v>
      </c>
      <c r="C192" t="s">
        <v>1902</v>
      </c>
      <c r="D192" s="55" t="str">
        <f>VLOOKUP(VLOOKUP(Q192,'⚪设计'!$A$218:$G$238,3+UnitCfg!R192,FALSE),'⚪设计'!$B$85:$C$101,2,FALSE)</f>
        <v>ResUnit_ZhiZhu1</v>
      </c>
      <c r="E192" s="55">
        <f>VLOOKUP(D192,'⚪设计'!$C$85:$G$101,5,FALSE)*VLOOKUP(UnitCfg!Q192,线下模式!$A$3:$C$22,3,FALSE)</f>
        <v>5.625</v>
      </c>
      <c r="F192">
        <v>400</v>
      </c>
      <c r="G192" t="b">
        <v>1</v>
      </c>
      <c r="H192">
        <v>1</v>
      </c>
      <c r="I192">
        <v>1</v>
      </c>
      <c r="J192">
        <v>0.25</v>
      </c>
      <c r="K192" s="55">
        <f>VLOOKUP(D192,'⚪设计'!$C$85:$H$104,6,FALSE)</f>
        <v>1</v>
      </c>
      <c r="L192" t="str">
        <f t="shared" si="7"/>
        <v>Monster_Offline_6_2</v>
      </c>
      <c r="M192" t="s">
        <v>468</v>
      </c>
      <c r="N192" t="s">
        <v>469</v>
      </c>
      <c r="O192" t="s">
        <v>470</v>
      </c>
      <c r="Q192" s="110">
        <v>6</v>
      </c>
      <c r="R192" s="110">
        <v>2</v>
      </c>
    </row>
    <row r="193" spans="2:18" x14ac:dyDescent="0.2">
      <c r="B193" t="s">
        <v>1861</v>
      </c>
      <c r="C193" t="s">
        <v>1903</v>
      </c>
      <c r="D193" s="55" t="str">
        <f>VLOOKUP(VLOOKUP(Q193,'⚪设计'!$A$218:$G$238,3+UnitCfg!R193,FALSE),'⚪设计'!$B$85:$C$101,2,FALSE)</f>
        <v>ResUnit_MiFeng2</v>
      </c>
      <c r="E193" s="55">
        <f>VLOOKUP(D193,'⚪设计'!$C$85:$G$101,5,FALSE)*VLOOKUP(UnitCfg!Q193,线下模式!$A$3:$C$22,3,FALSE)</f>
        <v>3.9000000000000004</v>
      </c>
      <c r="F193">
        <v>400</v>
      </c>
      <c r="G193" t="b">
        <v>1</v>
      </c>
      <c r="H193">
        <v>1</v>
      </c>
      <c r="I193">
        <v>1</v>
      </c>
      <c r="J193">
        <v>0.25</v>
      </c>
      <c r="K193" s="55">
        <f>VLOOKUP(D193,'⚪设计'!$C$85:$H$104,6,FALSE)</f>
        <v>0.8</v>
      </c>
      <c r="L193" t="str">
        <f t="shared" si="7"/>
        <v>Monster_Offline_7_1</v>
      </c>
      <c r="M193" t="s">
        <v>468</v>
      </c>
      <c r="N193" t="s">
        <v>469</v>
      </c>
      <c r="O193" t="s">
        <v>470</v>
      </c>
      <c r="Q193" s="110">
        <v>7</v>
      </c>
      <c r="R193" s="110">
        <v>1</v>
      </c>
    </row>
    <row r="194" spans="2:18" x14ac:dyDescent="0.2">
      <c r="B194" t="s">
        <v>1862</v>
      </c>
      <c r="C194" t="s">
        <v>1904</v>
      </c>
      <c r="D194" s="55" t="str">
        <f>VLOOKUP(VLOOKUP(Q194,'⚪设计'!$A$218:$G$238,3+UnitCfg!R194,FALSE),'⚪设计'!$B$85:$C$101,2,FALSE)</f>
        <v>ResUnit_ZhiZhu1</v>
      </c>
      <c r="E194" s="55">
        <f>VLOOKUP(D194,'⚪设计'!$C$85:$G$101,5,FALSE)*VLOOKUP(UnitCfg!Q194,线下模式!$A$3:$C$22,3,FALSE)</f>
        <v>5.8500000000000005</v>
      </c>
      <c r="F194">
        <v>400</v>
      </c>
      <c r="G194" t="b">
        <v>1</v>
      </c>
      <c r="H194">
        <v>1</v>
      </c>
      <c r="I194">
        <v>1</v>
      </c>
      <c r="J194">
        <v>0.25</v>
      </c>
      <c r="K194" s="55">
        <f>VLOOKUP(D194,'⚪设计'!$C$85:$H$104,6,FALSE)</f>
        <v>1</v>
      </c>
      <c r="L194" t="str">
        <f t="shared" si="7"/>
        <v>Monster_Offline_7_2</v>
      </c>
      <c r="M194" t="s">
        <v>468</v>
      </c>
      <c r="N194" t="s">
        <v>469</v>
      </c>
      <c r="O194" t="s">
        <v>470</v>
      </c>
      <c r="Q194" s="110">
        <v>7</v>
      </c>
      <c r="R194" s="110">
        <v>2</v>
      </c>
    </row>
    <row r="195" spans="2:18" x14ac:dyDescent="0.2">
      <c r="B195" t="s">
        <v>1863</v>
      </c>
      <c r="C195" t="s">
        <v>1905</v>
      </c>
      <c r="D195" s="55" t="str">
        <f>VLOOKUP(VLOOKUP(Q195,'⚪设计'!$A$218:$G$238,3+UnitCfg!R195,FALSE),'⚪设计'!$B$85:$C$101,2,FALSE)</f>
        <v>ResUnit_MiFeng2</v>
      </c>
      <c r="E195" s="55">
        <f>VLOOKUP(D195,'⚪设计'!$C$85:$G$101,5,FALSE)*VLOOKUP(UnitCfg!Q195,线下模式!$A$3:$C$22,3,FALSE)</f>
        <v>4.0500000000000007</v>
      </c>
      <c r="F195">
        <v>400</v>
      </c>
      <c r="G195" t="b">
        <v>1</v>
      </c>
      <c r="H195">
        <v>1</v>
      </c>
      <c r="I195">
        <v>1</v>
      </c>
      <c r="J195">
        <v>0.25</v>
      </c>
      <c r="K195" s="55">
        <f>VLOOKUP(D195,'⚪设计'!$C$85:$H$104,6,FALSE)</f>
        <v>0.8</v>
      </c>
      <c r="L195" t="str">
        <f t="shared" si="7"/>
        <v>Monster_Offline_8_1</v>
      </c>
      <c r="M195" t="s">
        <v>468</v>
      </c>
      <c r="N195" t="s">
        <v>469</v>
      </c>
      <c r="O195" t="s">
        <v>470</v>
      </c>
      <c r="Q195" s="110">
        <v>8</v>
      </c>
      <c r="R195" s="110">
        <v>1</v>
      </c>
    </row>
    <row r="196" spans="2:18" x14ac:dyDescent="0.2">
      <c r="B196" t="s">
        <v>1864</v>
      </c>
      <c r="C196" t="s">
        <v>1906</v>
      </c>
      <c r="D196" s="55" t="str">
        <f>VLOOKUP(VLOOKUP(Q196,'⚪设计'!$A$218:$G$238,3+UnitCfg!R196,FALSE),'⚪设计'!$B$85:$C$101,2,FALSE)</f>
        <v>ResUnit_ZhongZi1</v>
      </c>
      <c r="E196" s="55">
        <f>VLOOKUP(D196,'⚪设计'!$C$85:$G$101,5,FALSE)*VLOOKUP(UnitCfg!Q196,线下模式!$A$3:$C$22,3,FALSE)</f>
        <v>4.0500000000000007</v>
      </c>
      <c r="F196">
        <v>400</v>
      </c>
      <c r="G196" t="b">
        <v>1</v>
      </c>
      <c r="H196">
        <v>1</v>
      </c>
      <c r="I196">
        <v>1</v>
      </c>
      <c r="J196">
        <v>0.25</v>
      </c>
      <c r="K196" s="55">
        <f>VLOOKUP(D196,'⚪设计'!$C$85:$H$104,6,FALSE)</f>
        <v>1</v>
      </c>
      <c r="L196" t="str">
        <f t="shared" si="7"/>
        <v>Monster_Offline_8_2</v>
      </c>
      <c r="M196" t="s">
        <v>468</v>
      </c>
      <c r="N196" t="s">
        <v>469</v>
      </c>
      <c r="O196" t="s">
        <v>470</v>
      </c>
      <c r="P196" s="57" t="s">
        <v>1976</v>
      </c>
      <c r="Q196" s="110">
        <v>8</v>
      </c>
      <c r="R196" s="110">
        <v>2</v>
      </c>
    </row>
    <row r="197" spans="2:18" x14ac:dyDescent="0.2">
      <c r="B197" t="s">
        <v>1865</v>
      </c>
      <c r="C197" t="s">
        <v>1907</v>
      </c>
      <c r="D197" s="55" t="str">
        <f>VLOOKUP(VLOOKUP(Q197,'⚪设计'!$A$218:$G$238,3+UnitCfg!R197,FALSE),'⚪设计'!$B$85:$C$101,2,FALSE)</f>
        <v>ResUnit_MiFeng2</v>
      </c>
      <c r="E197" s="55">
        <f>VLOOKUP(D197,'⚪设计'!$C$85:$G$101,5,FALSE)*VLOOKUP(UnitCfg!Q197,线下模式!$A$3:$C$22,3,FALSE)</f>
        <v>4.1999999999999993</v>
      </c>
      <c r="F197">
        <v>400</v>
      </c>
      <c r="G197" t="b">
        <v>1</v>
      </c>
      <c r="H197">
        <v>1</v>
      </c>
      <c r="I197">
        <v>1</v>
      </c>
      <c r="J197">
        <v>0.25</v>
      </c>
      <c r="K197" s="55">
        <f>VLOOKUP(D197,'⚪设计'!$C$85:$H$104,6,FALSE)</f>
        <v>0.8</v>
      </c>
      <c r="L197" t="str">
        <f t="shared" si="7"/>
        <v>Monster_Offline_9_1</v>
      </c>
      <c r="M197" t="s">
        <v>468</v>
      </c>
      <c r="N197" t="s">
        <v>469</v>
      </c>
      <c r="O197" t="s">
        <v>470</v>
      </c>
      <c r="Q197" s="110">
        <v>9</v>
      </c>
      <c r="R197" s="110">
        <v>1</v>
      </c>
    </row>
    <row r="198" spans="2:18" x14ac:dyDescent="0.2">
      <c r="B198" t="s">
        <v>1866</v>
      </c>
      <c r="C198" t="s">
        <v>1908</v>
      </c>
      <c r="D198" s="55" t="str">
        <f>VLOOKUP(VLOOKUP(Q198,'⚪设计'!$A$218:$G$238,3+UnitCfg!R198,FALSE),'⚪设计'!$B$85:$C$101,2,FALSE)</f>
        <v>ResUnit_ZhongZi1</v>
      </c>
      <c r="E198" s="55">
        <f>VLOOKUP(D198,'⚪设计'!$C$85:$G$101,5,FALSE)*VLOOKUP(UnitCfg!Q198,线下模式!$A$3:$C$22,3,FALSE)</f>
        <v>4.1999999999999993</v>
      </c>
      <c r="F198">
        <v>400</v>
      </c>
      <c r="G198" t="b">
        <v>1</v>
      </c>
      <c r="H198">
        <v>1</v>
      </c>
      <c r="I198">
        <v>1</v>
      </c>
      <c r="J198">
        <v>0.25</v>
      </c>
      <c r="K198" s="55">
        <f>VLOOKUP(D198,'⚪设计'!$C$85:$H$104,6,FALSE)</f>
        <v>1</v>
      </c>
      <c r="L198" t="str">
        <f t="shared" si="7"/>
        <v>Monster_Offline_9_2</v>
      </c>
      <c r="M198" t="s">
        <v>468</v>
      </c>
      <c r="N198" t="s">
        <v>469</v>
      </c>
      <c r="O198" t="s">
        <v>470</v>
      </c>
      <c r="P198" s="57" t="s">
        <v>1976</v>
      </c>
      <c r="Q198" s="110">
        <v>9</v>
      </c>
      <c r="R198" s="110">
        <v>2</v>
      </c>
    </row>
    <row r="199" spans="2:18" x14ac:dyDescent="0.2">
      <c r="B199" t="s">
        <v>1867</v>
      </c>
      <c r="C199" t="s">
        <v>1909</v>
      </c>
      <c r="D199" s="55" t="str">
        <f>VLOOKUP(VLOOKUP(Q199,'⚪设计'!$A$218:$G$238,3+UnitCfg!R199,FALSE),'⚪设计'!$B$85:$C$101,2,FALSE)</f>
        <v>ResUnit_ZhongZi1</v>
      </c>
      <c r="E199" s="55">
        <f>VLOOKUP(D199,'⚪设计'!$C$85:$G$101,5,FALSE)*VLOOKUP(UnitCfg!Q199,线下模式!$A$3:$C$22,3,FALSE)</f>
        <v>4.3499999999999996</v>
      </c>
      <c r="F199">
        <v>400</v>
      </c>
      <c r="G199" t="b">
        <v>1</v>
      </c>
      <c r="H199">
        <v>1</v>
      </c>
      <c r="I199">
        <v>1</v>
      </c>
      <c r="J199">
        <v>0.25</v>
      </c>
      <c r="K199" s="55">
        <f>VLOOKUP(D199,'⚪设计'!$C$85:$H$104,6,FALSE)</f>
        <v>1</v>
      </c>
      <c r="L199" t="str">
        <f t="shared" si="7"/>
        <v>Monster_Offline_10_1</v>
      </c>
      <c r="M199" t="s">
        <v>468</v>
      </c>
      <c r="N199" t="s">
        <v>469</v>
      </c>
      <c r="O199" t="s">
        <v>470</v>
      </c>
      <c r="P199" s="57" t="s">
        <v>1976</v>
      </c>
      <c r="Q199" s="110">
        <v>10</v>
      </c>
      <c r="R199" s="110">
        <v>1</v>
      </c>
    </row>
    <row r="200" spans="2:18" x14ac:dyDescent="0.2">
      <c r="B200" t="s">
        <v>1868</v>
      </c>
      <c r="C200" t="s">
        <v>1910</v>
      </c>
      <c r="D200" s="55" t="str">
        <f>VLOOKUP(VLOOKUP(Q200,'⚪设计'!$A$218:$G$238,3+UnitCfg!R200,FALSE),'⚪设计'!$B$85:$C$101,2,FALSE)</f>
        <v>ResUnit_ZhiZhu3</v>
      </c>
      <c r="E200" s="55">
        <f>VLOOKUP(D200,'⚪设计'!$C$85:$G$101,5,FALSE)*VLOOKUP(UnitCfg!Q200,线下模式!$A$3:$C$22,3,FALSE)</f>
        <v>1.8125</v>
      </c>
      <c r="F200">
        <v>400</v>
      </c>
      <c r="G200" t="b">
        <v>1</v>
      </c>
      <c r="H200">
        <v>1</v>
      </c>
      <c r="I200">
        <v>1</v>
      </c>
      <c r="J200">
        <v>0.25</v>
      </c>
      <c r="K200" s="55">
        <f>VLOOKUP(D200,'⚪设计'!$C$85:$H$104,6,FALSE)</f>
        <v>1.5</v>
      </c>
      <c r="L200" t="str">
        <f t="shared" si="7"/>
        <v>Monster_Offline_10_2</v>
      </c>
      <c r="M200" t="s">
        <v>468</v>
      </c>
      <c r="N200" t="s">
        <v>469</v>
      </c>
      <c r="O200" t="s">
        <v>470</v>
      </c>
      <c r="Q200" s="110">
        <v>10</v>
      </c>
      <c r="R200" s="110">
        <v>2</v>
      </c>
    </row>
    <row r="201" spans="2:18" x14ac:dyDescent="0.2">
      <c r="B201" t="s">
        <v>1869</v>
      </c>
      <c r="C201" t="s">
        <v>1911</v>
      </c>
      <c r="D201" s="55" t="str">
        <f>VLOOKUP(VLOOKUP(Q201,'⚪设计'!$A$218:$G$238,3+UnitCfg!R201,FALSE),'⚪设计'!$B$85:$C$101,2,FALSE)</f>
        <v>ResUnit_ZhongZi1</v>
      </c>
      <c r="E201" s="55">
        <f>VLOOKUP(D201,'⚪设计'!$C$85:$G$101,5,FALSE)*VLOOKUP(UnitCfg!Q201,线下模式!$A$3:$C$22,3,FALSE)</f>
        <v>4.5</v>
      </c>
      <c r="F201">
        <v>400</v>
      </c>
      <c r="G201" t="b">
        <v>1</v>
      </c>
      <c r="H201">
        <v>1</v>
      </c>
      <c r="I201">
        <v>1</v>
      </c>
      <c r="J201">
        <v>0.25</v>
      </c>
      <c r="K201" s="55">
        <f>VLOOKUP(D201,'⚪设计'!$C$85:$H$104,6,FALSE)</f>
        <v>1</v>
      </c>
      <c r="L201" t="str">
        <f t="shared" si="7"/>
        <v>Monster_Offline_11_1</v>
      </c>
      <c r="M201" t="s">
        <v>468</v>
      </c>
      <c r="N201" t="s">
        <v>469</v>
      </c>
      <c r="O201" t="s">
        <v>470</v>
      </c>
      <c r="P201" s="57" t="s">
        <v>1976</v>
      </c>
      <c r="Q201" s="110">
        <v>11</v>
      </c>
      <c r="R201" s="110">
        <v>1</v>
      </c>
    </row>
    <row r="202" spans="2:18" x14ac:dyDescent="0.2">
      <c r="B202" t="s">
        <v>1870</v>
      </c>
      <c r="C202" t="s">
        <v>1912</v>
      </c>
      <c r="D202" s="55" t="str">
        <f>VLOOKUP(VLOOKUP(Q202,'⚪设计'!$A$218:$G$238,3+UnitCfg!R202,FALSE),'⚪设计'!$B$85:$C$101,2,FALSE)</f>
        <v>ResUnit_ZhiZhu2</v>
      </c>
      <c r="E202" s="55">
        <f>VLOOKUP(D202,'⚪设计'!$C$85:$G$101,5,FALSE)*VLOOKUP(UnitCfg!Q202,线下模式!$A$3:$C$22,3,FALSE)</f>
        <v>6.75</v>
      </c>
      <c r="F202">
        <v>400</v>
      </c>
      <c r="G202" t="b">
        <v>1</v>
      </c>
      <c r="H202">
        <v>1</v>
      </c>
      <c r="I202">
        <v>1</v>
      </c>
      <c r="J202">
        <v>0.25</v>
      </c>
      <c r="K202" s="55">
        <f>VLOOKUP(D202,'⚪设计'!$C$85:$H$104,6,FALSE)</f>
        <v>1</v>
      </c>
      <c r="L202" t="str">
        <f t="shared" si="7"/>
        <v>Monster_Offline_11_2</v>
      </c>
      <c r="M202" t="s">
        <v>468</v>
      </c>
      <c r="N202" t="s">
        <v>469</v>
      </c>
      <c r="O202" t="s">
        <v>470</v>
      </c>
      <c r="Q202" s="110">
        <v>11</v>
      </c>
      <c r="R202" s="110">
        <v>2</v>
      </c>
    </row>
    <row r="203" spans="2:18" x14ac:dyDescent="0.2">
      <c r="B203" t="s">
        <v>1871</v>
      </c>
      <c r="C203" t="s">
        <v>1913</v>
      </c>
      <c r="D203" s="55" t="str">
        <f>VLOOKUP(VLOOKUP(Q203,'⚪设计'!$A$218:$G$238,3+UnitCfg!R203,FALSE),'⚪设计'!$B$85:$C$101,2,FALSE)</f>
        <v>ResUnit_Gui1</v>
      </c>
      <c r="E203" s="55">
        <f>VLOOKUP(D203,'⚪设计'!$C$85:$G$101,5,FALSE)*VLOOKUP(UnitCfg!Q203,线下模式!$A$3:$C$22,3,FALSE)</f>
        <v>4.6500000000000004</v>
      </c>
      <c r="F203">
        <v>400</v>
      </c>
      <c r="G203" t="b">
        <v>1</v>
      </c>
      <c r="H203">
        <v>1</v>
      </c>
      <c r="I203">
        <v>1</v>
      </c>
      <c r="J203">
        <v>0.25</v>
      </c>
      <c r="K203" s="55">
        <f>VLOOKUP(D203,'⚪设计'!$C$85:$H$104,6,FALSE)</f>
        <v>1</v>
      </c>
      <c r="L203" t="str">
        <f t="shared" si="7"/>
        <v>Monster_Offline_12_1</v>
      </c>
      <c r="M203" t="s">
        <v>468</v>
      </c>
      <c r="N203" t="s">
        <v>469</v>
      </c>
      <c r="O203" t="s">
        <v>470</v>
      </c>
      <c r="P203" s="57" t="s">
        <v>1977</v>
      </c>
      <c r="Q203" s="110">
        <v>12</v>
      </c>
      <c r="R203" s="110">
        <v>1</v>
      </c>
    </row>
    <row r="204" spans="2:18" x14ac:dyDescent="0.2">
      <c r="B204" t="s">
        <v>1872</v>
      </c>
      <c r="C204" t="s">
        <v>1914</v>
      </c>
      <c r="D204" s="55" t="str">
        <f>VLOOKUP(VLOOKUP(Q204,'⚪设计'!$A$218:$G$238,3+UnitCfg!R204,FALSE),'⚪设计'!$B$85:$C$101,2,FALSE)</f>
        <v>ResUnit_Gui1</v>
      </c>
      <c r="E204" s="55">
        <f>VLOOKUP(D204,'⚪设计'!$C$85:$G$101,5,FALSE)*VLOOKUP(UnitCfg!Q204,线下模式!$A$3:$C$22,3,FALSE)</f>
        <v>4.8000000000000007</v>
      </c>
      <c r="F204">
        <v>400</v>
      </c>
      <c r="G204" t="b">
        <v>1</v>
      </c>
      <c r="H204">
        <v>1</v>
      </c>
      <c r="I204">
        <v>1</v>
      </c>
      <c r="J204">
        <v>0.25</v>
      </c>
      <c r="K204" s="55">
        <f>VLOOKUP(D204,'⚪设计'!$C$85:$H$104,6,FALSE)</f>
        <v>1</v>
      </c>
      <c r="L204" t="str">
        <f t="shared" si="7"/>
        <v>Monster_Offline_13_1</v>
      </c>
      <c r="M204" t="s">
        <v>468</v>
      </c>
      <c r="N204" t="s">
        <v>469</v>
      </c>
      <c r="O204" t="s">
        <v>470</v>
      </c>
      <c r="P204" s="57" t="s">
        <v>1977</v>
      </c>
      <c r="Q204" s="110">
        <v>13</v>
      </c>
      <c r="R204" s="110">
        <v>1</v>
      </c>
    </row>
    <row r="205" spans="2:18" x14ac:dyDescent="0.2">
      <c r="B205" t="s">
        <v>1873</v>
      </c>
      <c r="C205" t="s">
        <v>1915</v>
      </c>
      <c r="D205" s="55" t="str">
        <f>VLOOKUP(VLOOKUP(Q205,'⚪设计'!$A$218:$G$238,3+UnitCfg!R205,FALSE),'⚪设计'!$B$85:$C$101,2,FALSE)</f>
        <v>ResUnit_ZhiZhu2</v>
      </c>
      <c r="E205" s="55">
        <f>VLOOKUP(D205,'⚪设计'!$C$85:$G$101,5,FALSE)*VLOOKUP(UnitCfg!Q205,线下模式!$A$3:$C$22,3,FALSE)</f>
        <v>7.2</v>
      </c>
      <c r="F205">
        <v>400</v>
      </c>
      <c r="G205" t="b">
        <v>1</v>
      </c>
      <c r="H205">
        <v>1</v>
      </c>
      <c r="I205">
        <v>1</v>
      </c>
      <c r="J205">
        <v>0.25</v>
      </c>
      <c r="K205" s="55">
        <f>VLOOKUP(D205,'⚪设计'!$C$85:$H$104,6,FALSE)</f>
        <v>1</v>
      </c>
      <c r="L205" t="str">
        <f t="shared" si="7"/>
        <v>Monster_Offline_13_2</v>
      </c>
      <c r="M205" t="s">
        <v>468</v>
      </c>
      <c r="N205" t="s">
        <v>469</v>
      </c>
      <c r="O205" t="s">
        <v>470</v>
      </c>
      <c r="Q205" s="110">
        <v>13</v>
      </c>
      <c r="R205" s="110">
        <v>2</v>
      </c>
    </row>
    <row r="206" spans="2:18" x14ac:dyDescent="0.2">
      <c r="B206" t="s">
        <v>1874</v>
      </c>
      <c r="C206" t="s">
        <v>1916</v>
      </c>
      <c r="D206" s="55" t="str">
        <f>VLOOKUP(VLOOKUP(Q206,'⚪设计'!$A$218:$G$238,3+UnitCfg!R206,FALSE),'⚪设计'!$B$85:$C$101,2,FALSE)</f>
        <v>ResUnit_Gui1</v>
      </c>
      <c r="E206" s="55">
        <f>VLOOKUP(D206,'⚪设计'!$C$85:$G$101,5,FALSE)*VLOOKUP(UnitCfg!Q206,线下模式!$A$3:$C$22,3,FALSE)</f>
        <v>4.9499999999999993</v>
      </c>
      <c r="F206">
        <v>400</v>
      </c>
      <c r="G206" t="b">
        <v>1</v>
      </c>
      <c r="H206">
        <v>1</v>
      </c>
      <c r="I206">
        <v>1</v>
      </c>
      <c r="J206">
        <v>0.25</v>
      </c>
      <c r="K206" s="55">
        <f>VLOOKUP(D206,'⚪设计'!$C$85:$H$104,6,FALSE)</f>
        <v>1</v>
      </c>
      <c r="L206" t="str">
        <f t="shared" si="7"/>
        <v>Monster_Offline_14_1</v>
      </c>
      <c r="M206" t="s">
        <v>468</v>
      </c>
      <c r="N206" t="s">
        <v>469</v>
      </c>
      <c r="O206" t="s">
        <v>470</v>
      </c>
      <c r="P206" s="57" t="s">
        <v>1977</v>
      </c>
      <c r="Q206" s="110">
        <v>14</v>
      </c>
      <c r="R206" s="110">
        <v>1</v>
      </c>
    </row>
    <row r="207" spans="2:18" x14ac:dyDescent="0.2">
      <c r="B207" t="s">
        <v>1875</v>
      </c>
      <c r="C207" t="s">
        <v>1917</v>
      </c>
      <c r="D207" s="55" t="str">
        <f>VLOOKUP(VLOOKUP(Q207,'⚪设计'!$A$218:$G$238,3+UnitCfg!R207,FALSE),'⚪设计'!$B$85:$C$101,2,FALSE)</f>
        <v>ResUnit_ZhongZi2</v>
      </c>
      <c r="E207" s="55">
        <f>VLOOKUP(D207,'⚪设计'!$C$85:$G$101,5,FALSE)*VLOOKUP(UnitCfg!Q207,线下模式!$A$3:$C$22,3,FALSE)</f>
        <v>4.9499999999999993</v>
      </c>
      <c r="F207">
        <v>400</v>
      </c>
      <c r="G207" t="b">
        <v>1</v>
      </c>
      <c r="H207">
        <v>1</v>
      </c>
      <c r="I207">
        <v>1</v>
      </c>
      <c r="J207">
        <v>0.25</v>
      </c>
      <c r="K207" s="55">
        <f>VLOOKUP(D207,'⚪设计'!$C$85:$H$104,6,FALSE)</f>
        <v>1.2</v>
      </c>
      <c r="L207" t="str">
        <f t="shared" si="7"/>
        <v>Monster_Offline_14_2</v>
      </c>
      <c r="M207" t="s">
        <v>468</v>
      </c>
      <c r="N207" t="s">
        <v>469</v>
      </c>
      <c r="O207" t="s">
        <v>470</v>
      </c>
      <c r="P207" s="57" t="s">
        <v>1976</v>
      </c>
      <c r="Q207" s="110">
        <v>14</v>
      </c>
      <c r="R207" s="110">
        <v>2</v>
      </c>
    </row>
    <row r="208" spans="2:18" x14ac:dyDescent="0.2">
      <c r="B208" t="s">
        <v>1876</v>
      </c>
      <c r="C208" t="s">
        <v>1918</v>
      </c>
      <c r="D208" s="55" t="str">
        <f>VLOOKUP(VLOOKUP(Q208,'⚪设计'!$A$218:$G$238,3+UnitCfg!R208,FALSE),'⚪设计'!$B$85:$C$101,2,FALSE)</f>
        <v>ResUnit_MiFeng2</v>
      </c>
      <c r="E208" s="55">
        <f>VLOOKUP(D208,'⚪设计'!$C$85:$G$101,5,FALSE)*VLOOKUP(UnitCfg!Q208,线下模式!$A$3:$C$22,3,FALSE)</f>
        <v>5.0999999999999996</v>
      </c>
      <c r="F208">
        <v>400</v>
      </c>
      <c r="G208" t="b">
        <v>1</v>
      </c>
      <c r="H208">
        <v>1</v>
      </c>
      <c r="I208">
        <v>1</v>
      </c>
      <c r="J208">
        <v>0.25</v>
      </c>
      <c r="K208" s="55">
        <f>VLOOKUP(D208,'⚪设计'!$C$85:$H$104,6,FALSE)</f>
        <v>0.8</v>
      </c>
      <c r="L208" t="str">
        <f t="shared" si="7"/>
        <v>Monster_Offline_15_1</v>
      </c>
      <c r="M208" t="s">
        <v>468</v>
      </c>
      <c r="N208" t="s">
        <v>469</v>
      </c>
      <c r="O208" t="s">
        <v>470</v>
      </c>
      <c r="Q208" s="110">
        <v>15</v>
      </c>
      <c r="R208" s="110">
        <v>1</v>
      </c>
    </row>
    <row r="209" spans="2:18" x14ac:dyDescent="0.2">
      <c r="B209" t="s">
        <v>1877</v>
      </c>
      <c r="C209" t="s">
        <v>1919</v>
      </c>
      <c r="D209" s="55" t="str">
        <f>VLOOKUP(VLOOKUP(Q209,'⚪设计'!$A$218:$G$238,3+UnitCfg!R209,FALSE),'⚪设计'!$B$85:$C$101,2,FALSE)</f>
        <v>ResUnit_ZhongZi1</v>
      </c>
      <c r="E209" s="55">
        <f>VLOOKUP(D209,'⚪设计'!$C$85:$G$101,5,FALSE)*VLOOKUP(UnitCfg!Q209,线下模式!$A$3:$C$22,3,FALSE)</f>
        <v>5.0999999999999996</v>
      </c>
      <c r="F209">
        <v>400</v>
      </c>
      <c r="G209" t="b">
        <v>1</v>
      </c>
      <c r="H209">
        <v>1</v>
      </c>
      <c r="I209">
        <v>1</v>
      </c>
      <c r="J209">
        <v>0.25</v>
      </c>
      <c r="K209" s="55">
        <f>VLOOKUP(D209,'⚪设计'!$C$85:$H$104,6,FALSE)</f>
        <v>1</v>
      </c>
      <c r="L209" t="str">
        <f t="shared" si="7"/>
        <v>Monster_Offline_15_2</v>
      </c>
      <c r="M209" t="s">
        <v>468</v>
      </c>
      <c r="N209" t="s">
        <v>469</v>
      </c>
      <c r="O209" t="s">
        <v>470</v>
      </c>
      <c r="P209" s="57" t="s">
        <v>1976</v>
      </c>
      <c r="Q209" s="110">
        <v>15</v>
      </c>
      <c r="R209" s="110">
        <v>2</v>
      </c>
    </row>
    <row r="210" spans="2:18" x14ac:dyDescent="0.2">
      <c r="B210" t="s">
        <v>1878</v>
      </c>
      <c r="C210" t="s">
        <v>1920</v>
      </c>
      <c r="D210" s="55" t="str">
        <f>VLOOKUP(VLOOKUP(Q210,'⚪设计'!$A$218:$G$238,3+UnitCfg!R210,FALSE),'⚪设计'!$B$85:$C$101,2,FALSE)</f>
        <v>ResUnit_ZhongZi3</v>
      </c>
      <c r="E210" s="55">
        <f>VLOOKUP(D210,'⚪设计'!$C$85:$G$101,5,FALSE)*VLOOKUP(UnitCfg!Q210,线下模式!$A$3:$C$22,3,FALSE)</f>
        <v>2.125</v>
      </c>
      <c r="F210">
        <v>400</v>
      </c>
      <c r="G210" t="b">
        <v>1</v>
      </c>
      <c r="H210">
        <v>1</v>
      </c>
      <c r="I210">
        <v>1</v>
      </c>
      <c r="J210">
        <v>0.25</v>
      </c>
      <c r="K210" s="55">
        <f>VLOOKUP(D210,'⚪设计'!$C$85:$H$104,6,FALSE)</f>
        <v>1.8</v>
      </c>
      <c r="L210" t="str">
        <f t="shared" si="7"/>
        <v>Monster_Offline_15_3</v>
      </c>
      <c r="M210" t="s">
        <v>468</v>
      </c>
      <c r="N210" t="s">
        <v>469</v>
      </c>
      <c r="O210" t="s">
        <v>470</v>
      </c>
      <c r="P210" s="57" t="s">
        <v>1976</v>
      </c>
      <c r="Q210" s="110">
        <v>15</v>
      </c>
      <c r="R210" s="110">
        <v>3</v>
      </c>
    </row>
    <row r="211" spans="2:18" x14ac:dyDescent="0.2">
      <c r="B211" t="s">
        <v>1879</v>
      </c>
      <c r="C211" t="s">
        <v>1921</v>
      </c>
      <c r="D211" s="55" t="str">
        <f>VLOOKUP(VLOOKUP(Q211,'⚪设计'!$A$218:$G$238,3+UnitCfg!R211,FALSE),'⚪设计'!$B$85:$C$101,2,FALSE)</f>
        <v>ResUnit_Dan1</v>
      </c>
      <c r="E211" s="55">
        <f>VLOOKUP(D211,'⚪设计'!$C$85:$G$101,5,FALSE)*VLOOKUP(UnitCfg!Q211,线下模式!$A$3:$C$22,3,FALSE)</f>
        <v>5.25</v>
      </c>
      <c r="F211">
        <v>400</v>
      </c>
      <c r="G211" t="b">
        <v>1</v>
      </c>
      <c r="H211">
        <v>1</v>
      </c>
      <c r="I211">
        <v>1</v>
      </c>
      <c r="J211">
        <v>0.25</v>
      </c>
      <c r="K211" s="55">
        <f>VLOOKUP(D211,'⚪设计'!$C$85:$H$104,6,FALSE)</f>
        <v>1.25</v>
      </c>
      <c r="L211" t="str">
        <f t="shared" si="7"/>
        <v>Monster_Offline_16_1</v>
      </c>
      <c r="M211" t="s">
        <v>468</v>
      </c>
      <c r="N211" t="s">
        <v>469</v>
      </c>
      <c r="O211" t="s">
        <v>470</v>
      </c>
      <c r="Q211" s="110">
        <v>16</v>
      </c>
      <c r="R211" s="110">
        <v>1</v>
      </c>
    </row>
    <row r="212" spans="2:18" x14ac:dyDescent="0.2">
      <c r="B212" t="s">
        <v>1880</v>
      </c>
      <c r="C212" t="s">
        <v>1922</v>
      </c>
      <c r="D212" s="55" t="str">
        <f>VLOOKUP(VLOOKUP(Q212,'⚪设计'!$A$218:$G$238,3+UnitCfg!R212,FALSE),'⚪设计'!$B$85:$C$101,2,FALSE)</f>
        <v>ResUnit_Dan2</v>
      </c>
      <c r="E212" s="55">
        <f>VLOOKUP(D212,'⚪设计'!$C$85:$G$101,5,FALSE)*VLOOKUP(UnitCfg!Q212,线下模式!$A$3:$C$22,3,FALSE)</f>
        <v>5.25</v>
      </c>
      <c r="F212">
        <v>400</v>
      </c>
      <c r="G212" t="b">
        <v>1</v>
      </c>
      <c r="H212">
        <v>1</v>
      </c>
      <c r="I212">
        <v>1</v>
      </c>
      <c r="J212">
        <v>0.25</v>
      </c>
      <c r="K212" s="55">
        <f>VLOOKUP(D212,'⚪设计'!$C$85:$H$104,6,FALSE)</f>
        <v>1.3</v>
      </c>
      <c r="L212" t="str">
        <f t="shared" si="7"/>
        <v>Monster_Offline_16_2</v>
      </c>
      <c r="M212" t="s">
        <v>468</v>
      </c>
      <c r="N212" t="s">
        <v>469</v>
      </c>
      <c r="O212" t="s">
        <v>470</v>
      </c>
      <c r="P212" s="57" t="s">
        <v>1978</v>
      </c>
      <c r="Q212" s="110">
        <v>16</v>
      </c>
      <c r="R212" s="110">
        <v>2</v>
      </c>
    </row>
    <row r="213" spans="2:18" x14ac:dyDescent="0.2">
      <c r="B213" t="s">
        <v>1881</v>
      </c>
      <c r="C213" t="s">
        <v>1923</v>
      </c>
      <c r="D213" s="55" t="str">
        <f>VLOOKUP(VLOOKUP(Q213,'⚪设计'!$A$218:$G$238,3+UnitCfg!R213,FALSE),'⚪设计'!$B$85:$C$101,2,FALSE)</f>
        <v>ResUnit_Dan2</v>
      </c>
      <c r="E213" s="55">
        <f>VLOOKUP(D213,'⚪设计'!$C$85:$G$101,5,FALSE)*VLOOKUP(UnitCfg!Q213,线下模式!$A$3:$C$22,3,FALSE)</f>
        <v>5.4</v>
      </c>
      <c r="F213">
        <v>400</v>
      </c>
      <c r="G213" t="b">
        <v>1</v>
      </c>
      <c r="H213">
        <v>1</v>
      </c>
      <c r="I213">
        <v>1</v>
      </c>
      <c r="J213">
        <v>0.25</v>
      </c>
      <c r="K213" s="55">
        <f>VLOOKUP(D213,'⚪设计'!$C$85:$H$104,6,FALSE)</f>
        <v>1.3</v>
      </c>
      <c r="L213" t="str">
        <f t="shared" si="7"/>
        <v>Monster_Offline_17_1</v>
      </c>
      <c r="M213" t="s">
        <v>468</v>
      </c>
      <c r="N213" t="s">
        <v>469</v>
      </c>
      <c r="O213" t="s">
        <v>470</v>
      </c>
      <c r="P213" s="57" t="s">
        <v>1978</v>
      </c>
      <c r="Q213" s="110">
        <v>17</v>
      </c>
      <c r="R213" s="110">
        <v>1</v>
      </c>
    </row>
    <row r="214" spans="2:18" x14ac:dyDescent="0.2">
      <c r="B214" t="s">
        <v>1882</v>
      </c>
      <c r="C214" t="s">
        <v>1924</v>
      </c>
      <c r="D214" s="55" t="str">
        <f>VLOOKUP(VLOOKUP(Q214,'⚪设计'!$A$218:$G$238,3+UnitCfg!R214,FALSE),'⚪设计'!$B$85:$C$101,2,FALSE)</f>
        <v>ResUnit_ZhiZhu2</v>
      </c>
      <c r="E214" s="55">
        <f>VLOOKUP(D214,'⚪设计'!$C$85:$G$101,5,FALSE)*VLOOKUP(UnitCfg!Q214,线下模式!$A$3:$C$22,3,FALSE)</f>
        <v>8.1</v>
      </c>
      <c r="F214">
        <v>400</v>
      </c>
      <c r="G214" t="b">
        <v>1</v>
      </c>
      <c r="H214">
        <v>1</v>
      </c>
      <c r="I214">
        <v>1</v>
      </c>
      <c r="J214">
        <v>0.25</v>
      </c>
      <c r="K214" s="55">
        <f>VLOOKUP(D214,'⚪设计'!$C$85:$H$104,6,FALSE)</f>
        <v>1</v>
      </c>
      <c r="L214" t="str">
        <f t="shared" si="7"/>
        <v>Monster_Offline_17_2</v>
      </c>
      <c r="M214" t="s">
        <v>468</v>
      </c>
      <c r="N214" t="s">
        <v>469</v>
      </c>
      <c r="O214" t="s">
        <v>470</v>
      </c>
      <c r="Q214" s="110">
        <v>17</v>
      </c>
      <c r="R214" s="110">
        <v>2</v>
      </c>
    </row>
    <row r="215" spans="2:18" x14ac:dyDescent="0.2">
      <c r="B215" t="s">
        <v>1883</v>
      </c>
      <c r="C215" t="s">
        <v>1925</v>
      </c>
      <c r="D215" s="55" t="str">
        <f>VLOOKUP(VLOOKUP(Q215,'⚪设计'!$A$218:$G$238,3+UnitCfg!R215,FALSE),'⚪设计'!$B$85:$C$101,2,FALSE)</f>
        <v>ResUnit_Dan2</v>
      </c>
      <c r="E215" s="55">
        <f>VLOOKUP(D215,'⚪设计'!$C$85:$G$101,5,FALSE)*VLOOKUP(UnitCfg!Q215,线下模式!$A$3:$C$22,3,FALSE)</f>
        <v>5.5500000000000007</v>
      </c>
      <c r="F215">
        <v>400</v>
      </c>
      <c r="G215" t="b">
        <v>1</v>
      </c>
      <c r="H215">
        <v>1</v>
      </c>
      <c r="I215">
        <v>1</v>
      </c>
      <c r="J215">
        <v>0.25</v>
      </c>
      <c r="K215" s="55">
        <f>VLOOKUP(D215,'⚪设计'!$C$85:$H$104,6,FALSE)</f>
        <v>1.3</v>
      </c>
      <c r="L215" t="str">
        <f t="shared" si="7"/>
        <v>Monster_Offline_18_1</v>
      </c>
      <c r="M215" t="s">
        <v>468</v>
      </c>
      <c r="N215" t="s">
        <v>469</v>
      </c>
      <c r="O215" t="s">
        <v>470</v>
      </c>
      <c r="P215" s="57" t="s">
        <v>1978</v>
      </c>
      <c r="Q215" s="110">
        <v>18</v>
      </c>
      <c r="R215" s="110">
        <v>1</v>
      </c>
    </row>
    <row r="216" spans="2:18" x14ac:dyDescent="0.2">
      <c r="B216" t="s">
        <v>1884</v>
      </c>
      <c r="C216" t="s">
        <v>1926</v>
      </c>
      <c r="D216" s="55" t="str">
        <f>VLOOKUP(VLOOKUP(Q216,'⚪设计'!$A$218:$G$238,3+UnitCfg!R216,FALSE),'⚪设计'!$B$85:$C$101,2,FALSE)</f>
        <v>ResUnit_ZhiZhu2</v>
      </c>
      <c r="E216" s="55">
        <f>VLOOKUP(D216,'⚪设计'!$C$85:$G$101,5,FALSE)*VLOOKUP(UnitCfg!Q216,线下模式!$A$3:$C$22,3,FALSE)</f>
        <v>8.3250000000000011</v>
      </c>
      <c r="F216">
        <v>400</v>
      </c>
      <c r="G216" t="b">
        <v>1</v>
      </c>
      <c r="H216">
        <v>1</v>
      </c>
      <c r="I216">
        <v>1</v>
      </c>
      <c r="J216">
        <v>0.25</v>
      </c>
      <c r="K216" s="55">
        <f>VLOOKUP(D216,'⚪设计'!$C$85:$H$104,6,FALSE)</f>
        <v>1</v>
      </c>
      <c r="L216" t="str">
        <f t="shared" si="7"/>
        <v>Monster_Offline_18_2</v>
      </c>
      <c r="M216" t="s">
        <v>468</v>
      </c>
      <c r="N216" t="s">
        <v>469</v>
      </c>
      <c r="O216" t="s">
        <v>470</v>
      </c>
      <c r="Q216" s="110">
        <v>18</v>
      </c>
      <c r="R216" s="110">
        <v>2</v>
      </c>
    </row>
    <row r="217" spans="2:18" x14ac:dyDescent="0.2">
      <c r="B217" t="s">
        <v>1885</v>
      </c>
      <c r="C217" t="s">
        <v>1927</v>
      </c>
      <c r="D217" s="55" t="str">
        <f>VLOOKUP(VLOOKUP(Q217,'⚪设计'!$A$218:$G$238,3+UnitCfg!R217,FALSE),'⚪设计'!$B$85:$C$101,2,FALSE)</f>
        <v>ResUnit_ZhongZi2</v>
      </c>
      <c r="E217" s="55">
        <f>VLOOKUP(D217,'⚪设计'!$C$85:$G$101,5,FALSE)*VLOOKUP(UnitCfg!Q217,线下模式!$A$3:$C$22,3,FALSE)</f>
        <v>5.5500000000000007</v>
      </c>
      <c r="F217">
        <v>400</v>
      </c>
      <c r="G217" t="b">
        <v>1</v>
      </c>
      <c r="H217">
        <v>1</v>
      </c>
      <c r="I217">
        <v>1</v>
      </c>
      <c r="J217">
        <v>0.25</v>
      </c>
      <c r="K217" s="55">
        <f>VLOOKUP(D217,'⚪设计'!$C$85:$H$104,6,FALSE)</f>
        <v>1.2</v>
      </c>
      <c r="L217" t="str">
        <f t="shared" si="7"/>
        <v>Monster_Offline_18_3</v>
      </c>
      <c r="M217" t="s">
        <v>468</v>
      </c>
      <c r="N217" t="s">
        <v>469</v>
      </c>
      <c r="O217" t="s">
        <v>470</v>
      </c>
      <c r="P217" s="57" t="s">
        <v>1976</v>
      </c>
      <c r="Q217" s="110">
        <v>18</v>
      </c>
      <c r="R217" s="110">
        <v>3</v>
      </c>
    </row>
    <row r="218" spans="2:18" x14ac:dyDescent="0.2">
      <c r="B218" t="s">
        <v>1886</v>
      </c>
      <c r="C218" t="s">
        <v>1928</v>
      </c>
      <c r="D218" s="55" t="str">
        <f>VLOOKUP(VLOOKUP(Q218,'⚪设计'!$A$218:$G$238,3+UnitCfg!R218,FALSE),'⚪设计'!$B$85:$C$101,2,FALSE)</f>
        <v>ResUnit_Dan2</v>
      </c>
      <c r="E218" s="55">
        <f>VLOOKUP(D218,'⚪设计'!$C$85:$G$101,5,FALSE)*VLOOKUP(UnitCfg!Q218,线下模式!$A$3:$C$22,3,FALSE)</f>
        <v>5.6999999999999993</v>
      </c>
      <c r="F218">
        <v>400</v>
      </c>
      <c r="G218" t="b">
        <v>1</v>
      </c>
      <c r="H218">
        <v>1</v>
      </c>
      <c r="I218">
        <v>1</v>
      </c>
      <c r="J218">
        <v>0.25</v>
      </c>
      <c r="K218" s="55">
        <f>VLOOKUP(D218,'⚪设计'!$C$85:$H$104,6,FALSE)</f>
        <v>1.3</v>
      </c>
      <c r="L218" t="str">
        <f t="shared" si="7"/>
        <v>Monster_Offline_19_1</v>
      </c>
      <c r="M218" t="s">
        <v>468</v>
      </c>
      <c r="N218" t="s">
        <v>469</v>
      </c>
      <c r="O218" t="s">
        <v>470</v>
      </c>
      <c r="P218" s="57" t="s">
        <v>1978</v>
      </c>
      <c r="Q218" s="110">
        <v>19</v>
      </c>
      <c r="R218" s="110">
        <v>1</v>
      </c>
    </row>
    <row r="219" spans="2:18" x14ac:dyDescent="0.2">
      <c r="B219" t="s">
        <v>1887</v>
      </c>
      <c r="C219" t="s">
        <v>1929</v>
      </c>
      <c r="D219" s="55" t="str">
        <f>VLOOKUP(VLOOKUP(Q219,'⚪设计'!$A$218:$G$238,3+UnitCfg!R219,FALSE),'⚪设计'!$B$85:$C$101,2,FALSE)</f>
        <v>ResUnit_Gui2</v>
      </c>
      <c r="E219" s="55">
        <f>VLOOKUP(D219,'⚪设计'!$C$85:$G$101,5,FALSE)*VLOOKUP(UnitCfg!Q219,线下模式!$A$3:$C$22,3,FALSE)</f>
        <v>5.6999999999999993</v>
      </c>
      <c r="F219">
        <v>400</v>
      </c>
      <c r="G219" t="b">
        <v>1</v>
      </c>
      <c r="H219">
        <v>1</v>
      </c>
      <c r="I219">
        <v>1</v>
      </c>
      <c r="J219">
        <v>0.25</v>
      </c>
      <c r="K219" s="55">
        <f>VLOOKUP(D219,'⚪设计'!$C$85:$H$104,6,FALSE)</f>
        <v>1</v>
      </c>
      <c r="L219" t="str">
        <f t="shared" si="7"/>
        <v>Monster_Offline_19_2</v>
      </c>
      <c r="M219" t="s">
        <v>468</v>
      </c>
      <c r="N219" t="s">
        <v>469</v>
      </c>
      <c r="O219" t="s">
        <v>470</v>
      </c>
      <c r="P219" s="57" t="s">
        <v>1977</v>
      </c>
      <c r="Q219" s="110">
        <v>19</v>
      </c>
      <c r="R219" s="110">
        <v>2</v>
      </c>
    </row>
    <row r="220" spans="2:18" x14ac:dyDescent="0.2">
      <c r="B220" t="s">
        <v>1888</v>
      </c>
      <c r="C220" t="s">
        <v>1930</v>
      </c>
      <c r="D220" s="55" t="str">
        <f>VLOOKUP(VLOOKUP(Q220,'⚪设计'!$A$218:$G$238,3+UnitCfg!R220,FALSE),'⚪设计'!$B$85:$C$101,2,FALSE)</f>
        <v>ResUnit_ZhongZi2</v>
      </c>
      <c r="E220" s="55">
        <f>VLOOKUP(D220,'⚪设计'!$C$85:$G$101,5,FALSE)*VLOOKUP(UnitCfg!Q220,线下模式!$A$3:$C$22,3,FALSE)</f>
        <v>5.6999999999999993</v>
      </c>
      <c r="F220">
        <v>400</v>
      </c>
      <c r="G220" t="b">
        <v>1</v>
      </c>
      <c r="H220">
        <v>1</v>
      </c>
      <c r="I220">
        <v>1</v>
      </c>
      <c r="J220">
        <v>0.25</v>
      </c>
      <c r="K220" s="55">
        <f>VLOOKUP(D220,'⚪设计'!$C$85:$H$104,6,FALSE)</f>
        <v>1.2</v>
      </c>
      <c r="L220" t="str">
        <f t="shared" si="7"/>
        <v>Monster_Offline_19_3</v>
      </c>
      <c r="M220" t="s">
        <v>468</v>
      </c>
      <c r="N220" t="s">
        <v>469</v>
      </c>
      <c r="O220" t="s">
        <v>470</v>
      </c>
      <c r="P220" s="57" t="s">
        <v>1976</v>
      </c>
      <c r="Q220" s="110">
        <v>19</v>
      </c>
      <c r="R220" s="110">
        <v>3</v>
      </c>
    </row>
    <row r="221" spans="2:18" x14ac:dyDescent="0.2">
      <c r="B221" t="s">
        <v>1889</v>
      </c>
      <c r="C221" t="s">
        <v>1931</v>
      </c>
      <c r="D221" s="55" t="str">
        <f>VLOOKUP(VLOOKUP(Q221,'⚪设计'!$A$218:$G$238,3+UnitCfg!R221,FALSE),'⚪设计'!$B$85:$C$101,2,FALSE)</f>
        <v>ResUnit_MiFeng2</v>
      </c>
      <c r="E221" s="55">
        <f>VLOOKUP(D221,'⚪设计'!$C$85:$G$101,5,FALSE)*VLOOKUP(UnitCfg!Q221,线下模式!$A$3:$C$22,3,FALSE)</f>
        <v>5.85</v>
      </c>
      <c r="F221">
        <v>400</v>
      </c>
      <c r="G221" t="b">
        <v>1</v>
      </c>
      <c r="H221">
        <v>1</v>
      </c>
      <c r="I221">
        <v>1</v>
      </c>
      <c r="J221">
        <v>0.25</v>
      </c>
      <c r="K221" s="55">
        <f>VLOOKUP(D221,'⚪设计'!$C$85:$H$104,6,FALSE)</f>
        <v>0.8</v>
      </c>
      <c r="L221" t="str">
        <f t="shared" si="7"/>
        <v>Monster_Offline_20_1</v>
      </c>
      <c r="M221" t="s">
        <v>468</v>
      </c>
      <c r="N221" t="s">
        <v>469</v>
      </c>
      <c r="O221" t="s">
        <v>470</v>
      </c>
      <c r="Q221" s="110">
        <v>20</v>
      </c>
      <c r="R221" s="110">
        <v>1</v>
      </c>
    </row>
    <row r="222" spans="2:18" x14ac:dyDescent="0.2">
      <c r="B222" t="s">
        <v>1890</v>
      </c>
      <c r="C222" t="s">
        <v>1932</v>
      </c>
      <c r="D222" s="55" t="str">
        <f>VLOOKUP(VLOOKUP(Q222,'⚪设计'!$A$218:$G$238,3+UnitCfg!R222,FALSE),'⚪设计'!$B$85:$C$101,2,FALSE)</f>
        <v>ResUnit_Gui3</v>
      </c>
      <c r="E222" s="55">
        <f>VLOOKUP(D222,'⚪设计'!$C$85:$G$101,5,FALSE)*VLOOKUP(UnitCfg!Q222,线下模式!$A$3:$C$22,3,FALSE)</f>
        <v>2.4375</v>
      </c>
      <c r="F222">
        <v>400</v>
      </c>
      <c r="G222" t="b">
        <v>1</v>
      </c>
      <c r="H222">
        <v>1</v>
      </c>
      <c r="I222">
        <v>1</v>
      </c>
      <c r="J222">
        <v>0.25</v>
      </c>
      <c r="K222" s="55">
        <f>VLOOKUP(D222,'⚪设计'!$C$85:$H$104,6,FALSE)</f>
        <v>2.5</v>
      </c>
      <c r="L222" t="str">
        <f t="shared" si="7"/>
        <v>Monster_Offline_20_2</v>
      </c>
      <c r="M222" t="s">
        <v>468</v>
      </c>
      <c r="N222" t="s">
        <v>469</v>
      </c>
      <c r="O222" t="s">
        <v>470</v>
      </c>
      <c r="P222" s="57" t="s">
        <v>1977</v>
      </c>
      <c r="Q222" s="110">
        <v>20</v>
      </c>
      <c r="R222" s="110">
        <v>2</v>
      </c>
    </row>
    <row r="223" spans="2:18" x14ac:dyDescent="0.2">
      <c r="B223" t="s">
        <v>1891</v>
      </c>
      <c r="C223" t="s">
        <v>1933</v>
      </c>
      <c r="D223" s="55" t="str">
        <f>VLOOKUP(VLOOKUP(Q223,'⚪设计'!$A$218:$G$238,3+UnitCfg!R223,FALSE),'⚪设计'!$B$85:$C$101,2,FALSE)</f>
        <v>ResUnit_ZhongZi2</v>
      </c>
      <c r="E223" s="55">
        <f>VLOOKUP(D223,'⚪设计'!$C$85:$G$101,5,FALSE)*VLOOKUP(UnitCfg!Q223,线下模式!$A$3:$C$22,3,FALSE)</f>
        <v>5.85</v>
      </c>
      <c r="F223">
        <v>400</v>
      </c>
      <c r="G223" t="b">
        <v>1</v>
      </c>
      <c r="H223">
        <v>1</v>
      </c>
      <c r="I223">
        <v>1</v>
      </c>
      <c r="J223">
        <v>0.25</v>
      </c>
      <c r="K223" s="55">
        <f>VLOOKUP(D223,'⚪设计'!$C$85:$H$104,6,FALSE)</f>
        <v>1.2</v>
      </c>
      <c r="L223" t="str">
        <f t="shared" si="7"/>
        <v>Monster_Offline_20_3</v>
      </c>
      <c r="M223" t="s">
        <v>468</v>
      </c>
      <c r="N223" t="s">
        <v>469</v>
      </c>
      <c r="O223" t="s">
        <v>470</v>
      </c>
      <c r="P223" s="57" t="s">
        <v>1976</v>
      </c>
      <c r="Q223" s="110">
        <v>20</v>
      </c>
      <c r="R223" s="110">
        <v>3</v>
      </c>
    </row>
  </sheetData>
  <dataConsolidate/>
  <phoneticPr fontId="4" type="noConversion"/>
  <conditionalFormatting sqref="P212">
    <cfRule type="duplicateValues" dxfId="5" priority="4"/>
  </conditionalFormatting>
  <conditionalFormatting sqref="P213">
    <cfRule type="duplicateValues" dxfId="4" priority="3"/>
  </conditionalFormatting>
  <conditionalFormatting sqref="P215">
    <cfRule type="duplicateValues" dxfId="3" priority="2"/>
  </conditionalFormatting>
  <conditionalFormatting sqref="P218">
    <cfRule type="duplicateValues" dxfId="2" priority="1"/>
  </conditionalFormatting>
  <hyperlinks>
    <hyperlink ref="L3" r:id="rId1" xr:uid="{6D32B3D2-3297-4EE4-993A-C1CAA735467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8209-E378-4051-87F2-7A07D9A45453}">
  <dimension ref="A1:AB260"/>
  <sheetViews>
    <sheetView zoomScaleNormal="100" workbookViewId="0">
      <pane xSplit="2" ySplit="5" topLeftCell="C230" activePane="bottomRight" state="frozen"/>
      <selection pane="topRight" activeCell="C1" sqref="C1"/>
      <selection pane="bottomLeft" activeCell="A6" sqref="A6"/>
      <selection pane="bottomRight" activeCell="E219" sqref="E219:E260"/>
    </sheetView>
  </sheetViews>
  <sheetFormatPr defaultColWidth="9" defaultRowHeight="14.25" x14ac:dyDescent="0.2"/>
  <cols>
    <col min="1" max="1" width="8.75" style="57" customWidth="1"/>
    <col min="2" max="2" width="20.125" style="57" customWidth="1"/>
    <col min="3" max="3" width="5.25" style="57" bestFit="1" customWidth="1"/>
    <col min="4" max="4" width="20.25" style="57" customWidth="1"/>
    <col min="5" max="5" width="10.75" style="57" customWidth="1"/>
    <col min="6" max="6" width="9.125" style="57" customWidth="1"/>
    <col min="7" max="7" width="12.125" style="57" customWidth="1"/>
    <col min="8" max="8" width="9.125" style="57" customWidth="1"/>
    <col min="9" max="9" width="10.875" style="57" customWidth="1"/>
    <col min="10" max="10" width="9.5" style="57" customWidth="1"/>
    <col min="11" max="25" width="7" style="57" customWidth="1"/>
    <col min="26" max="28" width="7.125" style="57" bestFit="1" customWidth="1"/>
    <col min="29" max="16384" width="9" style="57"/>
  </cols>
  <sheetData>
    <row r="1" spans="1:28" s="99" customFormat="1" x14ac:dyDescent="0.2">
      <c r="A1" s="63" t="s">
        <v>67</v>
      </c>
      <c r="B1" s="63" t="s">
        <v>180</v>
      </c>
      <c r="C1" s="63" t="s">
        <v>181</v>
      </c>
      <c r="D1" s="63" t="s">
        <v>155</v>
      </c>
      <c r="E1" s="63" t="s">
        <v>182</v>
      </c>
      <c r="F1" s="63" t="s">
        <v>183</v>
      </c>
      <c r="G1" s="63" t="s">
        <v>184</v>
      </c>
      <c r="H1" s="63" t="s">
        <v>185</v>
      </c>
      <c r="I1" s="63" t="s">
        <v>186</v>
      </c>
      <c r="J1" s="63" t="s">
        <v>187</v>
      </c>
      <c r="K1" s="170" t="s">
        <v>188</v>
      </c>
      <c r="L1" s="170"/>
      <c r="M1" s="170"/>
      <c r="N1" s="170"/>
      <c r="O1" s="170"/>
      <c r="P1" s="170" t="s">
        <v>189</v>
      </c>
      <c r="Q1" s="170"/>
      <c r="R1" s="170"/>
      <c r="S1" s="170"/>
      <c r="T1" s="170"/>
      <c r="U1" s="170" t="s">
        <v>190</v>
      </c>
      <c r="V1" s="170"/>
      <c r="W1" s="170"/>
      <c r="X1" s="170"/>
      <c r="Y1" s="170"/>
      <c r="Z1" s="63"/>
      <c r="AA1" s="63"/>
      <c r="AB1" s="63"/>
    </row>
    <row r="2" spans="1:28" s="99" customFormat="1" x14ac:dyDescent="0.2">
      <c r="A2" s="63" t="s">
        <v>67</v>
      </c>
      <c r="B2" s="63"/>
      <c r="C2" s="63"/>
      <c r="D2" s="63"/>
      <c r="E2" s="63"/>
      <c r="F2" s="63"/>
      <c r="G2" s="63"/>
      <c r="H2" s="63"/>
      <c r="I2" s="63"/>
      <c r="J2" s="63"/>
      <c r="K2" s="170" t="s">
        <v>191</v>
      </c>
      <c r="L2" s="170"/>
      <c r="M2" s="170" t="s">
        <v>192</v>
      </c>
      <c r="N2" s="170"/>
      <c r="O2" s="63" t="s">
        <v>193</v>
      </c>
      <c r="P2" s="170" t="s">
        <v>191</v>
      </c>
      <c r="Q2" s="170"/>
      <c r="R2" s="170" t="s">
        <v>192</v>
      </c>
      <c r="S2" s="170"/>
      <c r="T2" s="63" t="s">
        <v>193</v>
      </c>
      <c r="U2" s="170" t="s">
        <v>191</v>
      </c>
      <c r="V2" s="170"/>
      <c r="W2" s="170" t="s">
        <v>192</v>
      </c>
      <c r="X2" s="170"/>
      <c r="Y2" s="63" t="s">
        <v>193</v>
      </c>
      <c r="Z2" s="63"/>
      <c r="AA2" s="63"/>
      <c r="AB2" s="63"/>
    </row>
    <row r="3" spans="1:28" s="101" customFormat="1" x14ac:dyDescent="0.2">
      <c r="A3" s="64" t="s">
        <v>71</v>
      </c>
      <c r="B3" s="64" t="s">
        <v>72</v>
      </c>
      <c r="C3" s="64" t="s">
        <v>73</v>
      </c>
      <c r="D3" s="64" t="s">
        <v>72</v>
      </c>
      <c r="E3" s="64" t="s">
        <v>73</v>
      </c>
      <c r="F3" s="64" t="s">
        <v>73</v>
      </c>
      <c r="G3" s="64" t="s">
        <v>73</v>
      </c>
      <c r="H3" s="64" t="s">
        <v>73</v>
      </c>
      <c r="I3" s="64" t="s">
        <v>73</v>
      </c>
      <c r="J3" s="64" t="s">
        <v>73</v>
      </c>
      <c r="K3" s="171" t="s">
        <v>194</v>
      </c>
      <c r="L3" s="171"/>
      <c r="M3" s="171"/>
      <c r="N3" s="171"/>
      <c r="O3" s="171"/>
      <c r="P3" s="171" t="s">
        <v>194</v>
      </c>
      <c r="Q3" s="171"/>
      <c r="R3" s="171"/>
      <c r="S3" s="171"/>
      <c r="T3" s="171"/>
      <c r="U3" s="171" t="s">
        <v>194</v>
      </c>
      <c r="V3" s="171"/>
      <c r="W3" s="171"/>
      <c r="X3" s="171"/>
      <c r="Y3" s="171"/>
      <c r="Z3" s="64"/>
      <c r="AA3" s="64"/>
      <c r="AB3" s="64"/>
    </row>
    <row r="4" spans="1:28" s="101" customFormat="1" x14ac:dyDescent="0.2">
      <c r="A4" s="64" t="s">
        <v>75</v>
      </c>
      <c r="B4" s="64"/>
      <c r="C4" s="64"/>
      <c r="D4" s="64" t="s">
        <v>76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</row>
    <row r="5" spans="1:28" s="99" customFormat="1" x14ac:dyDescent="0.2">
      <c r="A5" s="67" t="s">
        <v>77</v>
      </c>
      <c r="B5" s="67"/>
      <c r="C5" s="67"/>
      <c r="D5" s="67" t="s">
        <v>80</v>
      </c>
      <c r="E5" s="67" t="s">
        <v>195</v>
      </c>
      <c r="F5" s="67" t="s">
        <v>196</v>
      </c>
      <c r="G5" s="45" t="s">
        <v>1326</v>
      </c>
      <c r="H5" s="67" t="s">
        <v>197</v>
      </c>
      <c r="I5" s="67" t="s">
        <v>198</v>
      </c>
      <c r="J5" s="67" t="s">
        <v>199</v>
      </c>
      <c r="K5" s="67" t="s">
        <v>200</v>
      </c>
      <c r="L5" s="67"/>
      <c r="M5" s="67" t="s">
        <v>201</v>
      </c>
      <c r="N5" s="67"/>
      <c r="O5" s="67" t="s">
        <v>202</v>
      </c>
      <c r="P5" s="67" t="s">
        <v>200</v>
      </c>
      <c r="Q5" s="67"/>
      <c r="R5" s="67" t="s">
        <v>201</v>
      </c>
      <c r="S5" s="67"/>
      <c r="T5" s="67" t="s">
        <v>202</v>
      </c>
      <c r="U5" s="67" t="s">
        <v>200</v>
      </c>
      <c r="V5" s="67"/>
      <c r="W5" s="67" t="s">
        <v>201</v>
      </c>
      <c r="X5" s="67"/>
      <c r="Y5" s="67" t="s">
        <v>202</v>
      </c>
      <c r="Z5" s="63" t="s">
        <v>453</v>
      </c>
      <c r="AA5" s="63" t="s">
        <v>453</v>
      </c>
      <c r="AB5" s="63" t="s">
        <v>453</v>
      </c>
    </row>
    <row r="6" spans="1:28" x14ac:dyDescent="0.2">
      <c r="B6" s="57" t="s">
        <v>203</v>
      </c>
      <c r="C6" s="57">
        <v>1</v>
      </c>
      <c r="D6" s="57" t="s">
        <v>157</v>
      </c>
      <c r="E6" s="57">
        <v>1</v>
      </c>
      <c r="F6" s="65">
        <f>VLOOKUP(D6,防御塔!$A$2:$N$13,7+C6,FALSE)</f>
        <v>150</v>
      </c>
      <c r="G6" s="57">
        <v>100</v>
      </c>
      <c r="H6" s="57">
        <v>0</v>
      </c>
      <c r="I6" s="57">
        <v>0</v>
      </c>
      <c r="J6" s="57">
        <v>0</v>
      </c>
      <c r="K6" s="68" t="s">
        <v>204</v>
      </c>
      <c r="L6" s="68" t="s">
        <v>85</v>
      </c>
      <c r="M6" s="68" t="s">
        <v>205</v>
      </c>
      <c r="N6" s="68"/>
      <c r="O6" s="65">
        <f>F6</f>
        <v>150</v>
      </c>
      <c r="P6" s="57" t="s">
        <v>206</v>
      </c>
      <c r="Q6" s="68" t="s">
        <v>84</v>
      </c>
      <c r="R6" s="68" t="s">
        <v>205</v>
      </c>
      <c r="S6" s="68"/>
      <c r="T6" s="65">
        <f>ROUND(1/VLOOKUP(D6,防御塔!$A$2:$N$13,5,FALSE),1)</f>
        <v>2</v>
      </c>
      <c r="U6" s="57" t="s">
        <v>207</v>
      </c>
      <c r="V6" s="68"/>
      <c r="W6" s="68" t="s">
        <v>207</v>
      </c>
      <c r="X6" s="68"/>
      <c r="Y6" s="68"/>
    </row>
    <row r="7" spans="1:28" x14ac:dyDescent="0.2">
      <c r="B7" s="57" t="s">
        <v>203</v>
      </c>
      <c r="C7" s="57">
        <v>2</v>
      </c>
      <c r="D7" s="57" t="s">
        <v>33</v>
      </c>
      <c r="E7" s="57">
        <v>1</v>
      </c>
      <c r="F7" s="65">
        <f>VLOOKUP(D7,防御塔!$A$2:$N$13,7+C7,FALSE)</f>
        <v>675</v>
      </c>
      <c r="G7" s="57">
        <v>100</v>
      </c>
      <c r="H7" s="57">
        <v>0</v>
      </c>
      <c r="I7" s="57">
        <v>0</v>
      </c>
      <c r="J7" s="57">
        <v>0</v>
      </c>
      <c r="K7" s="57" t="s">
        <v>208</v>
      </c>
      <c r="L7" s="68" t="s">
        <v>85</v>
      </c>
      <c r="M7" s="68" t="s">
        <v>205</v>
      </c>
      <c r="N7" s="68"/>
      <c r="O7" s="65">
        <f t="shared" ref="O7:O26" si="0">F7</f>
        <v>675</v>
      </c>
      <c r="P7" s="57" t="s">
        <v>206</v>
      </c>
      <c r="Q7" s="68" t="s">
        <v>84</v>
      </c>
      <c r="R7" s="68" t="s">
        <v>205</v>
      </c>
      <c r="T7" s="65">
        <f>ROUND(1/VLOOKUP(D7,防御塔!$A$2:$N$13,5,FALSE),1)</f>
        <v>2</v>
      </c>
      <c r="U7" s="57" t="s">
        <v>207</v>
      </c>
      <c r="W7" s="68" t="s">
        <v>207</v>
      </c>
    </row>
    <row r="8" spans="1:28" x14ac:dyDescent="0.2">
      <c r="B8" s="57" t="s">
        <v>203</v>
      </c>
      <c r="C8" s="57">
        <v>3</v>
      </c>
      <c r="D8" s="57" t="s">
        <v>33</v>
      </c>
      <c r="E8" s="57">
        <v>1</v>
      </c>
      <c r="F8" s="65">
        <f>VLOOKUP(D8,防御塔!$A$2:$N$13,7+C8,FALSE)</f>
        <v>2076</v>
      </c>
      <c r="G8" s="124">
        <f>防御塔!M3*100</f>
        <v>200</v>
      </c>
      <c r="H8" s="124">
        <f>防御塔!L3*100</f>
        <v>15</v>
      </c>
      <c r="I8" s="57">
        <v>0</v>
      </c>
      <c r="J8" s="57">
        <v>0</v>
      </c>
      <c r="K8" s="57" t="s">
        <v>208</v>
      </c>
      <c r="L8" s="68" t="s">
        <v>85</v>
      </c>
      <c r="M8" s="68" t="s">
        <v>205</v>
      </c>
      <c r="N8" s="68"/>
      <c r="O8" s="65">
        <f t="shared" si="0"/>
        <v>2076</v>
      </c>
      <c r="P8" s="57" t="s">
        <v>206</v>
      </c>
      <c r="Q8" s="68" t="s">
        <v>84</v>
      </c>
      <c r="R8" s="68" t="s">
        <v>205</v>
      </c>
      <c r="T8" s="65">
        <f>ROUND(1/VLOOKUP(D8,防御塔!$A$2:$N$13,5,FALSE),1)</f>
        <v>2</v>
      </c>
      <c r="U8" s="57" t="s">
        <v>207</v>
      </c>
      <c r="W8" s="68" t="s">
        <v>207</v>
      </c>
    </row>
    <row r="9" spans="1:28" x14ac:dyDescent="0.2">
      <c r="B9" s="57" t="s">
        <v>209</v>
      </c>
      <c r="C9" s="57">
        <v>1</v>
      </c>
      <c r="D9" s="57" t="s">
        <v>34</v>
      </c>
      <c r="E9" s="57">
        <v>1</v>
      </c>
      <c r="F9" s="65">
        <f>VLOOKUP(D9,防御塔!$A$2:$N$13,7+C9,FALSE)</f>
        <v>50</v>
      </c>
      <c r="G9" s="57">
        <v>100</v>
      </c>
      <c r="H9" s="57">
        <v>0</v>
      </c>
      <c r="I9" s="57">
        <v>0</v>
      </c>
      <c r="J9" s="57">
        <v>0</v>
      </c>
      <c r="K9" s="57" t="s">
        <v>208</v>
      </c>
      <c r="L9" s="68" t="s">
        <v>85</v>
      </c>
      <c r="M9" s="68" t="s">
        <v>205</v>
      </c>
      <c r="N9" s="68"/>
      <c r="O9" s="65">
        <f t="shared" si="0"/>
        <v>50</v>
      </c>
      <c r="P9" s="57" t="s">
        <v>206</v>
      </c>
      <c r="Q9" s="68" t="s">
        <v>84</v>
      </c>
      <c r="R9" s="68" t="s">
        <v>205</v>
      </c>
      <c r="T9" s="65">
        <f>ROUND(1/VLOOKUP(D9,防御塔!$A$2:$N$13,5,FALSE),1)</f>
        <v>2</v>
      </c>
      <c r="U9" s="57" t="s">
        <v>207</v>
      </c>
      <c r="W9" s="68" t="s">
        <v>207</v>
      </c>
    </row>
    <row r="10" spans="1:28" x14ac:dyDescent="0.2">
      <c r="B10" s="57" t="s">
        <v>209</v>
      </c>
      <c r="C10" s="57">
        <v>2</v>
      </c>
      <c r="D10" s="57" t="s">
        <v>34</v>
      </c>
      <c r="E10" s="57">
        <v>1</v>
      </c>
      <c r="F10" s="65">
        <f>VLOOKUP(D10,防御塔!$A$2:$N$13,7+C10,FALSE)</f>
        <v>225</v>
      </c>
      <c r="G10" s="57">
        <v>100</v>
      </c>
      <c r="H10" s="57">
        <v>0</v>
      </c>
      <c r="I10" s="57">
        <v>0</v>
      </c>
      <c r="J10" s="57">
        <v>0</v>
      </c>
      <c r="K10" s="57" t="s">
        <v>208</v>
      </c>
      <c r="L10" s="68" t="s">
        <v>85</v>
      </c>
      <c r="M10" s="68" t="s">
        <v>205</v>
      </c>
      <c r="N10" s="68"/>
      <c r="O10" s="65">
        <f t="shared" si="0"/>
        <v>225</v>
      </c>
      <c r="P10" s="57" t="s">
        <v>206</v>
      </c>
      <c r="Q10" s="68" t="s">
        <v>84</v>
      </c>
      <c r="R10" s="68" t="s">
        <v>205</v>
      </c>
      <c r="T10" s="65">
        <f>ROUND(1/VLOOKUP(D10,防御塔!$A$2:$N$13,5,FALSE),1)</f>
        <v>2</v>
      </c>
      <c r="U10" s="57" t="s">
        <v>207</v>
      </c>
      <c r="W10" s="68" t="s">
        <v>207</v>
      </c>
    </row>
    <row r="11" spans="1:28" x14ac:dyDescent="0.2">
      <c r="B11" s="57" t="s">
        <v>209</v>
      </c>
      <c r="C11" s="57">
        <v>3</v>
      </c>
      <c r="D11" s="57" t="s">
        <v>34</v>
      </c>
      <c r="E11" s="57">
        <v>1</v>
      </c>
      <c r="F11" s="65">
        <f>VLOOKUP(D11,防御塔!$A$2:$N$13,7+C11,FALSE)</f>
        <v>900</v>
      </c>
      <c r="G11" s="57">
        <v>100</v>
      </c>
      <c r="H11" s="57">
        <v>0</v>
      </c>
      <c r="I11" s="57">
        <v>0</v>
      </c>
      <c r="J11" s="57">
        <v>0</v>
      </c>
      <c r="K11" s="57" t="s">
        <v>208</v>
      </c>
      <c r="L11" s="68" t="s">
        <v>85</v>
      </c>
      <c r="M11" s="68" t="s">
        <v>205</v>
      </c>
      <c r="N11" s="68"/>
      <c r="O11" s="65">
        <f t="shared" si="0"/>
        <v>900</v>
      </c>
      <c r="P11" s="57" t="s">
        <v>206</v>
      </c>
      <c r="Q11" s="68" t="s">
        <v>84</v>
      </c>
      <c r="R11" s="68" t="s">
        <v>205</v>
      </c>
      <c r="T11" s="65">
        <f>ROUND(1/VLOOKUP(D11,防御塔!$A$2:$N$13,5,FALSE),1)</f>
        <v>2</v>
      </c>
      <c r="U11" s="57" t="s">
        <v>207</v>
      </c>
      <c r="W11" s="68" t="s">
        <v>207</v>
      </c>
    </row>
    <row r="12" spans="1:28" x14ac:dyDescent="0.2">
      <c r="B12" s="57" t="s">
        <v>210</v>
      </c>
      <c r="C12" s="57">
        <v>1</v>
      </c>
      <c r="D12" s="57" t="s">
        <v>35</v>
      </c>
      <c r="E12" s="57">
        <v>1</v>
      </c>
      <c r="F12" s="65">
        <f>VLOOKUP(D12,防御塔!$A$2:$N$13,7+C12,FALSE)</f>
        <v>16</v>
      </c>
      <c r="G12" s="57">
        <v>100</v>
      </c>
      <c r="H12" s="57">
        <v>0</v>
      </c>
      <c r="I12" s="57">
        <v>0</v>
      </c>
      <c r="J12" s="57">
        <v>0</v>
      </c>
      <c r="K12" s="57" t="s">
        <v>208</v>
      </c>
      <c r="L12" s="68" t="s">
        <v>85</v>
      </c>
      <c r="M12" s="68" t="s">
        <v>205</v>
      </c>
      <c r="N12" s="68"/>
      <c r="O12" s="65">
        <f t="shared" si="0"/>
        <v>16</v>
      </c>
      <c r="P12" s="57" t="s">
        <v>206</v>
      </c>
      <c r="Q12" s="68" t="s">
        <v>84</v>
      </c>
      <c r="R12" s="68" t="s">
        <v>205</v>
      </c>
      <c r="T12" s="65">
        <f>ROUND(1/VLOOKUP(D12,防御塔!$A$2:$N$13,5,FALSE),1)</f>
        <v>3.3</v>
      </c>
      <c r="U12" s="57" t="s">
        <v>207</v>
      </c>
      <c r="W12" s="68" t="s">
        <v>207</v>
      </c>
    </row>
    <row r="13" spans="1:28" x14ac:dyDescent="0.2">
      <c r="B13" s="57" t="s">
        <v>210</v>
      </c>
      <c r="C13" s="57">
        <v>2</v>
      </c>
      <c r="D13" s="57" t="s">
        <v>35</v>
      </c>
      <c r="E13" s="57">
        <v>1</v>
      </c>
      <c r="F13" s="65">
        <f>VLOOKUP(D13,防御塔!$A$2:$N$13,7+C13,FALSE)</f>
        <v>72</v>
      </c>
      <c r="G13" s="57">
        <v>100</v>
      </c>
      <c r="H13" s="57">
        <v>0</v>
      </c>
      <c r="I13" s="57">
        <v>0</v>
      </c>
      <c r="J13" s="57">
        <v>0</v>
      </c>
      <c r="K13" s="57" t="s">
        <v>208</v>
      </c>
      <c r="L13" s="68" t="s">
        <v>85</v>
      </c>
      <c r="M13" s="68" t="s">
        <v>205</v>
      </c>
      <c r="N13" s="68"/>
      <c r="O13" s="65">
        <f t="shared" si="0"/>
        <v>72</v>
      </c>
      <c r="P13" s="57" t="s">
        <v>206</v>
      </c>
      <c r="Q13" s="68" t="s">
        <v>84</v>
      </c>
      <c r="R13" s="68" t="s">
        <v>205</v>
      </c>
      <c r="T13" s="65">
        <f>ROUND(1/VLOOKUP(D13,防御塔!$A$2:$N$13,5,FALSE),1)</f>
        <v>3.3</v>
      </c>
      <c r="U13" s="57" t="s">
        <v>207</v>
      </c>
      <c r="W13" s="68" t="s">
        <v>207</v>
      </c>
    </row>
    <row r="14" spans="1:28" x14ac:dyDescent="0.2">
      <c r="B14" s="57" t="s">
        <v>210</v>
      </c>
      <c r="C14" s="57">
        <v>3</v>
      </c>
      <c r="D14" s="57" t="s">
        <v>35</v>
      </c>
      <c r="E14" s="57">
        <v>1</v>
      </c>
      <c r="F14" s="65">
        <f>VLOOKUP(D14,防御塔!$A$2:$N$13,7+C14,FALSE)</f>
        <v>144</v>
      </c>
      <c r="G14" s="57">
        <v>100</v>
      </c>
      <c r="H14" s="57">
        <v>0</v>
      </c>
      <c r="I14" s="57">
        <v>0</v>
      </c>
      <c r="J14" s="57">
        <v>0</v>
      </c>
      <c r="K14" s="57" t="s">
        <v>208</v>
      </c>
      <c r="L14" s="68" t="s">
        <v>85</v>
      </c>
      <c r="M14" s="68" t="s">
        <v>205</v>
      </c>
      <c r="N14" s="68"/>
      <c r="O14" s="65">
        <f t="shared" si="0"/>
        <v>144</v>
      </c>
      <c r="P14" s="57" t="s">
        <v>206</v>
      </c>
      <c r="Q14" s="68" t="s">
        <v>84</v>
      </c>
      <c r="R14" s="68" t="s">
        <v>205</v>
      </c>
      <c r="T14" s="65">
        <f>ROUND(1/VLOOKUP(D14,防御塔!$A$2:$N$13,5,FALSE),1)</f>
        <v>3.3</v>
      </c>
      <c r="U14" s="57" t="s">
        <v>207</v>
      </c>
      <c r="W14" s="68" t="s">
        <v>207</v>
      </c>
    </row>
    <row r="15" spans="1:28" x14ac:dyDescent="0.2">
      <c r="B15" s="57" t="s">
        <v>211</v>
      </c>
      <c r="C15" s="57">
        <v>1</v>
      </c>
      <c r="D15" s="57" t="s">
        <v>36</v>
      </c>
      <c r="E15" s="57">
        <v>1</v>
      </c>
      <c r="F15" s="65">
        <f>VLOOKUP(D15,防御塔!$A$2:$N$13,7+C15,FALSE)</f>
        <v>2</v>
      </c>
      <c r="G15" s="57">
        <v>100</v>
      </c>
      <c r="H15" s="57">
        <v>0</v>
      </c>
      <c r="I15" s="57">
        <v>0</v>
      </c>
      <c r="J15" s="57">
        <v>0</v>
      </c>
      <c r="K15" s="57" t="s">
        <v>208</v>
      </c>
      <c r="L15" s="68" t="s">
        <v>85</v>
      </c>
      <c r="M15" s="68" t="s">
        <v>205</v>
      </c>
      <c r="N15" s="68"/>
      <c r="O15" s="65">
        <f>F15*防御塔!$C$6/防御塔!$D$6</f>
        <v>16</v>
      </c>
      <c r="P15" s="57" t="s">
        <v>206</v>
      </c>
      <c r="Q15" s="68" t="s">
        <v>84</v>
      </c>
      <c r="R15" s="68" t="s">
        <v>205</v>
      </c>
      <c r="T15" s="65">
        <f>ROUND(1/VLOOKUP(D15,防御塔!$A$2:$N$13,5,FALSE),1)</f>
        <v>3.3</v>
      </c>
      <c r="U15" s="57" t="s">
        <v>207</v>
      </c>
      <c r="W15" s="68" t="s">
        <v>207</v>
      </c>
    </row>
    <row r="16" spans="1:28" x14ac:dyDescent="0.2">
      <c r="B16" s="57" t="s">
        <v>211</v>
      </c>
      <c r="C16" s="57">
        <v>2</v>
      </c>
      <c r="D16" s="57" t="s">
        <v>36</v>
      </c>
      <c r="E16" s="57">
        <v>1</v>
      </c>
      <c r="F16" s="65">
        <f>VLOOKUP(D16,防御塔!$A$2:$N$13,7+C16,FALSE)</f>
        <v>9</v>
      </c>
      <c r="G16" s="57">
        <v>100</v>
      </c>
      <c r="H16" s="57">
        <v>0</v>
      </c>
      <c r="I16" s="57">
        <v>0</v>
      </c>
      <c r="J16" s="57">
        <v>0</v>
      </c>
      <c r="K16" s="57" t="s">
        <v>208</v>
      </c>
      <c r="L16" s="68" t="s">
        <v>85</v>
      </c>
      <c r="M16" s="68" t="s">
        <v>205</v>
      </c>
      <c r="N16" s="68"/>
      <c r="O16" s="65">
        <f>F16*防御塔!$C$6/防御塔!$D$6</f>
        <v>72</v>
      </c>
      <c r="P16" s="57" t="s">
        <v>206</v>
      </c>
      <c r="Q16" s="68" t="s">
        <v>84</v>
      </c>
      <c r="R16" s="68" t="s">
        <v>205</v>
      </c>
      <c r="T16" s="65">
        <f>ROUND(1/VLOOKUP(D16,防御塔!$A$2:$N$13,5,FALSE),1)</f>
        <v>3.3</v>
      </c>
      <c r="U16" s="57" t="s">
        <v>207</v>
      </c>
      <c r="W16" s="68" t="s">
        <v>207</v>
      </c>
    </row>
    <row r="17" spans="2:25" x14ac:dyDescent="0.2">
      <c r="B17" s="57" t="s">
        <v>211</v>
      </c>
      <c r="C17" s="57">
        <v>3</v>
      </c>
      <c r="D17" s="57" t="s">
        <v>36</v>
      </c>
      <c r="E17" s="57">
        <v>1</v>
      </c>
      <c r="F17" s="65">
        <f>VLOOKUP(D17,防御塔!$A$2:$N$13,7+C17,FALSE)</f>
        <v>288</v>
      </c>
      <c r="G17" s="57">
        <v>100</v>
      </c>
      <c r="H17" s="57">
        <v>0</v>
      </c>
      <c r="I17" s="57">
        <v>0</v>
      </c>
      <c r="J17" s="57">
        <v>0</v>
      </c>
      <c r="K17" s="57" t="s">
        <v>208</v>
      </c>
      <c r="L17" s="68" t="s">
        <v>85</v>
      </c>
      <c r="M17" s="68" t="s">
        <v>205</v>
      </c>
      <c r="N17" s="68"/>
      <c r="O17" s="65">
        <f>F17</f>
        <v>288</v>
      </c>
      <c r="P17" s="57" t="s">
        <v>206</v>
      </c>
      <c r="Q17" s="68" t="s">
        <v>84</v>
      </c>
      <c r="R17" s="68" t="s">
        <v>205</v>
      </c>
      <c r="T17" s="65">
        <f>ROUND(1/VLOOKUP(D17,防御塔!$A$2:$N$13,5,FALSE),1)</f>
        <v>3.3</v>
      </c>
      <c r="U17" s="57" t="s">
        <v>207</v>
      </c>
      <c r="W17" s="68" t="s">
        <v>207</v>
      </c>
    </row>
    <row r="18" spans="2:25" x14ac:dyDescent="0.2">
      <c r="B18" s="57" t="s">
        <v>212</v>
      </c>
      <c r="C18" s="57">
        <v>1</v>
      </c>
      <c r="D18" s="57" t="s">
        <v>37</v>
      </c>
      <c r="E18" s="57">
        <v>1</v>
      </c>
      <c r="F18" s="65">
        <f>VLOOKUP(D18,防御塔!$A$2:$N$13,7+C18,FALSE)</f>
        <v>2400</v>
      </c>
      <c r="G18" s="57">
        <v>100</v>
      </c>
      <c r="H18" s="57">
        <v>0</v>
      </c>
      <c r="I18" s="57">
        <v>0</v>
      </c>
      <c r="J18" s="57">
        <v>0</v>
      </c>
      <c r="K18" s="57" t="s">
        <v>208</v>
      </c>
      <c r="L18" s="68" t="s">
        <v>85</v>
      </c>
      <c r="M18" s="68" t="s">
        <v>205</v>
      </c>
      <c r="N18" s="68"/>
      <c r="O18" s="65">
        <f t="shared" si="0"/>
        <v>2400</v>
      </c>
      <c r="P18" s="57" t="s">
        <v>206</v>
      </c>
      <c r="Q18" s="68" t="s">
        <v>84</v>
      </c>
      <c r="R18" s="68" t="s">
        <v>205</v>
      </c>
      <c r="T18" s="65">
        <f>ROUND(1/VLOOKUP(D18,防御塔!$A$2:$N$13,5,FALSE),1)</f>
        <v>0.3</v>
      </c>
      <c r="U18" s="57" t="s">
        <v>207</v>
      </c>
      <c r="W18" s="68" t="s">
        <v>207</v>
      </c>
    </row>
    <row r="19" spans="2:25" x14ac:dyDescent="0.2">
      <c r="B19" s="57" t="s">
        <v>212</v>
      </c>
      <c r="C19" s="57">
        <v>2</v>
      </c>
      <c r="D19" s="57" t="s">
        <v>37</v>
      </c>
      <c r="E19" s="57">
        <v>1</v>
      </c>
      <c r="F19" s="65">
        <f>VLOOKUP(D19,防御塔!$A$2:$N$13,7+C19,FALSE)</f>
        <v>10800</v>
      </c>
      <c r="G19" s="57">
        <v>100</v>
      </c>
      <c r="H19" s="57">
        <v>0</v>
      </c>
      <c r="I19" s="57">
        <v>0</v>
      </c>
      <c r="J19" s="57">
        <v>0</v>
      </c>
      <c r="K19" s="57" t="s">
        <v>208</v>
      </c>
      <c r="L19" s="68" t="s">
        <v>85</v>
      </c>
      <c r="M19" s="68" t="s">
        <v>205</v>
      </c>
      <c r="N19" s="68"/>
      <c r="O19" s="65">
        <f t="shared" si="0"/>
        <v>10800</v>
      </c>
      <c r="P19" s="57" t="s">
        <v>206</v>
      </c>
      <c r="Q19" s="68" t="s">
        <v>84</v>
      </c>
      <c r="R19" s="68" t="s">
        <v>205</v>
      </c>
      <c r="T19" s="65">
        <f>ROUND(1/VLOOKUP(D19,防御塔!$A$2:$N$13,5,FALSE),1)</f>
        <v>0.3</v>
      </c>
      <c r="U19" s="57" t="s">
        <v>207</v>
      </c>
      <c r="W19" s="68" t="s">
        <v>207</v>
      </c>
    </row>
    <row r="20" spans="2:25" x14ac:dyDescent="0.2">
      <c r="B20" s="57" t="s">
        <v>212</v>
      </c>
      <c r="C20" s="57">
        <v>3</v>
      </c>
      <c r="D20" s="57" t="s">
        <v>37</v>
      </c>
      <c r="E20" s="57">
        <v>1</v>
      </c>
      <c r="F20" s="65">
        <f>VLOOKUP(D20,防御塔!$A$2:$N$13,7+C20,FALSE)</f>
        <v>14400</v>
      </c>
      <c r="G20" s="57">
        <v>100</v>
      </c>
      <c r="H20" s="57">
        <v>0</v>
      </c>
      <c r="I20" s="57">
        <v>0</v>
      </c>
      <c r="J20" s="57">
        <v>0</v>
      </c>
      <c r="K20" s="57" t="s">
        <v>208</v>
      </c>
      <c r="L20" s="68" t="s">
        <v>85</v>
      </c>
      <c r="M20" s="68" t="s">
        <v>205</v>
      </c>
      <c r="N20" s="68"/>
      <c r="O20" s="65">
        <f t="shared" si="0"/>
        <v>14400</v>
      </c>
      <c r="P20" s="57" t="s">
        <v>206</v>
      </c>
      <c r="Q20" s="68" t="s">
        <v>84</v>
      </c>
      <c r="R20" s="68" t="s">
        <v>205</v>
      </c>
      <c r="T20" s="65">
        <f>ROUND(1/VLOOKUP(D20,防御塔!$A$2:$N$13,5,FALSE),1)</f>
        <v>0.3</v>
      </c>
      <c r="U20" s="57" t="s">
        <v>207</v>
      </c>
      <c r="W20" s="68" t="s">
        <v>207</v>
      </c>
    </row>
    <row r="21" spans="2:25" x14ac:dyDescent="0.2">
      <c r="B21" s="57" t="s">
        <v>213</v>
      </c>
      <c r="C21" s="57">
        <v>1</v>
      </c>
      <c r="D21" s="57" t="s">
        <v>38</v>
      </c>
      <c r="E21" s="57">
        <v>1</v>
      </c>
      <c r="F21" s="65">
        <f>VLOOKUP(D21,防御塔!$A$2:$N$13,7+C21,FALSE)</f>
        <v>100</v>
      </c>
      <c r="G21" s="57">
        <v>100</v>
      </c>
      <c r="H21" s="57">
        <v>0</v>
      </c>
      <c r="I21" s="57">
        <v>0</v>
      </c>
      <c r="J21" s="57">
        <v>0</v>
      </c>
      <c r="K21" s="57" t="s">
        <v>208</v>
      </c>
      <c r="L21" s="68" t="s">
        <v>85</v>
      </c>
      <c r="M21" s="68" t="s">
        <v>205</v>
      </c>
      <c r="N21" s="68"/>
      <c r="O21" s="65">
        <f>F21*防御塔!$C$8/防御塔!$D$8</f>
        <v>800</v>
      </c>
      <c r="P21" s="57" t="s">
        <v>206</v>
      </c>
      <c r="Q21" s="68" t="s">
        <v>84</v>
      </c>
      <c r="R21" s="68" t="s">
        <v>205</v>
      </c>
      <c r="T21" s="65">
        <f>ROUND(1/VLOOKUP(D21,防御塔!$A$2:$N$13,5,FALSE),1)</f>
        <v>1</v>
      </c>
      <c r="U21" s="57" t="s">
        <v>207</v>
      </c>
      <c r="W21" s="68" t="s">
        <v>207</v>
      </c>
    </row>
    <row r="22" spans="2:25" x14ac:dyDescent="0.2">
      <c r="B22" s="57" t="s">
        <v>213</v>
      </c>
      <c r="C22" s="57">
        <v>2</v>
      </c>
      <c r="D22" s="57" t="s">
        <v>38</v>
      </c>
      <c r="E22" s="57">
        <v>1</v>
      </c>
      <c r="F22" s="65">
        <f>VLOOKUP(D22,防御塔!$A$2:$N$13,7+C22,FALSE)</f>
        <v>450</v>
      </c>
      <c r="G22" s="57">
        <v>100</v>
      </c>
      <c r="H22" s="57">
        <v>0</v>
      </c>
      <c r="I22" s="57">
        <v>0</v>
      </c>
      <c r="J22" s="57">
        <v>0</v>
      </c>
      <c r="K22" s="57" t="s">
        <v>208</v>
      </c>
      <c r="L22" s="68" t="s">
        <v>85</v>
      </c>
      <c r="M22" s="68" t="s">
        <v>205</v>
      </c>
      <c r="N22" s="68"/>
      <c r="O22" s="65">
        <f>F22*防御塔!$C$8/防御塔!$D$8</f>
        <v>3600</v>
      </c>
      <c r="P22" s="57" t="s">
        <v>206</v>
      </c>
      <c r="Q22" s="68" t="s">
        <v>84</v>
      </c>
      <c r="R22" s="68" t="s">
        <v>205</v>
      </c>
      <c r="T22" s="65">
        <f>ROUND(1/VLOOKUP(D22,防御塔!$A$2:$N$13,5,FALSE),1)</f>
        <v>1</v>
      </c>
      <c r="U22" s="57" t="s">
        <v>207</v>
      </c>
      <c r="W22" s="68" t="s">
        <v>207</v>
      </c>
    </row>
    <row r="23" spans="2:25" x14ac:dyDescent="0.2">
      <c r="B23" s="57" t="s">
        <v>213</v>
      </c>
      <c r="C23" s="57">
        <v>3</v>
      </c>
      <c r="D23" s="57" t="s">
        <v>38</v>
      </c>
      <c r="E23" s="57">
        <v>1</v>
      </c>
      <c r="F23" s="65">
        <f>VLOOKUP(D23,防御塔!$A$2:$N$13,7+C23,FALSE)</f>
        <v>900</v>
      </c>
      <c r="G23" s="57">
        <v>100</v>
      </c>
      <c r="H23" s="57">
        <v>0</v>
      </c>
      <c r="I23" s="57">
        <v>0</v>
      </c>
      <c r="J23" s="57">
        <v>0</v>
      </c>
      <c r="K23" s="57" t="s">
        <v>208</v>
      </c>
      <c r="L23" s="68" t="s">
        <v>85</v>
      </c>
      <c r="M23" s="68" t="s">
        <v>205</v>
      </c>
      <c r="N23" s="68"/>
      <c r="O23" s="65">
        <f>F23*防御塔!$C$8/防御塔!$D$8</f>
        <v>7200</v>
      </c>
      <c r="P23" s="57" t="s">
        <v>206</v>
      </c>
      <c r="Q23" s="68" t="s">
        <v>84</v>
      </c>
      <c r="R23" s="68" t="s">
        <v>205</v>
      </c>
      <c r="T23" s="65">
        <f>ROUND(1/VLOOKUP(D23,防御塔!$A$2:$N$13,5,FALSE),1)</f>
        <v>1</v>
      </c>
      <c r="U23" s="57" t="s">
        <v>207</v>
      </c>
      <c r="W23" s="68" t="s">
        <v>207</v>
      </c>
    </row>
    <row r="24" spans="2:25" x14ac:dyDescent="0.2">
      <c r="B24" s="57" t="s">
        <v>214</v>
      </c>
      <c r="C24" s="57">
        <v>1</v>
      </c>
      <c r="D24" s="57" t="s">
        <v>39</v>
      </c>
      <c r="E24" s="57">
        <v>1</v>
      </c>
      <c r="F24" s="65">
        <f>VLOOKUP(D24,防御塔!$A$2:$N$13,7+C24,FALSE)</f>
        <v>12</v>
      </c>
      <c r="G24" s="57">
        <v>100</v>
      </c>
      <c r="H24" s="57">
        <v>0</v>
      </c>
      <c r="I24" s="57">
        <v>0</v>
      </c>
      <c r="J24" s="57">
        <v>0</v>
      </c>
      <c r="K24" s="57" t="s">
        <v>208</v>
      </c>
      <c r="L24" s="68" t="s">
        <v>85</v>
      </c>
      <c r="M24" s="68" t="s">
        <v>205</v>
      </c>
      <c r="N24" s="68"/>
      <c r="O24" s="65">
        <f t="shared" si="0"/>
        <v>12</v>
      </c>
      <c r="P24" s="57" t="s">
        <v>206</v>
      </c>
      <c r="Q24" s="68" t="s">
        <v>84</v>
      </c>
      <c r="R24" s="68" t="s">
        <v>205</v>
      </c>
      <c r="T24" s="65">
        <f>ROUND(1/VLOOKUP(D24,防御塔!$A$2:$N$13,5,FALSE),1)</f>
        <v>1</v>
      </c>
      <c r="U24" s="57" t="s">
        <v>215</v>
      </c>
      <c r="V24" s="68" t="s">
        <v>41</v>
      </c>
      <c r="W24" s="68" t="s">
        <v>216</v>
      </c>
      <c r="Y24" s="65">
        <f>VLOOKUP(D24,防御塔!$A$2:$N$13,11+UnitPropertyCfg!C24,FALSE)*100</f>
        <v>25</v>
      </c>
    </row>
    <row r="25" spans="2:25" x14ac:dyDescent="0.2">
      <c r="B25" s="57" t="s">
        <v>214</v>
      </c>
      <c r="C25" s="57">
        <v>2</v>
      </c>
      <c r="D25" s="57" t="s">
        <v>39</v>
      </c>
      <c r="E25" s="57">
        <v>1</v>
      </c>
      <c r="F25" s="65">
        <f>VLOOKUP(D25,防御塔!$A$2:$N$13,7+C25,FALSE)</f>
        <v>54</v>
      </c>
      <c r="G25" s="57">
        <v>100</v>
      </c>
      <c r="H25" s="57">
        <v>0</v>
      </c>
      <c r="I25" s="57">
        <v>0</v>
      </c>
      <c r="J25" s="57">
        <v>0</v>
      </c>
      <c r="K25" s="57" t="s">
        <v>208</v>
      </c>
      <c r="L25" s="68" t="s">
        <v>85</v>
      </c>
      <c r="M25" s="68" t="s">
        <v>205</v>
      </c>
      <c r="N25" s="68"/>
      <c r="O25" s="65">
        <f t="shared" si="0"/>
        <v>54</v>
      </c>
      <c r="P25" s="57" t="s">
        <v>206</v>
      </c>
      <c r="Q25" s="68" t="s">
        <v>84</v>
      </c>
      <c r="R25" s="68" t="s">
        <v>205</v>
      </c>
      <c r="T25" s="65">
        <f>ROUND(1/VLOOKUP(D25,防御塔!$A$2:$N$13,5,FALSE),1)</f>
        <v>1</v>
      </c>
      <c r="U25" s="57" t="s">
        <v>215</v>
      </c>
      <c r="V25" s="68" t="s">
        <v>41</v>
      </c>
      <c r="W25" s="68" t="s">
        <v>216</v>
      </c>
      <c r="Y25" s="65">
        <f>VLOOKUP(D25,防御塔!$A$2:$N$13,11+UnitPropertyCfg!C25,FALSE)*100</f>
        <v>40</v>
      </c>
    </row>
    <row r="26" spans="2:25" x14ac:dyDescent="0.2">
      <c r="B26" s="57" t="s">
        <v>214</v>
      </c>
      <c r="C26" s="57">
        <v>3</v>
      </c>
      <c r="D26" s="57" t="s">
        <v>39</v>
      </c>
      <c r="E26" s="57">
        <v>1</v>
      </c>
      <c r="F26" s="65">
        <f>VLOOKUP(D26,防御塔!$A$2:$N$13,7+C26,FALSE)</f>
        <v>216</v>
      </c>
      <c r="G26" s="57">
        <v>100</v>
      </c>
      <c r="H26" s="57">
        <v>0</v>
      </c>
      <c r="I26" s="57">
        <v>0</v>
      </c>
      <c r="J26" s="57">
        <v>0</v>
      </c>
      <c r="K26" s="57" t="s">
        <v>208</v>
      </c>
      <c r="L26" s="68" t="s">
        <v>85</v>
      </c>
      <c r="M26" s="68" t="s">
        <v>205</v>
      </c>
      <c r="N26" s="68"/>
      <c r="O26" s="65">
        <f t="shared" si="0"/>
        <v>216</v>
      </c>
      <c r="P26" s="57" t="s">
        <v>206</v>
      </c>
      <c r="Q26" s="68" t="s">
        <v>84</v>
      </c>
      <c r="R26" s="68" t="s">
        <v>205</v>
      </c>
      <c r="T26" s="65">
        <f>ROUND(1/VLOOKUP(D26,防御塔!$A$2:$N$13,5,FALSE),1)</f>
        <v>1</v>
      </c>
      <c r="U26" s="57" t="s">
        <v>215</v>
      </c>
      <c r="V26" s="68" t="s">
        <v>41</v>
      </c>
      <c r="W26" s="68" t="s">
        <v>216</v>
      </c>
      <c r="Y26" s="65">
        <f>VLOOKUP(D26,防御塔!$A$2:$N$13,11+UnitPropertyCfg!C26,FALSE)*100</f>
        <v>50</v>
      </c>
    </row>
    <row r="27" spans="2:25" x14ac:dyDescent="0.2">
      <c r="B27" s="57" t="s">
        <v>217</v>
      </c>
      <c r="C27" s="57">
        <v>1</v>
      </c>
      <c r="D27" s="57" t="s">
        <v>40</v>
      </c>
      <c r="E27" s="57">
        <v>1</v>
      </c>
      <c r="F27" s="65">
        <f>VLOOKUP(D27,防御塔!$A$2:$N$13,7+C27,FALSE)</f>
        <v>15</v>
      </c>
      <c r="G27" s="57">
        <v>100</v>
      </c>
      <c r="H27" s="57">
        <v>0</v>
      </c>
      <c r="I27" s="57">
        <v>0</v>
      </c>
      <c r="J27" s="57">
        <v>0</v>
      </c>
      <c r="K27" s="57" t="s">
        <v>218</v>
      </c>
      <c r="L27" s="68" t="s">
        <v>219</v>
      </c>
      <c r="M27" s="68" t="s">
        <v>216</v>
      </c>
      <c r="N27" s="68"/>
      <c r="O27" s="65">
        <f>ROUND(1/(1-VLOOKUP(D27,防御塔!$A$2:$N$13,UnitPropertyCfg!C27+11,FALSE))-1,1)*100</f>
        <v>40</v>
      </c>
      <c r="P27" s="68"/>
      <c r="Q27" s="68"/>
      <c r="R27" s="68" t="s">
        <v>207</v>
      </c>
      <c r="U27" s="57" t="s">
        <v>207</v>
      </c>
      <c r="V27" s="68"/>
      <c r="W27" s="68" t="s">
        <v>207</v>
      </c>
    </row>
    <row r="28" spans="2:25" x14ac:dyDescent="0.2">
      <c r="B28" s="57" t="s">
        <v>217</v>
      </c>
      <c r="C28" s="57">
        <v>2</v>
      </c>
      <c r="D28" s="57" t="s">
        <v>40</v>
      </c>
      <c r="E28" s="57">
        <v>1</v>
      </c>
      <c r="F28" s="65">
        <f>VLOOKUP(D28,防御塔!$A$2:$N$13,7+C28,FALSE)</f>
        <v>67</v>
      </c>
      <c r="G28" s="57">
        <v>100</v>
      </c>
      <c r="H28" s="57">
        <v>0</v>
      </c>
      <c r="I28" s="57">
        <v>0</v>
      </c>
      <c r="J28" s="57">
        <v>0</v>
      </c>
      <c r="K28" s="57" t="s">
        <v>218</v>
      </c>
      <c r="L28" s="68" t="s">
        <v>219</v>
      </c>
      <c r="M28" s="68" t="s">
        <v>216</v>
      </c>
      <c r="N28" s="68"/>
      <c r="O28" s="65">
        <f>ROUND(1/(1-VLOOKUP(D28,防御塔!$A$2:$N$13,UnitPropertyCfg!C28+11,FALSE))-1,1)*100</f>
        <v>100</v>
      </c>
      <c r="P28" s="68"/>
      <c r="Q28" s="68"/>
      <c r="R28" s="68" t="s">
        <v>207</v>
      </c>
      <c r="U28" s="57" t="s">
        <v>207</v>
      </c>
      <c r="V28" s="68"/>
      <c r="W28" s="68" t="s">
        <v>207</v>
      </c>
    </row>
    <row r="29" spans="2:25" x14ac:dyDescent="0.2">
      <c r="B29" s="57" t="s">
        <v>217</v>
      </c>
      <c r="C29" s="57">
        <v>3</v>
      </c>
      <c r="D29" s="57" t="s">
        <v>40</v>
      </c>
      <c r="E29" s="57">
        <v>1</v>
      </c>
      <c r="F29" s="65">
        <f>VLOOKUP(D29,防御塔!$A$2:$N$13,7+C29,FALSE)</f>
        <v>270</v>
      </c>
      <c r="G29" s="57">
        <v>100</v>
      </c>
      <c r="H29" s="57">
        <v>0</v>
      </c>
      <c r="I29" s="57">
        <v>0</v>
      </c>
      <c r="J29" s="57">
        <v>0</v>
      </c>
      <c r="K29" s="57" t="s">
        <v>218</v>
      </c>
      <c r="L29" s="68" t="s">
        <v>219</v>
      </c>
      <c r="M29" s="68" t="s">
        <v>216</v>
      </c>
      <c r="N29" s="68"/>
      <c r="O29" s="65">
        <f>ROUND(1/(1-VLOOKUP(D29,防御塔!$A$2:$N$13,UnitPropertyCfg!C29+11,FALSE))-1,1)*100</f>
        <v>150</v>
      </c>
      <c r="P29" s="68"/>
      <c r="Q29" s="68"/>
      <c r="R29" s="68" t="s">
        <v>207</v>
      </c>
      <c r="U29" s="57" t="s">
        <v>207</v>
      </c>
      <c r="V29" s="68"/>
      <c r="W29" s="68" t="s">
        <v>207</v>
      </c>
    </row>
    <row r="30" spans="2:25" x14ac:dyDescent="0.2">
      <c r="B30" s="57" t="s">
        <v>1556</v>
      </c>
      <c r="C30" s="57">
        <v>1</v>
      </c>
      <c r="D30" s="57" t="s">
        <v>1534</v>
      </c>
      <c r="E30" s="57">
        <v>1</v>
      </c>
      <c r="F30" s="65">
        <f>VLOOKUP(D30,防御塔!$A$2:$N$13,7+C30,FALSE)</f>
        <v>50</v>
      </c>
      <c r="G30" s="57">
        <v>200</v>
      </c>
      <c r="H30" s="57">
        <v>0</v>
      </c>
      <c r="I30" s="57">
        <v>0</v>
      </c>
      <c r="J30" s="57">
        <v>0</v>
      </c>
      <c r="K30" s="57" t="s">
        <v>208</v>
      </c>
      <c r="L30" s="68" t="s">
        <v>1540</v>
      </c>
      <c r="M30" s="68" t="s">
        <v>205</v>
      </c>
      <c r="N30" s="68"/>
      <c r="O30" s="65">
        <f t="shared" ref="O30:O35" si="1">F30</f>
        <v>50</v>
      </c>
      <c r="P30" s="57" t="s">
        <v>206</v>
      </c>
      <c r="Q30" s="68" t="s">
        <v>84</v>
      </c>
      <c r="R30" s="68" t="s">
        <v>205</v>
      </c>
      <c r="T30" s="65">
        <f>ROUND(1/VLOOKUP(D30,防御塔!$A$2:$N$13,5,FALSE),1)</f>
        <v>1</v>
      </c>
      <c r="U30" s="57" t="s">
        <v>1541</v>
      </c>
      <c r="V30" s="68" t="s">
        <v>1537</v>
      </c>
      <c r="W30" s="68" t="s">
        <v>216</v>
      </c>
      <c r="Y30" s="65">
        <f>VLOOKUP(D30,防御塔!$A$2:$N$13,11+UnitPropertyCfg!C30,FALSE)*100</f>
        <v>1</v>
      </c>
    </row>
    <row r="31" spans="2:25" x14ac:dyDescent="0.2">
      <c r="B31" s="57" t="s">
        <v>1556</v>
      </c>
      <c r="C31" s="57">
        <v>2</v>
      </c>
      <c r="D31" s="57" t="s">
        <v>1534</v>
      </c>
      <c r="E31" s="57">
        <v>1</v>
      </c>
      <c r="F31" s="65">
        <f>VLOOKUP(D31,防御塔!$A$2:$N$13,7+C31,FALSE)</f>
        <v>225</v>
      </c>
      <c r="G31" s="57">
        <v>200</v>
      </c>
      <c r="H31" s="57">
        <v>0</v>
      </c>
      <c r="I31" s="57">
        <v>0</v>
      </c>
      <c r="J31" s="57">
        <v>0</v>
      </c>
      <c r="K31" s="57" t="s">
        <v>208</v>
      </c>
      <c r="L31" s="68" t="s">
        <v>1540</v>
      </c>
      <c r="M31" s="68" t="s">
        <v>205</v>
      </c>
      <c r="N31" s="68"/>
      <c r="O31" s="65">
        <f t="shared" si="1"/>
        <v>225</v>
      </c>
      <c r="P31" s="57" t="s">
        <v>206</v>
      </c>
      <c r="Q31" s="68" t="s">
        <v>84</v>
      </c>
      <c r="R31" s="68" t="s">
        <v>205</v>
      </c>
      <c r="T31" s="65">
        <f>ROUND(1/VLOOKUP(D31,防御塔!$A$2:$N$13,5,FALSE),1)</f>
        <v>1</v>
      </c>
      <c r="U31" s="57" t="s">
        <v>1541</v>
      </c>
      <c r="V31" s="68" t="s">
        <v>1537</v>
      </c>
      <c r="W31" s="68" t="s">
        <v>216</v>
      </c>
      <c r="Y31" s="65">
        <f>VLOOKUP(D31,防御塔!$A$2:$N$13,11+UnitPropertyCfg!C31,FALSE)*100</f>
        <v>2</v>
      </c>
    </row>
    <row r="32" spans="2:25" x14ac:dyDescent="0.2">
      <c r="B32" s="57" t="s">
        <v>1556</v>
      </c>
      <c r="C32" s="57">
        <v>3</v>
      </c>
      <c r="D32" s="57" t="s">
        <v>1534</v>
      </c>
      <c r="E32" s="57">
        <v>1</v>
      </c>
      <c r="F32" s="65">
        <f>VLOOKUP(D32,防御塔!$A$2:$N$13,7+C32,FALSE)</f>
        <v>300</v>
      </c>
      <c r="G32" s="57">
        <v>200</v>
      </c>
      <c r="H32" s="57">
        <v>0</v>
      </c>
      <c r="I32" s="57">
        <v>0</v>
      </c>
      <c r="J32" s="57">
        <v>0</v>
      </c>
      <c r="K32" s="57" t="s">
        <v>208</v>
      </c>
      <c r="L32" s="68" t="s">
        <v>1540</v>
      </c>
      <c r="M32" s="68" t="s">
        <v>205</v>
      </c>
      <c r="N32" s="68"/>
      <c r="O32" s="65">
        <f t="shared" si="1"/>
        <v>300</v>
      </c>
      <c r="P32" s="57" t="s">
        <v>206</v>
      </c>
      <c r="Q32" s="68" t="s">
        <v>84</v>
      </c>
      <c r="R32" s="68" t="s">
        <v>205</v>
      </c>
      <c r="T32" s="65">
        <f>ROUND(1/VLOOKUP(D32,防御塔!$A$2:$N$13,5,FALSE),1)</f>
        <v>1</v>
      </c>
      <c r="U32" s="57" t="s">
        <v>1541</v>
      </c>
      <c r="V32" s="68" t="s">
        <v>1537</v>
      </c>
      <c r="W32" s="68" t="s">
        <v>216</v>
      </c>
      <c r="Y32" s="65">
        <f>VLOOKUP(D32,防御塔!$A$2:$N$13,11+UnitPropertyCfg!C32,FALSE)*100</f>
        <v>3</v>
      </c>
    </row>
    <row r="33" spans="2:28" x14ac:dyDescent="0.2">
      <c r="B33" s="57" t="s">
        <v>1584</v>
      </c>
      <c r="C33" s="57">
        <v>1</v>
      </c>
      <c r="D33" s="57" t="s">
        <v>1535</v>
      </c>
      <c r="E33" s="57">
        <v>1</v>
      </c>
      <c r="F33" s="65">
        <f>VLOOKUP(D33,防御塔!$A$2:$N$13,7+C33,FALSE)</f>
        <v>62</v>
      </c>
      <c r="G33" s="57">
        <v>200</v>
      </c>
      <c r="H33" s="57">
        <v>0</v>
      </c>
      <c r="I33" s="57">
        <v>0</v>
      </c>
      <c r="J33" s="57">
        <v>0</v>
      </c>
      <c r="K33" s="57" t="s">
        <v>208</v>
      </c>
      <c r="L33" s="68" t="s">
        <v>85</v>
      </c>
      <c r="M33" s="68" t="s">
        <v>205</v>
      </c>
      <c r="N33" s="68"/>
      <c r="O33" s="65">
        <f t="shared" si="1"/>
        <v>62</v>
      </c>
      <c r="P33" s="57" t="s">
        <v>206</v>
      </c>
      <c r="Q33" s="68" t="s">
        <v>84</v>
      </c>
      <c r="R33" s="68" t="s">
        <v>205</v>
      </c>
      <c r="T33" s="65">
        <f>ROUND(1/VLOOKUP(D33,防御塔!$A$2:$N$13,5,FALSE),1)</f>
        <v>1</v>
      </c>
      <c r="U33" s="57" t="s">
        <v>1585</v>
      </c>
      <c r="V33" s="68" t="s">
        <v>1583</v>
      </c>
      <c r="W33" s="68" t="s">
        <v>205</v>
      </c>
      <c r="Y33" s="65">
        <f>VLOOKUP(D33,防御塔!$A$2:$N$13,11+UnitPropertyCfg!C33,FALSE)</f>
        <v>1</v>
      </c>
    </row>
    <row r="34" spans="2:28" x14ac:dyDescent="0.2">
      <c r="B34" s="57" t="s">
        <v>1584</v>
      </c>
      <c r="C34" s="57">
        <v>2</v>
      </c>
      <c r="D34" s="57" t="s">
        <v>1535</v>
      </c>
      <c r="E34" s="57">
        <v>1</v>
      </c>
      <c r="F34" s="65">
        <f>VLOOKUP(D34,防御塔!$A$2:$N$13,7+C34,FALSE)</f>
        <v>279</v>
      </c>
      <c r="G34" s="57">
        <v>200</v>
      </c>
      <c r="H34" s="57">
        <v>0</v>
      </c>
      <c r="I34" s="57">
        <v>0</v>
      </c>
      <c r="J34" s="57">
        <v>0</v>
      </c>
      <c r="K34" s="57" t="s">
        <v>208</v>
      </c>
      <c r="L34" s="68" t="s">
        <v>85</v>
      </c>
      <c r="M34" s="68" t="s">
        <v>205</v>
      </c>
      <c r="N34" s="68"/>
      <c r="O34" s="65">
        <f t="shared" si="1"/>
        <v>279</v>
      </c>
      <c r="P34" s="57" t="s">
        <v>206</v>
      </c>
      <c r="Q34" s="68" t="s">
        <v>84</v>
      </c>
      <c r="R34" s="68" t="s">
        <v>205</v>
      </c>
      <c r="T34" s="65">
        <f>ROUND(1/VLOOKUP(D34,防御塔!$A$2:$N$13,5,FALSE),1)</f>
        <v>1</v>
      </c>
      <c r="U34" s="57" t="s">
        <v>1585</v>
      </c>
      <c r="V34" s="68" t="s">
        <v>1583</v>
      </c>
      <c r="W34" s="68" t="s">
        <v>205</v>
      </c>
      <c r="Y34" s="65">
        <f>VLOOKUP(D34,防御塔!$A$2:$N$13,11+UnitPropertyCfg!C34,FALSE)</f>
        <v>4</v>
      </c>
    </row>
    <row r="35" spans="2:28" x14ac:dyDescent="0.2">
      <c r="B35" s="57" t="s">
        <v>1584</v>
      </c>
      <c r="C35" s="57">
        <v>3</v>
      </c>
      <c r="D35" s="57" t="s">
        <v>1535</v>
      </c>
      <c r="E35" s="57">
        <v>1</v>
      </c>
      <c r="F35" s="65">
        <f>VLOOKUP(D35,防御塔!$A$2:$N$13,7+C35,FALSE)</f>
        <v>558</v>
      </c>
      <c r="G35" s="57">
        <v>200</v>
      </c>
      <c r="H35" s="57">
        <v>0</v>
      </c>
      <c r="I35" s="57">
        <v>0</v>
      </c>
      <c r="J35" s="57">
        <v>0</v>
      </c>
      <c r="K35" s="57" t="s">
        <v>208</v>
      </c>
      <c r="L35" s="68" t="s">
        <v>85</v>
      </c>
      <c r="M35" s="68" t="s">
        <v>205</v>
      </c>
      <c r="N35" s="68"/>
      <c r="O35" s="65">
        <f t="shared" si="1"/>
        <v>558</v>
      </c>
      <c r="P35" s="57" t="s">
        <v>206</v>
      </c>
      <c r="Q35" s="68" t="s">
        <v>84</v>
      </c>
      <c r="R35" s="68" t="s">
        <v>205</v>
      </c>
      <c r="T35" s="65">
        <f>ROUND(1/VLOOKUP(D35,防御塔!$A$2:$N$13,5,FALSE),1)</f>
        <v>1</v>
      </c>
      <c r="U35" s="57" t="s">
        <v>1585</v>
      </c>
      <c r="V35" s="68" t="s">
        <v>1583</v>
      </c>
      <c r="W35" s="68" t="s">
        <v>205</v>
      </c>
      <c r="Y35" s="65">
        <f>VLOOKUP(D35,防御塔!$A$2:$N$13,11+UnitPropertyCfg!C35,FALSE)</f>
        <v>15</v>
      </c>
    </row>
    <row r="36" spans="2:28" x14ac:dyDescent="0.2">
      <c r="B36" s="57" t="s">
        <v>1595</v>
      </c>
      <c r="C36" s="57">
        <v>1</v>
      </c>
      <c r="D36" s="57" t="s">
        <v>1586</v>
      </c>
      <c r="E36" s="57">
        <v>1</v>
      </c>
      <c r="F36" s="65">
        <f>VLOOKUP(D36,防御塔!$A$2:$N$13,7+C36,FALSE)</f>
        <v>2000</v>
      </c>
      <c r="G36" s="57">
        <v>200</v>
      </c>
      <c r="H36" s="57">
        <v>0</v>
      </c>
      <c r="I36" s="57">
        <v>0</v>
      </c>
      <c r="J36" s="57">
        <v>0</v>
      </c>
      <c r="K36" s="57" t="s">
        <v>208</v>
      </c>
      <c r="L36" s="68" t="s">
        <v>85</v>
      </c>
      <c r="M36" s="68" t="s">
        <v>205</v>
      </c>
      <c r="N36" s="68"/>
      <c r="O36" s="65">
        <f t="shared" ref="O36:O38" si="2">F36</f>
        <v>2000</v>
      </c>
      <c r="Q36" s="68"/>
      <c r="R36" s="68"/>
      <c r="T36" s="65"/>
      <c r="V36" s="68"/>
      <c r="W36" s="68"/>
    </row>
    <row r="37" spans="2:28" x14ac:dyDescent="0.2">
      <c r="B37" s="57" t="s">
        <v>1595</v>
      </c>
      <c r="C37" s="57">
        <v>2</v>
      </c>
      <c r="D37" s="57" t="s">
        <v>1586</v>
      </c>
      <c r="E37" s="57">
        <v>1</v>
      </c>
      <c r="F37" s="65">
        <f>VLOOKUP(D37,防御塔!$A$2:$N$13,7+C37,FALSE)</f>
        <v>9000</v>
      </c>
      <c r="G37" s="57">
        <v>200</v>
      </c>
      <c r="H37" s="57">
        <v>0</v>
      </c>
      <c r="I37" s="57">
        <v>0</v>
      </c>
      <c r="J37" s="57">
        <v>0</v>
      </c>
      <c r="K37" s="57" t="s">
        <v>208</v>
      </c>
      <c r="L37" s="68" t="s">
        <v>85</v>
      </c>
      <c r="M37" s="68" t="s">
        <v>205</v>
      </c>
      <c r="N37" s="68"/>
      <c r="O37" s="65">
        <f t="shared" si="2"/>
        <v>9000</v>
      </c>
      <c r="Q37" s="68"/>
      <c r="R37" s="68"/>
      <c r="T37" s="65"/>
      <c r="V37" s="68"/>
      <c r="W37" s="68"/>
    </row>
    <row r="38" spans="2:28" x14ac:dyDescent="0.2">
      <c r="B38" s="57" t="s">
        <v>1595</v>
      </c>
      <c r="C38" s="57">
        <v>3</v>
      </c>
      <c r="D38" s="57" t="s">
        <v>1586</v>
      </c>
      <c r="E38" s="57">
        <v>1</v>
      </c>
      <c r="F38" s="65">
        <f>VLOOKUP(D38,防御塔!$A$2:$N$13,7+C38,FALSE)</f>
        <v>36000</v>
      </c>
      <c r="G38" s="57">
        <v>200</v>
      </c>
      <c r="H38" s="57">
        <v>0</v>
      </c>
      <c r="I38" s="57">
        <v>0</v>
      </c>
      <c r="J38" s="57">
        <v>0</v>
      </c>
      <c r="K38" s="57" t="s">
        <v>208</v>
      </c>
      <c r="L38" s="68" t="s">
        <v>85</v>
      </c>
      <c r="M38" s="68" t="s">
        <v>205</v>
      </c>
      <c r="N38" s="68"/>
      <c r="O38" s="65">
        <f t="shared" si="2"/>
        <v>36000</v>
      </c>
      <c r="P38" s="6" t="s">
        <v>1596</v>
      </c>
      <c r="Q38" s="68" t="s">
        <v>388</v>
      </c>
      <c r="R38" s="6" t="s">
        <v>1598</v>
      </c>
      <c r="T38" s="133">
        <v>3</v>
      </c>
      <c r="V38" s="68"/>
      <c r="W38" s="68"/>
    </row>
    <row r="40" spans="2:28" x14ac:dyDescent="0.2">
      <c r="B40" s="68" t="s">
        <v>1427</v>
      </c>
      <c r="C40" s="57">
        <v>1</v>
      </c>
      <c r="D40" s="57" t="s">
        <v>1429</v>
      </c>
      <c r="E40" s="102">
        <f>VLOOKUP(Z40,新手关卡!$A$3:$X$5,3+5*AA40,FALSE)</f>
        <v>208</v>
      </c>
      <c r="F40" s="57">
        <v>1</v>
      </c>
      <c r="G40" s="57">
        <v>0</v>
      </c>
      <c r="H40" s="57">
        <v>0</v>
      </c>
      <c r="I40" s="57">
        <v>0</v>
      </c>
      <c r="Z40" s="110">
        <v>1</v>
      </c>
      <c r="AA40" s="110">
        <v>1</v>
      </c>
      <c r="AB40" s="110"/>
    </row>
    <row r="41" spans="2:28" x14ac:dyDescent="0.2">
      <c r="B41" s="57" t="s">
        <v>1419</v>
      </c>
      <c r="C41" s="57">
        <v>1</v>
      </c>
      <c r="D41" s="57" t="s">
        <v>1430</v>
      </c>
      <c r="E41" s="102">
        <f>VLOOKUP(Z41,新手关卡!$A$3:$X$5,3+5*AA41,FALSE)</f>
        <v>321</v>
      </c>
      <c r="F41" s="57">
        <v>1</v>
      </c>
      <c r="G41" s="57">
        <v>0</v>
      </c>
      <c r="H41" s="57">
        <v>0</v>
      </c>
      <c r="I41" s="57">
        <v>0</v>
      </c>
      <c r="Z41" s="110">
        <v>2</v>
      </c>
      <c r="AA41" s="110">
        <v>1</v>
      </c>
      <c r="AB41" s="110"/>
    </row>
    <row r="42" spans="2:28" x14ac:dyDescent="0.2">
      <c r="B42" s="57" t="s">
        <v>1420</v>
      </c>
      <c r="C42" s="57">
        <v>1</v>
      </c>
      <c r="D42" s="57" t="s">
        <v>1431</v>
      </c>
      <c r="E42" s="102">
        <f>VLOOKUP(Z42,新手关卡!$A$3:$X$5,3+5*AA42,FALSE)</f>
        <v>110</v>
      </c>
      <c r="F42" s="57">
        <v>1</v>
      </c>
      <c r="G42" s="57">
        <v>0</v>
      </c>
      <c r="H42" s="57">
        <v>0</v>
      </c>
      <c r="I42" s="57">
        <v>0</v>
      </c>
      <c r="Z42" s="110">
        <v>3</v>
      </c>
      <c r="AA42" s="110">
        <v>1</v>
      </c>
      <c r="AB42" s="110"/>
    </row>
    <row r="43" spans="2:28" x14ac:dyDescent="0.2">
      <c r="B43" s="57" t="s">
        <v>1421</v>
      </c>
      <c r="C43" s="57">
        <v>1</v>
      </c>
      <c r="D43" s="57" t="s">
        <v>1432</v>
      </c>
      <c r="E43" s="102">
        <f>VLOOKUP(Z43,新手关卡!$A$3:$X$5,3+5*AA43,FALSE)</f>
        <v>440</v>
      </c>
      <c r="F43" s="57">
        <v>1</v>
      </c>
      <c r="G43" s="57">
        <v>0</v>
      </c>
      <c r="H43" s="57">
        <v>0</v>
      </c>
      <c r="I43" s="57">
        <v>0</v>
      </c>
      <c r="Z43" s="110">
        <v>3</v>
      </c>
      <c r="AA43" s="110">
        <v>2</v>
      </c>
      <c r="AB43" s="110"/>
    </row>
    <row r="44" spans="2:28" x14ac:dyDescent="0.2">
      <c r="B44" s="57" t="s">
        <v>1428</v>
      </c>
      <c r="C44" s="57">
        <v>1</v>
      </c>
      <c r="D44" s="57" t="s">
        <v>1433</v>
      </c>
      <c r="E44" s="102">
        <f>VLOOKUP(Z44,新手关卡!$A$3:$X$5,3+5*AA44,FALSE)</f>
        <v>220</v>
      </c>
      <c r="F44" s="57">
        <v>1</v>
      </c>
      <c r="G44" s="57">
        <v>0</v>
      </c>
      <c r="H44" s="57">
        <v>0</v>
      </c>
      <c r="I44" s="57">
        <v>0</v>
      </c>
      <c r="Z44" s="110">
        <v>3</v>
      </c>
      <c r="AA44" s="110">
        <v>3</v>
      </c>
      <c r="AB44" s="110"/>
    </row>
    <row r="45" spans="2:28" x14ac:dyDescent="0.2">
      <c r="E45" s="102"/>
    </row>
    <row r="46" spans="2:28" x14ac:dyDescent="0.2">
      <c r="E46" s="102"/>
    </row>
    <row r="47" spans="2:28" x14ac:dyDescent="0.2">
      <c r="E47" s="102"/>
    </row>
    <row r="48" spans="2:28" x14ac:dyDescent="0.2">
      <c r="E48" s="102"/>
    </row>
    <row r="49" spans="2:9" x14ac:dyDescent="0.2">
      <c r="B49" s="57" t="s">
        <v>528</v>
      </c>
      <c r="C49" s="57">
        <v>1</v>
      </c>
      <c r="D49" s="57" t="s">
        <v>571</v>
      </c>
      <c r="E49" s="102">
        <f>VLOOKUP(VLOOKUP(B49,MonsterWaveCallRuleCfg!$L$23:$Q$102,5,FALSE),无限模式!$A$3:$X$22,3+VLOOKUP(B49,MonsterWaveCallRuleCfg!$L$23:$Q$102,6,FALSE)*5,FALSE)</f>
        <v>346</v>
      </c>
      <c r="F49" s="57">
        <v>1</v>
      </c>
      <c r="G49" s="57">
        <v>0</v>
      </c>
      <c r="H49" s="57">
        <v>0</v>
      </c>
      <c r="I49" s="57">
        <v>0</v>
      </c>
    </row>
    <row r="50" spans="2:9" x14ac:dyDescent="0.2">
      <c r="B50" s="57" t="s">
        <v>529</v>
      </c>
      <c r="C50" s="57">
        <v>1</v>
      </c>
      <c r="D50" s="57" t="s">
        <v>571</v>
      </c>
      <c r="E50" s="102">
        <f>VLOOKUP(VLOOKUP(B50,MonsterWaveCallRuleCfg!$L$23:$Q$102,5,FALSE),无限模式!$A$3:$X$22,3+VLOOKUP(B50,MonsterWaveCallRuleCfg!$L$23:$Q$102,6,FALSE)*5,FALSE)</f>
        <v>322</v>
      </c>
      <c r="F50" s="57">
        <v>1</v>
      </c>
      <c r="G50" s="57">
        <v>0</v>
      </c>
      <c r="H50" s="57">
        <v>0</v>
      </c>
      <c r="I50" s="57">
        <v>0</v>
      </c>
    </row>
    <row r="51" spans="2:9" x14ac:dyDescent="0.2">
      <c r="B51" s="57" t="s">
        <v>565</v>
      </c>
      <c r="C51" s="57">
        <v>1</v>
      </c>
      <c r="D51" s="57" t="s">
        <v>571</v>
      </c>
      <c r="E51" s="102">
        <f>VLOOKUP(VLOOKUP(B51,MonsterWaveCallRuleCfg!$L$23:$Q$102,5,FALSE),无限模式!$A$3:$X$22,3+VLOOKUP(B51,MonsterWaveCallRuleCfg!$L$23:$Q$102,6,FALSE)*5,FALSE)</f>
        <v>1289</v>
      </c>
      <c r="F51" s="57">
        <v>1</v>
      </c>
      <c r="G51" s="57">
        <v>0</v>
      </c>
      <c r="H51" s="57">
        <v>0</v>
      </c>
      <c r="I51" s="57">
        <v>0</v>
      </c>
    </row>
    <row r="52" spans="2:9" x14ac:dyDescent="0.2">
      <c r="B52" s="57" t="s">
        <v>530</v>
      </c>
      <c r="C52" s="57">
        <v>1</v>
      </c>
      <c r="D52" s="57" t="s">
        <v>571</v>
      </c>
      <c r="E52" s="102">
        <f>VLOOKUP(VLOOKUP(B52,MonsterWaveCallRuleCfg!$L$23:$Q$102,5,FALSE),无限模式!$A$3:$X$22,3+VLOOKUP(B52,MonsterWaveCallRuleCfg!$L$23:$Q$102,6,FALSE)*5,FALSE)</f>
        <v>1628</v>
      </c>
      <c r="F52" s="57">
        <v>1</v>
      </c>
      <c r="G52" s="57">
        <v>0</v>
      </c>
      <c r="H52" s="57">
        <v>0</v>
      </c>
      <c r="I52" s="57">
        <v>0</v>
      </c>
    </row>
    <row r="53" spans="2:9" x14ac:dyDescent="0.2">
      <c r="B53" s="57" t="s">
        <v>566</v>
      </c>
      <c r="C53" s="57">
        <v>1</v>
      </c>
      <c r="D53" s="57" t="s">
        <v>571</v>
      </c>
      <c r="E53" s="102">
        <f>VLOOKUP(VLOOKUP(B53,MonsterWaveCallRuleCfg!$L$23:$Q$102,5,FALSE),无限模式!$A$3:$X$22,3+VLOOKUP(B53,MonsterWaveCallRuleCfg!$L$23:$Q$102,6,FALSE)*5,FALSE)</f>
        <v>407</v>
      </c>
      <c r="F53" s="57">
        <v>1</v>
      </c>
      <c r="G53" s="57">
        <v>0</v>
      </c>
      <c r="H53" s="57">
        <v>0</v>
      </c>
      <c r="I53" s="57">
        <v>0</v>
      </c>
    </row>
    <row r="54" spans="2:9" x14ac:dyDescent="0.2">
      <c r="B54" s="57" t="s">
        <v>531</v>
      </c>
      <c r="C54" s="57">
        <v>1</v>
      </c>
      <c r="D54" s="57" t="s">
        <v>571</v>
      </c>
      <c r="E54" s="102">
        <f>VLOOKUP(VLOOKUP(B54,MonsterWaveCallRuleCfg!$L$23:$Q$102,5,FALSE),无限模式!$A$3:$X$22,3+VLOOKUP(B54,MonsterWaveCallRuleCfg!$L$23:$Q$102,6,FALSE)*5,FALSE)</f>
        <v>100303</v>
      </c>
      <c r="F54" s="57">
        <v>1</v>
      </c>
      <c r="G54" s="57">
        <v>0</v>
      </c>
      <c r="H54" s="57">
        <v>0</v>
      </c>
      <c r="I54" s="57">
        <v>0</v>
      </c>
    </row>
    <row r="55" spans="2:9" x14ac:dyDescent="0.2">
      <c r="B55" s="57" t="s">
        <v>532</v>
      </c>
      <c r="C55" s="57">
        <v>1</v>
      </c>
      <c r="D55" s="57" t="s">
        <v>571</v>
      </c>
      <c r="E55" s="102">
        <f>VLOOKUP(VLOOKUP(B55,MonsterWaveCallRuleCfg!$L$23:$Q$102,5,FALSE),无限模式!$A$3:$X$22,3+VLOOKUP(B55,MonsterWaveCallRuleCfg!$L$23:$Q$102,6,FALSE)*5,FALSE)</f>
        <v>1254</v>
      </c>
      <c r="F55" s="57">
        <v>1</v>
      </c>
      <c r="G55" s="57">
        <v>0</v>
      </c>
      <c r="H55" s="57">
        <v>0</v>
      </c>
      <c r="I55" s="57">
        <v>0</v>
      </c>
    </row>
    <row r="56" spans="2:9" x14ac:dyDescent="0.2">
      <c r="B56" s="57" t="s">
        <v>533</v>
      </c>
      <c r="C56" s="57">
        <v>1</v>
      </c>
      <c r="D56" s="57" t="s">
        <v>571</v>
      </c>
      <c r="E56" s="102">
        <f>VLOOKUP(VLOOKUP(B56,MonsterWaveCallRuleCfg!$L$23:$Q$102,5,FALSE),无限模式!$A$3:$X$22,3+VLOOKUP(B56,MonsterWaveCallRuleCfg!$L$23:$Q$102,6,FALSE)*5,FALSE)</f>
        <v>3767</v>
      </c>
      <c r="F56" s="57">
        <v>1</v>
      </c>
      <c r="G56" s="57">
        <v>0</v>
      </c>
      <c r="H56" s="57">
        <v>0</v>
      </c>
      <c r="I56" s="57">
        <v>0</v>
      </c>
    </row>
    <row r="57" spans="2:9" x14ac:dyDescent="0.2">
      <c r="B57" s="57" t="s">
        <v>534</v>
      </c>
      <c r="C57" s="57">
        <v>1</v>
      </c>
      <c r="D57" s="57" t="s">
        <v>571</v>
      </c>
      <c r="E57" s="102">
        <f>VLOOKUP(VLOOKUP(B57,MonsterWaveCallRuleCfg!$L$23:$Q$102,5,FALSE),无限模式!$A$3:$X$22,3+VLOOKUP(B57,MonsterWaveCallRuleCfg!$L$23:$Q$102,6,FALSE)*5,FALSE)</f>
        <v>1884</v>
      </c>
      <c r="F57" s="57">
        <v>1</v>
      </c>
      <c r="G57" s="57">
        <v>0</v>
      </c>
      <c r="H57" s="57">
        <v>0</v>
      </c>
      <c r="I57" s="57">
        <v>0</v>
      </c>
    </row>
    <row r="58" spans="2:9" x14ac:dyDescent="0.2">
      <c r="B58" s="57" t="s">
        <v>535</v>
      </c>
      <c r="C58" s="57">
        <v>1</v>
      </c>
      <c r="D58" s="57" t="s">
        <v>571</v>
      </c>
      <c r="E58" s="102">
        <f>VLOOKUP(VLOOKUP(B58,MonsterWaveCallRuleCfg!$L$23:$Q$102,5,FALSE),无限模式!$A$3:$X$22,3+VLOOKUP(B58,MonsterWaveCallRuleCfg!$L$23:$Q$102,6,FALSE)*5,FALSE)</f>
        <v>4200</v>
      </c>
      <c r="F58" s="57">
        <v>1</v>
      </c>
      <c r="G58" s="57">
        <v>0</v>
      </c>
      <c r="H58" s="57">
        <v>0</v>
      </c>
      <c r="I58" s="57">
        <v>0</v>
      </c>
    </row>
    <row r="59" spans="2:9" x14ac:dyDescent="0.2">
      <c r="B59" s="57" t="s">
        <v>536</v>
      </c>
      <c r="C59" s="57">
        <v>1</v>
      </c>
      <c r="D59" s="57" t="s">
        <v>571</v>
      </c>
      <c r="E59" s="102">
        <f>VLOOKUP(VLOOKUP(B59,MonsterWaveCallRuleCfg!$L$23:$Q$102,5,FALSE),无限模式!$A$3:$X$22,3+VLOOKUP(B59,MonsterWaveCallRuleCfg!$L$23:$Q$102,6,FALSE)*5,FALSE)</f>
        <v>2100</v>
      </c>
      <c r="F59" s="57">
        <v>1</v>
      </c>
      <c r="G59" s="57">
        <v>0</v>
      </c>
      <c r="H59" s="57">
        <v>0</v>
      </c>
      <c r="I59" s="57">
        <v>0</v>
      </c>
    </row>
    <row r="60" spans="2:9" x14ac:dyDescent="0.2">
      <c r="B60" s="57" t="s">
        <v>537</v>
      </c>
      <c r="C60" s="57">
        <v>1</v>
      </c>
      <c r="D60" s="57" t="s">
        <v>571</v>
      </c>
      <c r="E60" s="102">
        <f>VLOOKUP(VLOOKUP(B60,MonsterWaveCallRuleCfg!$L$23:$Q$102,5,FALSE),无限模式!$A$3:$X$22,3+VLOOKUP(B60,MonsterWaveCallRuleCfg!$L$23:$Q$102,6,FALSE)*5,FALSE)</f>
        <v>1328</v>
      </c>
      <c r="F60" s="57">
        <v>1</v>
      </c>
      <c r="G60" s="57">
        <v>0</v>
      </c>
      <c r="H60" s="57">
        <v>0</v>
      </c>
      <c r="I60" s="57">
        <v>0</v>
      </c>
    </row>
    <row r="61" spans="2:9" x14ac:dyDescent="0.2">
      <c r="B61" s="57" t="s">
        <v>538</v>
      </c>
      <c r="C61" s="57">
        <v>1</v>
      </c>
      <c r="D61" s="57" t="s">
        <v>571</v>
      </c>
      <c r="E61" s="102">
        <f>VLOOKUP(VLOOKUP(B61,MonsterWaveCallRuleCfg!$L$23:$Q$102,5,FALSE),无限模式!$A$3:$X$22,3+VLOOKUP(B61,MonsterWaveCallRuleCfg!$L$23:$Q$102,6,FALSE)*5,FALSE)</f>
        <v>2656</v>
      </c>
      <c r="F61" s="57">
        <v>1</v>
      </c>
      <c r="G61" s="57">
        <v>0</v>
      </c>
      <c r="H61" s="57">
        <v>0</v>
      </c>
      <c r="I61" s="57">
        <v>0</v>
      </c>
    </row>
    <row r="62" spans="2:9" x14ac:dyDescent="0.2">
      <c r="B62" s="57" t="s">
        <v>539</v>
      </c>
      <c r="C62" s="57">
        <v>1</v>
      </c>
      <c r="D62" s="57" t="s">
        <v>571</v>
      </c>
      <c r="E62" s="102">
        <f>VLOOKUP(VLOOKUP(B62,MonsterWaveCallRuleCfg!$L$23:$Q$102,5,FALSE),无限模式!$A$3:$X$22,3+VLOOKUP(B62,MonsterWaveCallRuleCfg!$L$23:$Q$102,6,FALSE)*5,FALSE)</f>
        <v>2483</v>
      </c>
      <c r="F62" s="57">
        <v>1</v>
      </c>
      <c r="G62" s="57">
        <v>0</v>
      </c>
      <c r="H62" s="57">
        <v>0</v>
      </c>
      <c r="I62" s="57">
        <v>0</v>
      </c>
    </row>
    <row r="63" spans="2:9" x14ac:dyDescent="0.2">
      <c r="B63" s="57" t="s">
        <v>540</v>
      </c>
      <c r="C63" s="57">
        <v>1</v>
      </c>
      <c r="D63" s="57" t="s">
        <v>571</v>
      </c>
      <c r="E63" s="102">
        <f>VLOOKUP(VLOOKUP(B63,MonsterWaveCallRuleCfg!$L$23:$Q$102,5,FALSE),无限模式!$A$3:$X$22,3+VLOOKUP(B63,MonsterWaveCallRuleCfg!$L$23:$Q$102,6,FALSE)*5,FALSE)</f>
        <v>49655</v>
      </c>
      <c r="F63" s="57">
        <v>1</v>
      </c>
      <c r="G63" s="57">
        <v>0</v>
      </c>
      <c r="H63" s="57">
        <v>0</v>
      </c>
      <c r="I63" s="57">
        <v>0</v>
      </c>
    </row>
    <row r="64" spans="2:9" x14ac:dyDescent="0.2">
      <c r="B64" s="57" t="s">
        <v>541</v>
      </c>
      <c r="C64" s="57">
        <v>1</v>
      </c>
      <c r="D64" s="57" t="s">
        <v>571</v>
      </c>
      <c r="E64" s="102">
        <f>VLOOKUP(VLOOKUP(B64,MonsterWaveCallRuleCfg!$L$23:$Q$102,5,FALSE),无限模式!$A$3:$X$22,3+VLOOKUP(B64,MonsterWaveCallRuleCfg!$L$23:$Q$102,6,FALSE)*5,FALSE)</f>
        <v>15429</v>
      </c>
      <c r="F64" s="57">
        <v>1</v>
      </c>
      <c r="G64" s="57">
        <v>0</v>
      </c>
      <c r="H64" s="57">
        <v>0</v>
      </c>
      <c r="I64" s="57">
        <v>0</v>
      </c>
    </row>
    <row r="65" spans="2:9" x14ac:dyDescent="0.2">
      <c r="B65" s="57" t="s">
        <v>542</v>
      </c>
      <c r="C65" s="57">
        <v>1</v>
      </c>
      <c r="D65" s="57" t="s">
        <v>571</v>
      </c>
      <c r="E65" s="102">
        <f>VLOOKUP(VLOOKUP(B65,MonsterWaveCallRuleCfg!$L$23:$Q$102,5,FALSE),无限模式!$A$3:$X$22,3+VLOOKUP(B65,MonsterWaveCallRuleCfg!$L$23:$Q$102,6,FALSE)*5,FALSE)</f>
        <v>23143</v>
      </c>
      <c r="F65" s="57">
        <v>1</v>
      </c>
      <c r="G65" s="57">
        <v>0</v>
      </c>
      <c r="H65" s="57">
        <v>0</v>
      </c>
      <c r="I65" s="57">
        <v>0</v>
      </c>
    </row>
    <row r="66" spans="2:9" x14ac:dyDescent="0.2">
      <c r="B66" s="57" t="s">
        <v>543</v>
      </c>
      <c r="C66" s="57">
        <v>1</v>
      </c>
      <c r="D66" s="57" t="s">
        <v>571</v>
      </c>
      <c r="E66" s="102">
        <f>VLOOKUP(VLOOKUP(B66,MonsterWaveCallRuleCfg!$L$23:$Q$102,5,FALSE),无限模式!$A$3:$X$22,3+VLOOKUP(B66,MonsterWaveCallRuleCfg!$L$23:$Q$102,6,FALSE)*5,FALSE)</f>
        <v>3938</v>
      </c>
      <c r="F66" s="57">
        <v>1</v>
      </c>
      <c r="G66" s="57">
        <v>0</v>
      </c>
      <c r="H66" s="57">
        <v>0</v>
      </c>
      <c r="I66" s="57">
        <v>0</v>
      </c>
    </row>
    <row r="67" spans="2:9" x14ac:dyDescent="0.2">
      <c r="B67" s="57" t="s">
        <v>544</v>
      </c>
      <c r="C67" s="57">
        <v>1</v>
      </c>
      <c r="D67" s="57" t="s">
        <v>571</v>
      </c>
      <c r="E67" s="102">
        <f>VLOOKUP(VLOOKUP(B67,MonsterWaveCallRuleCfg!$L$23:$Q$102,5,FALSE),无限模式!$A$3:$X$22,3+VLOOKUP(B67,MonsterWaveCallRuleCfg!$L$23:$Q$102,6,FALSE)*5,FALSE)</f>
        <v>5906</v>
      </c>
      <c r="F67" s="57">
        <v>1</v>
      </c>
      <c r="G67" s="57">
        <v>0</v>
      </c>
      <c r="H67" s="57">
        <v>0</v>
      </c>
      <c r="I67" s="57">
        <v>0</v>
      </c>
    </row>
    <row r="68" spans="2:9" x14ac:dyDescent="0.2">
      <c r="B68" s="57" t="s">
        <v>545</v>
      </c>
      <c r="C68" s="57">
        <v>1</v>
      </c>
      <c r="D68" s="57" t="s">
        <v>571</v>
      </c>
      <c r="E68" s="102">
        <f>VLOOKUP(VLOOKUP(B68,MonsterWaveCallRuleCfg!$L$23:$Q$102,5,FALSE),无限模式!$A$3:$X$22,3+VLOOKUP(B68,MonsterWaveCallRuleCfg!$L$23:$Q$102,6,FALSE)*5,FALSE)</f>
        <v>18900</v>
      </c>
      <c r="F68" s="57">
        <v>1</v>
      </c>
      <c r="G68" s="57">
        <v>0</v>
      </c>
      <c r="H68" s="57">
        <v>0</v>
      </c>
      <c r="I68" s="57">
        <v>0</v>
      </c>
    </row>
    <row r="69" spans="2:9" x14ac:dyDescent="0.2">
      <c r="B69" s="57" t="s">
        <v>546</v>
      </c>
      <c r="C69" s="57">
        <v>1</v>
      </c>
      <c r="D69" s="57" t="s">
        <v>571</v>
      </c>
      <c r="E69" s="102">
        <f>VLOOKUP(VLOOKUP(B69,MonsterWaveCallRuleCfg!$L$23:$Q$102,5,FALSE),无限模式!$A$3:$X$22,3+VLOOKUP(B69,MonsterWaveCallRuleCfg!$L$23:$Q$102,6,FALSE)*5,FALSE)</f>
        <v>12600</v>
      </c>
      <c r="F69" s="57">
        <v>1</v>
      </c>
      <c r="G69" s="57">
        <v>0</v>
      </c>
      <c r="H69" s="57">
        <v>0</v>
      </c>
      <c r="I69" s="57">
        <v>0</v>
      </c>
    </row>
    <row r="70" spans="2:9" x14ac:dyDescent="0.2">
      <c r="B70" s="57" t="s">
        <v>547</v>
      </c>
      <c r="C70" s="57">
        <v>1</v>
      </c>
      <c r="D70" s="57" t="s">
        <v>571</v>
      </c>
      <c r="E70" s="102">
        <f>VLOOKUP(VLOOKUP(B70,MonsterWaveCallRuleCfg!$L$23:$Q$102,5,FALSE),无限模式!$A$3:$X$22,3+VLOOKUP(B70,MonsterWaveCallRuleCfg!$L$23:$Q$102,6,FALSE)*5,FALSE)</f>
        <v>6376</v>
      </c>
      <c r="F70" s="57">
        <v>1</v>
      </c>
      <c r="G70" s="57">
        <v>0</v>
      </c>
      <c r="H70" s="57">
        <v>0</v>
      </c>
      <c r="I70" s="57">
        <v>0</v>
      </c>
    </row>
    <row r="71" spans="2:9" x14ac:dyDescent="0.2">
      <c r="B71" s="57" t="s">
        <v>548</v>
      </c>
      <c r="C71" s="57">
        <v>1</v>
      </c>
      <c r="D71" s="57" t="s">
        <v>571</v>
      </c>
      <c r="E71" s="102">
        <f>VLOOKUP(VLOOKUP(B71,MonsterWaveCallRuleCfg!$L$23:$Q$102,5,FALSE),无限模式!$A$3:$X$22,3+VLOOKUP(B71,MonsterWaveCallRuleCfg!$L$23:$Q$102,6,FALSE)*5,FALSE)</f>
        <v>9565</v>
      </c>
      <c r="F71" s="57">
        <v>1</v>
      </c>
      <c r="G71" s="57">
        <v>0</v>
      </c>
      <c r="H71" s="57">
        <v>0</v>
      </c>
      <c r="I71" s="57">
        <v>0</v>
      </c>
    </row>
    <row r="72" spans="2:9" x14ac:dyDescent="0.2">
      <c r="B72" s="57" t="s">
        <v>567</v>
      </c>
      <c r="C72" s="57">
        <v>1</v>
      </c>
      <c r="D72" s="57" t="s">
        <v>571</v>
      </c>
      <c r="E72" s="102">
        <f>VLOOKUP(VLOOKUP(B72,MonsterWaveCallRuleCfg!$L$23:$Q$102,5,FALSE),无限模式!$A$3:$X$22,3+VLOOKUP(B72,MonsterWaveCallRuleCfg!$L$23:$Q$102,6,FALSE)*5,FALSE)</f>
        <v>127528</v>
      </c>
      <c r="F72" s="57">
        <v>1</v>
      </c>
      <c r="G72" s="57">
        <v>0</v>
      </c>
      <c r="H72" s="57">
        <v>0</v>
      </c>
      <c r="I72" s="57">
        <v>0</v>
      </c>
    </row>
    <row r="73" spans="2:9" x14ac:dyDescent="0.2">
      <c r="B73" s="57" t="s">
        <v>549</v>
      </c>
      <c r="C73" s="57">
        <v>1</v>
      </c>
      <c r="D73" s="57" t="s">
        <v>571</v>
      </c>
      <c r="E73" s="102">
        <f>VLOOKUP(VLOOKUP(B73,MonsterWaveCallRuleCfg!$L$23:$Q$102,5,FALSE),无限模式!$A$3:$X$22,3+VLOOKUP(B73,MonsterWaveCallRuleCfg!$L$23:$Q$102,6,FALSE)*5,FALSE)</f>
        <v>51000</v>
      </c>
      <c r="F73" s="57">
        <v>1</v>
      </c>
      <c r="G73" s="57">
        <v>0</v>
      </c>
      <c r="H73" s="57">
        <v>0</v>
      </c>
      <c r="I73" s="57">
        <v>0</v>
      </c>
    </row>
    <row r="74" spans="2:9" x14ac:dyDescent="0.2">
      <c r="B74" s="57" t="s">
        <v>550</v>
      </c>
      <c r="C74" s="57">
        <v>1</v>
      </c>
      <c r="D74" s="57" t="s">
        <v>571</v>
      </c>
      <c r="E74" s="102">
        <f>VLOOKUP(VLOOKUP(B74,MonsterWaveCallRuleCfg!$L$23:$Q$102,5,FALSE),无限模式!$A$3:$X$22,3+VLOOKUP(B74,MonsterWaveCallRuleCfg!$L$23:$Q$102,6,FALSE)*5,FALSE)</f>
        <v>21600</v>
      </c>
      <c r="F74" s="57">
        <v>1</v>
      </c>
      <c r="G74" s="57">
        <v>0</v>
      </c>
      <c r="H74" s="57">
        <v>0</v>
      </c>
      <c r="I74" s="57">
        <v>0</v>
      </c>
    </row>
    <row r="75" spans="2:9" x14ac:dyDescent="0.2">
      <c r="B75" s="57" t="s">
        <v>551</v>
      </c>
      <c r="C75" s="57">
        <v>1</v>
      </c>
      <c r="D75" s="57" t="s">
        <v>571</v>
      </c>
      <c r="E75" s="102">
        <f>VLOOKUP(VLOOKUP(B75,MonsterWaveCallRuleCfg!$L$23:$Q$102,5,FALSE),无限模式!$A$3:$X$22,3+VLOOKUP(B75,MonsterWaveCallRuleCfg!$L$23:$Q$102,6,FALSE)*5,FALSE)</f>
        <v>43200</v>
      </c>
      <c r="F75" s="57">
        <v>1</v>
      </c>
      <c r="G75" s="57">
        <v>0</v>
      </c>
      <c r="H75" s="57">
        <v>0</v>
      </c>
      <c r="I75" s="57">
        <v>0</v>
      </c>
    </row>
    <row r="76" spans="2:9" x14ac:dyDescent="0.2">
      <c r="B76" s="57" t="s">
        <v>552</v>
      </c>
      <c r="C76" s="57">
        <v>1</v>
      </c>
      <c r="D76" s="57" t="s">
        <v>571</v>
      </c>
      <c r="E76" s="102">
        <f>VLOOKUP(VLOOKUP(B76,MonsterWaveCallRuleCfg!$L$23:$Q$102,5,FALSE),无限模式!$A$3:$X$22,3+VLOOKUP(B76,MonsterWaveCallRuleCfg!$L$23:$Q$102,6,FALSE)*5,FALSE)</f>
        <v>15750</v>
      </c>
      <c r="F76" s="57">
        <v>1</v>
      </c>
      <c r="G76" s="57">
        <v>0</v>
      </c>
      <c r="H76" s="57">
        <v>0</v>
      </c>
      <c r="I76" s="57">
        <v>0</v>
      </c>
    </row>
    <row r="77" spans="2:9" x14ac:dyDescent="0.2">
      <c r="B77" s="57" t="s">
        <v>553</v>
      </c>
      <c r="C77" s="57">
        <v>1</v>
      </c>
      <c r="D77" s="57" t="s">
        <v>571</v>
      </c>
      <c r="E77" s="102">
        <f>VLOOKUP(VLOOKUP(B77,MonsterWaveCallRuleCfg!$L$23:$Q$102,5,FALSE),无限模式!$A$3:$X$22,3+VLOOKUP(B77,MonsterWaveCallRuleCfg!$L$23:$Q$102,6,FALSE)*5,FALSE)</f>
        <v>94500</v>
      </c>
      <c r="F77" s="57">
        <v>1</v>
      </c>
      <c r="G77" s="57">
        <v>0</v>
      </c>
      <c r="H77" s="57">
        <v>0</v>
      </c>
      <c r="I77" s="57">
        <v>0</v>
      </c>
    </row>
    <row r="78" spans="2:9" x14ac:dyDescent="0.2">
      <c r="B78" s="57" t="s">
        <v>554</v>
      </c>
      <c r="C78" s="57">
        <v>1</v>
      </c>
      <c r="D78" s="57" t="s">
        <v>571</v>
      </c>
      <c r="E78" s="102">
        <f>VLOOKUP(VLOOKUP(B78,MonsterWaveCallRuleCfg!$L$23:$Q$102,5,FALSE),无限模式!$A$3:$X$22,3+VLOOKUP(B78,MonsterWaveCallRuleCfg!$L$23:$Q$102,6,FALSE)*5,FALSE)</f>
        <v>11731</v>
      </c>
      <c r="F78" s="57">
        <v>1</v>
      </c>
      <c r="G78" s="57">
        <v>0</v>
      </c>
      <c r="H78" s="57">
        <v>0</v>
      </c>
      <c r="I78" s="57">
        <v>0</v>
      </c>
    </row>
    <row r="79" spans="2:9" x14ac:dyDescent="0.2">
      <c r="B79" s="57" t="s">
        <v>555</v>
      </c>
      <c r="C79" s="57">
        <v>1</v>
      </c>
      <c r="D79" s="57" t="s">
        <v>571</v>
      </c>
      <c r="E79" s="102">
        <f>VLOOKUP(VLOOKUP(B79,MonsterWaveCallRuleCfg!$L$23:$Q$102,5,FALSE),无限模式!$A$3:$X$22,3+VLOOKUP(B79,MonsterWaveCallRuleCfg!$L$23:$Q$102,6,FALSE)*5,FALSE)</f>
        <v>234621</v>
      </c>
      <c r="F79" s="57">
        <v>1</v>
      </c>
      <c r="G79" s="57">
        <v>0</v>
      </c>
      <c r="H79" s="57">
        <v>0</v>
      </c>
      <c r="I79" s="57">
        <v>0</v>
      </c>
    </row>
    <row r="80" spans="2:9" x14ac:dyDescent="0.2">
      <c r="B80" s="57" t="s">
        <v>556</v>
      </c>
      <c r="C80" s="57">
        <v>1</v>
      </c>
      <c r="D80" s="57" t="s">
        <v>571</v>
      </c>
      <c r="E80" s="102">
        <f>VLOOKUP(VLOOKUP(B80,MonsterWaveCallRuleCfg!$L$23:$Q$102,5,FALSE),无限模式!$A$3:$X$22,3+VLOOKUP(B80,MonsterWaveCallRuleCfg!$L$23:$Q$102,6,FALSE)*5,FALSE)</f>
        <v>26151</v>
      </c>
      <c r="F80" s="57">
        <v>1</v>
      </c>
      <c r="G80" s="57">
        <v>0</v>
      </c>
      <c r="H80" s="57">
        <v>0</v>
      </c>
      <c r="I80" s="57">
        <v>0</v>
      </c>
    </row>
    <row r="81" spans="2:28" x14ac:dyDescent="0.2">
      <c r="B81" s="57" t="s">
        <v>557</v>
      </c>
      <c r="C81" s="57">
        <v>1</v>
      </c>
      <c r="D81" s="57" t="s">
        <v>571</v>
      </c>
      <c r="E81" s="102">
        <f>VLOOKUP(VLOOKUP(B81,MonsterWaveCallRuleCfg!$L$23:$Q$102,5,FALSE),无限模式!$A$3:$X$22,3+VLOOKUP(B81,MonsterWaveCallRuleCfg!$L$23:$Q$102,6,FALSE)*5,FALSE)</f>
        <v>52302</v>
      </c>
      <c r="F81" s="57">
        <v>1</v>
      </c>
      <c r="G81" s="57">
        <v>0</v>
      </c>
      <c r="H81" s="57">
        <v>0</v>
      </c>
      <c r="I81" s="57">
        <v>0</v>
      </c>
    </row>
    <row r="82" spans="2:28" x14ac:dyDescent="0.2">
      <c r="B82" s="57" t="s">
        <v>558</v>
      </c>
      <c r="C82" s="57">
        <v>1</v>
      </c>
      <c r="D82" s="57" t="s">
        <v>571</v>
      </c>
      <c r="E82" s="102">
        <f>VLOOKUP(VLOOKUP(B82,MonsterWaveCallRuleCfg!$L$23:$Q$102,5,FALSE),无限模式!$A$3:$X$22,3+VLOOKUP(B82,MonsterWaveCallRuleCfg!$L$23:$Q$102,6,FALSE)*5,FALSE)</f>
        <v>48000</v>
      </c>
      <c r="F82" s="57">
        <v>1</v>
      </c>
      <c r="G82" s="57">
        <v>0</v>
      </c>
      <c r="H82" s="57">
        <v>0</v>
      </c>
      <c r="I82" s="57">
        <v>0</v>
      </c>
    </row>
    <row r="83" spans="2:28" x14ac:dyDescent="0.2">
      <c r="B83" s="57" t="s">
        <v>559</v>
      </c>
      <c r="C83" s="57">
        <v>1</v>
      </c>
      <c r="D83" s="57" t="s">
        <v>571</v>
      </c>
      <c r="E83" s="102">
        <f>VLOOKUP(VLOOKUP(B83,MonsterWaveCallRuleCfg!$L$23:$Q$102,5,FALSE),无限模式!$A$3:$X$22,3+VLOOKUP(B83,MonsterWaveCallRuleCfg!$L$23:$Q$102,6,FALSE)*5,FALSE)</f>
        <v>24000</v>
      </c>
      <c r="F83" s="57">
        <v>1</v>
      </c>
      <c r="G83" s="57">
        <v>0</v>
      </c>
      <c r="H83" s="57">
        <v>0</v>
      </c>
      <c r="I83" s="57">
        <v>0</v>
      </c>
    </row>
    <row r="84" spans="2:28" x14ac:dyDescent="0.2">
      <c r="B84" s="57" t="s">
        <v>560</v>
      </c>
      <c r="C84" s="57">
        <v>1</v>
      </c>
      <c r="D84" s="57" t="s">
        <v>571</v>
      </c>
      <c r="E84" s="102">
        <f>VLOOKUP(VLOOKUP(B84,MonsterWaveCallRuleCfg!$L$23:$Q$102,5,FALSE),无限模式!$A$3:$X$22,3+VLOOKUP(B84,MonsterWaveCallRuleCfg!$L$23:$Q$102,6,FALSE)*5,FALSE)</f>
        <v>34615</v>
      </c>
      <c r="F84" s="57">
        <v>1</v>
      </c>
      <c r="G84" s="57">
        <v>0</v>
      </c>
      <c r="H84" s="57">
        <v>0</v>
      </c>
      <c r="I84" s="57">
        <v>0</v>
      </c>
    </row>
    <row r="85" spans="2:28" x14ac:dyDescent="0.2">
      <c r="B85" s="57" t="s">
        <v>561</v>
      </c>
      <c r="C85" s="57">
        <v>1</v>
      </c>
      <c r="D85" s="57" t="s">
        <v>571</v>
      </c>
      <c r="E85" s="102">
        <f>VLOOKUP(VLOOKUP(B85,MonsterWaveCallRuleCfg!$L$23:$Q$102,5,FALSE),无限模式!$A$3:$X$22,3+VLOOKUP(B85,MonsterWaveCallRuleCfg!$L$23:$Q$102,6,FALSE)*5,FALSE)</f>
        <v>17308</v>
      </c>
      <c r="F85" s="57">
        <v>1</v>
      </c>
      <c r="G85" s="57">
        <v>0</v>
      </c>
      <c r="H85" s="57">
        <v>0</v>
      </c>
      <c r="I85" s="57">
        <v>0</v>
      </c>
    </row>
    <row r="86" spans="2:28" x14ac:dyDescent="0.2">
      <c r="B86" s="57" t="s">
        <v>568</v>
      </c>
      <c r="C86" s="57">
        <v>1</v>
      </c>
      <c r="D86" s="57" t="s">
        <v>571</v>
      </c>
      <c r="E86" s="102">
        <f>VLOOKUP(VLOOKUP(B86,MonsterWaveCallRuleCfg!$L$23:$Q$102,5,FALSE),无限模式!$A$3:$X$22,3+VLOOKUP(B86,MonsterWaveCallRuleCfg!$L$23:$Q$102,6,FALSE)*5,FALSE)</f>
        <v>51923</v>
      </c>
      <c r="F86" s="57">
        <v>1</v>
      </c>
      <c r="G86" s="57">
        <v>0</v>
      </c>
      <c r="H86" s="57">
        <v>0</v>
      </c>
      <c r="I86" s="57">
        <v>0</v>
      </c>
    </row>
    <row r="87" spans="2:28" x14ac:dyDescent="0.2">
      <c r="B87" s="57" t="s">
        <v>562</v>
      </c>
      <c r="C87" s="57">
        <v>1</v>
      </c>
      <c r="D87" s="57" t="s">
        <v>571</v>
      </c>
      <c r="E87" s="102">
        <f>VLOOKUP(VLOOKUP(B87,MonsterWaveCallRuleCfg!$L$23:$Q$102,5,FALSE),无限模式!$A$3:$X$22,3+VLOOKUP(B87,MonsterWaveCallRuleCfg!$L$23:$Q$102,6,FALSE)*5,FALSE)</f>
        <v>33065</v>
      </c>
      <c r="F87" s="57">
        <v>1</v>
      </c>
      <c r="G87" s="57">
        <v>0</v>
      </c>
      <c r="H87" s="57">
        <v>0</v>
      </c>
      <c r="I87" s="57">
        <v>0</v>
      </c>
    </row>
    <row r="88" spans="2:28" x14ac:dyDescent="0.2">
      <c r="B88" s="57" t="s">
        <v>563</v>
      </c>
      <c r="C88" s="57">
        <v>1</v>
      </c>
      <c r="D88" s="57" t="s">
        <v>571</v>
      </c>
      <c r="E88" s="102">
        <f>VLOOKUP(VLOOKUP(B88,MonsterWaveCallRuleCfg!$L$23:$Q$102,5,FALSE),无限模式!$A$3:$X$22,3+VLOOKUP(B88,MonsterWaveCallRuleCfg!$L$23:$Q$102,6,FALSE)*5,FALSE)</f>
        <v>16533</v>
      </c>
      <c r="F88" s="57">
        <v>1</v>
      </c>
      <c r="G88" s="57">
        <v>0</v>
      </c>
      <c r="H88" s="57">
        <v>0</v>
      </c>
      <c r="I88" s="57">
        <v>0</v>
      </c>
    </row>
    <row r="89" spans="2:28" x14ac:dyDescent="0.2">
      <c r="B89" s="57" t="s">
        <v>569</v>
      </c>
      <c r="C89" s="57">
        <v>1</v>
      </c>
      <c r="D89" s="57" t="s">
        <v>571</v>
      </c>
      <c r="E89" s="102">
        <f>VLOOKUP(VLOOKUP(B89,MonsterWaveCallRuleCfg!$L$23:$Q$102,5,FALSE),无限模式!$A$3:$X$22,3+VLOOKUP(B89,MonsterWaveCallRuleCfg!$L$23:$Q$102,6,FALSE)*5,FALSE)</f>
        <v>49598</v>
      </c>
      <c r="F89" s="57">
        <v>1</v>
      </c>
      <c r="G89" s="57">
        <v>0</v>
      </c>
      <c r="H89" s="57">
        <v>0</v>
      </c>
      <c r="I89" s="57">
        <v>0</v>
      </c>
    </row>
    <row r="90" spans="2:28" x14ac:dyDescent="0.2">
      <c r="B90" s="57" t="s">
        <v>570</v>
      </c>
      <c r="C90" s="57">
        <v>1</v>
      </c>
      <c r="D90" s="57" t="s">
        <v>571</v>
      </c>
      <c r="E90" s="102">
        <f>VLOOKUP(VLOOKUP(B90,MonsterWaveCallRuleCfg!$L$23:$Q$102,5,FALSE),无限模式!$A$3:$X$22,3+VLOOKUP(B90,MonsterWaveCallRuleCfg!$L$23:$Q$102,6,FALSE)*5,FALSE)</f>
        <v>330652</v>
      </c>
      <c r="F90" s="57">
        <v>1</v>
      </c>
      <c r="G90" s="57">
        <v>0</v>
      </c>
      <c r="H90" s="57">
        <v>0</v>
      </c>
      <c r="I90" s="57">
        <v>0</v>
      </c>
    </row>
    <row r="92" spans="2:28" x14ac:dyDescent="0.2">
      <c r="B92" s="57" t="s">
        <v>832</v>
      </c>
      <c r="C92" s="57">
        <v>1</v>
      </c>
      <c r="D92" s="57" t="s">
        <v>731</v>
      </c>
      <c r="E92" s="102">
        <f>VLOOKUP(Z92&amp;"_"&amp;AA92,挑战模式!$A$3:$Z$58,5+5*AB92,FALSE)</f>
        <v>486</v>
      </c>
      <c r="F92" s="57">
        <v>1</v>
      </c>
      <c r="G92" s="57">
        <v>0</v>
      </c>
      <c r="H92" s="57">
        <v>0</v>
      </c>
      <c r="I92" s="57">
        <v>0</v>
      </c>
      <c r="Z92" s="110">
        <v>1</v>
      </c>
      <c r="AA92" s="110">
        <v>1</v>
      </c>
      <c r="AB92" s="110">
        <v>1</v>
      </c>
    </row>
    <row r="93" spans="2:28" x14ac:dyDescent="0.2">
      <c r="B93" s="57" t="s">
        <v>833</v>
      </c>
      <c r="C93" s="57">
        <v>1</v>
      </c>
      <c r="D93" s="57" t="s">
        <v>732</v>
      </c>
      <c r="E93" s="102">
        <f>VLOOKUP(Z93&amp;"_"&amp;AA93,挑战模式!$A$3:$Z$58,5+5*AB93,FALSE)</f>
        <v>173</v>
      </c>
      <c r="F93" s="57">
        <v>1</v>
      </c>
      <c r="G93" s="57">
        <v>0</v>
      </c>
      <c r="H93" s="57">
        <v>0</v>
      </c>
      <c r="I93" s="57">
        <v>0</v>
      </c>
      <c r="Z93" s="110">
        <v>1</v>
      </c>
      <c r="AA93" s="110">
        <v>2</v>
      </c>
      <c r="AB93" s="110">
        <v>1</v>
      </c>
    </row>
    <row r="94" spans="2:28" x14ac:dyDescent="0.2">
      <c r="B94" s="57" t="s">
        <v>834</v>
      </c>
      <c r="C94" s="57">
        <v>1</v>
      </c>
      <c r="D94" s="57" t="s">
        <v>733</v>
      </c>
      <c r="E94" s="102">
        <f>VLOOKUP(Z94&amp;"_"&amp;AA94,挑战模式!$A$3:$Z$58,5+5*AB94,FALSE)</f>
        <v>324</v>
      </c>
      <c r="F94" s="57">
        <v>1</v>
      </c>
      <c r="G94" s="57">
        <v>0</v>
      </c>
      <c r="H94" s="57">
        <v>0</v>
      </c>
      <c r="I94" s="57">
        <v>0</v>
      </c>
      <c r="Z94" s="110">
        <v>1</v>
      </c>
      <c r="AA94" s="110">
        <v>3</v>
      </c>
      <c r="AB94" s="110">
        <v>1</v>
      </c>
    </row>
    <row r="95" spans="2:28" x14ac:dyDescent="0.2">
      <c r="B95" s="57" t="s">
        <v>835</v>
      </c>
      <c r="C95" s="57">
        <v>1</v>
      </c>
      <c r="D95" s="57" t="s">
        <v>734</v>
      </c>
      <c r="E95" s="102">
        <f>VLOOKUP(Z95&amp;"_"&amp;AA95,挑战模式!$A$3:$Z$58,5+5*AB95,FALSE)</f>
        <v>1296</v>
      </c>
      <c r="F95" s="57">
        <v>1</v>
      </c>
      <c r="G95" s="57">
        <v>0</v>
      </c>
      <c r="H95" s="57">
        <v>0</v>
      </c>
      <c r="I95" s="57">
        <v>0</v>
      </c>
      <c r="Z95" s="110">
        <v>1</v>
      </c>
      <c r="AA95" s="110">
        <v>3</v>
      </c>
      <c r="AB95" s="110">
        <v>2</v>
      </c>
    </row>
    <row r="96" spans="2:28" x14ac:dyDescent="0.2">
      <c r="B96" s="57" t="s">
        <v>836</v>
      </c>
      <c r="C96" s="57">
        <v>1</v>
      </c>
      <c r="D96" s="57" t="s">
        <v>735</v>
      </c>
      <c r="E96" s="102">
        <f>VLOOKUP(Z96&amp;"_"&amp;AA96,挑战模式!$A$3:$Z$58,5+5*AB96,FALSE)</f>
        <v>166</v>
      </c>
      <c r="F96" s="57">
        <v>1</v>
      </c>
      <c r="G96" s="57">
        <v>0</v>
      </c>
      <c r="H96" s="57">
        <v>0</v>
      </c>
      <c r="I96" s="57">
        <v>0</v>
      </c>
      <c r="Z96" s="110">
        <v>1</v>
      </c>
      <c r="AA96" s="110">
        <v>4</v>
      </c>
      <c r="AB96" s="110">
        <v>1</v>
      </c>
    </row>
    <row r="97" spans="2:28" x14ac:dyDescent="0.2">
      <c r="B97" s="57" t="s">
        <v>837</v>
      </c>
      <c r="C97" s="57">
        <v>1</v>
      </c>
      <c r="D97" s="57" t="s">
        <v>736</v>
      </c>
      <c r="E97" s="102">
        <f>VLOOKUP(Z97&amp;"_"&amp;AA97,挑战模式!$A$3:$Z$58,5+5*AB97,FALSE)</f>
        <v>662</v>
      </c>
      <c r="F97" s="57">
        <v>1</v>
      </c>
      <c r="G97" s="57">
        <v>0</v>
      </c>
      <c r="H97" s="57">
        <v>0</v>
      </c>
      <c r="I97" s="57">
        <v>0</v>
      </c>
      <c r="Z97" s="110">
        <v>1</v>
      </c>
      <c r="AA97" s="110">
        <v>4</v>
      </c>
      <c r="AB97" s="110">
        <v>2</v>
      </c>
    </row>
    <row r="98" spans="2:28" x14ac:dyDescent="0.2">
      <c r="B98" s="57" t="s">
        <v>838</v>
      </c>
      <c r="C98" s="57">
        <v>1</v>
      </c>
      <c r="D98" s="57" t="s">
        <v>737</v>
      </c>
      <c r="E98" s="102">
        <f>VLOOKUP(Z98&amp;"_"&amp;AA98,挑战模式!$A$3:$Z$58,5+5*AB98,FALSE)</f>
        <v>181</v>
      </c>
      <c r="F98" s="57">
        <v>1</v>
      </c>
      <c r="G98" s="57">
        <v>0</v>
      </c>
      <c r="H98" s="57">
        <v>0</v>
      </c>
      <c r="I98" s="57">
        <v>0</v>
      </c>
      <c r="Z98" s="110">
        <v>1</v>
      </c>
      <c r="AA98" s="110">
        <v>5</v>
      </c>
      <c r="AB98" s="110">
        <v>1</v>
      </c>
    </row>
    <row r="99" spans="2:28" x14ac:dyDescent="0.2">
      <c r="B99" s="57" t="s">
        <v>839</v>
      </c>
      <c r="C99" s="57">
        <v>1</v>
      </c>
      <c r="D99" s="57" t="s">
        <v>738</v>
      </c>
      <c r="E99" s="102">
        <f>VLOOKUP(Z99&amp;"_"&amp;AA99,挑战模式!$A$3:$Z$58,5+5*AB99,FALSE)</f>
        <v>722</v>
      </c>
      <c r="F99" s="57">
        <v>1</v>
      </c>
      <c r="G99" s="57">
        <v>0</v>
      </c>
      <c r="H99" s="57">
        <v>0</v>
      </c>
      <c r="I99" s="57">
        <v>0</v>
      </c>
      <c r="Z99" s="110">
        <v>1</v>
      </c>
      <c r="AA99" s="110">
        <v>5</v>
      </c>
      <c r="AB99" s="110">
        <v>2</v>
      </c>
    </row>
    <row r="100" spans="2:28" x14ac:dyDescent="0.2">
      <c r="B100" s="57" t="s">
        <v>840</v>
      </c>
      <c r="C100" s="57">
        <v>1</v>
      </c>
      <c r="D100" s="57" t="s">
        <v>739</v>
      </c>
      <c r="E100" s="102">
        <f>VLOOKUP(Z100&amp;"_"&amp;AA100,挑战模式!$A$3:$Z$58,5+5*AB100,FALSE)</f>
        <v>22</v>
      </c>
      <c r="F100" s="57">
        <v>1</v>
      </c>
      <c r="G100" s="57">
        <v>0</v>
      </c>
      <c r="H100" s="57">
        <v>0</v>
      </c>
      <c r="I100" s="57">
        <v>0</v>
      </c>
      <c r="Z100" s="110">
        <v>2</v>
      </c>
      <c r="AA100" s="110">
        <v>1</v>
      </c>
      <c r="AB100" s="110">
        <v>1</v>
      </c>
    </row>
    <row r="101" spans="2:28" x14ac:dyDescent="0.2">
      <c r="B101" s="57" t="s">
        <v>841</v>
      </c>
      <c r="C101" s="57">
        <v>1</v>
      </c>
      <c r="D101" s="57" t="s">
        <v>740</v>
      </c>
      <c r="E101" s="102">
        <f>VLOOKUP(Z101&amp;"_"&amp;AA101,挑战模式!$A$3:$Z$58,5+5*AB101,FALSE)</f>
        <v>90</v>
      </c>
      <c r="F101" s="57">
        <v>1</v>
      </c>
      <c r="G101" s="57">
        <v>0</v>
      </c>
      <c r="H101" s="57">
        <v>0</v>
      </c>
      <c r="I101" s="57">
        <v>0</v>
      </c>
      <c r="Z101" s="110">
        <v>2</v>
      </c>
      <c r="AA101" s="110">
        <v>2</v>
      </c>
      <c r="AB101" s="110">
        <v>1</v>
      </c>
    </row>
    <row r="102" spans="2:28" x14ac:dyDescent="0.2">
      <c r="B102" s="57" t="s">
        <v>842</v>
      </c>
      <c r="C102" s="57">
        <v>1</v>
      </c>
      <c r="D102" s="57" t="s">
        <v>741</v>
      </c>
      <c r="E102" s="102">
        <f>VLOOKUP(Z102&amp;"_"&amp;AA102,挑战模式!$A$3:$Z$58,5+5*AB102,FALSE)</f>
        <v>180</v>
      </c>
      <c r="F102" s="57">
        <v>1</v>
      </c>
      <c r="G102" s="57">
        <v>0</v>
      </c>
      <c r="H102" s="57">
        <v>0</v>
      </c>
      <c r="I102" s="57">
        <v>0</v>
      </c>
      <c r="Z102" s="110">
        <v>2</v>
      </c>
      <c r="AA102" s="110">
        <v>2</v>
      </c>
      <c r="AB102" s="110">
        <v>2</v>
      </c>
    </row>
    <row r="103" spans="2:28" x14ac:dyDescent="0.2">
      <c r="B103" s="57" t="s">
        <v>843</v>
      </c>
      <c r="C103" s="57">
        <v>1</v>
      </c>
      <c r="D103" s="57" t="s">
        <v>742</v>
      </c>
      <c r="E103" s="102">
        <f>VLOOKUP(Z103&amp;"_"&amp;AA103,挑战模式!$A$3:$Z$58,5+5*AB103,FALSE)</f>
        <v>144</v>
      </c>
      <c r="F103" s="57">
        <v>1</v>
      </c>
      <c r="G103" s="57">
        <v>0</v>
      </c>
      <c r="H103" s="57">
        <v>0</v>
      </c>
      <c r="I103" s="57">
        <v>0</v>
      </c>
      <c r="Z103" s="110">
        <v>2</v>
      </c>
      <c r="AA103" s="110">
        <v>3</v>
      </c>
      <c r="AB103" s="110">
        <v>1</v>
      </c>
    </row>
    <row r="104" spans="2:28" x14ac:dyDescent="0.2">
      <c r="B104" s="57" t="s">
        <v>844</v>
      </c>
      <c r="C104" s="57">
        <v>1</v>
      </c>
      <c r="D104" s="57" t="s">
        <v>743</v>
      </c>
      <c r="E104" s="102">
        <f>VLOOKUP(Z104&amp;"_"&amp;AA104,挑战模式!$A$3:$Z$58,5+5*AB104,FALSE)</f>
        <v>72</v>
      </c>
      <c r="F104" s="57">
        <v>1</v>
      </c>
      <c r="G104" s="57">
        <v>0</v>
      </c>
      <c r="H104" s="57">
        <v>0</v>
      </c>
      <c r="I104" s="57">
        <v>0</v>
      </c>
      <c r="Z104" s="110">
        <v>2</v>
      </c>
      <c r="AA104" s="110">
        <v>3</v>
      </c>
      <c r="AB104" s="110">
        <v>2</v>
      </c>
    </row>
    <row r="105" spans="2:28" x14ac:dyDescent="0.2">
      <c r="B105" s="57" t="s">
        <v>845</v>
      </c>
      <c r="C105" s="57">
        <v>1</v>
      </c>
      <c r="D105" s="57" t="s">
        <v>744</v>
      </c>
      <c r="E105" s="102">
        <f>VLOOKUP(Z105&amp;"_"&amp;AA105,挑战模式!$A$3:$Z$58,5+5*AB105,FALSE)</f>
        <v>206</v>
      </c>
      <c r="F105" s="57">
        <v>1</v>
      </c>
      <c r="G105" s="57">
        <v>0</v>
      </c>
      <c r="H105" s="57">
        <v>0</v>
      </c>
      <c r="I105" s="57">
        <v>0</v>
      </c>
      <c r="Z105" s="110">
        <v>2</v>
      </c>
      <c r="AA105" s="110">
        <v>4</v>
      </c>
      <c r="AB105" s="110">
        <v>1</v>
      </c>
    </row>
    <row r="106" spans="2:28" x14ac:dyDescent="0.2">
      <c r="B106" s="57" t="s">
        <v>846</v>
      </c>
      <c r="C106" s="57">
        <v>1</v>
      </c>
      <c r="D106" s="57" t="s">
        <v>745</v>
      </c>
      <c r="E106" s="102">
        <f>VLOOKUP(Z106&amp;"_"&amp;AA106,挑战模式!$A$3:$Z$58,5+5*AB106,FALSE)</f>
        <v>103</v>
      </c>
      <c r="F106" s="57">
        <v>1</v>
      </c>
      <c r="G106" s="57">
        <v>0</v>
      </c>
      <c r="H106" s="57">
        <v>0</v>
      </c>
      <c r="I106" s="57">
        <v>0</v>
      </c>
      <c r="Z106" s="110">
        <v>2</v>
      </c>
      <c r="AA106" s="110">
        <v>4</v>
      </c>
      <c r="AB106" s="110">
        <v>2</v>
      </c>
    </row>
    <row r="107" spans="2:28" x14ac:dyDescent="0.2">
      <c r="B107" s="57" t="s">
        <v>847</v>
      </c>
      <c r="C107" s="57">
        <v>1</v>
      </c>
      <c r="D107" s="57" t="s">
        <v>746</v>
      </c>
      <c r="E107" s="102">
        <f>VLOOKUP(Z107&amp;"_"&amp;AA107,挑战模式!$A$3:$Z$58,5+5*AB107,FALSE)</f>
        <v>411</v>
      </c>
      <c r="F107" s="57">
        <v>1</v>
      </c>
      <c r="G107" s="57">
        <v>0</v>
      </c>
      <c r="H107" s="57">
        <v>0</v>
      </c>
      <c r="I107" s="57">
        <v>0</v>
      </c>
      <c r="Z107" s="110">
        <v>2</v>
      </c>
      <c r="AA107" s="110">
        <v>4</v>
      </c>
      <c r="AB107" s="110">
        <v>3</v>
      </c>
    </row>
    <row r="108" spans="2:28" x14ac:dyDescent="0.2">
      <c r="B108" s="57" t="s">
        <v>848</v>
      </c>
      <c r="C108" s="57">
        <v>1</v>
      </c>
      <c r="D108" s="57" t="s">
        <v>747</v>
      </c>
      <c r="E108" s="102">
        <f>VLOOKUP(Z108&amp;"_"&amp;AA108,挑战模式!$A$3:$Z$58,5+5*AB108,FALSE)</f>
        <v>267</v>
      </c>
      <c r="F108" s="57">
        <v>1</v>
      </c>
      <c r="G108" s="57">
        <v>0</v>
      </c>
      <c r="H108" s="57">
        <v>0</v>
      </c>
      <c r="I108" s="57">
        <v>0</v>
      </c>
      <c r="Z108" s="110">
        <v>2</v>
      </c>
      <c r="AA108" s="110">
        <v>5</v>
      </c>
      <c r="AB108" s="110">
        <v>1</v>
      </c>
    </row>
    <row r="109" spans="2:28" x14ac:dyDescent="0.2">
      <c r="B109" s="57" t="s">
        <v>849</v>
      </c>
      <c r="C109" s="57">
        <v>1</v>
      </c>
      <c r="D109" s="57" t="s">
        <v>748</v>
      </c>
      <c r="E109" s="102">
        <f>VLOOKUP(Z109&amp;"_"&amp;AA109,挑战模式!$A$3:$Z$58,5+5*AB109,FALSE)</f>
        <v>134</v>
      </c>
      <c r="F109" s="57">
        <v>1</v>
      </c>
      <c r="G109" s="57">
        <v>0</v>
      </c>
      <c r="H109" s="57">
        <v>0</v>
      </c>
      <c r="I109" s="57">
        <v>0</v>
      </c>
      <c r="Z109" s="110">
        <v>2</v>
      </c>
      <c r="AA109" s="110">
        <v>5</v>
      </c>
      <c r="AB109" s="110">
        <v>2</v>
      </c>
    </row>
    <row r="110" spans="2:28" x14ac:dyDescent="0.2">
      <c r="B110" s="57" t="s">
        <v>850</v>
      </c>
      <c r="C110" s="57">
        <v>1</v>
      </c>
      <c r="D110" s="57" t="s">
        <v>749</v>
      </c>
      <c r="E110" s="102">
        <f>VLOOKUP(Z110&amp;"_"&amp;AA110,挑战模式!$A$3:$Z$58,5+5*AB110,FALSE)</f>
        <v>535</v>
      </c>
      <c r="F110" s="57">
        <v>1</v>
      </c>
      <c r="G110" s="57">
        <v>0</v>
      </c>
      <c r="H110" s="57">
        <v>0</v>
      </c>
      <c r="I110" s="57">
        <v>0</v>
      </c>
      <c r="Z110" s="110">
        <v>2</v>
      </c>
      <c r="AA110" s="110">
        <v>5</v>
      </c>
      <c r="AB110" s="110">
        <v>3</v>
      </c>
    </row>
    <row r="111" spans="2:28" x14ac:dyDescent="0.2">
      <c r="B111" s="57" t="s">
        <v>883</v>
      </c>
      <c r="C111" s="57">
        <v>1</v>
      </c>
      <c r="D111" s="57" t="s">
        <v>884</v>
      </c>
      <c r="E111" s="102">
        <f>VLOOKUP(Z111&amp;"_"&amp;AA111,挑战模式!$A$3:$Z$58,5+5*AB111,FALSE)</f>
        <v>219</v>
      </c>
      <c r="F111" s="57">
        <v>1</v>
      </c>
      <c r="G111" s="57">
        <v>0</v>
      </c>
      <c r="H111" s="57">
        <v>0</v>
      </c>
      <c r="I111" s="57">
        <v>0</v>
      </c>
      <c r="Z111" s="110">
        <v>3</v>
      </c>
      <c r="AA111" s="110">
        <v>1</v>
      </c>
      <c r="AB111" s="110">
        <v>1</v>
      </c>
    </row>
    <row r="112" spans="2:28" x14ac:dyDescent="0.2">
      <c r="B112" s="57" t="s">
        <v>851</v>
      </c>
      <c r="C112" s="57">
        <v>1</v>
      </c>
      <c r="D112" s="57" t="s">
        <v>750</v>
      </c>
      <c r="E112" s="102">
        <f>VLOOKUP(Z112&amp;"_"&amp;AA112,挑战模式!$A$3:$Z$58,5+5*AB112,FALSE)</f>
        <v>216</v>
      </c>
      <c r="F112" s="57">
        <v>1</v>
      </c>
      <c r="G112" s="57">
        <v>0</v>
      </c>
      <c r="H112" s="57">
        <v>0</v>
      </c>
      <c r="I112" s="57">
        <v>0</v>
      </c>
      <c r="Z112" s="110">
        <v>3</v>
      </c>
      <c r="AA112" s="110">
        <v>2</v>
      </c>
      <c r="AB112" s="110">
        <v>1</v>
      </c>
    </row>
    <row r="113" spans="2:28" x14ac:dyDescent="0.2">
      <c r="B113" s="57" t="s">
        <v>852</v>
      </c>
      <c r="C113" s="57">
        <v>1</v>
      </c>
      <c r="D113" s="57" t="s">
        <v>751</v>
      </c>
      <c r="E113" s="102">
        <f>VLOOKUP(Z113&amp;"_"&amp;AA113,挑战模式!$A$3:$Z$58,5+5*AB113,FALSE)</f>
        <v>144</v>
      </c>
      <c r="F113" s="57">
        <v>1</v>
      </c>
      <c r="G113" s="57">
        <v>0</v>
      </c>
      <c r="H113" s="57">
        <v>0</v>
      </c>
      <c r="I113" s="57">
        <v>0</v>
      </c>
      <c r="Z113" s="110">
        <v>3</v>
      </c>
      <c r="AA113" s="110">
        <v>2</v>
      </c>
      <c r="AB113" s="110">
        <v>2</v>
      </c>
    </row>
    <row r="114" spans="2:28" x14ac:dyDescent="0.2">
      <c r="B114" s="57" t="s">
        <v>853</v>
      </c>
      <c r="C114" s="57">
        <v>1</v>
      </c>
      <c r="D114" s="57" t="s">
        <v>752</v>
      </c>
      <c r="E114" s="102">
        <f>VLOOKUP(Z114&amp;"_"&amp;AA114,挑战模式!$A$3:$Z$58,5+5*AB114,FALSE)</f>
        <v>1029</v>
      </c>
      <c r="F114" s="57">
        <v>1</v>
      </c>
      <c r="G114" s="57">
        <v>0</v>
      </c>
      <c r="H114" s="57">
        <v>0</v>
      </c>
      <c r="I114" s="57">
        <v>0</v>
      </c>
      <c r="Z114" s="110">
        <v>3</v>
      </c>
      <c r="AA114" s="110">
        <v>3</v>
      </c>
      <c r="AB114" s="110">
        <v>1</v>
      </c>
    </row>
    <row r="115" spans="2:28" x14ac:dyDescent="0.2">
      <c r="B115" s="57" t="s">
        <v>854</v>
      </c>
      <c r="C115" s="57">
        <v>1</v>
      </c>
      <c r="D115" s="57" t="s">
        <v>753</v>
      </c>
      <c r="E115" s="102">
        <f>VLOOKUP(Z115&amp;"_"&amp;AA115,挑战模式!$A$3:$Z$58,5+5*AB115,FALSE)</f>
        <v>171</v>
      </c>
      <c r="F115" s="57">
        <v>1</v>
      </c>
      <c r="G115" s="57">
        <v>0</v>
      </c>
      <c r="H115" s="57">
        <v>0</v>
      </c>
      <c r="I115" s="57">
        <v>0</v>
      </c>
      <c r="Z115" s="110">
        <v>3</v>
      </c>
      <c r="AA115" s="110">
        <v>3</v>
      </c>
      <c r="AB115" s="110">
        <v>2</v>
      </c>
    </row>
    <row r="116" spans="2:28" x14ac:dyDescent="0.2">
      <c r="B116" s="57" t="s">
        <v>855</v>
      </c>
      <c r="C116" s="57">
        <v>1</v>
      </c>
      <c r="D116" s="57" t="s">
        <v>754</v>
      </c>
      <c r="E116" s="102">
        <f>VLOOKUP(Z116&amp;"_"&amp;AA116,挑战模式!$A$3:$Z$58,5+5*AB116,FALSE)</f>
        <v>410</v>
      </c>
      <c r="F116" s="57">
        <v>1</v>
      </c>
      <c r="G116" s="57">
        <v>0</v>
      </c>
      <c r="H116" s="57">
        <v>0</v>
      </c>
      <c r="I116" s="57">
        <v>0</v>
      </c>
      <c r="Z116" s="110">
        <v>3</v>
      </c>
      <c r="AA116" s="110">
        <v>4</v>
      </c>
      <c r="AB116" s="110">
        <v>1</v>
      </c>
    </row>
    <row r="117" spans="2:28" x14ac:dyDescent="0.2">
      <c r="B117" s="57" t="s">
        <v>856</v>
      </c>
      <c r="C117" s="57">
        <v>1</v>
      </c>
      <c r="D117" s="57" t="s">
        <v>755</v>
      </c>
      <c r="E117" s="102">
        <f>VLOOKUP(Z117&amp;"_"&amp;AA117,挑战模式!$A$3:$Z$58,5+5*AB117,FALSE)</f>
        <v>68</v>
      </c>
      <c r="F117" s="57">
        <v>1</v>
      </c>
      <c r="G117" s="57">
        <v>0</v>
      </c>
      <c r="H117" s="57">
        <v>0</v>
      </c>
      <c r="I117" s="57">
        <v>0</v>
      </c>
      <c r="Z117" s="110">
        <v>3</v>
      </c>
      <c r="AA117" s="110">
        <v>4</v>
      </c>
      <c r="AB117" s="110">
        <v>2</v>
      </c>
    </row>
    <row r="118" spans="2:28" x14ac:dyDescent="0.2">
      <c r="B118" s="57" t="s">
        <v>857</v>
      </c>
      <c r="C118" s="57">
        <v>1</v>
      </c>
      <c r="D118" s="57" t="s">
        <v>756</v>
      </c>
      <c r="E118" s="102">
        <f>VLOOKUP(Z118&amp;"_"&amp;AA118,挑战模式!$A$3:$Z$58,5+5*AB118,FALSE)</f>
        <v>137</v>
      </c>
      <c r="F118" s="57">
        <v>1</v>
      </c>
      <c r="G118" s="57">
        <v>0</v>
      </c>
      <c r="H118" s="57">
        <v>0</v>
      </c>
      <c r="I118" s="57">
        <v>0</v>
      </c>
      <c r="Z118" s="110">
        <v>3</v>
      </c>
      <c r="AA118" s="110">
        <v>4</v>
      </c>
      <c r="AB118" s="110">
        <v>3</v>
      </c>
    </row>
    <row r="119" spans="2:28" x14ac:dyDescent="0.2">
      <c r="B119" s="57" t="s">
        <v>858</v>
      </c>
      <c r="C119" s="57">
        <v>1</v>
      </c>
      <c r="D119" s="57" t="s">
        <v>757</v>
      </c>
      <c r="E119" s="102">
        <f>VLOOKUP(Z119&amp;"_"&amp;AA119,挑战模式!$A$3:$Z$58,5+5*AB119,FALSE)</f>
        <v>416</v>
      </c>
      <c r="F119" s="57">
        <v>1</v>
      </c>
      <c r="G119" s="57">
        <v>0</v>
      </c>
      <c r="H119" s="57">
        <v>0</v>
      </c>
      <c r="I119" s="57">
        <v>0</v>
      </c>
      <c r="Z119" s="110">
        <v>3</v>
      </c>
      <c r="AA119" s="110">
        <v>5</v>
      </c>
      <c r="AB119" s="110">
        <v>1</v>
      </c>
    </row>
    <row r="120" spans="2:28" x14ac:dyDescent="0.2">
      <c r="B120" s="57" t="s">
        <v>859</v>
      </c>
      <c r="C120" s="57">
        <v>1</v>
      </c>
      <c r="D120" s="57" t="s">
        <v>758</v>
      </c>
      <c r="E120" s="102">
        <f>VLOOKUP(Z120&amp;"_"&amp;AA120,挑战模式!$A$3:$Z$58,5+5*AB120,FALSE)</f>
        <v>277</v>
      </c>
      <c r="F120" s="57">
        <v>1</v>
      </c>
      <c r="G120" s="57">
        <v>0</v>
      </c>
      <c r="H120" s="57">
        <v>0</v>
      </c>
      <c r="I120" s="57">
        <v>0</v>
      </c>
      <c r="Z120" s="110">
        <v>3</v>
      </c>
      <c r="AA120" s="110">
        <v>5</v>
      </c>
      <c r="AB120" s="110">
        <v>2</v>
      </c>
    </row>
    <row r="121" spans="2:28" x14ac:dyDescent="0.2">
      <c r="B121" s="57" t="s">
        <v>860</v>
      </c>
      <c r="C121" s="57">
        <v>1</v>
      </c>
      <c r="D121" s="57" t="s">
        <v>759</v>
      </c>
      <c r="E121" s="102">
        <f>VLOOKUP(Z121&amp;"_"&amp;AA121,挑战模式!$A$3:$Z$58,5+5*AB121,FALSE)</f>
        <v>139</v>
      </c>
      <c r="F121" s="57">
        <v>1</v>
      </c>
      <c r="G121" s="57">
        <v>0</v>
      </c>
      <c r="H121" s="57">
        <v>0</v>
      </c>
      <c r="I121" s="57">
        <v>0</v>
      </c>
      <c r="Z121" s="110">
        <v>3</v>
      </c>
      <c r="AA121" s="110">
        <v>5</v>
      </c>
      <c r="AB121" s="110">
        <v>3</v>
      </c>
    </row>
    <row r="122" spans="2:28" x14ac:dyDescent="0.2">
      <c r="B122" s="57" t="s">
        <v>861</v>
      </c>
      <c r="C122" s="57">
        <v>1</v>
      </c>
      <c r="D122" s="57" t="s">
        <v>760</v>
      </c>
      <c r="E122" s="102">
        <f>VLOOKUP(Z122&amp;"_"&amp;AA122,挑战模式!$A$3:$Z$58,5+5*AB122,FALSE)</f>
        <v>157</v>
      </c>
      <c r="F122" s="57">
        <v>1</v>
      </c>
      <c r="G122" s="57">
        <v>0</v>
      </c>
      <c r="H122" s="57">
        <v>0</v>
      </c>
      <c r="I122" s="57">
        <v>0</v>
      </c>
      <c r="Z122" s="110">
        <v>4</v>
      </c>
      <c r="AA122" s="110">
        <v>1</v>
      </c>
      <c r="AB122" s="110">
        <v>1</v>
      </c>
    </row>
    <row r="123" spans="2:28" x14ac:dyDescent="0.2">
      <c r="B123" s="57" t="s">
        <v>862</v>
      </c>
      <c r="C123" s="57">
        <v>1</v>
      </c>
      <c r="D123" s="57" t="s">
        <v>761</v>
      </c>
      <c r="E123" s="102">
        <f>VLOOKUP(Z123&amp;"_"&amp;AA123,挑战模式!$A$3:$Z$58,5+5*AB123,FALSE)</f>
        <v>466</v>
      </c>
      <c r="F123" s="57">
        <v>1</v>
      </c>
      <c r="G123" s="57">
        <v>0</v>
      </c>
      <c r="H123" s="57">
        <v>0</v>
      </c>
      <c r="I123" s="57">
        <v>0</v>
      </c>
      <c r="Z123" s="110">
        <v>4</v>
      </c>
      <c r="AA123" s="110">
        <v>2</v>
      </c>
      <c r="AB123" s="110">
        <v>1</v>
      </c>
    </row>
    <row r="124" spans="2:28" x14ac:dyDescent="0.2">
      <c r="B124" s="57" t="s">
        <v>863</v>
      </c>
      <c r="C124" s="57">
        <v>1</v>
      </c>
      <c r="D124" s="57" t="s">
        <v>762</v>
      </c>
      <c r="E124" s="102">
        <f>VLOOKUP(Z124&amp;"_"&amp;AA124,挑战模式!$A$3:$Z$58,5+5*AB124,FALSE)</f>
        <v>931</v>
      </c>
      <c r="F124" s="57">
        <v>1</v>
      </c>
      <c r="G124" s="57">
        <v>0</v>
      </c>
      <c r="H124" s="57">
        <v>0</v>
      </c>
      <c r="I124" s="57">
        <v>0</v>
      </c>
      <c r="Z124" s="110">
        <v>4</v>
      </c>
      <c r="AA124" s="110">
        <v>2</v>
      </c>
      <c r="AB124" s="110">
        <v>2</v>
      </c>
    </row>
    <row r="125" spans="2:28" x14ac:dyDescent="0.2">
      <c r="B125" s="57" t="s">
        <v>864</v>
      </c>
      <c r="C125" s="57">
        <v>1</v>
      </c>
      <c r="D125" s="57" t="s">
        <v>763</v>
      </c>
      <c r="E125" s="102">
        <f>VLOOKUP(Z125&amp;"_"&amp;AA125,挑战模式!$A$3:$Z$58,5+5*AB125,FALSE)</f>
        <v>1364</v>
      </c>
      <c r="F125" s="57">
        <v>1</v>
      </c>
      <c r="G125" s="57">
        <v>0</v>
      </c>
      <c r="H125" s="57">
        <v>0</v>
      </c>
      <c r="I125" s="57">
        <v>0</v>
      </c>
      <c r="Z125" s="110">
        <v>4</v>
      </c>
      <c r="AA125" s="110">
        <v>3</v>
      </c>
      <c r="AB125" s="110">
        <v>1</v>
      </c>
    </row>
    <row r="126" spans="2:28" x14ac:dyDescent="0.2">
      <c r="B126" s="57" t="s">
        <v>865</v>
      </c>
      <c r="C126" s="57">
        <v>1</v>
      </c>
      <c r="D126" s="57" t="s">
        <v>764</v>
      </c>
      <c r="E126" s="102">
        <f>VLOOKUP(Z126&amp;"_"&amp;AA126,挑战模式!$A$3:$Z$58,5+5*AB126,FALSE)</f>
        <v>682</v>
      </c>
      <c r="F126" s="57">
        <v>1</v>
      </c>
      <c r="G126" s="57">
        <v>0</v>
      </c>
      <c r="H126" s="57">
        <v>0</v>
      </c>
      <c r="I126" s="57">
        <v>0</v>
      </c>
      <c r="Z126" s="110">
        <v>4</v>
      </c>
      <c r="AA126" s="110">
        <v>3</v>
      </c>
      <c r="AB126" s="110">
        <v>2</v>
      </c>
    </row>
    <row r="127" spans="2:28" x14ac:dyDescent="0.2">
      <c r="B127" s="57" t="s">
        <v>866</v>
      </c>
      <c r="C127" s="57">
        <v>1</v>
      </c>
      <c r="D127" s="57" t="s">
        <v>765</v>
      </c>
      <c r="E127" s="102">
        <f>VLOOKUP(Z127&amp;"_"&amp;AA127,挑战模式!$A$3:$Z$58,5+5*AB127,FALSE)</f>
        <v>241</v>
      </c>
      <c r="F127" s="57">
        <v>1</v>
      </c>
      <c r="G127" s="57">
        <v>0</v>
      </c>
      <c r="H127" s="57">
        <v>0</v>
      </c>
      <c r="I127" s="57">
        <v>0</v>
      </c>
      <c r="Z127" s="110">
        <v>4</v>
      </c>
      <c r="AA127" s="110">
        <v>4</v>
      </c>
      <c r="AB127" s="110">
        <v>1</v>
      </c>
    </row>
    <row r="128" spans="2:28" x14ac:dyDescent="0.2">
      <c r="B128" s="57" t="s">
        <v>867</v>
      </c>
      <c r="C128" s="57">
        <v>1</v>
      </c>
      <c r="D128" s="57" t="s">
        <v>766</v>
      </c>
      <c r="E128" s="102">
        <f>VLOOKUP(Z128&amp;"_"&amp;AA128,挑战模式!$A$3:$Z$58,5+5*AB128,FALSE)</f>
        <v>241</v>
      </c>
      <c r="F128" s="57">
        <v>1</v>
      </c>
      <c r="G128" s="57">
        <v>0</v>
      </c>
      <c r="H128" s="57">
        <v>0</v>
      </c>
      <c r="I128" s="57">
        <v>0</v>
      </c>
      <c r="Z128" s="110">
        <v>4</v>
      </c>
      <c r="AA128" s="110">
        <v>4</v>
      </c>
      <c r="AB128" s="110">
        <v>2</v>
      </c>
    </row>
    <row r="129" spans="2:28" x14ac:dyDescent="0.2">
      <c r="B129" s="57" t="s">
        <v>868</v>
      </c>
      <c r="C129" s="57">
        <v>1</v>
      </c>
      <c r="D129" s="57" t="s">
        <v>767</v>
      </c>
      <c r="E129" s="102">
        <f>VLOOKUP(Z129&amp;"_"&amp;AA129,挑战模式!$A$3:$Z$58,5+5*AB129,FALSE)</f>
        <v>231</v>
      </c>
      <c r="F129" s="57">
        <v>1</v>
      </c>
      <c r="G129" s="57">
        <v>0</v>
      </c>
      <c r="H129" s="57">
        <v>0</v>
      </c>
      <c r="I129" s="57">
        <v>0</v>
      </c>
      <c r="Z129" s="110">
        <v>4</v>
      </c>
      <c r="AA129" s="110">
        <v>5</v>
      </c>
      <c r="AB129" s="110">
        <v>1</v>
      </c>
    </row>
    <row r="130" spans="2:28" x14ac:dyDescent="0.2">
      <c r="B130" s="57" t="s">
        <v>869</v>
      </c>
      <c r="C130" s="57">
        <v>1</v>
      </c>
      <c r="D130" s="57" t="s">
        <v>768</v>
      </c>
      <c r="E130" s="102">
        <f>VLOOKUP(Z130&amp;"_"&amp;AA130,挑战模式!$A$3:$Z$58,5+5*AB130,FALSE)</f>
        <v>694</v>
      </c>
      <c r="F130" s="57">
        <v>1</v>
      </c>
      <c r="G130" s="57">
        <v>0</v>
      </c>
      <c r="H130" s="57">
        <v>0</v>
      </c>
      <c r="I130" s="57">
        <v>0</v>
      </c>
      <c r="Z130" s="110">
        <v>4</v>
      </c>
      <c r="AA130" s="110">
        <v>5</v>
      </c>
      <c r="AB130" s="110">
        <v>2</v>
      </c>
    </row>
    <row r="131" spans="2:28" x14ac:dyDescent="0.2">
      <c r="B131" s="57" t="s">
        <v>870</v>
      </c>
      <c r="C131" s="57">
        <v>1</v>
      </c>
      <c r="D131" s="57" t="s">
        <v>769</v>
      </c>
      <c r="E131" s="102">
        <f>VLOOKUP(Z131&amp;"_"&amp;AA131,挑战模式!$A$3:$Z$58,5+5*AB131,FALSE)</f>
        <v>157</v>
      </c>
      <c r="F131" s="57">
        <v>1</v>
      </c>
      <c r="G131" s="57">
        <v>0</v>
      </c>
      <c r="H131" s="57">
        <v>0</v>
      </c>
      <c r="I131" s="57">
        <v>0</v>
      </c>
      <c r="Z131" s="110">
        <v>5</v>
      </c>
      <c r="AA131" s="110">
        <v>1</v>
      </c>
      <c r="AB131" s="110">
        <v>1</v>
      </c>
    </row>
    <row r="132" spans="2:28" x14ac:dyDescent="0.2">
      <c r="B132" s="57" t="s">
        <v>871</v>
      </c>
      <c r="C132" s="57">
        <v>1</v>
      </c>
      <c r="D132" s="57" t="s">
        <v>770</v>
      </c>
      <c r="E132" s="102">
        <f>VLOOKUP(Z132&amp;"_"&amp;AA132,挑战模式!$A$3:$Z$58,5+5*AB132,FALSE)</f>
        <v>276</v>
      </c>
      <c r="F132" s="57">
        <v>1</v>
      </c>
      <c r="G132" s="57">
        <v>0</v>
      </c>
      <c r="H132" s="57">
        <v>0</v>
      </c>
      <c r="I132" s="57">
        <v>0</v>
      </c>
      <c r="Z132" s="110">
        <v>5</v>
      </c>
      <c r="AA132" s="110">
        <v>2</v>
      </c>
      <c r="AB132" s="110">
        <v>1</v>
      </c>
    </row>
    <row r="133" spans="2:28" x14ac:dyDescent="0.2">
      <c r="B133" s="57" t="s">
        <v>872</v>
      </c>
      <c r="C133" s="57">
        <v>1</v>
      </c>
      <c r="D133" s="57" t="s">
        <v>771</v>
      </c>
      <c r="E133" s="102">
        <f>VLOOKUP(Z133&amp;"_"&amp;AA133,挑战模式!$A$3:$Z$58,5+5*AB133,FALSE)</f>
        <v>35</v>
      </c>
      <c r="F133" s="57">
        <v>1</v>
      </c>
      <c r="G133" s="57">
        <v>0</v>
      </c>
      <c r="H133" s="57">
        <v>0</v>
      </c>
      <c r="I133" s="57">
        <v>0</v>
      </c>
      <c r="Z133" s="110">
        <v>5</v>
      </c>
      <c r="AA133" s="110">
        <v>2</v>
      </c>
      <c r="AB133" s="110">
        <v>2</v>
      </c>
    </row>
    <row r="134" spans="2:28" x14ac:dyDescent="0.2">
      <c r="B134" s="57" t="s">
        <v>873</v>
      </c>
      <c r="C134" s="57">
        <v>1</v>
      </c>
      <c r="D134" s="57" t="s">
        <v>772</v>
      </c>
      <c r="E134" s="102">
        <f>VLOOKUP(Z134&amp;"_"&amp;AA134,挑战模式!$A$3:$Z$58,5+5*AB134,FALSE)</f>
        <v>491</v>
      </c>
      <c r="F134" s="57">
        <v>1</v>
      </c>
      <c r="G134" s="57">
        <v>0</v>
      </c>
      <c r="H134" s="57">
        <v>0</v>
      </c>
      <c r="I134" s="57">
        <v>0</v>
      </c>
      <c r="Z134" s="110">
        <v>5</v>
      </c>
      <c r="AA134" s="110">
        <v>3</v>
      </c>
      <c r="AB134" s="110">
        <v>1</v>
      </c>
    </row>
    <row r="135" spans="2:28" x14ac:dyDescent="0.2">
      <c r="B135" s="57" t="s">
        <v>874</v>
      </c>
      <c r="C135" s="57">
        <v>1</v>
      </c>
      <c r="D135" s="57" t="s">
        <v>773</v>
      </c>
      <c r="E135" s="102">
        <f>VLOOKUP(Z135&amp;"_"&amp;AA135,挑战模式!$A$3:$Z$58,5+5*AB135,FALSE)</f>
        <v>123</v>
      </c>
      <c r="F135" s="57">
        <v>1</v>
      </c>
      <c r="G135" s="57">
        <v>0</v>
      </c>
      <c r="H135" s="57">
        <v>0</v>
      </c>
      <c r="I135" s="57">
        <v>0</v>
      </c>
      <c r="Z135" s="110">
        <v>5</v>
      </c>
      <c r="AA135" s="110">
        <v>3</v>
      </c>
      <c r="AB135" s="110">
        <v>2</v>
      </c>
    </row>
    <row r="136" spans="2:28" x14ac:dyDescent="0.2">
      <c r="B136" s="57" t="s">
        <v>875</v>
      </c>
      <c r="C136" s="57">
        <v>1</v>
      </c>
      <c r="D136" s="57" t="s">
        <v>774</v>
      </c>
      <c r="E136" s="102">
        <f>VLOOKUP(Z136&amp;"_"&amp;AA136,挑战模式!$A$3:$Z$58,5+5*AB136,FALSE)</f>
        <v>123</v>
      </c>
      <c r="F136" s="57">
        <v>1</v>
      </c>
      <c r="G136" s="57">
        <v>0</v>
      </c>
      <c r="H136" s="57">
        <v>0</v>
      </c>
      <c r="I136" s="57">
        <v>0</v>
      </c>
      <c r="Z136" s="110">
        <v>5</v>
      </c>
      <c r="AA136" s="110">
        <v>3</v>
      </c>
      <c r="AB136" s="110">
        <v>3</v>
      </c>
    </row>
    <row r="137" spans="2:28" x14ac:dyDescent="0.2">
      <c r="B137" s="57" t="s">
        <v>876</v>
      </c>
      <c r="C137" s="57">
        <v>1</v>
      </c>
      <c r="D137" s="57" t="s">
        <v>775</v>
      </c>
      <c r="E137" s="102">
        <f>VLOOKUP(Z137&amp;"_"&amp;AA137,挑战模式!$A$3:$Z$58,5+5*AB137,FALSE)</f>
        <v>651</v>
      </c>
      <c r="F137" s="57">
        <v>1</v>
      </c>
      <c r="G137" s="57">
        <v>0</v>
      </c>
      <c r="H137" s="57">
        <v>0</v>
      </c>
      <c r="I137" s="57">
        <v>0</v>
      </c>
      <c r="Z137" s="110">
        <v>5</v>
      </c>
      <c r="AA137" s="110">
        <v>4</v>
      </c>
      <c r="AB137" s="110">
        <v>1</v>
      </c>
    </row>
    <row r="138" spans="2:28" x14ac:dyDescent="0.2">
      <c r="B138" s="57" t="s">
        <v>877</v>
      </c>
      <c r="C138" s="57">
        <v>1</v>
      </c>
      <c r="D138" s="57" t="s">
        <v>776</v>
      </c>
      <c r="E138" s="102">
        <f>VLOOKUP(Z138&amp;"_"&amp;AA138,挑战模式!$A$3:$Z$58,5+5*AB138,FALSE)</f>
        <v>163</v>
      </c>
      <c r="F138" s="57">
        <v>1</v>
      </c>
      <c r="G138" s="57">
        <v>0</v>
      </c>
      <c r="H138" s="57">
        <v>0</v>
      </c>
      <c r="I138" s="57">
        <v>0</v>
      </c>
      <c r="Z138" s="110">
        <v>5</v>
      </c>
      <c r="AA138" s="110">
        <v>4</v>
      </c>
      <c r="AB138" s="110">
        <v>2</v>
      </c>
    </row>
    <row r="139" spans="2:28" x14ac:dyDescent="0.2">
      <c r="B139" s="57" t="s">
        <v>878</v>
      </c>
      <c r="C139" s="57">
        <v>1</v>
      </c>
      <c r="D139" s="57" t="s">
        <v>777</v>
      </c>
      <c r="E139" s="102">
        <f>VLOOKUP(Z139&amp;"_"&amp;AA139,挑战模式!$A$3:$Z$58,5+5*AB139,FALSE)</f>
        <v>400</v>
      </c>
      <c r="F139" s="57">
        <v>1</v>
      </c>
      <c r="G139" s="57">
        <v>0</v>
      </c>
      <c r="H139" s="57">
        <v>0</v>
      </c>
      <c r="I139" s="57">
        <v>0</v>
      </c>
      <c r="Z139" s="110">
        <v>5</v>
      </c>
      <c r="AA139" s="110">
        <v>5</v>
      </c>
      <c r="AB139" s="110">
        <v>1</v>
      </c>
    </row>
    <row r="140" spans="2:28" x14ac:dyDescent="0.2">
      <c r="B140" s="57" t="s">
        <v>879</v>
      </c>
      <c r="C140" s="57">
        <v>1</v>
      </c>
      <c r="D140" s="57" t="s">
        <v>778</v>
      </c>
      <c r="E140" s="102">
        <f>VLOOKUP(Z140&amp;"_"&amp;AA140,挑战模式!$A$3:$Z$58,5+5*AB140,FALSE)</f>
        <v>100</v>
      </c>
      <c r="F140" s="57">
        <v>1</v>
      </c>
      <c r="G140" s="57">
        <v>0</v>
      </c>
      <c r="H140" s="57">
        <v>0</v>
      </c>
      <c r="I140" s="57">
        <v>0</v>
      </c>
      <c r="Z140" s="110">
        <v>5</v>
      </c>
      <c r="AA140" s="110">
        <v>5</v>
      </c>
      <c r="AB140" s="110">
        <v>2</v>
      </c>
    </row>
    <row r="141" spans="2:28" x14ac:dyDescent="0.2">
      <c r="B141" s="57" t="s">
        <v>880</v>
      </c>
      <c r="C141" s="57">
        <v>1</v>
      </c>
      <c r="D141" s="57" t="s">
        <v>779</v>
      </c>
      <c r="E141" s="102">
        <f>VLOOKUP(Z141&amp;"_"&amp;AA141,挑战模式!$A$3:$Z$58,5+5*AB141,FALSE)</f>
        <v>300</v>
      </c>
      <c r="F141" s="57">
        <v>1</v>
      </c>
      <c r="G141" s="57">
        <v>0</v>
      </c>
      <c r="H141" s="57">
        <v>0</v>
      </c>
      <c r="I141" s="57">
        <v>0</v>
      </c>
      <c r="Z141" s="110">
        <v>5</v>
      </c>
      <c r="AA141" s="110">
        <v>5</v>
      </c>
      <c r="AB141" s="110">
        <v>3</v>
      </c>
    </row>
    <row r="142" spans="2:28" x14ac:dyDescent="0.2">
      <c r="B142" s="57" t="s">
        <v>881</v>
      </c>
      <c r="C142" s="57">
        <v>1</v>
      </c>
      <c r="D142" s="57" t="s">
        <v>780</v>
      </c>
      <c r="E142" s="102">
        <f>VLOOKUP(Z142&amp;"_"&amp;AA142,挑战模式!$A$3:$Z$58,5+5*AB142,FALSE)</f>
        <v>4000</v>
      </c>
      <c r="F142" s="57">
        <v>1</v>
      </c>
      <c r="G142" s="57">
        <v>0</v>
      </c>
      <c r="H142" s="57">
        <v>0</v>
      </c>
      <c r="I142" s="57">
        <v>0</v>
      </c>
      <c r="Z142" s="110">
        <v>5</v>
      </c>
      <c r="AA142" s="110">
        <v>5</v>
      </c>
      <c r="AB142" s="110">
        <v>4</v>
      </c>
    </row>
    <row r="143" spans="2:28" x14ac:dyDescent="0.2">
      <c r="B143" s="57" t="s">
        <v>1154</v>
      </c>
      <c r="C143" s="57">
        <v>1</v>
      </c>
      <c r="D143" s="57" t="s">
        <v>1229</v>
      </c>
      <c r="E143" s="102">
        <f>VLOOKUP(Z143&amp;"_"&amp;AA143,挑战模式!$A$3:$Z$58,5+5*AB143,FALSE)</f>
        <v>78</v>
      </c>
      <c r="F143" s="57">
        <v>1</v>
      </c>
      <c r="G143" s="57">
        <v>0</v>
      </c>
      <c r="H143" s="57">
        <v>0</v>
      </c>
      <c r="I143" s="57">
        <v>0</v>
      </c>
      <c r="Z143" s="57">
        <v>6</v>
      </c>
      <c r="AA143" s="57">
        <v>1</v>
      </c>
      <c r="AB143" s="57">
        <v>1</v>
      </c>
    </row>
    <row r="144" spans="2:28" x14ac:dyDescent="0.2">
      <c r="B144" s="57" t="s">
        <v>1155</v>
      </c>
      <c r="C144" s="57">
        <v>1</v>
      </c>
      <c r="D144" s="57" t="s">
        <v>1230</v>
      </c>
      <c r="E144" s="102">
        <f>VLOOKUP(Z144&amp;"_"&amp;AA144,挑战模式!$A$3:$Z$58,5+5*AB144,FALSE)</f>
        <v>313</v>
      </c>
      <c r="F144" s="57">
        <v>1</v>
      </c>
      <c r="G144" s="57">
        <v>0</v>
      </c>
      <c r="H144" s="57">
        <v>0</v>
      </c>
      <c r="I144" s="57">
        <v>0</v>
      </c>
      <c r="Z144" s="57">
        <v>6</v>
      </c>
      <c r="AA144" s="57">
        <v>1</v>
      </c>
      <c r="AB144" s="57">
        <v>2</v>
      </c>
    </row>
    <row r="145" spans="2:28" x14ac:dyDescent="0.2">
      <c r="B145" s="57" t="s">
        <v>1156</v>
      </c>
      <c r="C145" s="57">
        <v>1</v>
      </c>
      <c r="D145" s="57" t="s">
        <v>1231</v>
      </c>
      <c r="E145" s="102">
        <f>VLOOKUP(Z145&amp;"_"&amp;AA145,挑战模式!$A$3:$Z$58,5+5*AB145,FALSE)</f>
        <v>119</v>
      </c>
      <c r="F145" s="57">
        <v>1</v>
      </c>
      <c r="G145" s="57">
        <v>0</v>
      </c>
      <c r="H145" s="57">
        <v>0</v>
      </c>
      <c r="I145" s="57">
        <v>0</v>
      </c>
      <c r="Z145" s="57">
        <v>6</v>
      </c>
      <c r="AA145" s="57">
        <v>2</v>
      </c>
      <c r="AB145" s="57">
        <v>1</v>
      </c>
    </row>
    <row r="146" spans="2:28" x14ac:dyDescent="0.2">
      <c r="B146" s="57" t="s">
        <v>1157</v>
      </c>
      <c r="C146" s="57">
        <v>1</v>
      </c>
      <c r="D146" s="57" t="s">
        <v>1232</v>
      </c>
      <c r="E146" s="102">
        <f>VLOOKUP(Z146&amp;"_"&amp;AA146,挑战模式!$A$3:$Z$58,5+5*AB146,FALSE)</f>
        <v>474</v>
      </c>
      <c r="F146" s="57">
        <v>1</v>
      </c>
      <c r="G146" s="57">
        <v>0</v>
      </c>
      <c r="H146" s="57">
        <v>0</v>
      </c>
      <c r="I146" s="57">
        <v>0</v>
      </c>
      <c r="Z146" s="57">
        <v>6</v>
      </c>
      <c r="AA146" s="57">
        <v>2</v>
      </c>
      <c r="AB146" s="57">
        <v>2</v>
      </c>
    </row>
    <row r="147" spans="2:28" x14ac:dyDescent="0.2">
      <c r="B147" s="57" t="s">
        <v>1158</v>
      </c>
      <c r="C147" s="57">
        <v>1</v>
      </c>
      <c r="D147" s="57" t="s">
        <v>1233</v>
      </c>
      <c r="E147" s="102">
        <f>VLOOKUP(Z147&amp;"_"&amp;AA147,挑战模式!$A$3:$Z$58,5+5*AB147,FALSE)</f>
        <v>126</v>
      </c>
      <c r="F147" s="57">
        <v>1</v>
      </c>
      <c r="G147" s="57">
        <v>0</v>
      </c>
      <c r="H147" s="57">
        <v>0</v>
      </c>
      <c r="I147" s="57">
        <v>0</v>
      </c>
      <c r="Z147" s="57">
        <v>6</v>
      </c>
      <c r="AA147" s="57">
        <v>3</v>
      </c>
      <c r="AB147" s="57">
        <v>1</v>
      </c>
    </row>
    <row r="148" spans="2:28" x14ac:dyDescent="0.2">
      <c r="B148" s="57" t="s">
        <v>1159</v>
      </c>
      <c r="C148" s="57">
        <v>1</v>
      </c>
      <c r="D148" s="57" t="s">
        <v>1234</v>
      </c>
      <c r="E148" s="102">
        <f>VLOOKUP(Z148&amp;"_"&amp;AA148,挑战模式!$A$3:$Z$58,5+5*AB148,FALSE)</f>
        <v>502</v>
      </c>
      <c r="F148" s="57">
        <v>1</v>
      </c>
      <c r="G148" s="57">
        <v>0</v>
      </c>
      <c r="H148" s="57">
        <v>0</v>
      </c>
      <c r="I148" s="57">
        <v>0</v>
      </c>
      <c r="Z148" s="57">
        <v>6</v>
      </c>
      <c r="AA148" s="57">
        <v>3</v>
      </c>
      <c r="AB148" s="57">
        <v>2</v>
      </c>
    </row>
    <row r="149" spans="2:28" x14ac:dyDescent="0.2">
      <c r="B149" s="57" t="s">
        <v>1160</v>
      </c>
      <c r="C149" s="57">
        <v>1</v>
      </c>
      <c r="D149" s="57" t="s">
        <v>1235</v>
      </c>
      <c r="E149" s="102">
        <f>VLOOKUP(Z149&amp;"_"&amp;AA149,挑战模式!$A$3:$Z$58,5+5*AB149,FALSE)</f>
        <v>502</v>
      </c>
      <c r="F149" s="57">
        <v>1</v>
      </c>
      <c r="G149" s="57">
        <v>0</v>
      </c>
      <c r="H149" s="57">
        <v>0</v>
      </c>
      <c r="I149" s="57">
        <v>0</v>
      </c>
      <c r="Z149" s="57">
        <v>6</v>
      </c>
      <c r="AA149" s="57">
        <v>3</v>
      </c>
      <c r="AB149" s="57">
        <v>3</v>
      </c>
    </row>
    <row r="150" spans="2:28" x14ac:dyDescent="0.2">
      <c r="B150" s="57" t="s">
        <v>1161</v>
      </c>
      <c r="C150" s="57">
        <v>1</v>
      </c>
      <c r="D150" s="57" t="s">
        <v>1236</v>
      </c>
      <c r="E150" s="102">
        <f>VLOOKUP(Z150&amp;"_"&amp;AA150,挑战模式!$A$3:$Z$58,5+5*AB150,FALSE)</f>
        <v>111</v>
      </c>
      <c r="F150" s="57">
        <v>1</v>
      </c>
      <c r="G150" s="57">
        <v>0</v>
      </c>
      <c r="H150" s="57">
        <v>0</v>
      </c>
      <c r="I150" s="57">
        <v>0</v>
      </c>
      <c r="Z150" s="57">
        <v>6</v>
      </c>
      <c r="AA150" s="57">
        <v>4</v>
      </c>
      <c r="AB150" s="57">
        <v>1</v>
      </c>
    </row>
    <row r="151" spans="2:28" x14ac:dyDescent="0.2">
      <c r="B151" s="57" t="s">
        <v>1162</v>
      </c>
      <c r="C151" s="57">
        <v>1</v>
      </c>
      <c r="D151" s="57" t="s">
        <v>1237</v>
      </c>
      <c r="E151" s="102">
        <f>VLOOKUP(Z151&amp;"_"&amp;AA151,挑战模式!$A$3:$Z$58,5+5*AB151,FALSE)</f>
        <v>443</v>
      </c>
      <c r="F151" s="57">
        <v>1</v>
      </c>
      <c r="G151" s="57">
        <v>0</v>
      </c>
      <c r="H151" s="57">
        <v>0</v>
      </c>
      <c r="I151" s="57">
        <v>0</v>
      </c>
      <c r="Z151" s="57">
        <v>6</v>
      </c>
      <c r="AA151" s="57">
        <v>4</v>
      </c>
      <c r="AB151" s="57">
        <v>2</v>
      </c>
    </row>
    <row r="152" spans="2:28" x14ac:dyDescent="0.2">
      <c r="B152" s="57" t="s">
        <v>1163</v>
      </c>
      <c r="C152" s="57">
        <v>1</v>
      </c>
      <c r="D152" s="57" t="s">
        <v>1238</v>
      </c>
      <c r="E152" s="102">
        <f>VLOOKUP(Z152&amp;"_"&amp;AA152,挑战模式!$A$3:$Z$58,5+5*AB152,FALSE)</f>
        <v>443</v>
      </c>
      <c r="F152" s="57">
        <v>1</v>
      </c>
      <c r="G152" s="57">
        <v>0</v>
      </c>
      <c r="H152" s="57">
        <v>0</v>
      </c>
      <c r="I152" s="57">
        <v>0</v>
      </c>
      <c r="Z152" s="57">
        <v>6</v>
      </c>
      <c r="AA152" s="57">
        <v>4</v>
      </c>
      <c r="AB152" s="57">
        <v>3</v>
      </c>
    </row>
    <row r="153" spans="2:28" x14ac:dyDescent="0.2">
      <c r="B153" s="57" t="s">
        <v>1164</v>
      </c>
      <c r="C153" s="57">
        <v>1</v>
      </c>
      <c r="D153" s="57" t="s">
        <v>1239</v>
      </c>
      <c r="E153" s="102">
        <f>VLOOKUP(Z153&amp;"_"&amp;AA153,挑战模式!$A$3:$Z$58,5+5*AB153,FALSE)</f>
        <v>75</v>
      </c>
      <c r="F153" s="57">
        <v>1</v>
      </c>
      <c r="G153" s="57">
        <v>0</v>
      </c>
      <c r="H153" s="57">
        <v>0</v>
      </c>
      <c r="I153" s="57">
        <v>0</v>
      </c>
      <c r="Z153" s="57">
        <v>6</v>
      </c>
      <c r="AA153" s="57">
        <v>5</v>
      </c>
      <c r="AB153" s="57">
        <v>1</v>
      </c>
    </row>
    <row r="154" spans="2:28" x14ac:dyDescent="0.2">
      <c r="B154" s="57" t="s">
        <v>1165</v>
      </c>
      <c r="C154" s="57">
        <v>1</v>
      </c>
      <c r="D154" s="57" t="s">
        <v>1240</v>
      </c>
      <c r="E154" s="102">
        <f>VLOOKUP(Z154&amp;"_"&amp;AA154,挑战模式!$A$3:$Z$58,5+5*AB154,FALSE)</f>
        <v>301</v>
      </c>
      <c r="F154" s="57">
        <v>1</v>
      </c>
      <c r="G154" s="57">
        <v>0</v>
      </c>
      <c r="H154" s="57">
        <v>0</v>
      </c>
      <c r="I154" s="57">
        <v>0</v>
      </c>
      <c r="Z154" s="57">
        <v>6</v>
      </c>
      <c r="AA154" s="57">
        <v>5</v>
      </c>
      <c r="AB154" s="57">
        <v>2</v>
      </c>
    </row>
    <row r="155" spans="2:28" x14ac:dyDescent="0.2">
      <c r="B155" s="57" t="s">
        <v>1166</v>
      </c>
      <c r="C155" s="57">
        <v>1</v>
      </c>
      <c r="D155" s="57" t="s">
        <v>1241</v>
      </c>
      <c r="E155" s="102">
        <f>VLOOKUP(Z155&amp;"_"&amp;AA155,挑战模式!$A$3:$Z$58,5+5*AB155,FALSE)</f>
        <v>301</v>
      </c>
      <c r="F155" s="57">
        <v>1</v>
      </c>
      <c r="G155" s="57">
        <v>0</v>
      </c>
      <c r="H155" s="57">
        <v>0</v>
      </c>
      <c r="I155" s="57">
        <v>0</v>
      </c>
      <c r="Z155" s="57">
        <v>6</v>
      </c>
      <c r="AA155" s="57">
        <v>5</v>
      </c>
      <c r="AB155" s="57">
        <v>3</v>
      </c>
    </row>
    <row r="156" spans="2:28" x14ac:dyDescent="0.2">
      <c r="B156" s="57" t="s">
        <v>1167</v>
      </c>
      <c r="C156" s="57">
        <v>1</v>
      </c>
      <c r="D156" s="57" t="s">
        <v>1242</v>
      </c>
      <c r="E156" s="102">
        <f>VLOOKUP(Z156&amp;"_"&amp;AA156,挑战模式!$A$3:$Z$58,5+5*AB156,FALSE)</f>
        <v>101</v>
      </c>
      <c r="F156" s="57">
        <v>1</v>
      </c>
      <c r="G156" s="57">
        <v>0</v>
      </c>
      <c r="H156" s="57">
        <v>0</v>
      </c>
      <c r="I156" s="57">
        <v>0</v>
      </c>
      <c r="Z156" s="57">
        <v>7</v>
      </c>
      <c r="AA156" s="57">
        <v>1</v>
      </c>
      <c r="AB156" s="57">
        <v>1</v>
      </c>
    </row>
    <row r="157" spans="2:28" x14ac:dyDescent="0.2">
      <c r="B157" s="57" t="s">
        <v>1168</v>
      </c>
      <c r="C157" s="57">
        <v>1</v>
      </c>
      <c r="D157" s="57" t="s">
        <v>1243</v>
      </c>
      <c r="E157" s="102">
        <f>VLOOKUP(Z157&amp;"_"&amp;AA157,挑战模式!$A$3:$Z$58,5+5*AB157,FALSE)</f>
        <v>201</v>
      </c>
      <c r="F157" s="57">
        <v>1</v>
      </c>
      <c r="G157" s="57">
        <v>0</v>
      </c>
      <c r="H157" s="57">
        <v>0</v>
      </c>
      <c r="I157" s="57">
        <v>0</v>
      </c>
      <c r="Z157" s="57">
        <v>7</v>
      </c>
      <c r="AA157" s="57">
        <v>1</v>
      </c>
      <c r="AB157" s="57">
        <v>2</v>
      </c>
    </row>
    <row r="158" spans="2:28" x14ac:dyDescent="0.2">
      <c r="B158" s="57" t="s">
        <v>1169</v>
      </c>
      <c r="C158" s="57">
        <v>1</v>
      </c>
      <c r="D158" s="57" t="s">
        <v>1244</v>
      </c>
      <c r="E158" s="102">
        <f>VLOOKUP(Z158&amp;"_"&amp;AA158,挑战模式!$A$3:$Z$58,5+5*AB158,FALSE)</f>
        <v>70</v>
      </c>
      <c r="F158" s="57">
        <v>1</v>
      </c>
      <c r="G158" s="57">
        <v>0</v>
      </c>
      <c r="H158" s="57">
        <v>0</v>
      </c>
      <c r="I158" s="57">
        <v>0</v>
      </c>
      <c r="Z158" s="57">
        <v>7</v>
      </c>
      <c r="AA158" s="57">
        <v>2</v>
      </c>
      <c r="AB158" s="57">
        <v>1</v>
      </c>
    </row>
    <row r="159" spans="2:28" x14ac:dyDescent="0.2">
      <c r="B159" s="57" t="s">
        <v>1170</v>
      </c>
      <c r="C159" s="57">
        <v>1</v>
      </c>
      <c r="D159" s="57" t="s">
        <v>1245</v>
      </c>
      <c r="E159" s="102">
        <f>VLOOKUP(Z159&amp;"_"&amp;AA159,挑战模式!$A$3:$Z$58,5+5*AB159,FALSE)</f>
        <v>140</v>
      </c>
      <c r="F159" s="57">
        <v>1</v>
      </c>
      <c r="G159" s="57">
        <v>0</v>
      </c>
      <c r="H159" s="57">
        <v>0</v>
      </c>
      <c r="I159" s="57">
        <v>0</v>
      </c>
      <c r="Z159" s="57">
        <v>7</v>
      </c>
      <c r="AA159" s="57">
        <v>2</v>
      </c>
      <c r="AB159" s="57">
        <v>2</v>
      </c>
    </row>
    <row r="160" spans="2:28" x14ac:dyDescent="0.2">
      <c r="B160" s="57" t="s">
        <v>1171</v>
      </c>
      <c r="C160" s="57">
        <v>1</v>
      </c>
      <c r="D160" s="57" t="s">
        <v>1246</v>
      </c>
      <c r="E160" s="102">
        <f>VLOOKUP(Z160&amp;"_"&amp;AA160,挑战模式!$A$3:$Z$58,5+5*AB160,FALSE)</f>
        <v>140</v>
      </c>
      <c r="F160" s="57">
        <v>1</v>
      </c>
      <c r="G160" s="57">
        <v>0</v>
      </c>
      <c r="H160" s="57">
        <v>0</v>
      </c>
      <c r="I160" s="57">
        <v>0</v>
      </c>
      <c r="Z160" s="57">
        <v>7</v>
      </c>
      <c r="AA160" s="57">
        <v>2</v>
      </c>
      <c r="AB160" s="57">
        <v>3</v>
      </c>
    </row>
    <row r="161" spans="2:28" x14ac:dyDescent="0.2">
      <c r="B161" s="57" t="s">
        <v>1172</v>
      </c>
      <c r="C161" s="57">
        <v>1</v>
      </c>
      <c r="D161" s="57" t="s">
        <v>1247</v>
      </c>
      <c r="E161" s="102">
        <f>VLOOKUP(Z161&amp;"_"&amp;AA161,挑战模式!$A$3:$Z$58,5+5*AB161,FALSE)</f>
        <v>196</v>
      </c>
      <c r="F161" s="57">
        <v>1</v>
      </c>
      <c r="G161" s="57">
        <v>0</v>
      </c>
      <c r="H161" s="57">
        <v>0</v>
      </c>
      <c r="I161" s="57">
        <v>0</v>
      </c>
      <c r="Z161" s="57">
        <v>7</v>
      </c>
      <c r="AA161" s="57">
        <v>3</v>
      </c>
      <c r="AB161" s="57">
        <v>1</v>
      </c>
    </row>
    <row r="162" spans="2:28" x14ac:dyDescent="0.2">
      <c r="B162" s="57" t="s">
        <v>1173</v>
      </c>
      <c r="C162" s="57">
        <v>1</v>
      </c>
      <c r="D162" s="57" t="s">
        <v>1248</v>
      </c>
      <c r="E162" s="102">
        <f>VLOOKUP(Z162&amp;"_"&amp;AA162,挑战模式!$A$3:$Z$58,5+5*AB162,FALSE)</f>
        <v>98</v>
      </c>
      <c r="F162" s="57">
        <v>1</v>
      </c>
      <c r="G162" s="57">
        <v>0</v>
      </c>
      <c r="H162" s="57">
        <v>0</v>
      </c>
      <c r="I162" s="57">
        <v>0</v>
      </c>
      <c r="Z162" s="57">
        <v>7</v>
      </c>
      <c r="AA162" s="57">
        <v>3</v>
      </c>
      <c r="AB162" s="57">
        <v>2</v>
      </c>
    </row>
    <row r="163" spans="2:28" x14ac:dyDescent="0.2">
      <c r="B163" s="57" t="s">
        <v>1174</v>
      </c>
      <c r="C163" s="57">
        <v>1</v>
      </c>
      <c r="D163" s="57" t="s">
        <v>1249</v>
      </c>
      <c r="E163" s="102">
        <f>VLOOKUP(Z163&amp;"_"&amp;AA163,挑战模式!$A$3:$Z$58,5+5*AB163,FALSE)</f>
        <v>393</v>
      </c>
      <c r="F163" s="57">
        <v>1</v>
      </c>
      <c r="G163" s="57">
        <v>0</v>
      </c>
      <c r="H163" s="57">
        <v>0</v>
      </c>
      <c r="I163" s="57">
        <v>0</v>
      </c>
      <c r="Z163" s="57">
        <v>7</v>
      </c>
      <c r="AA163" s="57">
        <v>3</v>
      </c>
      <c r="AB163" s="57">
        <v>3</v>
      </c>
    </row>
    <row r="164" spans="2:28" x14ac:dyDescent="0.2">
      <c r="B164" s="57" t="s">
        <v>1175</v>
      </c>
      <c r="C164" s="57">
        <v>1</v>
      </c>
      <c r="D164" s="57" t="s">
        <v>1250</v>
      </c>
      <c r="E164" s="102">
        <f>VLOOKUP(Z164&amp;"_"&amp;AA164,挑战模式!$A$3:$Z$58,5+5*AB164,FALSE)</f>
        <v>126</v>
      </c>
      <c r="F164" s="57">
        <v>1</v>
      </c>
      <c r="G164" s="57">
        <v>0</v>
      </c>
      <c r="H164" s="57">
        <v>0</v>
      </c>
      <c r="I164" s="57">
        <v>0</v>
      </c>
      <c r="Z164" s="57">
        <v>7</v>
      </c>
      <c r="AA164" s="57">
        <v>4</v>
      </c>
      <c r="AB164" s="57">
        <v>1</v>
      </c>
    </row>
    <row r="165" spans="2:28" x14ac:dyDescent="0.2">
      <c r="B165" s="57" t="s">
        <v>1176</v>
      </c>
      <c r="C165" s="57">
        <v>1</v>
      </c>
      <c r="D165" s="57" t="s">
        <v>1251</v>
      </c>
      <c r="E165" s="102">
        <f>VLOOKUP(Z165&amp;"_"&amp;AA165,挑战模式!$A$3:$Z$58,5+5*AB165,FALSE)</f>
        <v>63</v>
      </c>
      <c r="F165" s="57">
        <v>1</v>
      </c>
      <c r="G165" s="57">
        <v>0</v>
      </c>
      <c r="H165" s="57">
        <v>0</v>
      </c>
      <c r="I165" s="57">
        <v>0</v>
      </c>
      <c r="Z165" s="57">
        <v>7</v>
      </c>
      <c r="AA165" s="57">
        <v>4</v>
      </c>
      <c r="AB165" s="57">
        <v>2</v>
      </c>
    </row>
    <row r="166" spans="2:28" x14ac:dyDescent="0.2">
      <c r="B166" s="57" t="s">
        <v>1177</v>
      </c>
      <c r="C166" s="57">
        <v>1</v>
      </c>
      <c r="D166" s="57" t="s">
        <v>1252</v>
      </c>
      <c r="E166" s="102">
        <f>VLOOKUP(Z166&amp;"_"&amp;AA166,挑战模式!$A$3:$Z$58,5+5*AB166,FALSE)</f>
        <v>252</v>
      </c>
      <c r="F166" s="57">
        <v>1</v>
      </c>
      <c r="G166" s="57">
        <v>0</v>
      </c>
      <c r="H166" s="57">
        <v>0</v>
      </c>
      <c r="I166" s="57">
        <v>0</v>
      </c>
      <c r="Z166" s="57">
        <v>7</v>
      </c>
      <c r="AA166" s="57">
        <v>4</v>
      </c>
      <c r="AB166" s="57">
        <v>3</v>
      </c>
    </row>
    <row r="167" spans="2:28" x14ac:dyDescent="0.2">
      <c r="B167" s="57" t="s">
        <v>1178</v>
      </c>
      <c r="C167" s="57">
        <v>1</v>
      </c>
      <c r="D167" s="57" t="s">
        <v>1253</v>
      </c>
      <c r="E167" s="102">
        <f>VLOOKUP(Z167&amp;"_"&amp;AA167,挑战模式!$A$3:$Z$58,5+5*AB167,FALSE)</f>
        <v>252</v>
      </c>
      <c r="F167" s="57">
        <v>1</v>
      </c>
      <c r="G167" s="57">
        <v>0</v>
      </c>
      <c r="H167" s="57">
        <v>0</v>
      </c>
      <c r="I167" s="57">
        <v>0</v>
      </c>
      <c r="Z167" s="57">
        <v>7</v>
      </c>
      <c r="AA167" s="57">
        <v>4</v>
      </c>
      <c r="AB167" s="57">
        <v>4</v>
      </c>
    </row>
    <row r="168" spans="2:28" x14ac:dyDescent="0.2">
      <c r="B168" s="57" t="s">
        <v>1179</v>
      </c>
      <c r="C168" s="57">
        <v>1</v>
      </c>
      <c r="D168" s="57" t="s">
        <v>1254</v>
      </c>
      <c r="E168" s="102">
        <f>VLOOKUP(Z168&amp;"_"&amp;AA168,挑战模式!$A$3:$Z$58,5+5*AB168,FALSE)</f>
        <v>82</v>
      </c>
      <c r="F168" s="57">
        <v>1</v>
      </c>
      <c r="G168" s="57">
        <v>0</v>
      </c>
      <c r="H168" s="57">
        <v>0</v>
      </c>
      <c r="I168" s="57">
        <v>0</v>
      </c>
      <c r="Z168" s="57">
        <v>7</v>
      </c>
      <c r="AA168" s="57">
        <v>5</v>
      </c>
      <c r="AB168" s="57">
        <v>1</v>
      </c>
    </row>
    <row r="169" spans="2:28" x14ac:dyDescent="0.2">
      <c r="B169" s="57" t="s">
        <v>1180</v>
      </c>
      <c r="C169" s="57">
        <v>1</v>
      </c>
      <c r="D169" s="57" t="s">
        <v>1255</v>
      </c>
      <c r="E169" s="102">
        <f>VLOOKUP(Z169&amp;"_"&amp;AA169,挑战模式!$A$3:$Z$58,5+5*AB169,FALSE)</f>
        <v>41</v>
      </c>
      <c r="F169" s="57">
        <v>1</v>
      </c>
      <c r="G169" s="57">
        <v>0</v>
      </c>
      <c r="H169" s="57">
        <v>0</v>
      </c>
      <c r="I169" s="57">
        <v>0</v>
      </c>
      <c r="Z169" s="57">
        <v>7</v>
      </c>
      <c r="AA169" s="57">
        <v>5</v>
      </c>
      <c r="AB169" s="57">
        <v>2</v>
      </c>
    </row>
    <row r="170" spans="2:28" x14ac:dyDescent="0.2">
      <c r="B170" s="57" t="s">
        <v>1181</v>
      </c>
      <c r="C170" s="57">
        <v>1</v>
      </c>
      <c r="D170" s="57" t="s">
        <v>1256</v>
      </c>
      <c r="E170" s="102">
        <f>VLOOKUP(Z170&amp;"_"&amp;AA170,挑战模式!$A$3:$Z$58,5+5*AB170,FALSE)</f>
        <v>164</v>
      </c>
      <c r="F170" s="57">
        <v>1</v>
      </c>
      <c r="G170" s="57">
        <v>0</v>
      </c>
      <c r="H170" s="57">
        <v>0</v>
      </c>
      <c r="I170" s="57">
        <v>0</v>
      </c>
      <c r="Z170" s="57">
        <v>7</v>
      </c>
      <c r="AA170" s="57">
        <v>5</v>
      </c>
      <c r="AB170" s="57">
        <v>3</v>
      </c>
    </row>
    <row r="171" spans="2:28" x14ac:dyDescent="0.2">
      <c r="B171" s="57" t="s">
        <v>1182</v>
      </c>
      <c r="C171" s="57">
        <v>1</v>
      </c>
      <c r="D171" s="57" t="s">
        <v>1257</v>
      </c>
      <c r="E171" s="102">
        <f>VLOOKUP(Z171&amp;"_"&amp;AA171,挑战模式!$A$3:$Z$58,5+5*AB171,FALSE)</f>
        <v>164</v>
      </c>
      <c r="F171" s="57">
        <v>1</v>
      </c>
      <c r="G171" s="57">
        <v>0</v>
      </c>
      <c r="H171" s="57">
        <v>0</v>
      </c>
      <c r="I171" s="57">
        <v>0</v>
      </c>
      <c r="Z171" s="57">
        <v>7</v>
      </c>
      <c r="AA171" s="57">
        <v>5</v>
      </c>
      <c r="AB171" s="57">
        <v>4</v>
      </c>
    </row>
    <row r="172" spans="2:28" x14ac:dyDescent="0.2">
      <c r="B172" s="57" t="s">
        <v>1183</v>
      </c>
      <c r="C172" s="57">
        <v>1</v>
      </c>
      <c r="D172" s="57" t="s">
        <v>1258</v>
      </c>
      <c r="E172" s="102">
        <f>VLOOKUP(Z172&amp;"_"&amp;AA172,挑战模式!$A$3:$Z$58,5+5*AB172,FALSE)</f>
        <v>210</v>
      </c>
      <c r="F172" s="57">
        <v>1</v>
      </c>
      <c r="G172" s="57">
        <v>0</v>
      </c>
      <c r="H172" s="57">
        <v>0</v>
      </c>
      <c r="I172" s="57">
        <v>0</v>
      </c>
      <c r="Z172" s="57">
        <v>8</v>
      </c>
      <c r="AA172" s="57">
        <v>1</v>
      </c>
      <c r="AB172" s="57">
        <v>1</v>
      </c>
    </row>
    <row r="173" spans="2:28" x14ac:dyDescent="0.2">
      <c r="B173" s="57" t="s">
        <v>1184</v>
      </c>
      <c r="C173" s="57">
        <v>1</v>
      </c>
      <c r="D173" s="57" t="s">
        <v>1259</v>
      </c>
      <c r="E173" s="102">
        <f>VLOOKUP(Z173&amp;"_"&amp;AA173,挑战模式!$A$3:$Z$58,5+5*AB173,FALSE)</f>
        <v>279</v>
      </c>
      <c r="F173" s="57">
        <v>1</v>
      </c>
      <c r="G173" s="57">
        <v>0</v>
      </c>
      <c r="H173" s="57">
        <v>0</v>
      </c>
      <c r="I173" s="57">
        <v>0</v>
      </c>
      <c r="Z173" s="57">
        <v>8</v>
      </c>
      <c r="AA173" s="57">
        <v>1</v>
      </c>
      <c r="AB173" s="57">
        <v>2</v>
      </c>
    </row>
    <row r="174" spans="2:28" x14ac:dyDescent="0.2">
      <c r="B174" s="57" t="s">
        <v>1185</v>
      </c>
      <c r="C174" s="57">
        <v>1</v>
      </c>
      <c r="D174" s="57" t="s">
        <v>1260</v>
      </c>
      <c r="E174" s="102">
        <f>VLOOKUP(Z174&amp;"_"&amp;AA174,挑战模式!$A$3:$Z$58,5+5*AB174,FALSE)</f>
        <v>284</v>
      </c>
      <c r="F174" s="57">
        <v>1</v>
      </c>
      <c r="G174" s="57">
        <v>0</v>
      </c>
      <c r="H174" s="57">
        <v>0</v>
      </c>
      <c r="I174" s="57">
        <v>0</v>
      </c>
      <c r="Z174" s="57">
        <v>8</v>
      </c>
      <c r="AA174" s="57">
        <v>2</v>
      </c>
      <c r="AB174" s="57">
        <v>1</v>
      </c>
    </row>
    <row r="175" spans="2:28" x14ac:dyDescent="0.2">
      <c r="B175" s="57" t="s">
        <v>1186</v>
      </c>
      <c r="C175" s="57">
        <v>1</v>
      </c>
      <c r="D175" s="57" t="s">
        <v>1261</v>
      </c>
      <c r="E175" s="102">
        <f>VLOOKUP(Z175&amp;"_"&amp;AA175,挑战模式!$A$3:$Z$58,5+5*AB175,FALSE)</f>
        <v>190</v>
      </c>
      <c r="F175" s="57">
        <v>1</v>
      </c>
      <c r="G175" s="57">
        <v>0</v>
      </c>
      <c r="H175" s="57">
        <v>0</v>
      </c>
      <c r="I175" s="57">
        <v>0</v>
      </c>
      <c r="Z175" s="57">
        <v>8</v>
      </c>
      <c r="AA175" s="57">
        <v>2</v>
      </c>
      <c r="AB175" s="57">
        <v>2</v>
      </c>
    </row>
    <row r="176" spans="2:28" x14ac:dyDescent="0.2">
      <c r="B176" s="57" t="s">
        <v>1187</v>
      </c>
      <c r="C176" s="57">
        <v>1</v>
      </c>
      <c r="D176" s="57" t="s">
        <v>1262</v>
      </c>
      <c r="E176" s="102">
        <f>VLOOKUP(Z176&amp;"_"&amp;AA176,挑战模式!$A$3:$Z$58,5+5*AB176,FALSE)</f>
        <v>379</v>
      </c>
      <c r="F176" s="57">
        <v>1</v>
      </c>
      <c r="G176" s="57">
        <v>0</v>
      </c>
      <c r="H176" s="57">
        <v>0</v>
      </c>
      <c r="I176" s="57">
        <v>0</v>
      </c>
      <c r="Z176" s="57">
        <v>8</v>
      </c>
      <c r="AA176" s="57">
        <v>2</v>
      </c>
      <c r="AB176" s="57">
        <v>3</v>
      </c>
    </row>
    <row r="177" spans="2:28" x14ac:dyDescent="0.2">
      <c r="B177" s="57" t="s">
        <v>1188</v>
      </c>
      <c r="C177" s="57">
        <v>1</v>
      </c>
      <c r="D177" s="57" t="s">
        <v>1263</v>
      </c>
      <c r="E177" s="102">
        <f>VLOOKUP(Z177&amp;"_"&amp;AA177,挑战模式!$A$3:$Z$58,5+5*AB177,FALSE)</f>
        <v>603</v>
      </c>
      <c r="F177" s="57">
        <v>1</v>
      </c>
      <c r="G177" s="57">
        <v>0</v>
      </c>
      <c r="H177" s="57">
        <v>0</v>
      </c>
      <c r="I177" s="57">
        <v>0</v>
      </c>
      <c r="Z177" s="57">
        <v>8</v>
      </c>
      <c r="AA177" s="57">
        <v>3</v>
      </c>
      <c r="AB177" s="57">
        <v>1</v>
      </c>
    </row>
    <row r="178" spans="2:28" x14ac:dyDescent="0.2">
      <c r="B178" s="57" t="s">
        <v>1189</v>
      </c>
      <c r="C178" s="57">
        <v>1</v>
      </c>
      <c r="D178" s="57" t="s">
        <v>1264</v>
      </c>
      <c r="E178" s="102">
        <f>VLOOKUP(Z178&amp;"_"&amp;AA178,挑战模式!$A$3:$Z$58,5+5*AB178,FALSE)</f>
        <v>101</v>
      </c>
      <c r="F178" s="57">
        <v>1</v>
      </c>
      <c r="G178" s="57">
        <v>0</v>
      </c>
      <c r="H178" s="57">
        <v>0</v>
      </c>
      <c r="I178" s="57">
        <v>0</v>
      </c>
      <c r="Z178" s="57">
        <v>8</v>
      </c>
      <c r="AA178" s="57">
        <v>3</v>
      </c>
      <c r="AB178" s="57">
        <v>2</v>
      </c>
    </row>
    <row r="179" spans="2:28" x14ac:dyDescent="0.2">
      <c r="B179" s="57" t="s">
        <v>1190</v>
      </c>
      <c r="C179" s="57">
        <v>1</v>
      </c>
      <c r="D179" s="57" t="s">
        <v>1265</v>
      </c>
      <c r="E179" s="102">
        <f>VLOOKUP(Z179&amp;"_"&amp;AA179,挑战模式!$A$3:$Z$58,5+5*AB179,FALSE)</f>
        <v>804</v>
      </c>
      <c r="F179" s="57">
        <v>1</v>
      </c>
      <c r="G179" s="57">
        <v>0</v>
      </c>
      <c r="H179" s="57">
        <v>0</v>
      </c>
      <c r="I179" s="57">
        <v>0</v>
      </c>
      <c r="Z179" s="57">
        <v>8</v>
      </c>
      <c r="AA179" s="57">
        <v>3</v>
      </c>
      <c r="AB179" s="57">
        <v>3</v>
      </c>
    </row>
    <row r="180" spans="2:28" x14ac:dyDescent="0.2">
      <c r="B180" s="57" t="s">
        <v>1191</v>
      </c>
      <c r="C180" s="57">
        <v>1</v>
      </c>
      <c r="D180" s="57" t="s">
        <v>1266</v>
      </c>
      <c r="E180" s="102">
        <f>VLOOKUP(Z180&amp;"_"&amp;AA180,挑战模式!$A$3:$Z$58,5+5*AB180,FALSE)</f>
        <v>545</v>
      </c>
      <c r="F180" s="57">
        <v>1</v>
      </c>
      <c r="G180" s="57">
        <v>0</v>
      </c>
      <c r="H180" s="57">
        <v>0</v>
      </c>
      <c r="I180" s="57">
        <v>0</v>
      </c>
      <c r="Z180" s="57">
        <v>8</v>
      </c>
      <c r="AA180" s="57">
        <v>4</v>
      </c>
      <c r="AB180" s="57">
        <v>1</v>
      </c>
    </row>
    <row r="181" spans="2:28" x14ac:dyDescent="0.2">
      <c r="B181" s="57" t="s">
        <v>1192</v>
      </c>
      <c r="C181" s="57">
        <v>1</v>
      </c>
      <c r="D181" s="57" t="s">
        <v>1267</v>
      </c>
      <c r="E181" s="102">
        <f>VLOOKUP(Z181&amp;"_"&amp;AA181,挑战模式!$A$3:$Z$58,5+5*AB181,FALSE)</f>
        <v>91</v>
      </c>
      <c r="F181" s="57">
        <v>1</v>
      </c>
      <c r="G181" s="57">
        <v>0</v>
      </c>
      <c r="H181" s="57">
        <v>0</v>
      </c>
      <c r="I181" s="57">
        <v>0</v>
      </c>
      <c r="Z181" s="57">
        <v>8</v>
      </c>
      <c r="AA181" s="57">
        <v>4</v>
      </c>
      <c r="AB181" s="57">
        <v>2</v>
      </c>
    </row>
    <row r="182" spans="2:28" x14ac:dyDescent="0.2">
      <c r="B182" s="57" t="s">
        <v>1193</v>
      </c>
      <c r="C182" s="57">
        <v>1</v>
      </c>
      <c r="D182" s="57" t="s">
        <v>1268</v>
      </c>
      <c r="E182" s="102">
        <f>VLOOKUP(Z182&amp;"_"&amp;AA182,挑战模式!$A$3:$Z$58,5+5*AB182,FALSE)</f>
        <v>182</v>
      </c>
      <c r="F182" s="57">
        <v>1</v>
      </c>
      <c r="G182" s="57">
        <v>0</v>
      </c>
      <c r="H182" s="57">
        <v>0</v>
      </c>
      <c r="I182" s="57">
        <v>0</v>
      </c>
      <c r="Z182" s="57">
        <v>8</v>
      </c>
      <c r="AA182" s="57">
        <v>4</v>
      </c>
      <c r="AB182" s="57">
        <v>3</v>
      </c>
    </row>
    <row r="183" spans="2:28" x14ac:dyDescent="0.2">
      <c r="B183" s="57" t="s">
        <v>1194</v>
      </c>
      <c r="C183" s="57">
        <v>1</v>
      </c>
      <c r="D183" s="57" t="s">
        <v>1269</v>
      </c>
      <c r="E183" s="102">
        <f>VLOOKUP(Z183&amp;"_"&amp;AA183,挑战模式!$A$3:$Z$58,5+5*AB183,FALSE)</f>
        <v>726</v>
      </c>
      <c r="F183" s="57">
        <v>1</v>
      </c>
      <c r="G183" s="57">
        <v>0</v>
      </c>
      <c r="H183" s="57">
        <v>0</v>
      </c>
      <c r="I183" s="57">
        <v>0</v>
      </c>
      <c r="Z183" s="57">
        <v>8</v>
      </c>
      <c r="AA183" s="57">
        <v>4</v>
      </c>
      <c r="AB183" s="57">
        <v>4</v>
      </c>
    </row>
    <row r="184" spans="2:28" x14ac:dyDescent="0.2">
      <c r="B184" s="57" t="s">
        <v>1195</v>
      </c>
      <c r="C184" s="57">
        <v>1</v>
      </c>
      <c r="D184" s="57" t="s">
        <v>1270</v>
      </c>
      <c r="E184" s="102">
        <f>VLOOKUP(Z184&amp;"_"&amp;AA184,挑战模式!$A$3:$Z$58,5+5*AB184,FALSE)</f>
        <v>284</v>
      </c>
      <c r="F184" s="57">
        <v>1</v>
      </c>
      <c r="G184" s="57">
        <v>0</v>
      </c>
      <c r="H184" s="57">
        <v>0</v>
      </c>
      <c r="I184" s="57">
        <v>0</v>
      </c>
      <c r="Z184" s="57">
        <v>8</v>
      </c>
      <c r="AA184" s="57">
        <v>5</v>
      </c>
      <c r="AB184" s="57">
        <v>1</v>
      </c>
    </row>
    <row r="185" spans="2:28" x14ac:dyDescent="0.2">
      <c r="B185" s="57" t="s">
        <v>1196</v>
      </c>
      <c r="C185" s="57">
        <v>1</v>
      </c>
      <c r="D185" s="57" t="s">
        <v>1271</v>
      </c>
      <c r="E185" s="102">
        <f>VLOOKUP(Z185&amp;"_"&amp;AA185,挑战模式!$A$3:$Z$58,5+5*AB185,FALSE)</f>
        <v>189</v>
      </c>
      <c r="F185" s="57">
        <v>1</v>
      </c>
      <c r="G185" s="57">
        <v>0</v>
      </c>
      <c r="H185" s="57">
        <v>0</v>
      </c>
      <c r="I185" s="57">
        <v>0</v>
      </c>
      <c r="Z185" s="57">
        <v>8</v>
      </c>
      <c r="AA185" s="57">
        <v>5</v>
      </c>
      <c r="AB185" s="57">
        <v>2</v>
      </c>
    </row>
    <row r="186" spans="2:28" x14ac:dyDescent="0.2">
      <c r="B186" s="57" t="s">
        <v>1197</v>
      </c>
      <c r="C186" s="57">
        <v>1</v>
      </c>
      <c r="D186" s="57" t="s">
        <v>1272</v>
      </c>
      <c r="E186" s="102">
        <f>VLOOKUP(Z186&amp;"_"&amp;AA186,挑战模式!$A$3:$Z$58,5+5*AB186,FALSE)</f>
        <v>95</v>
      </c>
      <c r="F186" s="57">
        <v>1</v>
      </c>
      <c r="G186" s="57">
        <v>0</v>
      </c>
      <c r="H186" s="57">
        <v>0</v>
      </c>
      <c r="I186" s="57">
        <v>0</v>
      </c>
      <c r="Z186" s="57">
        <v>8</v>
      </c>
      <c r="AA186" s="57">
        <v>5</v>
      </c>
      <c r="AB186" s="57">
        <v>3</v>
      </c>
    </row>
    <row r="187" spans="2:28" x14ac:dyDescent="0.2">
      <c r="B187" s="57" t="s">
        <v>1198</v>
      </c>
      <c r="C187" s="57">
        <v>1</v>
      </c>
      <c r="D187" s="57" t="s">
        <v>1273</v>
      </c>
      <c r="E187" s="102">
        <f>VLOOKUP(Z187&amp;"_"&amp;AA187,挑战模式!$A$3:$Z$58,5+5*AB187,FALSE)</f>
        <v>379</v>
      </c>
      <c r="F187" s="57">
        <v>1</v>
      </c>
      <c r="G187" s="57">
        <v>0</v>
      </c>
      <c r="H187" s="57">
        <v>0</v>
      </c>
      <c r="I187" s="57">
        <v>0</v>
      </c>
      <c r="Z187" s="57">
        <v>8</v>
      </c>
      <c r="AA187" s="57">
        <v>5</v>
      </c>
      <c r="AB187" s="57">
        <v>4</v>
      </c>
    </row>
    <row r="188" spans="2:28" x14ac:dyDescent="0.2">
      <c r="B188" s="57" t="s">
        <v>1199</v>
      </c>
      <c r="C188" s="57">
        <v>1</v>
      </c>
      <c r="D188" s="57" t="s">
        <v>1274</v>
      </c>
      <c r="E188" s="102">
        <f>VLOOKUP(Z188&amp;"_"&amp;AA188,挑战模式!$A$3:$Z$58,5+5*AB188,FALSE)</f>
        <v>133</v>
      </c>
      <c r="F188" s="57">
        <v>1</v>
      </c>
      <c r="G188" s="57">
        <v>0</v>
      </c>
      <c r="H188" s="57">
        <v>0</v>
      </c>
      <c r="I188" s="57">
        <v>0</v>
      </c>
      <c r="Z188" s="57">
        <v>9</v>
      </c>
      <c r="AA188" s="57">
        <v>1</v>
      </c>
      <c r="AB188" s="57">
        <v>1</v>
      </c>
    </row>
    <row r="189" spans="2:28" x14ac:dyDescent="0.2">
      <c r="B189" s="57" t="s">
        <v>1200</v>
      </c>
      <c r="C189" s="57">
        <v>1</v>
      </c>
      <c r="D189" s="57" t="s">
        <v>1275</v>
      </c>
      <c r="E189" s="102">
        <f>VLOOKUP(Z189&amp;"_"&amp;AA189,挑战模式!$A$3:$Z$58,5+5*AB189,FALSE)</f>
        <v>531</v>
      </c>
      <c r="F189" s="57">
        <v>1</v>
      </c>
      <c r="G189" s="57">
        <v>0</v>
      </c>
      <c r="H189" s="57">
        <v>0</v>
      </c>
      <c r="I189" s="57">
        <v>0</v>
      </c>
      <c r="Z189" s="57">
        <v>9</v>
      </c>
      <c r="AA189" s="57">
        <v>1</v>
      </c>
      <c r="AB189" s="57">
        <v>2</v>
      </c>
    </row>
    <row r="190" spans="2:28" x14ac:dyDescent="0.2">
      <c r="B190" s="57" t="s">
        <v>1201</v>
      </c>
      <c r="C190" s="57">
        <v>1</v>
      </c>
      <c r="D190" s="57" t="s">
        <v>1276</v>
      </c>
      <c r="E190" s="102">
        <f>VLOOKUP(Z190&amp;"_"&amp;AA190,挑战模式!$A$3:$Z$58,5+5*AB190,FALSE)</f>
        <v>83</v>
      </c>
      <c r="F190" s="57">
        <v>1</v>
      </c>
      <c r="G190" s="57">
        <v>0</v>
      </c>
      <c r="H190" s="57">
        <v>0</v>
      </c>
      <c r="I190" s="57">
        <v>0</v>
      </c>
      <c r="Z190" s="57">
        <v>9</v>
      </c>
      <c r="AA190" s="57">
        <v>2</v>
      </c>
      <c r="AB190" s="57">
        <v>1</v>
      </c>
    </row>
    <row r="191" spans="2:28" x14ac:dyDescent="0.2">
      <c r="B191" s="57" t="s">
        <v>1202</v>
      </c>
      <c r="C191" s="57">
        <v>1</v>
      </c>
      <c r="D191" s="57" t="s">
        <v>1277</v>
      </c>
      <c r="E191" s="102">
        <f>VLOOKUP(Z191&amp;"_"&amp;AA191,挑战模式!$A$3:$Z$58,5+5*AB191,FALSE)</f>
        <v>167</v>
      </c>
      <c r="F191" s="57">
        <v>1</v>
      </c>
      <c r="G191" s="57">
        <v>0</v>
      </c>
      <c r="H191" s="57">
        <v>0</v>
      </c>
      <c r="I191" s="57">
        <v>0</v>
      </c>
      <c r="Z191" s="57">
        <v>9</v>
      </c>
      <c r="AA191" s="57">
        <v>2</v>
      </c>
      <c r="AB191" s="57">
        <v>2</v>
      </c>
    </row>
    <row r="192" spans="2:28" x14ac:dyDescent="0.2">
      <c r="B192" s="57" t="s">
        <v>1203</v>
      </c>
      <c r="C192" s="57">
        <v>1</v>
      </c>
      <c r="D192" s="57" t="s">
        <v>1278</v>
      </c>
      <c r="E192" s="102">
        <f>VLOOKUP(Z192&amp;"_"&amp;AA192,挑战模式!$A$3:$Z$58,5+5*AB192,FALSE)</f>
        <v>334</v>
      </c>
      <c r="F192" s="57">
        <v>1</v>
      </c>
      <c r="G192" s="57">
        <v>0</v>
      </c>
      <c r="H192" s="57">
        <v>0</v>
      </c>
      <c r="I192" s="57">
        <v>0</v>
      </c>
      <c r="Z192" s="57">
        <v>9</v>
      </c>
      <c r="AA192" s="57">
        <v>2</v>
      </c>
      <c r="AB192" s="57">
        <v>3</v>
      </c>
    </row>
    <row r="193" spans="2:28" x14ac:dyDescent="0.2">
      <c r="B193" s="57" t="s">
        <v>1204</v>
      </c>
      <c r="C193" s="57">
        <v>1</v>
      </c>
      <c r="D193" s="57" t="s">
        <v>1279</v>
      </c>
      <c r="E193" s="102">
        <f>VLOOKUP(Z193&amp;"_"&amp;AA193,挑战模式!$A$3:$Z$58,5+5*AB193,FALSE)</f>
        <v>226</v>
      </c>
      <c r="F193" s="57">
        <v>1</v>
      </c>
      <c r="G193" s="57">
        <v>0</v>
      </c>
      <c r="H193" s="57">
        <v>0</v>
      </c>
      <c r="I193" s="57">
        <v>0</v>
      </c>
      <c r="Z193" s="57">
        <v>9</v>
      </c>
      <c r="AA193" s="57">
        <v>3</v>
      </c>
      <c r="AB193" s="57">
        <v>1</v>
      </c>
    </row>
    <row r="194" spans="2:28" x14ac:dyDescent="0.2">
      <c r="B194" s="57" t="s">
        <v>1205</v>
      </c>
      <c r="C194" s="57">
        <v>1</v>
      </c>
      <c r="D194" s="57" t="s">
        <v>1280</v>
      </c>
      <c r="E194" s="102">
        <f>VLOOKUP(Z194&amp;"_"&amp;AA194,挑战模式!$A$3:$Z$58,5+5*AB194,FALSE)</f>
        <v>113</v>
      </c>
      <c r="F194" s="57">
        <v>1</v>
      </c>
      <c r="G194" s="57">
        <v>0</v>
      </c>
      <c r="H194" s="57">
        <v>0</v>
      </c>
      <c r="I194" s="57">
        <v>0</v>
      </c>
      <c r="Z194" s="57">
        <v>9</v>
      </c>
      <c r="AA194" s="57">
        <v>3</v>
      </c>
      <c r="AB194" s="57">
        <v>2</v>
      </c>
    </row>
    <row r="195" spans="2:28" x14ac:dyDescent="0.2">
      <c r="B195" s="57" t="s">
        <v>1206</v>
      </c>
      <c r="C195" s="57">
        <v>1</v>
      </c>
      <c r="D195" s="57" t="s">
        <v>1281</v>
      </c>
      <c r="E195" s="102">
        <f>VLOOKUP(Z195&amp;"_"&amp;AA195,挑战模式!$A$3:$Z$58,5+5*AB195,FALSE)</f>
        <v>905</v>
      </c>
      <c r="F195" s="57">
        <v>1</v>
      </c>
      <c r="G195" s="57">
        <v>0</v>
      </c>
      <c r="H195" s="57">
        <v>0</v>
      </c>
      <c r="I195" s="57">
        <v>0</v>
      </c>
      <c r="Z195" s="57">
        <v>9</v>
      </c>
      <c r="AA195" s="57">
        <v>3</v>
      </c>
      <c r="AB195" s="57">
        <v>3</v>
      </c>
    </row>
    <row r="196" spans="2:28" x14ac:dyDescent="0.2">
      <c r="B196" s="57" t="s">
        <v>1207</v>
      </c>
      <c r="C196" s="57">
        <v>1</v>
      </c>
      <c r="D196" s="57" t="s">
        <v>1282</v>
      </c>
      <c r="E196" s="102">
        <f>VLOOKUP(Z196&amp;"_"&amp;AA196,挑战模式!$A$3:$Z$58,5+5*AB196,FALSE)</f>
        <v>250</v>
      </c>
      <c r="F196" s="57">
        <v>1</v>
      </c>
      <c r="G196" s="57">
        <v>0</v>
      </c>
      <c r="H196" s="57">
        <v>0</v>
      </c>
      <c r="I196" s="57">
        <v>0</v>
      </c>
      <c r="Z196" s="57">
        <v>9</v>
      </c>
      <c r="AA196" s="57">
        <v>4</v>
      </c>
      <c r="AB196" s="57">
        <v>1</v>
      </c>
    </row>
    <row r="197" spans="2:28" x14ac:dyDescent="0.2">
      <c r="B197" s="57" t="s">
        <v>1208</v>
      </c>
      <c r="C197" s="57">
        <v>1</v>
      </c>
      <c r="D197" s="57" t="s">
        <v>1283</v>
      </c>
      <c r="E197" s="102">
        <f>VLOOKUP(Z197&amp;"_"&amp;AA197,挑战模式!$A$3:$Z$58,5+5*AB197,FALSE)</f>
        <v>250</v>
      </c>
      <c r="F197" s="57">
        <v>1</v>
      </c>
      <c r="G197" s="57">
        <v>0</v>
      </c>
      <c r="H197" s="57">
        <v>0</v>
      </c>
      <c r="I197" s="57">
        <v>0</v>
      </c>
      <c r="Z197" s="57">
        <v>9</v>
      </c>
      <c r="AA197" s="57">
        <v>4</v>
      </c>
      <c r="AB197" s="57">
        <v>2</v>
      </c>
    </row>
    <row r="198" spans="2:28" x14ac:dyDescent="0.2">
      <c r="B198" s="57" t="s">
        <v>1209</v>
      </c>
      <c r="C198" s="57">
        <v>1</v>
      </c>
      <c r="D198" s="57" t="s">
        <v>1284</v>
      </c>
      <c r="E198" s="102">
        <f>VLOOKUP(Z198&amp;"_"&amp;AA198,挑战模式!$A$3:$Z$58,5+5*AB198,FALSE)</f>
        <v>998</v>
      </c>
      <c r="F198" s="57">
        <v>1</v>
      </c>
      <c r="G198" s="57">
        <v>0</v>
      </c>
      <c r="H198" s="57">
        <v>0</v>
      </c>
      <c r="I198" s="57">
        <v>0</v>
      </c>
      <c r="Z198" s="57">
        <v>9</v>
      </c>
      <c r="AA198" s="57">
        <v>4</v>
      </c>
      <c r="AB198" s="57">
        <v>3</v>
      </c>
    </row>
    <row r="199" spans="2:28" x14ac:dyDescent="0.2">
      <c r="B199" s="57" t="s">
        <v>1210</v>
      </c>
      <c r="C199" s="57">
        <v>1</v>
      </c>
      <c r="D199" s="57" t="s">
        <v>1285</v>
      </c>
      <c r="E199" s="102">
        <f>VLOOKUP(Z199&amp;"_"&amp;AA199,挑战模式!$A$3:$Z$58,5+5*AB199,FALSE)</f>
        <v>196</v>
      </c>
      <c r="F199" s="57">
        <v>1</v>
      </c>
      <c r="G199" s="57">
        <v>0</v>
      </c>
      <c r="H199" s="57">
        <v>0</v>
      </c>
      <c r="I199" s="57">
        <v>0</v>
      </c>
      <c r="Z199" s="57">
        <v>9</v>
      </c>
      <c r="AA199" s="57">
        <v>5</v>
      </c>
      <c r="AB199" s="57">
        <v>1</v>
      </c>
    </row>
    <row r="200" spans="2:28" x14ac:dyDescent="0.2">
      <c r="B200" s="57" t="s">
        <v>1211</v>
      </c>
      <c r="C200" s="57">
        <v>1</v>
      </c>
      <c r="D200" s="57" t="s">
        <v>1286</v>
      </c>
      <c r="E200" s="102">
        <f>VLOOKUP(Z200&amp;"_"&amp;AA200,挑战模式!$A$3:$Z$58,5+5*AB200,FALSE)</f>
        <v>588</v>
      </c>
      <c r="F200" s="57">
        <v>1</v>
      </c>
      <c r="G200" s="57">
        <v>0</v>
      </c>
      <c r="H200" s="57">
        <v>0</v>
      </c>
      <c r="I200" s="57">
        <v>0</v>
      </c>
      <c r="Z200" s="57">
        <v>9</v>
      </c>
      <c r="AA200" s="57">
        <v>5</v>
      </c>
      <c r="AB200" s="57">
        <v>2</v>
      </c>
    </row>
    <row r="201" spans="2:28" x14ac:dyDescent="0.2">
      <c r="B201" s="57" t="s">
        <v>1212</v>
      </c>
      <c r="C201" s="57">
        <v>1</v>
      </c>
      <c r="D201" s="57" t="s">
        <v>1287</v>
      </c>
      <c r="E201" s="102">
        <f>VLOOKUP(Z201&amp;"_"&amp;AA201,挑战模式!$A$3:$Z$58,5+5*AB201,FALSE)</f>
        <v>784</v>
      </c>
      <c r="F201" s="57">
        <v>1</v>
      </c>
      <c r="G201" s="57">
        <v>0</v>
      </c>
      <c r="H201" s="57">
        <v>0</v>
      </c>
      <c r="I201" s="57">
        <v>0</v>
      </c>
      <c r="Z201" s="57">
        <v>9</v>
      </c>
      <c r="AA201" s="57">
        <v>5</v>
      </c>
      <c r="AB201" s="57">
        <v>3</v>
      </c>
    </row>
    <row r="202" spans="2:28" x14ac:dyDescent="0.2">
      <c r="B202" s="57" t="s">
        <v>1213</v>
      </c>
      <c r="C202" s="57">
        <v>1</v>
      </c>
      <c r="D202" s="57" t="s">
        <v>1288</v>
      </c>
      <c r="E202" s="102">
        <f>VLOOKUP(Z202&amp;"_"&amp;AA202,挑战模式!$A$3:$Z$58,5+5*AB202,FALSE)</f>
        <v>178</v>
      </c>
      <c r="F202" s="57">
        <v>1</v>
      </c>
      <c r="G202" s="57">
        <v>0</v>
      </c>
      <c r="H202" s="57">
        <v>0</v>
      </c>
      <c r="I202" s="57">
        <v>0</v>
      </c>
      <c r="Z202" s="57">
        <v>10</v>
      </c>
      <c r="AA202" s="57">
        <v>1</v>
      </c>
      <c r="AB202" s="57">
        <v>1</v>
      </c>
    </row>
    <row r="203" spans="2:28" x14ac:dyDescent="0.2">
      <c r="B203" s="57" t="s">
        <v>1214</v>
      </c>
      <c r="C203" s="57">
        <v>1</v>
      </c>
      <c r="D203" s="57" t="s">
        <v>1289</v>
      </c>
      <c r="E203" s="102">
        <f>VLOOKUP(Z203&amp;"_"&amp;AA203,挑战模式!$A$3:$Z$58,5+5*AB203,FALSE)</f>
        <v>357</v>
      </c>
      <c r="F203" s="57">
        <v>1</v>
      </c>
      <c r="G203" s="57">
        <v>0</v>
      </c>
      <c r="H203" s="57">
        <v>0</v>
      </c>
      <c r="I203" s="57">
        <v>0</v>
      </c>
      <c r="Z203" s="57">
        <v>10</v>
      </c>
      <c r="AA203" s="57">
        <v>1</v>
      </c>
      <c r="AB203" s="57">
        <v>2</v>
      </c>
    </row>
    <row r="204" spans="2:28" x14ac:dyDescent="0.2">
      <c r="B204" s="57" t="s">
        <v>1215</v>
      </c>
      <c r="C204" s="57">
        <v>1</v>
      </c>
      <c r="D204" s="57" t="s">
        <v>1290</v>
      </c>
      <c r="E204" s="102">
        <f>VLOOKUP(Z204&amp;"_"&amp;AA204,挑战模式!$A$3:$Z$58,5+5*AB204,FALSE)</f>
        <v>294</v>
      </c>
      <c r="F204" s="57">
        <v>1</v>
      </c>
      <c r="G204" s="57">
        <v>0</v>
      </c>
      <c r="H204" s="57">
        <v>0</v>
      </c>
      <c r="I204" s="57">
        <v>0</v>
      </c>
      <c r="Z204" s="57">
        <v>10</v>
      </c>
      <c r="AA204" s="57">
        <v>2</v>
      </c>
      <c r="AB204" s="57">
        <v>1</v>
      </c>
    </row>
    <row r="205" spans="2:28" x14ac:dyDescent="0.2">
      <c r="B205" s="57" t="s">
        <v>1216</v>
      </c>
      <c r="C205" s="57">
        <v>1</v>
      </c>
      <c r="D205" s="57" t="s">
        <v>1291</v>
      </c>
      <c r="E205" s="102">
        <f>VLOOKUP(Z205&amp;"_"&amp;AA205,挑战模式!$A$3:$Z$58,5+5*AB205,FALSE)</f>
        <v>37</v>
      </c>
      <c r="F205" s="57">
        <v>1</v>
      </c>
      <c r="G205" s="57">
        <v>0</v>
      </c>
      <c r="H205" s="57">
        <v>0</v>
      </c>
      <c r="I205" s="57">
        <v>0</v>
      </c>
      <c r="Z205" s="57">
        <v>10</v>
      </c>
      <c r="AA205" s="57">
        <v>2</v>
      </c>
      <c r="AB205" s="57">
        <v>2</v>
      </c>
    </row>
    <row r="206" spans="2:28" x14ac:dyDescent="0.2">
      <c r="B206" s="57" t="s">
        <v>1217</v>
      </c>
      <c r="C206" s="57">
        <v>1</v>
      </c>
      <c r="D206" s="57" t="s">
        <v>1292</v>
      </c>
      <c r="E206" s="102">
        <f>VLOOKUP(Z206&amp;"_"&amp;AA206,挑战模式!$A$3:$Z$58,5+5*AB206,FALSE)</f>
        <v>587</v>
      </c>
      <c r="F206" s="57">
        <v>1</v>
      </c>
      <c r="G206" s="57">
        <v>0</v>
      </c>
      <c r="H206" s="57">
        <v>0</v>
      </c>
      <c r="I206" s="57">
        <v>0</v>
      </c>
      <c r="Z206" s="57">
        <v>10</v>
      </c>
      <c r="AA206" s="57">
        <v>2</v>
      </c>
      <c r="AB206" s="57">
        <v>3</v>
      </c>
    </row>
    <row r="207" spans="2:28" x14ac:dyDescent="0.2">
      <c r="B207" s="57" t="s">
        <v>1218</v>
      </c>
      <c r="C207" s="57">
        <v>1</v>
      </c>
      <c r="D207" s="57" t="s">
        <v>1293</v>
      </c>
      <c r="E207" s="102">
        <f>VLOOKUP(Z207&amp;"_"&amp;AA207,挑战模式!$A$3:$Z$58,5+5*AB207,FALSE)</f>
        <v>527</v>
      </c>
      <c r="F207" s="57">
        <v>1</v>
      </c>
      <c r="G207" s="57">
        <v>0</v>
      </c>
      <c r="H207" s="57">
        <v>0</v>
      </c>
      <c r="I207" s="57">
        <v>0</v>
      </c>
      <c r="Z207" s="57">
        <v>10</v>
      </c>
      <c r="AA207" s="57">
        <v>3</v>
      </c>
      <c r="AB207" s="57">
        <v>1</v>
      </c>
    </row>
    <row r="208" spans="2:28" x14ac:dyDescent="0.2">
      <c r="B208" s="57" t="s">
        <v>1219</v>
      </c>
      <c r="C208" s="57">
        <v>1</v>
      </c>
      <c r="D208" s="57" t="s">
        <v>1294</v>
      </c>
      <c r="E208" s="102">
        <f>VLOOKUP(Z208&amp;"_"&amp;AA208,挑战模式!$A$3:$Z$58,5+5*AB208,FALSE)</f>
        <v>132</v>
      </c>
      <c r="F208" s="57">
        <v>1</v>
      </c>
      <c r="G208" s="57">
        <v>0</v>
      </c>
      <c r="H208" s="57">
        <v>0</v>
      </c>
      <c r="I208" s="57">
        <v>0</v>
      </c>
      <c r="Z208" s="57">
        <v>10</v>
      </c>
      <c r="AA208" s="57">
        <v>3</v>
      </c>
      <c r="AB208" s="57">
        <v>2</v>
      </c>
    </row>
    <row r="209" spans="2:28" x14ac:dyDescent="0.2">
      <c r="B209" s="57" t="s">
        <v>1220</v>
      </c>
      <c r="C209" s="57">
        <v>1</v>
      </c>
      <c r="D209" s="57" t="s">
        <v>1295</v>
      </c>
      <c r="E209" s="102">
        <f>VLOOKUP(Z209&amp;"_"&amp;AA209,挑战模式!$A$3:$Z$58,5+5*AB209,FALSE)</f>
        <v>132</v>
      </c>
      <c r="F209" s="57">
        <v>1</v>
      </c>
      <c r="G209" s="57">
        <v>0</v>
      </c>
      <c r="H209" s="57">
        <v>0</v>
      </c>
      <c r="I209" s="57">
        <v>0</v>
      </c>
      <c r="Z209" s="57">
        <v>10</v>
      </c>
      <c r="AA209" s="57">
        <v>3</v>
      </c>
      <c r="AB209" s="57">
        <v>3</v>
      </c>
    </row>
    <row r="210" spans="2:28" x14ac:dyDescent="0.2">
      <c r="B210" s="57" t="s">
        <v>1221</v>
      </c>
      <c r="C210" s="57">
        <v>1</v>
      </c>
      <c r="D210" s="57" t="s">
        <v>1296</v>
      </c>
      <c r="E210" s="102">
        <f>VLOOKUP(Z210&amp;"_"&amp;AA210,挑战模式!$A$3:$Z$58,5+5*AB210,FALSE)</f>
        <v>1054</v>
      </c>
      <c r="F210" s="57">
        <v>1</v>
      </c>
      <c r="G210" s="57">
        <v>0</v>
      </c>
      <c r="H210" s="57">
        <v>0</v>
      </c>
      <c r="I210" s="57">
        <v>0</v>
      </c>
      <c r="Z210" s="57">
        <v>10</v>
      </c>
      <c r="AA210" s="57">
        <v>3</v>
      </c>
      <c r="AB210" s="57">
        <v>4</v>
      </c>
    </row>
    <row r="211" spans="2:28" x14ac:dyDescent="0.2">
      <c r="B211" s="57" t="s">
        <v>1222</v>
      </c>
      <c r="C211" s="57">
        <v>1</v>
      </c>
      <c r="D211" s="57" t="s">
        <v>1297</v>
      </c>
      <c r="E211" s="102">
        <f>VLOOKUP(Z211&amp;"_"&amp;AA211,挑战模式!$A$3:$Z$58,5+5*AB211,FALSE)</f>
        <v>687</v>
      </c>
      <c r="F211" s="57">
        <v>1</v>
      </c>
      <c r="G211" s="57">
        <v>0</v>
      </c>
      <c r="H211" s="57">
        <v>0</v>
      </c>
      <c r="I211" s="57">
        <v>0</v>
      </c>
      <c r="Z211" s="57">
        <v>10</v>
      </c>
      <c r="AA211" s="57">
        <v>4</v>
      </c>
      <c r="AB211" s="57">
        <v>1</v>
      </c>
    </row>
    <row r="212" spans="2:28" x14ac:dyDescent="0.2">
      <c r="B212" s="57" t="s">
        <v>1223</v>
      </c>
      <c r="C212" s="57">
        <v>1</v>
      </c>
      <c r="D212" s="57" t="s">
        <v>1298</v>
      </c>
      <c r="E212" s="102">
        <f>VLOOKUP(Z212&amp;"_"&amp;AA212,挑战模式!$A$3:$Z$58,5+5*AB212,FALSE)</f>
        <v>172</v>
      </c>
      <c r="F212" s="57">
        <v>1</v>
      </c>
      <c r="G212" s="57">
        <v>0</v>
      </c>
      <c r="H212" s="57">
        <v>0</v>
      </c>
      <c r="I212" s="57">
        <v>0</v>
      </c>
      <c r="Z212" s="57">
        <v>10</v>
      </c>
      <c r="AA212" s="57">
        <v>4</v>
      </c>
      <c r="AB212" s="57">
        <v>2</v>
      </c>
    </row>
    <row r="213" spans="2:28" x14ac:dyDescent="0.2">
      <c r="B213" s="57" t="s">
        <v>1224</v>
      </c>
      <c r="C213" s="57">
        <v>1</v>
      </c>
      <c r="D213" s="57" t="s">
        <v>1299</v>
      </c>
      <c r="E213" s="102">
        <f>VLOOKUP(Z213&amp;"_"&amp;AA213,挑战模式!$A$3:$Z$58,5+5*AB213,FALSE)</f>
        <v>1375</v>
      </c>
      <c r="F213" s="57">
        <v>1</v>
      </c>
      <c r="G213" s="57">
        <v>0</v>
      </c>
      <c r="H213" s="57">
        <v>0</v>
      </c>
      <c r="I213" s="57">
        <v>0</v>
      </c>
      <c r="Z213" s="57">
        <v>10</v>
      </c>
      <c r="AA213" s="57">
        <v>4</v>
      </c>
      <c r="AB213" s="57">
        <v>3</v>
      </c>
    </row>
    <row r="214" spans="2:28" x14ac:dyDescent="0.2">
      <c r="B214" s="57" t="s">
        <v>1225</v>
      </c>
      <c r="C214" s="57">
        <v>1</v>
      </c>
      <c r="D214" s="57" t="s">
        <v>1300</v>
      </c>
      <c r="E214" s="102">
        <f>VLOOKUP(Z214&amp;"_"&amp;AA214,挑战模式!$A$3:$Z$58,5+5*AB214,FALSE)</f>
        <v>470</v>
      </c>
      <c r="F214" s="57">
        <v>1</v>
      </c>
      <c r="G214" s="57">
        <v>0</v>
      </c>
      <c r="H214" s="57">
        <v>0</v>
      </c>
      <c r="I214" s="57">
        <v>0</v>
      </c>
      <c r="Z214" s="57">
        <v>10</v>
      </c>
      <c r="AA214" s="57">
        <v>5</v>
      </c>
      <c r="AB214" s="57">
        <v>1</v>
      </c>
    </row>
    <row r="215" spans="2:28" x14ac:dyDescent="0.2">
      <c r="B215" s="57" t="s">
        <v>1226</v>
      </c>
      <c r="C215" s="57">
        <v>1</v>
      </c>
      <c r="D215" s="57" t="s">
        <v>1301</v>
      </c>
      <c r="E215" s="102">
        <f>VLOOKUP(Z215&amp;"_"&amp;AA215,挑战模式!$A$3:$Z$58,5+5*AB215,FALSE)</f>
        <v>117</v>
      </c>
      <c r="F215" s="57">
        <v>1</v>
      </c>
      <c r="G215" s="57">
        <v>0</v>
      </c>
      <c r="H215" s="57">
        <v>0</v>
      </c>
      <c r="I215" s="57">
        <v>0</v>
      </c>
      <c r="Z215" s="57">
        <v>10</v>
      </c>
      <c r="AA215" s="57">
        <v>5</v>
      </c>
      <c r="AB215" s="57">
        <v>2</v>
      </c>
    </row>
    <row r="216" spans="2:28" x14ac:dyDescent="0.2">
      <c r="B216" s="57" t="s">
        <v>1227</v>
      </c>
      <c r="C216" s="57">
        <v>1</v>
      </c>
      <c r="D216" s="57" t="s">
        <v>1302</v>
      </c>
      <c r="E216" s="102">
        <f>VLOOKUP(Z216&amp;"_"&amp;AA216,挑战模式!$A$3:$Z$58,5+5*AB216,FALSE)</f>
        <v>352</v>
      </c>
      <c r="F216" s="57">
        <v>1</v>
      </c>
      <c r="G216" s="57">
        <v>0</v>
      </c>
      <c r="H216" s="57">
        <v>0</v>
      </c>
      <c r="I216" s="57">
        <v>0</v>
      </c>
      <c r="Z216" s="57">
        <v>10</v>
      </c>
      <c r="AA216" s="57">
        <v>5</v>
      </c>
      <c r="AB216" s="57">
        <v>3</v>
      </c>
    </row>
    <row r="217" spans="2:28" x14ac:dyDescent="0.2">
      <c r="B217" s="57" t="s">
        <v>1228</v>
      </c>
      <c r="C217" s="57">
        <v>1</v>
      </c>
      <c r="D217" s="57" t="s">
        <v>1303</v>
      </c>
      <c r="E217" s="102">
        <f>VLOOKUP(Z217&amp;"_"&amp;AA217,挑战模式!$A$3:$Z$58,5+5*AB217,FALSE)</f>
        <v>939</v>
      </c>
      <c r="F217" s="57">
        <v>1</v>
      </c>
      <c r="G217" s="57">
        <v>0</v>
      </c>
      <c r="H217" s="57">
        <v>0</v>
      </c>
      <c r="I217" s="57">
        <v>0</v>
      </c>
      <c r="Z217" s="57">
        <v>10</v>
      </c>
      <c r="AA217" s="57">
        <v>5</v>
      </c>
      <c r="AB217" s="57">
        <v>4</v>
      </c>
    </row>
    <row r="219" spans="2:28" x14ac:dyDescent="0.2">
      <c r="B219" t="s">
        <v>1808</v>
      </c>
      <c r="D219" t="s">
        <v>1892</v>
      </c>
      <c r="E219" s="102">
        <f>VLOOKUP(VLOOKUP(B219,MonsterWaveCallRuleCfg!$L$306:$Q$385,5,FALSE),线下模式!$A$3:$X$22,3+VLOOKUP(B219,MonsterWaveCallRuleCfg!$L$306:$Q$385,6,FALSE)*5,FALSE)</f>
        <v>346</v>
      </c>
      <c r="F219" s="57">
        <v>1</v>
      </c>
      <c r="G219" s="57">
        <v>0</v>
      </c>
      <c r="H219" s="57">
        <v>0</v>
      </c>
      <c r="I219" s="57">
        <v>0</v>
      </c>
    </row>
    <row r="220" spans="2:28" x14ac:dyDescent="0.2">
      <c r="B220" t="s">
        <v>1809</v>
      </c>
      <c r="D220" t="s">
        <v>1893</v>
      </c>
      <c r="E220" s="102">
        <f>VLOOKUP(VLOOKUP(B220,MonsterWaveCallRuleCfg!$L$306:$Q$385,5,FALSE),线下模式!$A$3:$X$22,3+VLOOKUP(B220,MonsterWaveCallRuleCfg!$L$306:$Q$385,6,FALSE)*5,FALSE)</f>
        <v>322</v>
      </c>
      <c r="F220" s="57">
        <v>1</v>
      </c>
      <c r="G220" s="57">
        <v>0</v>
      </c>
      <c r="H220" s="57">
        <v>0</v>
      </c>
      <c r="I220" s="57">
        <v>0</v>
      </c>
    </row>
    <row r="221" spans="2:28" x14ac:dyDescent="0.2">
      <c r="B221" t="s">
        <v>1810</v>
      </c>
      <c r="D221" t="s">
        <v>1894</v>
      </c>
      <c r="E221" s="102">
        <f>VLOOKUP(VLOOKUP(B221,MonsterWaveCallRuleCfg!$L$306:$Q$385,5,FALSE),线下模式!$A$3:$X$22,3+VLOOKUP(B221,MonsterWaveCallRuleCfg!$L$306:$Q$385,6,FALSE)*5,FALSE)</f>
        <v>1289</v>
      </c>
      <c r="F221" s="57">
        <v>1</v>
      </c>
      <c r="G221" s="57">
        <v>0</v>
      </c>
      <c r="H221" s="57">
        <v>0</v>
      </c>
      <c r="I221" s="57">
        <v>0</v>
      </c>
    </row>
    <row r="222" spans="2:28" x14ac:dyDescent="0.2">
      <c r="B222" t="s">
        <v>1811</v>
      </c>
      <c r="D222" t="s">
        <v>1895</v>
      </c>
      <c r="E222" s="102">
        <f>VLOOKUP(VLOOKUP(B222,MonsterWaveCallRuleCfg!$L$306:$Q$385,5,FALSE),线下模式!$A$3:$X$22,3+VLOOKUP(B222,MonsterWaveCallRuleCfg!$L$306:$Q$385,6,FALSE)*5,FALSE)</f>
        <v>1628</v>
      </c>
      <c r="F222" s="57">
        <v>1</v>
      </c>
      <c r="G222" s="57">
        <v>0</v>
      </c>
      <c r="H222" s="57">
        <v>0</v>
      </c>
      <c r="I222" s="57">
        <v>0</v>
      </c>
    </row>
    <row r="223" spans="2:28" x14ac:dyDescent="0.2">
      <c r="B223" t="s">
        <v>1812</v>
      </c>
      <c r="D223" t="s">
        <v>1896</v>
      </c>
      <c r="E223" s="102">
        <f>VLOOKUP(VLOOKUP(B223,MonsterWaveCallRuleCfg!$L$306:$Q$385,5,FALSE),线下模式!$A$3:$X$22,3+VLOOKUP(B223,MonsterWaveCallRuleCfg!$L$306:$Q$385,6,FALSE)*5,FALSE)</f>
        <v>407</v>
      </c>
      <c r="F223" s="57">
        <v>1</v>
      </c>
      <c r="G223" s="57">
        <v>0</v>
      </c>
      <c r="H223" s="57">
        <v>0</v>
      </c>
      <c r="I223" s="57">
        <v>0</v>
      </c>
    </row>
    <row r="224" spans="2:28" x14ac:dyDescent="0.2">
      <c r="B224" t="s">
        <v>1813</v>
      </c>
      <c r="D224" t="s">
        <v>1897</v>
      </c>
      <c r="E224" s="102">
        <f>VLOOKUP(VLOOKUP(B224,MonsterWaveCallRuleCfg!$L$306:$Q$385,5,FALSE),线下模式!$A$3:$X$22,3+VLOOKUP(B224,MonsterWaveCallRuleCfg!$L$306:$Q$385,6,FALSE)*5,FALSE)</f>
        <v>1371</v>
      </c>
      <c r="F224" s="57">
        <v>1</v>
      </c>
      <c r="G224" s="57">
        <v>0</v>
      </c>
      <c r="H224" s="57">
        <v>0</v>
      </c>
      <c r="I224" s="57">
        <v>0</v>
      </c>
    </row>
    <row r="225" spans="2:9" x14ac:dyDescent="0.2">
      <c r="B225" t="s">
        <v>1814</v>
      </c>
      <c r="D225" t="s">
        <v>1898</v>
      </c>
      <c r="E225" s="102">
        <f>VLOOKUP(VLOOKUP(B225,MonsterWaveCallRuleCfg!$L$306:$Q$385,5,FALSE),线下模式!$A$3:$X$22,3+VLOOKUP(B225,MonsterWaveCallRuleCfg!$L$306:$Q$385,6,FALSE)*5,FALSE)</f>
        <v>2742</v>
      </c>
      <c r="F225" s="57">
        <v>1</v>
      </c>
      <c r="G225" s="57">
        <v>0</v>
      </c>
      <c r="H225" s="57">
        <v>0</v>
      </c>
      <c r="I225" s="57">
        <v>0</v>
      </c>
    </row>
    <row r="226" spans="2:9" x14ac:dyDescent="0.2">
      <c r="B226" t="s">
        <v>1815</v>
      </c>
      <c r="D226" t="s">
        <v>1899</v>
      </c>
      <c r="E226" s="102">
        <f>VLOOKUP(VLOOKUP(B226,MonsterWaveCallRuleCfg!$L$306:$Q$385,5,FALSE),线下模式!$A$3:$X$22,3+VLOOKUP(B226,MonsterWaveCallRuleCfg!$L$306:$Q$385,6,FALSE)*5,FALSE)</f>
        <v>161906</v>
      </c>
      <c r="F226" s="57">
        <v>10</v>
      </c>
      <c r="G226" s="57">
        <v>0</v>
      </c>
      <c r="H226" s="57">
        <v>0</v>
      </c>
      <c r="I226" s="57">
        <v>0</v>
      </c>
    </row>
    <row r="227" spans="2:9" x14ac:dyDescent="0.2">
      <c r="B227" t="s">
        <v>1816</v>
      </c>
      <c r="D227" t="s">
        <v>1900</v>
      </c>
      <c r="E227" s="102">
        <f>VLOOKUP(VLOOKUP(B227,MonsterWaveCallRuleCfg!$L$306:$Q$385,5,FALSE),线下模式!$A$3:$X$22,3+VLOOKUP(B227,MonsterWaveCallRuleCfg!$L$306:$Q$385,6,FALSE)*5,FALSE)</f>
        <v>2024</v>
      </c>
      <c r="F227" s="57">
        <v>1</v>
      </c>
      <c r="G227" s="57">
        <v>0</v>
      </c>
      <c r="H227" s="57">
        <v>0</v>
      </c>
      <c r="I227" s="57">
        <v>0</v>
      </c>
    </row>
    <row r="228" spans="2:9" x14ac:dyDescent="0.2">
      <c r="B228" t="s">
        <v>1817</v>
      </c>
      <c r="D228" t="s">
        <v>1901</v>
      </c>
      <c r="E228" s="102">
        <f>VLOOKUP(VLOOKUP(B228,MonsterWaveCallRuleCfg!$L$306:$Q$385,5,FALSE),线下模式!$A$3:$X$22,3+VLOOKUP(B228,MonsterWaveCallRuleCfg!$L$306:$Q$385,6,FALSE)*5,FALSE)</f>
        <v>3600</v>
      </c>
      <c r="F228" s="57">
        <v>1</v>
      </c>
      <c r="G228" s="57">
        <v>0</v>
      </c>
      <c r="H228" s="57">
        <v>0</v>
      </c>
      <c r="I228" s="57">
        <v>0</v>
      </c>
    </row>
    <row r="229" spans="2:9" x14ac:dyDescent="0.2">
      <c r="B229" t="s">
        <v>1818</v>
      </c>
      <c r="D229" t="s">
        <v>1902</v>
      </c>
      <c r="E229" s="102">
        <f>VLOOKUP(VLOOKUP(B229,MonsterWaveCallRuleCfg!$L$306:$Q$385,5,FALSE),线下模式!$A$3:$X$22,3+VLOOKUP(B229,MonsterWaveCallRuleCfg!$L$306:$Q$385,6,FALSE)*5,FALSE)</f>
        <v>1800</v>
      </c>
      <c r="F229" s="57">
        <v>1</v>
      </c>
      <c r="G229" s="57">
        <v>0</v>
      </c>
      <c r="H229" s="57">
        <v>0</v>
      </c>
      <c r="I229" s="57">
        <v>0</v>
      </c>
    </row>
    <row r="230" spans="2:9" x14ac:dyDescent="0.2">
      <c r="B230" t="s">
        <v>1819</v>
      </c>
      <c r="D230" t="s">
        <v>1903</v>
      </c>
      <c r="E230" s="102">
        <f>VLOOKUP(VLOOKUP(B230,MonsterWaveCallRuleCfg!$L$306:$Q$385,5,FALSE),线下模式!$A$3:$X$22,3+VLOOKUP(B230,MonsterWaveCallRuleCfg!$L$306:$Q$385,6,FALSE)*5,FALSE)</f>
        <v>3335</v>
      </c>
      <c r="F230" s="57">
        <v>1</v>
      </c>
      <c r="G230" s="57">
        <v>0</v>
      </c>
      <c r="H230" s="57">
        <v>0</v>
      </c>
      <c r="I230" s="57">
        <v>0</v>
      </c>
    </row>
    <row r="231" spans="2:9" x14ac:dyDescent="0.2">
      <c r="B231" t="s">
        <v>1820</v>
      </c>
      <c r="D231" t="s">
        <v>1904</v>
      </c>
      <c r="E231" s="102">
        <f>VLOOKUP(VLOOKUP(B231,MonsterWaveCallRuleCfg!$L$306:$Q$385,5,FALSE),线下模式!$A$3:$X$22,3+VLOOKUP(B231,MonsterWaveCallRuleCfg!$L$306:$Q$385,6,FALSE)*5,FALSE)</f>
        <v>1668</v>
      </c>
      <c r="F231" s="57">
        <v>1</v>
      </c>
      <c r="G231" s="57">
        <v>0</v>
      </c>
      <c r="H231" s="57">
        <v>0</v>
      </c>
      <c r="I231" s="57">
        <v>0</v>
      </c>
    </row>
    <row r="232" spans="2:9" x14ac:dyDescent="0.2">
      <c r="B232" t="s">
        <v>1821</v>
      </c>
      <c r="D232" t="s">
        <v>1905</v>
      </c>
      <c r="E232" s="102">
        <f>VLOOKUP(VLOOKUP(B232,MonsterWaveCallRuleCfg!$L$306:$Q$385,5,FALSE),线下模式!$A$3:$X$22,3+VLOOKUP(B232,MonsterWaveCallRuleCfg!$L$306:$Q$385,6,FALSE)*5,FALSE)</f>
        <v>6923</v>
      </c>
      <c r="F232" s="57">
        <v>1</v>
      </c>
      <c r="G232" s="57">
        <v>0</v>
      </c>
      <c r="H232" s="57">
        <v>0</v>
      </c>
      <c r="I232" s="57">
        <v>0</v>
      </c>
    </row>
    <row r="233" spans="2:9" x14ac:dyDescent="0.2">
      <c r="B233" t="s">
        <v>1822</v>
      </c>
      <c r="D233" t="s">
        <v>1906</v>
      </c>
      <c r="E233" s="102">
        <f>VLOOKUP(VLOOKUP(B233,MonsterWaveCallRuleCfg!$L$306:$Q$385,5,FALSE),线下模式!$A$3:$X$22,3+VLOOKUP(B233,MonsterWaveCallRuleCfg!$L$306:$Q$385,6,FALSE)*5,FALSE)</f>
        <v>10385</v>
      </c>
      <c r="F233" s="57">
        <v>1</v>
      </c>
      <c r="G233" s="57">
        <v>0</v>
      </c>
      <c r="H233" s="57">
        <v>0</v>
      </c>
      <c r="I233" s="57">
        <v>0</v>
      </c>
    </row>
    <row r="234" spans="2:9" x14ac:dyDescent="0.2">
      <c r="B234" t="s">
        <v>1823</v>
      </c>
      <c r="D234" t="s">
        <v>1907</v>
      </c>
      <c r="E234" s="102">
        <f>VLOOKUP(VLOOKUP(B234,MonsterWaveCallRuleCfg!$L$306:$Q$385,5,FALSE),线下模式!$A$3:$X$22,3+VLOOKUP(B234,MonsterWaveCallRuleCfg!$L$306:$Q$385,6,FALSE)*5,FALSE)</f>
        <v>2455</v>
      </c>
      <c r="F234" s="57">
        <v>1</v>
      </c>
      <c r="G234" s="57">
        <v>0</v>
      </c>
      <c r="H234" s="57">
        <v>0</v>
      </c>
      <c r="I234" s="57">
        <v>0</v>
      </c>
    </row>
    <row r="235" spans="2:9" x14ac:dyDescent="0.2">
      <c r="B235" t="s">
        <v>1824</v>
      </c>
      <c r="D235" t="s">
        <v>1908</v>
      </c>
      <c r="E235" s="102">
        <f>VLOOKUP(VLOOKUP(B235,MonsterWaveCallRuleCfg!$L$306:$Q$385,5,FALSE),线下模式!$A$3:$X$22,3+VLOOKUP(B235,MonsterWaveCallRuleCfg!$L$306:$Q$385,6,FALSE)*5,FALSE)</f>
        <v>3682</v>
      </c>
      <c r="F235" s="57">
        <v>1</v>
      </c>
      <c r="G235" s="57">
        <v>0</v>
      </c>
      <c r="H235" s="57">
        <v>0</v>
      </c>
      <c r="I235" s="57">
        <v>0</v>
      </c>
    </row>
    <row r="236" spans="2:9" x14ac:dyDescent="0.2">
      <c r="B236" t="s">
        <v>1825</v>
      </c>
      <c r="D236" t="s">
        <v>1909</v>
      </c>
      <c r="E236" s="102">
        <f>VLOOKUP(VLOOKUP(B236,MonsterWaveCallRuleCfg!$L$306:$Q$385,5,FALSE),线下模式!$A$3:$X$22,3+VLOOKUP(B236,MonsterWaveCallRuleCfg!$L$306:$Q$385,6,FALSE)*5,FALSE)</f>
        <v>39257</v>
      </c>
      <c r="F236" s="57">
        <v>1</v>
      </c>
      <c r="G236" s="57">
        <v>0</v>
      </c>
      <c r="H236" s="57">
        <v>0</v>
      </c>
      <c r="I236" s="57">
        <v>0</v>
      </c>
    </row>
    <row r="237" spans="2:9" x14ac:dyDescent="0.2">
      <c r="B237" t="s">
        <v>1826</v>
      </c>
      <c r="D237" t="s">
        <v>1910</v>
      </c>
      <c r="E237" s="102">
        <f>VLOOKUP(VLOOKUP(B237,MonsterWaveCallRuleCfg!$L$306:$Q$385,5,FALSE),线下模式!$A$3:$X$22,3+VLOOKUP(B237,MonsterWaveCallRuleCfg!$L$306:$Q$385,6,FALSE)*5,FALSE)</f>
        <v>261711</v>
      </c>
      <c r="F237" s="57">
        <v>10</v>
      </c>
      <c r="G237" s="57">
        <v>0</v>
      </c>
      <c r="H237" s="57">
        <v>0</v>
      </c>
      <c r="I237" s="57">
        <v>0</v>
      </c>
    </row>
    <row r="238" spans="2:9" x14ac:dyDescent="0.2">
      <c r="B238" t="s">
        <v>1827</v>
      </c>
      <c r="D238" t="s">
        <v>1911</v>
      </c>
      <c r="E238" s="102">
        <f>VLOOKUP(VLOOKUP(B238,MonsterWaveCallRuleCfg!$L$306:$Q$385,5,FALSE),线下模式!$A$3:$X$22,3+VLOOKUP(B238,MonsterWaveCallRuleCfg!$L$306:$Q$385,6,FALSE)*5,FALSE)</f>
        <v>47250</v>
      </c>
      <c r="F238" s="57">
        <v>1</v>
      </c>
      <c r="G238" s="57">
        <v>0</v>
      </c>
      <c r="H238" s="57">
        <v>0</v>
      </c>
      <c r="I238" s="57">
        <v>0</v>
      </c>
    </row>
    <row r="239" spans="2:9" x14ac:dyDescent="0.2">
      <c r="B239" t="s">
        <v>1828</v>
      </c>
      <c r="D239" t="s">
        <v>1912</v>
      </c>
      <c r="E239" s="102">
        <f>VLOOKUP(VLOOKUP(B239,MonsterWaveCallRuleCfg!$L$306:$Q$385,5,FALSE),线下模式!$A$3:$X$22,3+VLOOKUP(B239,MonsterWaveCallRuleCfg!$L$306:$Q$385,6,FALSE)*5,FALSE)</f>
        <v>31500</v>
      </c>
      <c r="F239" s="57">
        <v>1</v>
      </c>
      <c r="G239" s="57">
        <v>0</v>
      </c>
      <c r="H239" s="57">
        <v>0</v>
      </c>
      <c r="I239" s="57">
        <v>0</v>
      </c>
    </row>
    <row r="240" spans="2:9" x14ac:dyDescent="0.2">
      <c r="B240" t="s">
        <v>1829</v>
      </c>
      <c r="D240" t="s">
        <v>1913</v>
      </c>
      <c r="E240" s="102">
        <f>VLOOKUP(VLOOKUP(B240,MonsterWaveCallRuleCfg!$L$306:$Q$385,5,FALSE),线下模式!$A$3:$X$22,3+VLOOKUP(B240,MonsterWaveCallRuleCfg!$L$306:$Q$385,6,FALSE)*5,FALSE)</f>
        <v>46286</v>
      </c>
      <c r="F240" s="57">
        <v>1</v>
      </c>
      <c r="G240" s="57">
        <v>0</v>
      </c>
      <c r="H240" s="57">
        <v>0</v>
      </c>
      <c r="I240" s="57">
        <v>0</v>
      </c>
    </row>
    <row r="241" spans="2:9" x14ac:dyDescent="0.2">
      <c r="B241" t="s">
        <v>1830</v>
      </c>
      <c r="D241" t="s">
        <v>1914</v>
      </c>
      <c r="E241" s="102">
        <f>VLOOKUP(VLOOKUP(B241,MonsterWaveCallRuleCfg!$L$306:$Q$385,5,FALSE),线下模式!$A$3:$X$22,3+VLOOKUP(B241,MonsterWaveCallRuleCfg!$L$306:$Q$385,6,FALSE)*5,FALSE)</f>
        <v>17000</v>
      </c>
      <c r="F241" s="57">
        <v>1</v>
      </c>
      <c r="G241" s="57">
        <v>0</v>
      </c>
      <c r="H241" s="57">
        <v>0</v>
      </c>
      <c r="I241" s="57">
        <v>0</v>
      </c>
    </row>
    <row r="242" spans="2:9" x14ac:dyDescent="0.2">
      <c r="B242" t="s">
        <v>1831</v>
      </c>
      <c r="D242" t="s">
        <v>1915</v>
      </c>
      <c r="E242" s="102">
        <f>VLOOKUP(VLOOKUP(B242,MonsterWaveCallRuleCfg!$L$306:$Q$385,5,FALSE),线下模式!$A$3:$X$22,3+VLOOKUP(B242,MonsterWaveCallRuleCfg!$L$306:$Q$385,6,FALSE)*5,FALSE)</f>
        <v>34000</v>
      </c>
      <c r="F242" s="57">
        <v>1</v>
      </c>
      <c r="G242" s="57">
        <v>0</v>
      </c>
      <c r="H242" s="57">
        <v>0</v>
      </c>
      <c r="I242" s="57">
        <v>0</v>
      </c>
    </row>
    <row r="243" spans="2:9" x14ac:dyDescent="0.2">
      <c r="B243" t="s">
        <v>1832</v>
      </c>
      <c r="D243" t="s">
        <v>1916</v>
      </c>
      <c r="E243" s="102">
        <f>VLOOKUP(VLOOKUP(B243,MonsterWaveCallRuleCfg!$L$306:$Q$385,5,FALSE),线下模式!$A$3:$X$22,3+VLOOKUP(B243,MonsterWaveCallRuleCfg!$L$306:$Q$385,6,FALSE)*5,FALSE)</f>
        <v>11278</v>
      </c>
      <c r="F243" s="57">
        <v>1</v>
      </c>
      <c r="G243" s="57">
        <v>0</v>
      </c>
      <c r="H243" s="57">
        <v>0</v>
      </c>
      <c r="I243" s="57">
        <v>0</v>
      </c>
    </row>
    <row r="244" spans="2:9" x14ac:dyDescent="0.2">
      <c r="B244" t="s">
        <v>1833</v>
      </c>
      <c r="D244" t="s">
        <v>1917</v>
      </c>
      <c r="E244" s="102">
        <f>VLOOKUP(VLOOKUP(B244,MonsterWaveCallRuleCfg!$L$306:$Q$385,5,FALSE),线下模式!$A$3:$X$22,3+VLOOKUP(B244,MonsterWaveCallRuleCfg!$L$306:$Q$385,6,FALSE)*5,FALSE)</f>
        <v>67671</v>
      </c>
      <c r="F244" s="57">
        <v>1</v>
      </c>
      <c r="G244" s="57">
        <v>0</v>
      </c>
      <c r="H244" s="57">
        <v>0</v>
      </c>
      <c r="I244" s="57">
        <v>0</v>
      </c>
    </row>
    <row r="245" spans="2:9" x14ac:dyDescent="0.2">
      <c r="B245" t="s">
        <v>1834</v>
      </c>
      <c r="D245" t="s">
        <v>1918</v>
      </c>
      <c r="E245" s="102">
        <f>VLOOKUP(VLOOKUP(B245,MonsterWaveCallRuleCfg!$L$306:$Q$385,5,FALSE),线下模式!$A$3:$X$22,3+VLOOKUP(B245,MonsterWaveCallRuleCfg!$L$306:$Q$385,6,FALSE)*5,FALSE)</f>
        <v>8882</v>
      </c>
      <c r="F245" s="57">
        <v>1</v>
      </c>
      <c r="G245" s="57">
        <v>0</v>
      </c>
      <c r="H245" s="57">
        <v>0</v>
      </c>
      <c r="I245" s="57">
        <v>0</v>
      </c>
    </row>
    <row r="246" spans="2:9" x14ac:dyDescent="0.2">
      <c r="B246" t="s">
        <v>1835</v>
      </c>
      <c r="D246" t="s">
        <v>1919</v>
      </c>
      <c r="E246" s="102">
        <f>VLOOKUP(VLOOKUP(B246,MonsterWaveCallRuleCfg!$L$306:$Q$385,5,FALSE),线下模式!$A$3:$X$22,3+VLOOKUP(B246,MonsterWaveCallRuleCfg!$L$306:$Q$385,6,FALSE)*5,FALSE)</f>
        <v>13322</v>
      </c>
      <c r="F246" s="57">
        <v>1</v>
      </c>
      <c r="G246" s="57">
        <v>0</v>
      </c>
      <c r="H246" s="57">
        <v>0</v>
      </c>
      <c r="I246" s="57">
        <v>0</v>
      </c>
    </row>
    <row r="247" spans="2:9" x14ac:dyDescent="0.2">
      <c r="B247" t="s">
        <v>1836</v>
      </c>
      <c r="D247" t="s">
        <v>1920</v>
      </c>
      <c r="E247" s="102">
        <f>VLOOKUP(VLOOKUP(B247,MonsterWaveCallRuleCfg!$L$306:$Q$385,5,FALSE),线下模式!$A$3:$X$22,3+VLOOKUP(B247,MonsterWaveCallRuleCfg!$L$306:$Q$385,6,FALSE)*5,FALSE)</f>
        <v>177632</v>
      </c>
      <c r="F247" s="57">
        <v>10</v>
      </c>
      <c r="G247" s="57">
        <v>0</v>
      </c>
      <c r="H247" s="57">
        <v>0</v>
      </c>
      <c r="I247" s="57">
        <v>0</v>
      </c>
    </row>
    <row r="248" spans="2:9" x14ac:dyDescent="0.2">
      <c r="B248" t="s">
        <v>1837</v>
      </c>
      <c r="D248" t="s">
        <v>1921</v>
      </c>
      <c r="E248" s="102">
        <f>VLOOKUP(VLOOKUP(B248,MonsterWaveCallRuleCfg!$L$306:$Q$385,5,FALSE),线下模式!$A$3:$X$22,3+VLOOKUP(B248,MonsterWaveCallRuleCfg!$L$306:$Q$385,6,FALSE)*5,FALSE)</f>
        <v>23143</v>
      </c>
      <c r="F248" s="57">
        <v>1</v>
      </c>
      <c r="G248" s="57">
        <v>0</v>
      </c>
      <c r="H248" s="57">
        <v>0</v>
      </c>
      <c r="I248" s="57">
        <v>0</v>
      </c>
    </row>
    <row r="249" spans="2:9" x14ac:dyDescent="0.2">
      <c r="B249" t="s">
        <v>1838</v>
      </c>
      <c r="D249" t="s">
        <v>1922</v>
      </c>
      <c r="E249" s="102">
        <f>VLOOKUP(VLOOKUP(B249,MonsterWaveCallRuleCfg!$L$306:$Q$385,5,FALSE),线下模式!$A$3:$X$22,3+VLOOKUP(B249,MonsterWaveCallRuleCfg!$L$306:$Q$385,6,FALSE)*5,FALSE)</f>
        <v>46286</v>
      </c>
      <c r="F249" s="57">
        <v>1</v>
      </c>
      <c r="G249" s="57">
        <v>0</v>
      </c>
      <c r="H249" s="57">
        <v>0</v>
      </c>
      <c r="I249" s="57">
        <v>0</v>
      </c>
    </row>
    <row r="250" spans="2:9" x14ac:dyDescent="0.2">
      <c r="B250" t="s">
        <v>1839</v>
      </c>
      <c r="D250" t="s">
        <v>1923</v>
      </c>
      <c r="E250" s="102">
        <f>VLOOKUP(VLOOKUP(B250,MonsterWaveCallRuleCfg!$L$306:$Q$385,5,FALSE),线下模式!$A$3:$X$22,3+VLOOKUP(B250,MonsterWaveCallRuleCfg!$L$306:$Q$385,6,FALSE)*5,FALSE)</f>
        <v>40174</v>
      </c>
      <c r="F250" s="57">
        <v>1</v>
      </c>
      <c r="G250" s="57">
        <v>0</v>
      </c>
      <c r="H250" s="57">
        <v>0</v>
      </c>
      <c r="I250" s="57">
        <v>0</v>
      </c>
    </row>
    <row r="251" spans="2:9" x14ac:dyDescent="0.2">
      <c r="B251" t="s">
        <v>1840</v>
      </c>
      <c r="D251" t="s">
        <v>1924</v>
      </c>
      <c r="E251" s="102">
        <f>VLOOKUP(VLOOKUP(B251,MonsterWaveCallRuleCfg!$L$306:$Q$385,5,FALSE),线下模式!$A$3:$X$22,3+VLOOKUP(B251,MonsterWaveCallRuleCfg!$L$306:$Q$385,6,FALSE)*5,FALSE)</f>
        <v>20087</v>
      </c>
      <c r="F251" s="57">
        <v>1</v>
      </c>
      <c r="G251" s="57">
        <v>0</v>
      </c>
      <c r="H251" s="57">
        <v>0</v>
      </c>
      <c r="I251" s="57">
        <v>0</v>
      </c>
    </row>
    <row r="252" spans="2:9" x14ac:dyDescent="0.2">
      <c r="B252" t="s">
        <v>1841</v>
      </c>
      <c r="D252" t="s">
        <v>1925</v>
      </c>
      <c r="E252" s="102">
        <f>VLOOKUP(VLOOKUP(B252,MonsterWaveCallRuleCfg!$L$306:$Q$385,5,FALSE),线下模式!$A$3:$X$22,3+VLOOKUP(B252,MonsterWaveCallRuleCfg!$L$306:$Q$385,6,FALSE)*5,FALSE)</f>
        <v>30316</v>
      </c>
      <c r="F252" s="57">
        <v>1</v>
      </c>
      <c r="G252" s="57">
        <v>0</v>
      </c>
      <c r="H252" s="57">
        <v>0</v>
      </c>
      <c r="I252" s="57">
        <v>0</v>
      </c>
    </row>
    <row r="253" spans="2:9" x14ac:dyDescent="0.2">
      <c r="B253" t="s">
        <v>1842</v>
      </c>
      <c r="D253" t="s">
        <v>1926</v>
      </c>
      <c r="E253" s="102">
        <f>VLOOKUP(VLOOKUP(B253,MonsterWaveCallRuleCfg!$L$306:$Q$385,5,FALSE),线下模式!$A$3:$X$22,3+VLOOKUP(B253,MonsterWaveCallRuleCfg!$L$306:$Q$385,6,FALSE)*5,FALSE)</f>
        <v>15158</v>
      </c>
      <c r="F253" s="57">
        <v>1</v>
      </c>
      <c r="G253" s="57">
        <v>0</v>
      </c>
      <c r="H253" s="57">
        <v>0</v>
      </c>
      <c r="I253" s="57">
        <v>0</v>
      </c>
    </row>
    <row r="254" spans="2:9" x14ac:dyDescent="0.2">
      <c r="B254" t="s">
        <v>1843</v>
      </c>
      <c r="D254" t="s">
        <v>1927</v>
      </c>
      <c r="E254" s="102">
        <f>VLOOKUP(VLOOKUP(B254,MonsterWaveCallRuleCfg!$L$306:$Q$385,5,FALSE),线下模式!$A$3:$X$22,3+VLOOKUP(B254,MonsterWaveCallRuleCfg!$L$306:$Q$385,6,FALSE)*5,FALSE)</f>
        <v>45474</v>
      </c>
      <c r="F254" s="57">
        <v>1</v>
      </c>
      <c r="G254" s="57">
        <v>0</v>
      </c>
      <c r="H254" s="57">
        <v>0</v>
      </c>
      <c r="I254" s="57">
        <v>0</v>
      </c>
    </row>
    <row r="255" spans="2:9" x14ac:dyDescent="0.2">
      <c r="B255" t="s">
        <v>1844</v>
      </c>
      <c r="D255" t="s">
        <v>1928</v>
      </c>
      <c r="E255" s="102">
        <f>VLOOKUP(VLOOKUP(B255,MonsterWaveCallRuleCfg!$L$306:$Q$385,5,FALSE),线下模式!$A$3:$X$22,3+VLOOKUP(B255,MonsterWaveCallRuleCfg!$L$306:$Q$385,6,FALSE)*5,FALSE)</f>
        <v>25472</v>
      </c>
      <c r="F255" s="57">
        <v>1</v>
      </c>
      <c r="G255" s="57">
        <v>0</v>
      </c>
      <c r="H255" s="57">
        <v>0</v>
      </c>
      <c r="I255" s="57">
        <v>0</v>
      </c>
    </row>
    <row r="256" spans="2:9" x14ac:dyDescent="0.2">
      <c r="B256" t="s">
        <v>1845</v>
      </c>
      <c r="D256" t="s">
        <v>1929</v>
      </c>
      <c r="E256" s="102">
        <f>VLOOKUP(VLOOKUP(B256,MonsterWaveCallRuleCfg!$L$306:$Q$385,5,FALSE),线下模式!$A$3:$X$22,3+VLOOKUP(B256,MonsterWaveCallRuleCfg!$L$306:$Q$385,6,FALSE)*5,FALSE)</f>
        <v>12736</v>
      </c>
      <c r="F256" s="57">
        <v>1</v>
      </c>
      <c r="G256" s="57">
        <v>0</v>
      </c>
      <c r="H256" s="57">
        <v>0</v>
      </c>
      <c r="I256" s="57">
        <v>0</v>
      </c>
    </row>
    <row r="257" spans="2:9" x14ac:dyDescent="0.2">
      <c r="B257" t="s">
        <v>1846</v>
      </c>
      <c r="D257" t="s">
        <v>1930</v>
      </c>
      <c r="E257" s="102">
        <f>VLOOKUP(VLOOKUP(B257,MonsterWaveCallRuleCfg!$L$306:$Q$385,5,FALSE),线下模式!$A$3:$X$22,3+VLOOKUP(B257,MonsterWaveCallRuleCfg!$L$306:$Q$385,6,FALSE)*5,FALSE)</f>
        <v>38208</v>
      </c>
      <c r="F257" s="57">
        <v>1</v>
      </c>
      <c r="G257" s="57">
        <v>0</v>
      </c>
      <c r="H257" s="57">
        <v>0</v>
      </c>
      <c r="I257" s="57">
        <v>0</v>
      </c>
    </row>
    <row r="258" spans="2:9" x14ac:dyDescent="0.2">
      <c r="B258" t="s">
        <v>1847</v>
      </c>
      <c r="D258" t="s">
        <v>1931</v>
      </c>
      <c r="E258" s="102">
        <f>VLOOKUP(VLOOKUP(B258,MonsterWaveCallRuleCfg!$L$306:$Q$385,5,FALSE),线下模式!$A$3:$X$22,3+VLOOKUP(B258,MonsterWaveCallRuleCfg!$L$306:$Q$385,6,FALSE)*5,FALSE)</f>
        <v>12071</v>
      </c>
      <c r="F258" s="57">
        <v>1</v>
      </c>
      <c r="G258" s="57">
        <v>0</v>
      </c>
      <c r="H258" s="57">
        <v>0</v>
      </c>
      <c r="I258" s="57">
        <v>0</v>
      </c>
    </row>
    <row r="259" spans="2:9" x14ac:dyDescent="0.2">
      <c r="B259" t="s">
        <v>1848</v>
      </c>
      <c r="D259" t="s">
        <v>1932</v>
      </c>
      <c r="E259" s="102">
        <f>VLOOKUP(VLOOKUP(B259,MonsterWaveCallRuleCfg!$L$306:$Q$385,5,FALSE),线下模式!$A$3:$X$22,3+VLOOKUP(B259,MonsterWaveCallRuleCfg!$L$306:$Q$385,6,FALSE)*5,FALSE)</f>
        <v>241429</v>
      </c>
      <c r="F259" s="57">
        <v>10</v>
      </c>
      <c r="G259" s="57">
        <v>0</v>
      </c>
      <c r="H259" s="57">
        <v>0</v>
      </c>
      <c r="I259" s="57">
        <v>0</v>
      </c>
    </row>
    <row r="260" spans="2:9" x14ac:dyDescent="0.2">
      <c r="B260" t="s">
        <v>1849</v>
      </c>
      <c r="D260" t="s">
        <v>1933</v>
      </c>
      <c r="E260" s="102">
        <f>VLOOKUP(VLOOKUP(B260,MonsterWaveCallRuleCfg!$L$306:$Q$385,5,FALSE),线下模式!$A$3:$X$22,3+VLOOKUP(B260,MonsterWaveCallRuleCfg!$L$306:$Q$385,6,FALSE)*5,FALSE)</f>
        <v>36214</v>
      </c>
      <c r="F260" s="57">
        <v>1</v>
      </c>
      <c r="G260" s="57">
        <v>0</v>
      </c>
      <c r="H260" s="57">
        <v>0</v>
      </c>
      <c r="I260" s="57">
        <v>0</v>
      </c>
    </row>
  </sheetData>
  <mergeCells count="12">
    <mergeCell ref="K3:O3"/>
    <mergeCell ref="P3:T3"/>
    <mergeCell ref="U3:Y3"/>
    <mergeCell ref="K1:O1"/>
    <mergeCell ref="P1:T1"/>
    <mergeCell ref="U1:Y1"/>
    <mergeCell ref="K2:L2"/>
    <mergeCell ref="M2:N2"/>
    <mergeCell ref="P2:Q2"/>
    <mergeCell ref="R2:S2"/>
    <mergeCell ref="U2:V2"/>
    <mergeCell ref="W2:X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039B-ECC6-4A3E-9FB7-35EBB25E7B2D}">
  <dimension ref="A1:AE270"/>
  <sheetViews>
    <sheetView tabSelected="1" topLeftCell="A186" zoomScaleNormal="100" workbookViewId="0">
      <selection activeCell="I211" sqref="I211"/>
    </sheetView>
  </sheetViews>
  <sheetFormatPr defaultColWidth="9" defaultRowHeight="14.25" x14ac:dyDescent="0.2"/>
  <cols>
    <col min="1" max="1" width="9" style="6" customWidth="1"/>
    <col min="2" max="3" width="9" style="6"/>
    <col min="4" max="4" width="9" style="6" bestFit="1" customWidth="1"/>
    <col min="5" max="5" width="8.625" style="6" customWidth="1"/>
    <col min="6" max="7" width="9" style="6"/>
    <col min="8" max="11" width="11.25" style="6" customWidth="1"/>
    <col min="12" max="15" width="9" style="6" customWidth="1"/>
    <col min="16" max="20" width="9" style="6"/>
    <col min="21" max="21" width="12.5" style="6" customWidth="1"/>
    <col min="22" max="22" width="13" style="6" customWidth="1"/>
    <col min="23" max="24" width="9" style="6"/>
    <col min="25" max="25" width="9.375" style="6" customWidth="1"/>
    <col min="26" max="16384" width="9" style="6"/>
  </cols>
  <sheetData>
    <row r="1" spans="1:30" s="3" customFormat="1" ht="18" x14ac:dyDescent="0.25">
      <c r="A1" s="28" t="s">
        <v>1371</v>
      </c>
    </row>
    <row r="2" spans="1:30" s="4" customFormat="1" x14ac:dyDescent="0.2">
      <c r="A2" s="4" t="s">
        <v>1680</v>
      </c>
    </row>
    <row r="3" spans="1:30" s="138" customFormat="1" x14ac:dyDescent="0.2">
      <c r="A3" s="8" t="s">
        <v>1678</v>
      </c>
      <c r="B3" s="8" t="s">
        <v>1641</v>
      </c>
      <c r="C3" s="8" t="s">
        <v>1643</v>
      </c>
      <c r="D3" s="8" t="s">
        <v>1646</v>
      </c>
      <c r="E3" s="8" t="s">
        <v>1647</v>
      </c>
      <c r="F3" s="8" t="s">
        <v>1648</v>
      </c>
      <c r="G3" s="8" t="s">
        <v>1649</v>
      </c>
      <c r="H3" s="8" t="s">
        <v>1650</v>
      </c>
      <c r="I3" s="8" t="s">
        <v>1651</v>
      </c>
      <c r="J3" s="8" t="s">
        <v>1652</v>
      </c>
      <c r="K3" s="8" t="s">
        <v>1653</v>
      </c>
      <c r="L3" s="8" t="s">
        <v>1654</v>
      </c>
      <c r="M3" s="8" t="s">
        <v>1655</v>
      </c>
      <c r="N3" s="8" t="s">
        <v>1656</v>
      </c>
      <c r="O3" s="8" t="s">
        <v>1659</v>
      </c>
      <c r="P3" s="8" t="s">
        <v>1660</v>
      </c>
      <c r="Q3" s="8" t="s">
        <v>1661</v>
      </c>
      <c r="R3" s="8" t="s">
        <v>1662</v>
      </c>
      <c r="S3" s="8" t="s">
        <v>1663</v>
      </c>
      <c r="T3" s="8" t="s">
        <v>1664</v>
      </c>
      <c r="U3" s="8" t="s">
        <v>1665</v>
      </c>
      <c r="V3" s="8" t="s">
        <v>1666</v>
      </c>
      <c r="W3" s="8" t="s">
        <v>1669</v>
      </c>
      <c r="X3" s="8" t="s">
        <v>1670</v>
      </c>
      <c r="Y3" s="8" t="s">
        <v>1671</v>
      </c>
      <c r="Z3" s="8" t="s">
        <v>1672</v>
      </c>
      <c r="AA3" s="8" t="s">
        <v>1673</v>
      </c>
      <c r="AB3" s="8" t="s">
        <v>1674</v>
      </c>
      <c r="AC3" s="8" t="s">
        <v>1675</v>
      </c>
      <c r="AD3" s="8" t="s">
        <v>1372</v>
      </c>
    </row>
    <row r="4" spans="1:30" s="138" customFormat="1" x14ac:dyDescent="0.2">
      <c r="A4" s="8" t="s">
        <v>1645</v>
      </c>
      <c r="B4" s="8" t="s">
        <v>1642</v>
      </c>
      <c r="C4" s="8" t="s">
        <v>1657</v>
      </c>
      <c r="D4" s="8"/>
      <c r="E4" s="8"/>
      <c r="F4" s="8"/>
      <c r="G4" s="8"/>
      <c r="H4" s="8" t="s">
        <v>1667</v>
      </c>
      <c r="I4" s="8" t="s">
        <v>1658</v>
      </c>
      <c r="J4" s="8"/>
      <c r="K4" s="8"/>
      <c r="L4" s="8"/>
      <c r="M4" s="8"/>
      <c r="N4" s="8"/>
      <c r="O4" s="8" t="s">
        <v>1667</v>
      </c>
      <c r="P4" s="8" t="s">
        <v>1658</v>
      </c>
      <c r="Q4" s="8"/>
      <c r="R4" s="8"/>
      <c r="S4" s="8"/>
      <c r="T4" s="8"/>
      <c r="U4" s="8"/>
      <c r="V4" s="8" t="s">
        <v>1667</v>
      </c>
      <c r="W4" s="8" t="s">
        <v>1658</v>
      </c>
      <c r="X4" s="8"/>
      <c r="Y4" s="8"/>
      <c r="Z4" s="8"/>
      <c r="AA4" s="8"/>
      <c r="AB4" s="8"/>
      <c r="AC4" s="8" t="s">
        <v>1667</v>
      </c>
      <c r="AD4" s="8" t="s">
        <v>1668</v>
      </c>
    </row>
    <row r="5" spans="1:30" s="138" customFormat="1" x14ac:dyDescent="0.2">
      <c r="A5" s="8" t="s">
        <v>1644</v>
      </c>
      <c r="B5" s="8">
        <v>8</v>
      </c>
      <c r="C5" s="8">
        <v>1</v>
      </c>
      <c r="D5" s="8"/>
      <c r="E5" s="8">
        <v>1</v>
      </c>
      <c r="F5" s="8"/>
      <c r="G5" s="8">
        <v>1</v>
      </c>
      <c r="H5" s="8"/>
      <c r="I5" s="8"/>
      <c r="J5" s="8">
        <v>1</v>
      </c>
      <c r="K5" s="8"/>
      <c r="L5" s="8">
        <v>1</v>
      </c>
      <c r="M5" s="8"/>
      <c r="N5" s="8"/>
      <c r="O5" s="8"/>
      <c r="P5" s="8"/>
      <c r="Q5" s="8">
        <v>1</v>
      </c>
      <c r="R5" s="8"/>
      <c r="S5" s="8">
        <v>1</v>
      </c>
      <c r="T5" s="8"/>
      <c r="U5" s="8"/>
      <c r="V5" s="8"/>
      <c r="W5" s="8"/>
      <c r="X5" s="8">
        <v>1</v>
      </c>
      <c r="Y5" s="8"/>
      <c r="Z5" s="8">
        <v>1</v>
      </c>
      <c r="AA5" s="8"/>
      <c r="AB5" s="8"/>
      <c r="AC5" s="8"/>
      <c r="AD5" s="8" t="s">
        <v>1372</v>
      </c>
    </row>
    <row r="6" spans="1:30" s="138" customFormat="1" x14ac:dyDescent="0.2">
      <c r="A6" s="8" t="s">
        <v>1681</v>
      </c>
      <c r="B6" s="8">
        <v>1</v>
      </c>
      <c r="C6" s="8"/>
      <c r="D6" s="8">
        <v>1</v>
      </c>
      <c r="E6" s="8"/>
      <c r="F6" s="8">
        <v>1</v>
      </c>
      <c r="G6" s="8"/>
      <c r="H6" s="8"/>
      <c r="I6" s="8"/>
      <c r="J6" s="8"/>
      <c r="K6" s="8">
        <v>1</v>
      </c>
      <c r="L6" s="8"/>
      <c r="M6" s="8"/>
      <c r="N6" s="8"/>
      <c r="O6" s="8"/>
      <c r="P6" s="8"/>
      <c r="Q6" s="8"/>
      <c r="R6" s="8">
        <v>1</v>
      </c>
      <c r="S6" s="8"/>
      <c r="T6" s="8"/>
      <c r="U6" s="8"/>
      <c r="V6" s="8"/>
      <c r="W6" s="8"/>
      <c r="X6" s="8"/>
      <c r="Y6" s="8">
        <v>1</v>
      </c>
      <c r="Z6" s="8"/>
      <c r="AA6" s="8"/>
      <c r="AB6" s="8"/>
      <c r="AC6" s="8"/>
      <c r="AD6" s="8"/>
    </row>
    <row r="7" spans="1:30" s="138" customFormat="1" x14ac:dyDescent="0.2">
      <c r="A7" s="8" t="s">
        <v>1363</v>
      </c>
      <c r="B7" s="8" t="s">
        <v>1677</v>
      </c>
      <c r="C7" s="8"/>
      <c r="D7" s="8" t="s">
        <v>1677</v>
      </c>
      <c r="E7" s="8"/>
      <c r="F7" s="8" t="s">
        <v>1677</v>
      </c>
      <c r="G7" s="8"/>
      <c r="H7" s="8" t="s">
        <v>1676</v>
      </c>
      <c r="I7" s="8" t="s">
        <v>1677</v>
      </c>
      <c r="J7" s="8"/>
      <c r="K7" s="8" t="s">
        <v>1677</v>
      </c>
      <c r="L7" s="8"/>
      <c r="M7" s="8" t="s">
        <v>1677</v>
      </c>
      <c r="N7" s="8"/>
      <c r="O7" s="8" t="s">
        <v>1676</v>
      </c>
      <c r="P7" s="8" t="s">
        <v>1677</v>
      </c>
      <c r="Q7" s="8"/>
      <c r="R7" s="8" t="s">
        <v>1677</v>
      </c>
      <c r="S7" s="8"/>
      <c r="T7" s="8" t="s">
        <v>1677</v>
      </c>
      <c r="U7" s="8"/>
      <c r="V7" s="8" t="s">
        <v>1676</v>
      </c>
      <c r="W7" s="8" t="s">
        <v>1677</v>
      </c>
      <c r="X7" s="8"/>
      <c r="Y7" s="8" t="s">
        <v>1677</v>
      </c>
      <c r="Z7" s="8"/>
      <c r="AA7" s="8" t="s">
        <v>1677</v>
      </c>
      <c r="AB7" s="8"/>
      <c r="AC7" s="8" t="s">
        <v>1676</v>
      </c>
      <c r="AD7" s="8"/>
    </row>
    <row r="8" spans="1:30" s="138" customFormat="1" x14ac:dyDescent="0.2"/>
    <row r="9" spans="1:30" s="138" customFormat="1" x14ac:dyDescent="0.2">
      <c r="A9" s="138" t="s">
        <v>1747</v>
      </c>
      <c r="B9" s="138" t="s">
        <v>1750</v>
      </c>
      <c r="C9" s="138" t="s">
        <v>1751</v>
      </c>
      <c r="K9" s="142" t="s">
        <v>1769</v>
      </c>
      <c r="L9" s="142" t="s">
        <v>1767</v>
      </c>
      <c r="M9" s="142" t="s">
        <v>1768</v>
      </c>
      <c r="N9" s="142" t="s">
        <v>1799</v>
      </c>
      <c r="O9" s="142" t="s">
        <v>1804</v>
      </c>
      <c r="P9" s="142"/>
      <c r="Q9" s="142"/>
      <c r="R9" s="142"/>
      <c r="S9" s="142"/>
    </row>
    <row r="10" spans="1:30" s="138" customFormat="1" x14ac:dyDescent="0.2">
      <c r="A10" s="138" t="s">
        <v>1748</v>
      </c>
      <c r="B10" s="138">
        <v>17</v>
      </c>
      <c r="C10" s="138" t="s">
        <v>1485</v>
      </c>
      <c r="D10" s="138" t="s">
        <v>1486</v>
      </c>
      <c r="E10" s="138" t="s">
        <v>1491</v>
      </c>
      <c r="F10" s="138" t="s">
        <v>1752</v>
      </c>
      <c r="G10" s="138" t="s">
        <v>1753</v>
      </c>
      <c r="H10" s="138" t="s">
        <v>1754</v>
      </c>
      <c r="I10" s="138" t="s">
        <v>976</v>
      </c>
      <c r="J10" s="138" t="s">
        <v>1492</v>
      </c>
      <c r="K10" s="141" t="s">
        <v>1765</v>
      </c>
      <c r="L10" s="141" t="s">
        <v>1766</v>
      </c>
      <c r="M10" s="141" t="s">
        <v>1801</v>
      </c>
      <c r="N10" s="141" t="s">
        <v>1800</v>
      </c>
      <c r="O10" s="141" t="s">
        <v>1805</v>
      </c>
      <c r="P10" s="141" t="s">
        <v>51</v>
      </c>
      <c r="Q10" s="141" t="s">
        <v>51</v>
      </c>
      <c r="R10" s="141" t="s">
        <v>51</v>
      </c>
      <c r="S10" s="141" t="s">
        <v>51</v>
      </c>
    </row>
    <row r="11" spans="1:30" s="138" customFormat="1" x14ac:dyDescent="0.2">
      <c r="A11" s="138" t="s">
        <v>1749</v>
      </c>
      <c r="B11" s="138">
        <v>5</v>
      </c>
      <c r="C11" s="138" t="s">
        <v>1756</v>
      </c>
      <c r="D11" s="138" t="s">
        <v>1756</v>
      </c>
      <c r="E11" s="138" t="s">
        <v>378</v>
      </c>
      <c r="F11" s="138" t="s">
        <v>377</v>
      </c>
      <c r="G11" s="138" t="s">
        <v>656</v>
      </c>
    </row>
    <row r="12" spans="1:30" s="138" customFormat="1" x14ac:dyDescent="0.2">
      <c r="A12" s="138" t="s">
        <v>1755</v>
      </c>
      <c r="B12" s="138">
        <v>20</v>
      </c>
      <c r="C12" s="138">
        <v>1</v>
      </c>
      <c r="D12" s="138">
        <v>1</v>
      </c>
      <c r="E12" s="138">
        <v>1</v>
      </c>
      <c r="F12" s="138">
        <v>1</v>
      </c>
      <c r="G12" s="138">
        <v>1</v>
      </c>
      <c r="H12" s="138">
        <v>2</v>
      </c>
      <c r="I12" s="138">
        <v>2</v>
      </c>
      <c r="J12" s="138">
        <v>2</v>
      </c>
      <c r="K12" s="138">
        <v>2</v>
      </c>
      <c r="L12" s="138">
        <v>2</v>
      </c>
      <c r="M12" s="138">
        <v>3</v>
      </c>
      <c r="N12" s="138">
        <v>3</v>
      </c>
      <c r="O12" s="138">
        <v>3</v>
      </c>
      <c r="P12" s="138">
        <v>3</v>
      </c>
      <c r="Q12" s="138">
        <v>3</v>
      </c>
      <c r="R12" s="138">
        <v>4</v>
      </c>
      <c r="S12" s="138">
        <v>4</v>
      </c>
      <c r="T12" s="138">
        <v>4</v>
      </c>
      <c r="U12" s="138">
        <v>4</v>
      </c>
      <c r="V12" s="138">
        <v>4</v>
      </c>
    </row>
    <row r="13" spans="1:30" s="138" customFormat="1" x14ac:dyDescent="0.2">
      <c r="A13" s="138" t="s">
        <v>1757</v>
      </c>
      <c r="B13" s="138">
        <v>7</v>
      </c>
      <c r="C13" s="138" t="s">
        <v>378</v>
      </c>
      <c r="D13" s="138" t="s">
        <v>377</v>
      </c>
      <c r="E13" s="138" t="s">
        <v>656</v>
      </c>
      <c r="F13" s="141" t="s">
        <v>976</v>
      </c>
      <c r="G13" s="141" t="s">
        <v>1758</v>
      </c>
      <c r="H13" s="141" t="s">
        <v>51</v>
      </c>
      <c r="I13" s="141" t="s">
        <v>51</v>
      </c>
    </row>
    <row r="14" spans="1:30" s="138" customFormat="1" x14ac:dyDescent="0.2">
      <c r="A14" s="138" t="s">
        <v>1443</v>
      </c>
      <c r="B14" s="138">
        <v>6</v>
      </c>
      <c r="C14" s="141" t="s">
        <v>1759</v>
      </c>
      <c r="D14" s="141" t="s">
        <v>1760</v>
      </c>
      <c r="E14" s="141" t="s">
        <v>1761</v>
      </c>
      <c r="F14" s="141" t="s">
        <v>1762</v>
      </c>
      <c r="G14" s="141" t="s">
        <v>1763</v>
      </c>
      <c r="H14" s="141" t="s">
        <v>1764</v>
      </c>
    </row>
    <row r="15" spans="1:30" s="138" customFormat="1" x14ac:dyDescent="0.2"/>
    <row r="16" spans="1:30" s="138" customFormat="1" x14ac:dyDescent="0.2"/>
    <row r="17" spans="1:11" s="138" customFormat="1" x14ac:dyDescent="0.2"/>
    <row r="18" spans="1:11" s="138" customFormat="1" x14ac:dyDescent="0.2"/>
    <row r="19" spans="1:11" s="138" customFormat="1" x14ac:dyDescent="0.2"/>
    <row r="20" spans="1:11" s="138" customFormat="1" x14ac:dyDescent="0.2"/>
    <row r="21" spans="1:11" s="138" customFormat="1" x14ac:dyDescent="0.2"/>
    <row r="23" spans="1:11" s="4" customFormat="1" x14ac:dyDescent="0.2">
      <c r="A23" s="4" t="s">
        <v>1679</v>
      </c>
    </row>
    <row r="24" spans="1:11" x14ac:dyDescent="0.2">
      <c r="A24" s="138" t="s">
        <v>1682</v>
      </c>
    </row>
    <row r="25" spans="1:11" x14ac:dyDescent="0.2">
      <c r="A25" s="8" t="s">
        <v>1687</v>
      </c>
      <c r="B25" s="158" t="s">
        <v>1691</v>
      </c>
      <c r="C25" s="159"/>
      <c r="D25" s="159"/>
      <c r="E25" s="159"/>
      <c r="F25" s="159"/>
      <c r="G25" s="160"/>
      <c r="H25" s="161" t="s">
        <v>1696</v>
      </c>
      <c r="I25" s="161"/>
      <c r="J25" s="161"/>
      <c r="K25" s="161"/>
    </row>
    <row r="26" spans="1:11" x14ac:dyDescent="0.2">
      <c r="A26" s="8" t="s">
        <v>1683</v>
      </c>
      <c r="B26" s="8" t="s">
        <v>1657</v>
      </c>
      <c r="C26" s="8" t="s">
        <v>1688</v>
      </c>
      <c r="D26" s="8" t="s">
        <v>1689</v>
      </c>
      <c r="E26" s="137"/>
      <c r="F26" s="137"/>
      <c r="G26" s="137"/>
      <c r="H26" s="8" t="s">
        <v>1697</v>
      </c>
      <c r="I26" s="8" t="s">
        <v>1698</v>
      </c>
      <c r="J26" s="8"/>
      <c r="K26" s="137"/>
    </row>
    <row r="27" spans="1:11" x14ac:dyDescent="0.2">
      <c r="A27" s="8" t="s">
        <v>1684</v>
      </c>
      <c r="B27" s="8" t="s">
        <v>936</v>
      </c>
      <c r="C27" s="8"/>
      <c r="D27" s="8"/>
      <c r="E27" s="137"/>
      <c r="F27" s="137"/>
      <c r="G27" s="137"/>
      <c r="H27" s="8" t="s">
        <v>1697</v>
      </c>
      <c r="I27" s="8" t="s">
        <v>1698</v>
      </c>
      <c r="J27" s="8"/>
      <c r="K27" s="137"/>
    </row>
    <row r="28" spans="1:11" x14ac:dyDescent="0.2">
      <c r="A28" s="8" t="s">
        <v>1685</v>
      </c>
      <c r="B28" s="8" t="s">
        <v>1443</v>
      </c>
      <c r="C28" s="8" t="s">
        <v>1690</v>
      </c>
      <c r="D28" s="139" t="s">
        <v>1693</v>
      </c>
      <c r="E28" s="139" t="s">
        <v>1701</v>
      </c>
      <c r="F28" s="137"/>
      <c r="G28" s="137"/>
      <c r="H28" s="8" t="s">
        <v>1697</v>
      </c>
      <c r="I28" s="8" t="s">
        <v>1698</v>
      </c>
      <c r="J28" s="139"/>
      <c r="K28" s="137"/>
    </row>
    <row r="29" spans="1:11" x14ac:dyDescent="0.2">
      <c r="A29" s="8" t="s">
        <v>1686</v>
      </c>
      <c r="B29" s="8" t="s">
        <v>1692</v>
      </c>
      <c r="C29" s="139" t="s">
        <v>1694</v>
      </c>
      <c r="D29" s="139" t="s">
        <v>1695</v>
      </c>
      <c r="E29" s="137"/>
      <c r="F29" s="137"/>
      <c r="G29" s="137"/>
      <c r="H29" s="8" t="s">
        <v>1699</v>
      </c>
      <c r="I29" s="8" t="s">
        <v>1700</v>
      </c>
      <c r="J29" s="139"/>
      <c r="K29" s="137"/>
    </row>
    <row r="31" spans="1:11" x14ac:dyDescent="0.2">
      <c r="A31" s="138" t="s">
        <v>1702</v>
      </c>
    </row>
    <row r="32" spans="1:11" x14ac:dyDescent="0.2">
      <c r="A32" s="8" t="s">
        <v>1640</v>
      </c>
      <c r="B32" s="8" t="s">
        <v>1464</v>
      </c>
      <c r="C32" s="137" t="s">
        <v>1703</v>
      </c>
      <c r="D32" s="137" t="s">
        <v>1363</v>
      </c>
    </row>
    <row r="33" spans="1:31" x14ac:dyDescent="0.2">
      <c r="A33" s="8" t="s">
        <v>1686</v>
      </c>
      <c r="B33" s="8" t="s">
        <v>1704</v>
      </c>
      <c r="C33" s="137" t="s">
        <v>1707</v>
      </c>
      <c r="D33" s="137" t="s">
        <v>1708</v>
      </c>
    </row>
    <row r="34" spans="1:31" x14ac:dyDescent="0.2">
      <c r="A34" s="8" t="s">
        <v>1706</v>
      </c>
      <c r="B34" s="8" t="s">
        <v>1705</v>
      </c>
      <c r="C34" s="137" t="s">
        <v>1709</v>
      </c>
      <c r="D34" s="137" t="s">
        <v>1710</v>
      </c>
    </row>
    <row r="35" spans="1:31" x14ac:dyDescent="0.2">
      <c r="A35" s="138"/>
      <c r="B35" s="138"/>
    </row>
    <row r="36" spans="1:31" x14ac:dyDescent="0.2">
      <c r="A36" s="138" t="s">
        <v>1737</v>
      </c>
      <c r="B36" s="138"/>
    </row>
    <row r="37" spans="1:31" x14ac:dyDescent="0.2">
      <c r="A37" s="138" t="s">
        <v>1738</v>
      </c>
      <c r="B37" s="138" t="s">
        <v>1740</v>
      </c>
      <c r="C37" s="138" t="s">
        <v>1741</v>
      </c>
      <c r="D37" s="138" t="s">
        <v>1739</v>
      </c>
      <c r="E37" s="138" t="s">
        <v>1744</v>
      </c>
      <c r="F37" s="138" t="s">
        <v>1745</v>
      </c>
    </row>
    <row r="38" spans="1:31" x14ac:dyDescent="0.2">
      <c r="A38" s="138" t="s">
        <v>1742</v>
      </c>
      <c r="B38" s="138">
        <v>120</v>
      </c>
      <c r="C38" s="138">
        <v>120</v>
      </c>
      <c r="D38" s="138" t="s">
        <v>1743</v>
      </c>
      <c r="E38" s="6">
        <v>30</v>
      </c>
      <c r="F38" s="138">
        <v>120</v>
      </c>
    </row>
    <row r="39" spans="1:31" x14ac:dyDescent="0.2">
      <c r="A39" s="138"/>
      <c r="B39" s="138"/>
    </row>
    <row r="40" spans="1:31" x14ac:dyDescent="0.2">
      <c r="A40" s="138"/>
      <c r="B40" s="138"/>
    </row>
    <row r="41" spans="1:31" x14ac:dyDescent="0.2">
      <c r="A41" s="138"/>
      <c r="B41" s="138"/>
    </row>
    <row r="43" spans="1:31" s="3" customFormat="1" ht="18" x14ac:dyDescent="0.25">
      <c r="A43" s="28" t="s">
        <v>10</v>
      </c>
    </row>
    <row r="44" spans="1:31" s="3" customFormat="1" ht="18" x14ac:dyDescent="0.25">
      <c r="A44" s="28"/>
    </row>
    <row r="45" spans="1:31" s="4" customFormat="1" x14ac:dyDescent="0.2">
      <c r="A45" s="4" t="s">
        <v>25</v>
      </c>
    </row>
    <row r="47" spans="1:31" s="3" customFormat="1" ht="15" thickBot="1" x14ac:dyDescent="0.25">
      <c r="A47" s="5" t="s">
        <v>56</v>
      </c>
      <c r="N47" s="3" t="s">
        <v>1341</v>
      </c>
      <c r="S47" s="3" t="s">
        <v>1348</v>
      </c>
      <c r="Z47" s="3" t="s">
        <v>1352</v>
      </c>
      <c r="AC47" s="3" t="s">
        <v>1353</v>
      </c>
      <c r="AE47" s="3" t="s">
        <v>1363</v>
      </c>
    </row>
    <row r="48" spans="1:31" x14ac:dyDescent="0.2">
      <c r="A48" s="37"/>
      <c r="B48" s="29" t="s">
        <v>32</v>
      </c>
      <c r="C48" s="30" t="s">
        <v>27</v>
      </c>
      <c r="D48" s="34" t="s">
        <v>28</v>
      </c>
      <c r="J48" s="6" t="s">
        <v>1369</v>
      </c>
      <c r="N48" s="6" t="s">
        <v>1342</v>
      </c>
      <c r="O48" s="6" t="s">
        <v>1343</v>
      </c>
      <c r="P48" s="6" t="s">
        <v>1344</v>
      </c>
      <c r="Q48" s="6" t="s">
        <v>1345</v>
      </c>
      <c r="S48" s="6" t="s">
        <v>1349</v>
      </c>
      <c r="T48" s="6" t="s">
        <v>1354</v>
      </c>
      <c r="U48" s="6" t="s">
        <v>61</v>
      </c>
      <c r="Z48" s="6" t="s">
        <v>1355</v>
      </c>
      <c r="AE48" s="6" t="s">
        <v>1364</v>
      </c>
    </row>
    <row r="49" spans="1:31" x14ac:dyDescent="0.2">
      <c r="A49" s="38" t="s">
        <v>29</v>
      </c>
      <c r="B49" s="31">
        <v>0.1</v>
      </c>
      <c r="C49" s="7">
        <v>5</v>
      </c>
      <c r="D49" s="35">
        <v>3</v>
      </c>
      <c r="J49" s="6" t="s">
        <v>1370</v>
      </c>
      <c r="N49" s="6" t="s">
        <v>1346</v>
      </c>
      <c r="O49" s="6" t="s">
        <v>1343</v>
      </c>
      <c r="P49" s="6" t="s">
        <v>1344</v>
      </c>
      <c r="Q49" s="6" t="s">
        <v>1345</v>
      </c>
      <c r="S49" s="6" t="s">
        <v>1350</v>
      </c>
      <c r="T49" s="6" t="s">
        <v>1354</v>
      </c>
      <c r="U49" s="6" t="s">
        <v>61</v>
      </c>
      <c r="AE49" s="6" t="s">
        <v>1364</v>
      </c>
    </row>
    <row r="50" spans="1:31" x14ac:dyDescent="0.2">
      <c r="A50" s="38" t="s">
        <v>30</v>
      </c>
      <c r="B50" s="31">
        <v>0.1</v>
      </c>
      <c r="C50" s="7">
        <v>10</v>
      </c>
      <c r="D50" s="35">
        <v>5</v>
      </c>
      <c r="N50" s="6" t="s">
        <v>1347</v>
      </c>
      <c r="O50" s="6" t="s">
        <v>1343</v>
      </c>
      <c r="P50" s="6" t="s">
        <v>1344</v>
      </c>
      <c r="Q50" s="6" t="s">
        <v>1345</v>
      </c>
      <c r="S50" s="6" t="s">
        <v>1351</v>
      </c>
      <c r="T50" s="6" t="s">
        <v>1354</v>
      </c>
      <c r="U50" s="6" t="s">
        <v>61</v>
      </c>
      <c r="AE50" s="6" t="s">
        <v>1364</v>
      </c>
    </row>
    <row r="51" spans="1:31" ht="15" thickBot="1" x14ac:dyDescent="0.25">
      <c r="A51" s="39" t="s">
        <v>31</v>
      </c>
      <c r="B51" s="32">
        <v>0.1</v>
      </c>
      <c r="C51" s="33">
        <v>20</v>
      </c>
      <c r="D51" s="36">
        <v>5</v>
      </c>
    </row>
    <row r="52" spans="1:31" x14ac:dyDescent="0.2">
      <c r="N52" s="3" t="s">
        <v>1366</v>
      </c>
      <c r="S52" s="3" t="s">
        <v>1356</v>
      </c>
    </row>
    <row r="53" spans="1:31" x14ac:dyDescent="0.2">
      <c r="A53" s="5" t="s">
        <v>664</v>
      </c>
      <c r="B53" s="3"/>
      <c r="C53" s="3"/>
      <c r="D53" s="3"/>
      <c r="N53" s="6" t="s">
        <v>1367</v>
      </c>
      <c r="S53" s="6" t="s">
        <v>1357</v>
      </c>
      <c r="T53" s="6" t="s">
        <v>1360</v>
      </c>
    </row>
    <row r="54" spans="1:31" x14ac:dyDescent="0.2">
      <c r="A54" s="2"/>
      <c r="B54" s="2" t="s">
        <v>53</v>
      </c>
      <c r="C54" s="2" t="s">
        <v>54</v>
      </c>
      <c r="D54" s="2" t="s">
        <v>55</v>
      </c>
      <c r="S54" s="126" t="s">
        <v>1358</v>
      </c>
      <c r="T54" s="126" t="s">
        <v>1361</v>
      </c>
      <c r="U54" s="126"/>
      <c r="V54" s="126"/>
      <c r="W54" s="126"/>
      <c r="X54" s="126"/>
      <c r="Z54" s="6" t="s">
        <v>1365</v>
      </c>
    </row>
    <row r="55" spans="1:31" x14ac:dyDescent="0.2">
      <c r="A55" s="2" t="s">
        <v>57</v>
      </c>
      <c r="B55" s="7">
        <v>1</v>
      </c>
      <c r="C55" s="80">
        <f>B55*3</f>
        <v>3</v>
      </c>
      <c r="D55" s="80">
        <f>C55*8</f>
        <v>24</v>
      </c>
      <c r="S55" s="6" t="s">
        <v>1359</v>
      </c>
      <c r="T55" s="6" t="s">
        <v>1362</v>
      </c>
      <c r="Z55" s="6" t="s">
        <v>1368</v>
      </c>
    </row>
    <row r="57" spans="1:31" s="4" customFormat="1" x14ac:dyDescent="0.2">
      <c r="A57" s="4" t="s">
        <v>18</v>
      </c>
    </row>
    <row r="58" spans="1:31" x14ac:dyDescent="0.2">
      <c r="A58" s="8"/>
      <c r="B58" s="8" t="s">
        <v>58</v>
      </c>
      <c r="C58" s="8" t="s">
        <v>59</v>
      </c>
      <c r="D58" s="8" t="s">
        <v>24</v>
      </c>
      <c r="E58" s="8" t="s">
        <v>1318</v>
      </c>
      <c r="G58" s="3"/>
    </row>
    <row r="59" spans="1:31" x14ac:dyDescent="0.2">
      <c r="A59" s="8" t="s">
        <v>48</v>
      </c>
      <c r="B59" s="9">
        <v>1</v>
      </c>
      <c r="C59" s="9">
        <v>1</v>
      </c>
      <c r="D59" s="7" t="s">
        <v>51</v>
      </c>
      <c r="E59" s="7" t="s">
        <v>51</v>
      </c>
      <c r="G59" s="3"/>
    </row>
    <row r="60" spans="1:31" x14ac:dyDescent="0.2">
      <c r="A60" s="8" t="s">
        <v>33</v>
      </c>
      <c r="B60" s="9">
        <v>2</v>
      </c>
      <c r="C60" s="9">
        <v>2</v>
      </c>
      <c r="D60" s="7" t="s">
        <v>49</v>
      </c>
      <c r="E60" s="7" t="s">
        <v>1325</v>
      </c>
      <c r="G60" s="3"/>
    </row>
    <row r="61" spans="1:31" x14ac:dyDescent="0.2">
      <c r="A61" s="8" t="s">
        <v>34</v>
      </c>
      <c r="B61" s="9">
        <v>2</v>
      </c>
      <c r="C61" s="9">
        <v>2</v>
      </c>
      <c r="D61" s="7" t="s">
        <v>49</v>
      </c>
      <c r="E61" s="7" t="s">
        <v>1319</v>
      </c>
      <c r="G61" s="3"/>
    </row>
    <row r="62" spans="1:31" x14ac:dyDescent="0.2">
      <c r="A62" s="8" t="s">
        <v>35</v>
      </c>
      <c r="B62" s="9">
        <v>4</v>
      </c>
      <c r="C62" s="9">
        <v>0.5</v>
      </c>
      <c r="D62" s="7" t="s">
        <v>43</v>
      </c>
      <c r="E62" s="7" t="s">
        <v>1320</v>
      </c>
      <c r="G62" s="3"/>
    </row>
    <row r="63" spans="1:31" x14ac:dyDescent="0.2">
      <c r="A63" s="8" t="s">
        <v>36</v>
      </c>
      <c r="B63" s="9">
        <v>4</v>
      </c>
      <c r="C63" s="9">
        <v>0.5</v>
      </c>
      <c r="D63" s="7" t="s">
        <v>44</v>
      </c>
      <c r="E63" s="7" t="s">
        <v>1321</v>
      </c>
      <c r="G63" s="3"/>
    </row>
    <row r="64" spans="1:31" x14ac:dyDescent="0.2">
      <c r="A64" s="8" t="s">
        <v>37</v>
      </c>
      <c r="B64" s="9">
        <v>4</v>
      </c>
      <c r="C64" s="9">
        <v>0</v>
      </c>
      <c r="D64" s="7" t="s">
        <v>50</v>
      </c>
      <c r="E64" s="7" t="s">
        <v>1339</v>
      </c>
      <c r="G64" s="3"/>
    </row>
    <row r="65" spans="1:13" x14ac:dyDescent="0.2">
      <c r="A65" s="8" t="s">
        <v>38</v>
      </c>
      <c r="B65" s="9">
        <v>4</v>
      </c>
      <c r="C65" s="9">
        <v>0.5</v>
      </c>
      <c r="D65" s="7" t="s">
        <v>95</v>
      </c>
      <c r="E65" s="7" t="s">
        <v>1340</v>
      </c>
      <c r="G65" s="3"/>
    </row>
    <row r="66" spans="1:13" x14ac:dyDescent="0.2">
      <c r="A66" s="8" t="s">
        <v>39</v>
      </c>
      <c r="B66" s="9">
        <v>1</v>
      </c>
      <c r="C66" s="9">
        <v>0.25</v>
      </c>
      <c r="D66" s="7" t="s">
        <v>41</v>
      </c>
      <c r="E66" s="7" t="s">
        <v>1322</v>
      </c>
      <c r="G66" s="3"/>
    </row>
    <row r="67" spans="1:13" x14ac:dyDescent="0.2">
      <c r="A67" s="8" t="s">
        <v>40</v>
      </c>
      <c r="B67" s="9">
        <v>2</v>
      </c>
      <c r="C67" s="9">
        <v>0.5</v>
      </c>
      <c r="D67" s="7" t="s">
        <v>42</v>
      </c>
      <c r="E67" s="7" t="s">
        <v>1323</v>
      </c>
      <c r="G67" s="3"/>
    </row>
    <row r="68" spans="1:13" x14ac:dyDescent="0.2">
      <c r="A68" s="8" t="s">
        <v>1534</v>
      </c>
      <c r="B68" s="9">
        <v>4</v>
      </c>
      <c r="C68" s="9">
        <v>0.25</v>
      </c>
      <c r="D68" s="7" t="s">
        <v>1313</v>
      </c>
      <c r="E68" s="7" t="s">
        <v>1746</v>
      </c>
      <c r="G68" s="3"/>
    </row>
    <row r="69" spans="1:13" x14ac:dyDescent="0.2">
      <c r="A69" s="8" t="s">
        <v>1586</v>
      </c>
      <c r="B69" s="9">
        <v>4</v>
      </c>
      <c r="C69" s="9">
        <v>0.5</v>
      </c>
      <c r="D69" s="7" t="s">
        <v>1536</v>
      </c>
      <c r="E69" s="7" t="s">
        <v>388</v>
      </c>
      <c r="G69" s="3"/>
    </row>
    <row r="70" spans="1:13" x14ac:dyDescent="0.2">
      <c r="A70" s="8" t="s">
        <v>1535</v>
      </c>
      <c r="B70" s="9">
        <v>0.25</v>
      </c>
      <c r="C70" s="9">
        <v>0.25</v>
      </c>
      <c r="D70" s="7" t="s">
        <v>967</v>
      </c>
      <c r="E70" s="7" t="s">
        <v>1557</v>
      </c>
      <c r="G70" s="3"/>
    </row>
    <row r="71" spans="1:13" x14ac:dyDescent="0.2">
      <c r="A71" s="8"/>
      <c r="B71" s="9"/>
      <c r="C71" s="9"/>
      <c r="D71" s="7"/>
      <c r="E71" s="7"/>
      <c r="G71" s="3"/>
    </row>
    <row r="72" spans="1:13" x14ac:dyDescent="0.2">
      <c r="A72" s="8"/>
      <c r="B72" s="9"/>
      <c r="C72" s="9"/>
      <c r="D72" s="7"/>
      <c r="E72" s="7"/>
      <c r="G72" s="3"/>
    </row>
    <row r="73" spans="1:13" x14ac:dyDescent="0.2">
      <c r="A73" s="8"/>
      <c r="B73" s="9"/>
      <c r="C73" s="9"/>
      <c r="D73" s="7"/>
      <c r="E73" s="7"/>
      <c r="G73" s="3"/>
    </row>
    <row r="74" spans="1:13" x14ac:dyDescent="0.2">
      <c r="A74" s="8"/>
      <c r="B74" s="9"/>
      <c r="C74" s="9"/>
      <c r="D74" s="7"/>
      <c r="E74" s="7"/>
      <c r="G74" s="3"/>
    </row>
    <row r="75" spans="1:13" x14ac:dyDescent="0.2">
      <c r="A75" s="8"/>
      <c r="B75" s="9"/>
      <c r="C75" s="9"/>
      <c r="D75" s="7"/>
      <c r="E75" s="7"/>
      <c r="G75" s="3"/>
    </row>
    <row r="76" spans="1:13" x14ac:dyDescent="0.2">
      <c r="D76" s="3"/>
      <c r="E76" s="3"/>
      <c r="F76" s="3"/>
      <c r="G76" s="3"/>
      <c r="M76" s="114"/>
    </row>
    <row r="77" spans="1:13" x14ac:dyDescent="0.2">
      <c r="A77" s="8"/>
      <c r="B77" s="8" t="s">
        <v>52</v>
      </c>
      <c r="C77" s="8" t="s">
        <v>379</v>
      </c>
      <c r="E77" s="3"/>
      <c r="F77" s="3"/>
      <c r="G77" s="3"/>
      <c r="M77" s="3"/>
    </row>
    <row r="78" spans="1:13" x14ac:dyDescent="0.2">
      <c r="A78" s="8" t="s">
        <v>45</v>
      </c>
      <c r="B78" s="10">
        <v>1</v>
      </c>
      <c r="C78" s="11">
        <f>B78*1</f>
        <v>1</v>
      </c>
      <c r="E78" s="3"/>
      <c r="F78" s="3"/>
      <c r="G78" s="3"/>
      <c r="M78" s="114"/>
    </row>
    <row r="79" spans="1:13" x14ac:dyDescent="0.2">
      <c r="A79" s="8" t="s">
        <v>46</v>
      </c>
      <c r="B79" s="10">
        <v>1.5</v>
      </c>
      <c r="C79" s="11">
        <f>B79*3</f>
        <v>4.5</v>
      </c>
      <c r="E79" s="3"/>
      <c r="F79" s="3"/>
      <c r="G79" s="3"/>
    </row>
    <row r="80" spans="1:13" x14ac:dyDescent="0.2">
      <c r="A80" s="8" t="s">
        <v>47</v>
      </c>
      <c r="B80" s="10">
        <v>2</v>
      </c>
      <c r="C80" s="11">
        <f>B80*9</f>
        <v>18</v>
      </c>
      <c r="E80" s="3"/>
      <c r="F80" s="3"/>
      <c r="G80" s="3"/>
    </row>
    <row r="82" spans="1:8" s="4" customFormat="1" x14ac:dyDescent="0.2">
      <c r="A82" s="4" t="s">
        <v>26</v>
      </c>
    </row>
    <row r="83" spans="1:8" x14ac:dyDescent="0.2">
      <c r="A83" s="5" t="s">
        <v>390</v>
      </c>
    </row>
    <row r="84" spans="1:8" x14ac:dyDescent="0.2">
      <c r="A84" s="83" t="s">
        <v>405</v>
      </c>
      <c r="B84" s="83" t="s">
        <v>406</v>
      </c>
      <c r="C84" s="83" t="s">
        <v>408</v>
      </c>
      <c r="D84" s="83" t="s">
        <v>407</v>
      </c>
      <c r="E84" s="8" t="s">
        <v>427</v>
      </c>
      <c r="F84" s="8" t="s">
        <v>429</v>
      </c>
      <c r="G84" s="8" t="s">
        <v>430</v>
      </c>
      <c r="H84" s="8" t="s">
        <v>564</v>
      </c>
    </row>
    <row r="85" spans="1:8" x14ac:dyDescent="0.2">
      <c r="A85" s="2">
        <v>1</v>
      </c>
      <c r="B85" s="89" t="s">
        <v>573</v>
      </c>
      <c r="C85" s="89" t="s">
        <v>572</v>
      </c>
      <c r="D85" s="2" t="s">
        <v>410</v>
      </c>
      <c r="E85" s="7">
        <v>0.25</v>
      </c>
      <c r="F85" s="7">
        <v>0.25</v>
      </c>
      <c r="G85" s="7">
        <v>3</v>
      </c>
      <c r="H85" s="7">
        <v>0.5</v>
      </c>
    </row>
    <row r="86" spans="1:8" x14ac:dyDescent="0.2">
      <c r="A86" s="2">
        <v>2</v>
      </c>
      <c r="B86" s="89" t="s">
        <v>574</v>
      </c>
      <c r="C86" s="89" t="s">
        <v>411</v>
      </c>
      <c r="D86" s="2" t="s">
        <v>410</v>
      </c>
      <c r="E86" s="7">
        <v>1</v>
      </c>
      <c r="F86" s="7">
        <v>1</v>
      </c>
      <c r="G86" s="7">
        <v>3</v>
      </c>
      <c r="H86" s="7">
        <v>0.8</v>
      </c>
    </row>
    <row r="87" spans="1:8" x14ac:dyDescent="0.2">
      <c r="A87" s="2">
        <v>3</v>
      </c>
      <c r="B87" s="89" t="s">
        <v>575</v>
      </c>
      <c r="C87" s="89" t="s">
        <v>412</v>
      </c>
      <c r="D87" s="2" t="s">
        <v>410</v>
      </c>
      <c r="E87" s="7">
        <v>20</v>
      </c>
      <c r="F87" s="7">
        <v>20</v>
      </c>
      <c r="G87" s="7">
        <v>1.25</v>
      </c>
      <c r="H87" s="7">
        <v>1.8</v>
      </c>
    </row>
    <row r="88" spans="1:8" x14ac:dyDescent="0.2">
      <c r="A88" s="2">
        <v>4</v>
      </c>
      <c r="B88" s="89" t="s">
        <v>576</v>
      </c>
      <c r="C88" s="89" t="s">
        <v>413</v>
      </c>
      <c r="D88" s="2" t="s">
        <v>410</v>
      </c>
      <c r="E88" s="7">
        <v>0.25</v>
      </c>
      <c r="F88" s="7">
        <v>0.25</v>
      </c>
      <c r="G88" s="7">
        <v>3</v>
      </c>
      <c r="H88" s="7">
        <v>0.5</v>
      </c>
    </row>
    <row r="89" spans="1:8" x14ac:dyDescent="0.2">
      <c r="A89" s="2">
        <v>5</v>
      </c>
      <c r="B89" s="89" t="s">
        <v>577</v>
      </c>
      <c r="C89" s="89" t="s">
        <v>414</v>
      </c>
      <c r="D89" s="2" t="s">
        <v>410</v>
      </c>
      <c r="E89" s="7">
        <v>0.5</v>
      </c>
      <c r="F89" s="7">
        <v>0.25</v>
      </c>
      <c r="G89" s="7">
        <v>3</v>
      </c>
      <c r="H89" s="7">
        <v>0.5</v>
      </c>
    </row>
    <row r="90" spans="1:8" x14ac:dyDescent="0.2">
      <c r="A90" s="2">
        <v>6</v>
      </c>
      <c r="B90" s="89" t="s">
        <v>578</v>
      </c>
      <c r="C90" s="89" t="s">
        <v>415</v>
      </c>
      <c r="D90" s="2" t="s">
        <v>384</v>
      </c>
      <c r="E90" s="7">
        <v>0.5</v>
      </c>
      <c r="F90" s="7">
        <v>0.5</v>
      </c>
      <c r="G90" s="7">
        <v>4.5</v>
      </c>
      <c r="H90" s="7">
        <v>1</v>
      </c>
    </row>
    <row r="91" spans="1:8" x14ac:dyDescent="0.2">
      <c r="A91" s="2">
        <v>7</v>
      </c>
      <c r="B91" s="89" t="s">
        <v>579</v>
      </c>
      <c r="C91" s="89" t="s">
        <v>416</v>
      </c>
      <c r="D91" s="2" t="s">
        <v>384</v>
      </c>
      <c r="E91" s="7">
        <v>1</v>
      </c>
      <c r="F91" s="7">
        <v>0.5</v>
      </c>
      <c r="G91" s="7">
        <v>4.5</v>
      </c>
      <c r="H91" s="7">
        <v>1</v>
      </c>
    </row>
    <row r="92" spans="1:8" x14ac:dyDescent="0.2">
      <c r="A92" s="2">
        <v>8</v>
      </c>
      <c r="B92" s="89" t="s">
        <v>580</v>
      </c>
      <c r="C92" s="89" t="s">
        <v>417</v>
      </c>
      <c r="D92" s="2" t="s">
        <v>384</v>
      </c>
      <c r="E92" s="7">
        <v>10</v>
      </c>
      <c r="F92" s="7">
        <v>10</v>
      </c>
      <c r="G92" s="7">
        <v>1.25</v>
      </c>
      <c r="H92" s="7">
        <v>1.5</v>
      </c>
    </row>
    <row r="93" spans="1:8" x14ac:dyDescent="0.2">
      <c r="A93" s="2">
        <v>9</v>
      </c>
      <c r="B93" s="89" t="s">
        <v>581</v>
      </c>
      <c r="C93" s="89" t="s">
        <v>418</v>
      </c>
      <c r="D93" s="2" t="s">
        <v>387</v>
      </c>
      <c r="E93" s="7">
        <v>1.5</v>
      </c>
      <c r="F93" s="7">
        <v>1</v>
      </c>
      <c r="G93" s="7">
        <v>3</v>
      </c>
      <c r="H93" s="7">
        <v>1</v>
      </c>
    </row>
    <row r="94" spans="1:8" x14ac:dyDescent="0.2">
      <c r="A94" s="2">
        <v>10</v>
      </c>
      <c r="B94" s="89" t="s">
        <v>582</v>
      </c>
      <c r="C94" s="89" t="s">
        <v>419</v>
      </c>
      <c r="D94" s="2" t="s">
        <v>387</v>
      </c>
      <c r="E94" s="7">
        <v>3</v>
      </c>
      <c r="F94" s="7">
        <v>1</v>
      </c>
      <c r="G94" s="7">
        <v>3</v>
      </c>
      <c r="H94" s="7">
        <v>1.2</v>
      </c>
    </row>
    <row r="95" spans="1:8" x14ac:dyDescent="0.2">
      <c r="A95" s="2">
        <v>11</v>
      </c>
      <c r="B95" s="89" t="s">
        <v>583</v>
      </c>
      <c r="C95" s="89" t="s">
        <v>420</v>
      </c>
      <c r="D95" s="2" t="s">
        <v>387</v>
      </c>
      <c r="E95" s="7">
        <v>20</v>
      </c>
      <c r="F95" s="7">
        <v>20</v>
      </c>
      <c r="G95" s="7">
        <v>1.25</v>
      </c>
      <c r="H95" s="7">
        <v>1.8</v>
      </c>
    </row>
    <row r="96" spans="1:8" x14ac:dyDescent="0.2">
      <c r="A96" s="2">
        <v>12</v>
      </c>
      <c r="B96" s="89" t="s">
        <v>584</v>
      </c>
      <c r="C96" s="89" t="s">
        <v>421</v>
      </c>
      <c r="D96" s="2" t="s">
        <v>409</v>
      </c>
      <c r="E96" s="7">
        <v>0.5</v>
      </c>
      <c r="F96" s="7">
        <v>0.5</v>
      </c>
      <c r="G96" s="7">
        <v>3</v>
      </c>
      <c r="H96" s="7">
        <v>1</v>
      </c>
    </row>
    <row r="97" spans="1:8" x14ac:dyDescent="0.2">
      <c r="A97" s="2">
        <v>13</v>
      </c>
      <c r="B97" s="89" t="s">
        <v>585</v>
      </c>
      <c r="C97" s="89" t="s">
        <v>422</v>
      </c>
      <c r="D97" s="2" t="s">
        <v>409</v>
      </c>
      <c r="E97" s="7">
        <v>1</v>
      </c>
      <c r="F97" s="7">
        <v>0.5</v>
      </c>
      <c r="G97" s="7">
        <v>3</v>
      </c>
      <c r="H97" s="7">
        <v>1</v>
      </c>
    </row>
    <row r="98" spans="1:8" x14ac:dyDescent="0.2">
      <c r="A98" s="2">
        <v>14</v>
      </c>
      <c r="B98" s="89" t="s">
        <v>586</v>
      </c>
      <c r="C98" s="89" t="s">
        <v>423</v>
      </c>
      <c r="D98" s="2" t="s">
        <v>409</v>
      </c>
      <c r="E98" s="7">
        <v>20</v>
      </c>
      <c r="F98" s="7">
        <v>10</v>
      </c>
      <c r="G98" s="7">
        <v>1.25</v>
      </c>
      <c r="H98" s="7">
        <v>2.5</v>
      </c>
    </row>
    <row r="99" spans="1:8" x14ac:dyDescent="0.2">
      <c r="A99" s="2">
        <v>15</v>
      </c>
      <c r="B99" s="89" t="s">
        <v>587</v>
      </c>
      <c r="C99" s="89" t="s">
        <v>424</v>
      </c>
      <c r="D99" s="2" t="s">
        <v>410</v>
      </c>
      <c r="E99" s="7">
        <v>1</v>
      </c>
      <c r="F99" s="7">
        <v>1</v>
      </c>
      <c r="G99" s="7">
        <v>3</v>
      </c>
      <c r="H99" s="7">
        <v>1.25</v>
      </c>
    </row>
    <row r="100" spans="1:8" x14ac:dyDescent="0.2">
      <c r="A100" s="2">
        <v>16</v>
      </c>
      <c r="B100" s="89" t="s">
        <v>588</v>
      </c>
      <c r="C100" s="89" t="s">
        <v>425</v>
      </c>
      <c r="D100" s="2" t="s">
        <v>388</v>
      </c>
      <c r="E100" s="7">
        <v>2</v>
      </c>
      <c r="F100" s="7">
        <v>1</v>
      </c>
      <c r="G100" s="7">
        <v>3</v>
      </c>
      <c r="H100" s="7">
        <v>1.3</v>
      </c>
    </row>
    <row r="101" spans="1:8" x14ac:dyDescent="0.2">
      <c r="A101" s="2">
        <v>17</v>
      </c>
      <c r="B101" s="89" t="s">
        <v>589</v>
      </c>
      <c r="C101" s="89" t="s">
        <v>426</v>
      </c>
      <c r="D101" s="2" t="s">
        <v>388</v>
      </c>
      <c r="E101" s="7">
        <v>20</v>
      </c>
      <c r="F101" s="7">
        <v>20</v>
      </c>
      <c r="G101" s="7">
        <v>1.25</v>
      </c>
      <c r="H101" s="7">
        <v>2.5</v>
      </c>
    </row>
    <row r="102" spans="1:8" x14ac:dyDescent="0.2">
      <c r="A102" s="2">
        <v>18</v>
      </c>
      <c r="B102" s="89" t="s">
        <v>968</v>
      </c>
      <c r="C102" s="89" t="s">
        <v>973</v>
      </c>
      <c r="D102" s="2" t="s">
        <v>976</v>
      </c>
      <c r="E102" s="7">
        <v>1</v>
      </c>
      <c r="F102" s="7">
        <v>1</v>
      </c>
      <c r="G102" s="7">
        <v>3</v>
      </c>
      <c r="H102" s="7">
        <v>1</v>
      </c>
    </row>
    <row r="103" spans="1:8" x14ac:dyDescent="0.2">
      <c r="A103" s="2">
        <v>19</v>
      </c>
      <c r="B103" s="89" t="s">
        <v>969</v>
      </c>
      <c r="C103" s="89" t="s">
        <v>974</v>
      </c>
      <c r="D103" s="2" t="s">
        <v>976</v>
      </c>
      <c r="E103" s="7">
        <v>2</v>
      </c>
      <c r="F103" s="7">
        <v>1</v>
      </c>
      <c r="G103" s="7">
        <v>3</v>
      </c>
      <c r="H103" s="7">
        <v>1.2</v>
      </c>
    </row>
    <row r="104" spans="1:8" x14ac:dyDescent="0.2">
      <c r="A104" s="2">
        <v>20</v>
      </c>
      <c r="B104" s="89" t="s">
        <v>971</v>
      </c>
      <c r="C104" s="89" t="s">
        <v>975</v>
      </c>
      <c r="D104" s="2" t="s">
        <v>976</v>
      </c>
      <c r="E104" s="7">
        <v>4</v>
      </c>
      <c r="F104" s="7">
        <v>1</v>
      </c>
      <c r="G104" s="7">
        <v>3</v>
      </c>
      <c r="H104" s="7">
        <v>1.8</v>
      </c>
    </row>
    <row r="108" spans="1:8" ht="18" x14ac:dyDescent="0.25">
      <c r="A108" s="28" t="s">
        <v>16</v>
      </c>
    </row>
    <row r="109" spans="1:8" s="4" customFormat="1" x14ac:dyDescent="0.2">
      <c r="A109" s="4" t="s">
        <v>17</v>
      </c>
    </row>
    <row r="110" spans="1:8" x14ac:dyDescent="0.2">
      <c r="A110" s="8" t="s">
        <v>634</v>
      </c>
    </row>
    <row r="111" spans="1:8" x14ac:dyDescent="0.2">
      <c r="A111" s="7" t="s">
        <v>635</v>
      </c>
    </row>
    <row r="113" spans="1:17" x14ac:dyDescent="0.2">
      <c r="A113" s="5" t="s">
        <v>389</v>
      </c>
      <c r="E113" s="5"/>
    </row>
    <row r="114" spans="1:17" x14ac:dyDescent="0.2">
      <c r="A114" s="8" t="s">
        <v>380</v>
      </c>
      <c r="B114" s="8" t="s">
        <v>381</v>
      </c>
      <c r="C114" s="8" t="s">
        <v>391</v>
      </c>
      <c r="D114" s="158" t="s">
        <v>26</v>
      </c>
      <c r="E114" s="159"/>
      <c r="F114" s="159"/>
      <c r="G114" s="160"/>
    </row>
    <row r="115" spans="1:17" x14ac:dyDescent="0.2">
      <c r="A115" s="2">
        <v>1</v>
      </c>
      <c r="B115" s="82">
        <v>3</v>
      </c>
      <c r="C115" s="82" t="s">
        <v>1407</v>
      </c>
      <c r="D115" s="82" t="s">
        <v>590</v>
      </c>
      <c r="E115" s="82"/>
      <c r="F115" s="82"/>
      <c r="G115" s="82"/>
    </row>
    <row r="116" spans="1:17" x14ac:dyDescent="0.2">
      <c r="A116" s="2">
        <v>2</v>
      </c>
      <c r="B116" s="82">
        <v>1.25</v>
      </c>
      <c r="C116" s="82" t="s">
        <v>1408</v>
      </c>
      <c r="D116" s="82" t="s">
        <v>590</v>
      </c>
      <c r="E116" s="82"/>
      <c r="F116" s="82"/>
      <c r="G116" s="82"/>
    </row>
    <row r="117" spans="1:17" x14ac:dyDescent="0.2">
      <c r="A117" s="2">
        <v>3</v>
      </c>
      <c r="B117" s="82">
        <v>2.2000000000000002</v>
      </c>
      <c r="C117" s="82" t="s">
        <v>49</v>
      </c>
      <c r="D117" s="82" t="s">
        <v>590</v>
      </c>
      <c r="E117" s="82" t="s">
        <v>603</v>
      </c>
      <c r="F117" s="82" t="s">
        <v>594</v>
      </c>
      <c r="G117" s="82"/>
    </row>
    <row r="119" spans="1:17" s="4" customFormat="1" x14ac:dyDescent="0.2">
      <c r="A119" s="4" t="s">
        <v>12</v>
      </c>
    </row>
    <row r="120" spans="1:17" x14ac:dyDescent="0.2">
      <c r="A120" s="5" t="s">
        <v>636</v>
      </c>
      <c r="E120" s="5"/>
    </row>
    <row r="121" spans="1:17" x14ac:dyDescent="0.2">
      <c r="A121" s="8" t="s">
        <v>62</v>
      </c>
      <c r="B121" s="8" t="s">
        <v>381</v>
      </c>
      <c r="C121" s="8" t="s">
        <v>391</v>
      </c>
      <c r="D121" s="158" t="s">
        <v>634</v>
      </c>
      <c r="E121" s="159"/>
      <c r="F121" s="159"/>
      <c r="G121" s="159"/>
      <c r="H121" s="159"/>
      <c r="I121" s="159"/>
      <c r="J121" s="159"/>
      <c r="K121" s="160"/>
      <c r="L121" s="8" t="s">
        <v>637</v>
      </c>
      <c r="M121" s="8" t="s">
        <v>638</v>
      </c>
      <c r="N121" s="8" t="s">
        <v>639</v>
      </c>
      <c r="O121" s="8" t="s">
        <v>640</v>
      </c>
      <c r="P121" s="8" t="s">
        <v>641</v>
      </c>
    </row>
    <row r="122" spans="1:17" x14ac:dyDescent="0.2">
      <c r="A122" s="2">
        <v>1</v>
      </c>
      <c r="B122" s="82" t="s">
        <v>1770</v>
      </c>
      <c r="C122" s="82"/>
      <c r="D122" s="7" t="s">
        <v>157</v>
      </c>
      <c r="E122" s="7" t="s">
        <v>635</v>
      </c>
      <c r="F122" s="136" t="s">
        <v>644</v>
      </c>
      <c r="G122" s="82" t="s">
        <v>642</v>
      </c>
      <c r="H122" s="7"/>
      <c r="I122" s="7"/>
      <c r="J122" s="7"/>
      <c r="K122" s="7"/>
      <c r="L122" s="82" t="s">
        <v>30</v>
      </c>
      <c r="M122" s="82" t="s">
        <v>393</v>
      </c>
      <c r="N122" s="82" t="s">
        <v>645</v>
      </c>
      <c r="O122" s="82" t="s">
        <v>646</v>
      </c>
      <c r="P122" s="82" t="s">
        <v>647</v>
      </c>
      <c r="Q122" s="113" t="s">
        <v>907</v>
      </c>
    </row>
    <row r="123" spans="1:17" x14ac:dyDescent="0.2">
      <c r="A123" s="2">
        <v>2</v>
      </c>
      <c r="B123" s="82" t="s">
        <v>1770</v>
      </c>
      <c r="C123" s="82"/>
      <c r="D123" s="7" t="s">
        <v>157</v>
      </c>
      <c r="E123" s="7" t="s">
        <v>635</v>
      </c>
      <c r="F123" s="7" t="s">
        <v>644</v>
      </c>
      <c r="G123" s="82" t="s">
        <v>642</v>
      </c>
      <c r="H123" s="7" t="s">
        <v>176</v>
      </c>
      <c r="I123" s="7"/>
      <c r="J123" s="7"/>
      <c r="K123" s="7"/>
      <c r="L123" s="82" t="s">
        <v>49</v>
      </c>
      <c r="M123" s="82" t="s">
        <v>648</v>
      </c>
      <c r="N123" s="82" t="s">
        <v>649</v>
      </c>
      <c r="O123" s="82" t="s">
        <v>645</v>
      </c>
      <c r="P123" s="82" t="s">
        <v>647</v>
      </c>
      <c r="Q123" s="113" t="s">
        <v>908</v>
      </c>
    </row>
    <row r="124" spans="1:17" x14ac:dyDescent="0.2">
      <c r="A124" s="2">
        <v>3</v>
      </c>
      <c r="B124" s="82" t="s">
        <v>1771</v>
      </c>
      <c r="C124" s="82"/>
      <c r="D124" s="7" t="s">
        <v>157</v>
      </c>
      <c r="E124" s="7" t="s">
        <v>635</v>
      </c>
      <c r="F124" s="7" t="s">
        <v>644</v>
      </c>
      <c r="G124" s="82" t="s">
        <v>642</v>
      </c>
      <c r="H124" s="7" t="s">
        <v>176</v>
      </c>
      <c r="I124" s="135" t="s">
        <v>253</v>
      </c>
      <c r="J124" s="7"/>
      <c r="K124" s="7"/>
      <c r="L124" s="82" t="s">
        <v>378</v>
      </c>
      <c r="M124" s="82" t="s">
        <v>650</v>
      </c>
      <c r="N124" s="82" t="s">
        <v>651</v>
      </c>
      <c r="O124" s="82" t="s">
        <v>661</v>
      </c>
      <c r="P124" s="82" t="s">
        <v>645</v>
      </c>
      <c r="Q124" s="113" t="s">
        <v>909</v>
      </c>
    </row>
    <row r="125" spans="1:17" x14ac:dyDescent="0.2">
      <c r="A125" s="2">
        <v>4</v>
      </c>
      <c r="B125" s="82" t="s">
        <v>1772</v>
      </c>
      <c r="C125" s="82"/>
      <c r="D125" s="7" t="s">
        <v>157</v>
      </c>
      <c r="E125" s="7" t="s">
        <v>635</v>
      </c>
      <c r="F125" s="7" t="s">
        <v>644</v>
      </c>
      <c r="G125" s="82" t="s">
        <v>642</v>
      </c>
      <c r="H125" s="7" t="s">
        <v>176</v>
      </c>
      <c r="I125" s="82" t="s">
        <v>253</v>
      </c>
      <c r="J125" s="82" t="s">
        <v>252</v>
      </c>
      <c r="K125" s="82"/>
      <c r="L125" s="82" t="s">
        <v>377</v>
      </c>
      <c r="M125" s="82" t="s">
        <v>655</v>
      </c>
      <c r="N125" s="82" t="s">
        <v>652</v>
      </c>
      <c r="O125" s="82" t="s">
        <v>653</v>
      </c>
      <c r="P125" s="82" t="s">
        <v>654</v>
      </c>
      <c r="Q125" s="113" t="s">
        <v>910</v>
      </c>
    </row>
    <row r="126" spans="1:17" x14ac:dyDescent="0.2">
      <c r="A126" s="2">
        <v>5</v>
      </c>
      <c r="B126" s="82" t="s">
        <v>1773</v>
      </c>
      <c r="C126" s="82"/>
      <c r="D126" s="7" t="s">
        <v>157</v>
      </c>
      <c r="E126" s="7" t="s">
        <v>635</v>
      </c>
      <c r="F126" s="7" t="s">
        <v>644</v>
      </c>
      <c r="G126" s="82" t="s">
        <v>642</v>
      </c>
      <c r="H126" s="7" t="s">
        <v>176</v>
      </c>
      <c r="I126" s="82" t="s">
        <v>253</v>
      </c>
      <c r="J126" s="82" t="s">
        <v>252</v>
      </c>
      <c r="K126" s="82" t="s">
        <v>643</v>
      </c>
      <c r="L126" s="82" t="s">
        <v>656</v>
      </c>
      <c r="M126" s="82" t="s">
        <v>657</v>
      </c>
      <c r="N126" s="82" t="s">
        <v>658</v>
      </c>
      <c r="O126" s="82" t="s">
        <v>659</v>
      </c>
      <c r="P126" s="82" t="s">
        <v>660</v>
      </c>
      <c r="Q126" s="113" t="s">
        <v>911</v>
      </c>
    </row>
    <row r="127" spans="1:17" x14ac:dyDescent="0.2">
      <c r="A127" s="2">
        <v>6</v>
      </c>
      <c r="B127" s="145" t="s">
        <v>1775</v>
      </c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6"/>
    </row>
    <row r="128" spans="1:17" x14ac:dyDescent="0.2">
      <c r="A128" s="2">
        <v>7</v>
      </c>
      <c r="B128" s="145" t="s">
        <v>1775</v>
      </c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6"/>
    </row>
    <row r="129" spans="1:26" x14ac:dyDescent="0.2">
      <c r="A129" s="2">
        <v>8</v>
      </c>
      <c r="B129" s="145" t="s">
        <v>1774</v>
      </c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6"/>
    </row>
    <row r="130" spans="1:26" x14ac:dyDescent="0.2">
      <c r="A130" s="2">
        <v>9</v>
      </c>
      <c r="B130" s="145" t="s">
        <v>1774</v>
      </c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6"/>
    </row>
    <row r="131" spans="1:26" x14ac:dyDescent="0.2">
      <c r="A131" s="2">
        <v>10</v>
      </c>
      <c r="B131" s="145" t="s">
        <v>1776</v>
      </c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6"/>
    </row>
    <row r="133" spans="1:26" x14ac:dyDescent="0.2">
      <c r="A133" s="5" t="s">
        <v>389</v>
      </c>
      <c r="E133" s="5"/>
    </row>
    <row r="134" spans="1:26" x14ac:dyDescent="0.2">
      <c r="A134" s="8" t="s">
        <v>665</v>
      </c>
      <c r="B134" s="8" t="s">
        <v>62</v>
      </c>
      <c r="C134" s="8" t="s">
        <v>380</v>
      </c>
      <c r="D134" s="8" t="s">
        <v>381</v>
      </c>
      <c r="E134" s="8" t="s">
        <v>391</v>
      </c>
      <c r="F134" s="8" t="s">
        <v>662</v>
      </c>
      <c r="G134" s="158" t="s">
        <v>26</v>
      </c>
      <c r="H134" s="159"/>
      <c r="I134" s="159"/>
      <c r="J134" s="160"/>
      <c r="K134" s="158" t="s">
        <v>663</v>
      </c>
      <c r="L134" s="159"/>
      <c r="M134" s="159"/>
      <c r="N134" s="160"/>
      <c r="Q134" s="68"/>
      <c r="T134" s="6" t="s">
        <v>62</v>
      </c>
      <c r="U134" s="6" t="s">
        <v>1342</v>
      </c>
      <c r="V134" s="6" t="s">
        <v>1354</v>
      </c>
      <c r="W134" s="6" t="s">
        <v>380</v>
      </c>
      <c r="X134" s="6" t="s">
        <v>1387</v>
      </c>
      <c r="Y134" s="6" t="s">
        <v>1388</v>
      </c>
      <c r="Z134" s="6" t="s">
        <v>26</v>
      </c>
    </row>
    <row r="135" spans="1:26" x14ac:dyDescent="0.2">
      <c r="A135" s="2" t="str">
        <f t="shared" ref="A135:A159" si="0">B135&amp;"_"&amp;C135</f>
        <v>1_1</v>
      </c>
      <c r="B135" s="2">
        <v>1</v>
      </c>
      <c r="C135" s="2">
        <v>1</v>
      </c>
      <c r="D135" s="82">
        <v>2.7</v>
      </c>
      <c r="E135" s="7"/>
      <c r="F135" s="7">
        <v>10</v>
      </c>
      <c r="G135" s="7" t="s">
        <v>590</v>
      </c>
      <c r="H135" s="7"/>
      <c r="I135" s="7"/>
      <c r="J135" s="7"/>
      <c r="K135" s="7">
        <v>2</v>
      </c>
      <c r="L135" s="7"/>
      <c r="M135" s="7"/>
      <c r="N135" s="7"/>
      <c r="T135" s="6">
        <v>1</v>
      </c>
      <c r="U135" s="6" t="s">
        <v>1373</v>
      </c>
      <c r="V135" s="6" t="s">
        <v>1374</v>
      </c>
      <c r="W135" s="6">
        <v>3</v>
      </c>
      <c r="X135" s="6">
        <v>2</v>
      </c>
      <c r="Y135" s="6" t="s">
        <v>1389</v>
      </c>
      <c r="Z135" s="6" t="s">
        <v>1392</v>
      </c>
    </row>
    <row r="136" spans="1:26" x14ac:dyDescent="0.2">
      <c r="A136" s="2" t="str">
        <f t="shared" si="0"/>
        <v>1_2</v>
      </c>
      <c r="B136" s="2">
        <v>1</v>
      </c>
      <c r="C136" s="2">
        <v>2</v>
      </c>
      <c r="D136" s="82">
        <v>2.4</v>
      </c>
      <c r="E136" s="7"/>
      <c r="F136" s="7">
        <v>12.5</v>
      </c>
      <c r="G136" s="7" t="s">
        <v>590</v>
      </c>
      <c r="H136" s="7"/>
      <c r="I136" s="7"/>
      <c r="J136" s="7"/>
      <c r="K136" s="7">
        <v>0.5</v>
      </c>
      <c r="L136" s="7"/>
      <c r="M136" s="7"/>
      <c r="N136" s="7"/>
      <c r="T136" s="6">
        <v>2</v>
      </c>
      <c r="U136" s="6" t="s">
        <v>1375</v>
      </c>
      <c r="V136" s="6" t="s">
        <v>1390</v>
      </c>
      <c r="W136" s="6">
        <v>3</v>
      </c>
      <c r="X136" s="6">
        <v>3</v>
      </c>
      <c r="Y136" s="6" t="s">
        <v>1391</v>
      </c>
      <c r="Z136" s="6" t="s">
        <v>1393</v>
      </c>
    </row>
    <row r="137" spans="1:26" x14ac:dyDescent="0.2">
      <c r="A137" s="2" t="str">
        <f t="shared" si="0"/>
        <v>1_3</v>
      </c>
      <c r="B137" s="2">
        <v>1</v>
      </c>
      <c r="C137" s="2">
        <v>3</v>
      </c>
      <c r="D137" s="82">
        <v>4.5</v>
      </c>
      <c r="E137" s="7"/>
      <c r="F137" s="7">
        <v>15</v>
      </c>
      <c r="G137" s="7" t="s">
        <v>590</v>
      </c>
      <c r="H137" s="7" t="s">
        <v>591</v>
      </c>
      <c r="I137" s="7"/>
      <c r="J137" s="7"/>
      <c r="K137" s="7">
        <v>0.5</v>
      </c>
      <c r="L137" s="7">
        <v>3</v>
      </c>
      <c r="M137" s="7"/>
      <c r="N137" s="7"/>
      <c r="P137" s="6">
        <v>1.3</v>
      </c>
      <c r="T137" s="6">
        <v>3</v>
      </c>
      <c r="U137" s="3" t="s">
        <v>1380</v>
      </c>
      <c r="V137" s="3" t="s">
        <v>1382</v>
      </c>
      <c r="W137" s="6">
        <v>3</v>
      </c>
      <c r="X137" s="6">
        <v>3</v>
      </c>
      <c r="Y137" s="6" t="s">
        <v>1394</v>
      </c>
      <c r="Z137" s="6" t="s">
        <v>1393</v>
      </c>
    </row>
    <row r="138" spans="1:26" x14ac:dyDescent="0.2">
      <c r="A138" s="134" t="str">
        <f t="shared" si="0"/>
        <v>1_4</v>
      </c>
      <c r="B138" s="134">
        <v>1</v>
      </c>
      <c r="C138" s="134">
        <v>4</v>
      </c>
      <c r="D138" s="82">
        <v>3.9000000000000004</v>
      </c>
      <c r="E138" s="136"/>
      <c r="F138" s="136">
        <v>17.5</v>
      </c>
      <c r="G138" s="136" t="s">
        <v>590</v>
      </c>
      <c r="H138" s="136" t="s">
        <v>591</v>
      </c>
      <c r="I138" s="136"/>
      <c r="J138" s="136"/>
      <c r="K138" s="136">
        <v>0.3</v>
      </c>
      <c r="L138" s="136">
        <v>1.5</v>
      </c>
      <c r="M138" s="136"/>
      <c r="N138" s="136"/>
      <c r="T138" s="6">
        <v>4</v>
      </c>
      <c r="U138" s="6" t="s">
        <v>1379</v>
      </c>
      <c r="V138" s="6" t="s">
        <v>1377</v>
      </c>
      <c r="W138" s="6">
        <v>5</v>
      </c>
      <c r="X138" s="6">
        <v>4</v>
      </c>
      <c r="Y138" s="6" t="s">
        <v>1395</v>
      </c>
      <c r="Z138" s="6" t="s">
        <v>1396</v>
      </c>
    </row>
    <row r="139" spans="1:26" x14ac:dyDescent="0.2">
      <c r="A139" s="134" t="str">
        <f t="shared" si="0"/>
        <v>1_5</v>
      </c>
      <c r="B139" s="134">
        <v>1</v>
      </c>
      <c r="C139" s="134">
        <v>5</v>
      </c>
      <c r="D139" s="82">
        <v>5.8500000000000005</v>
      </c>
      <c r="E139" s="136"/>
      <c r="F139" s="136">
        <v>20</v>
      </c>
      <c r="G139" s="136" t="s">
        <v>590</v>
      </c>
      <c r="H139" s="136" t="s">
        <v>591</v>
      </c>
      <c r="I139" s="136"/>
      <c r="J139" s="136"/>
      <c r="K139" s="136">
        <v>0.3</v>
      </c>
      <c r="L139" s="136">
        <v>0.75</v>
      </c>
      <c r="M139" s="136"/>
      <c r="N139" s="136"/>
      <c r="T139" s="6">
        <v>5</v>
      </c>
      <c r="U139" s="3" t="s">
        <v>1380</v>
      </c>
      <c r="V139" s="3" t="s">
        <v>1381</v>
      </c>
      <c r="W139" s="6">
        <v>5</v>
      </c>
      <c r="X139" s="6">
        <v>4</v>
      </c>
      <c r="Y139" s="6" t="s">
        <v>1397</v>
      </c>
      <c r="Z139" s="6" t="s">
        <v>1396</v>
      </c>
    </row>
    <row r="140" spans="1:26" x14ac:dyDescent="0.2">
      <c r="A140" s="2" t="str">
        <f t="shared" si="0"/>
        <v>2_1</v>
      </c>
      <c r="B140" s="2">
        <v>2</v>
      </c>
      <c r="C140" s="2">
        <v>1</v>
      </c>
      <c r="D140" s="82">
        <v>0.12</v>
      </c>
      <c r="E140" s="7" t="s">
        <v>382</v>
      </c>
      <c r="F140" s="7">
        <v>10</v>
      </c>
      <c r="G140" s="7" t="s">
        <v>594</v>
      </c>
      <c r="H140" s="7"/>
      <c r="I140" s="7"/>
      <c r="J140" s="7"/>
      <c r="K140" s="7">
        <v>2</v>
      </c>
      <c r="L140" s="7"/>
      <c r="M140" s="7"/>
      <c r="N140" s="7"/>
      <c r="T140" s="6">
        <v>6</v>
      </c>
      <c r="U140" s="6" t="s">
        <v>1379</v>
      </c>
      <c r="V140" s="6" t="s">
        <v>1376</v>
      </c>
      <c r="W140" s="6">
        <v>5</v>
      </c>
      <c r="X140" s="6">
        <v>5</v>
      </c>
      <c r="Y140" s="6" t="s">
        <v>1398</v>
      </c>
      <c r="Z140" s="6" t="s">
        <v>1399</v>
      </c>
    </row>
    <row r="141" spans="1:26" x14ac:dyDescent="0.2">
      <c r="A141" s="2" t="str">
        <f t="shared" si="0"/>
        <v>2_2</v>
      </c>
      <c r="B141" s="2">
        <v>2</v>
      </c>
      <c r="C141" s="2">
        <v>2</v>
      </c>
      <c r="D141" s="82">
        <v>0.9</v>
      </c>
      <c r="E141" s="7"/>
      <c r="F141" s="7">
        <v>12.5</v>
      </c>
      <c r="G141" s="7" t="s">
        <v>594</v>
      </c>
      <c r="H141" s="7" t="s">
        <v>591</v>
      </c>
      <c r="I141" s="7"/>
      <c r="J141" s="7"/>
      <c r="K141" s="7">
        <v>2</v>
      </c>
      <c r="L141" s="7">
        <v>2</v>
      </c>
      <c r="M141" s="7"/>
      <c r="N141" s="7"/>
      <c r="Q141" s="6">
        <v>0.75</v>
      </c>
      <c r="T141" s="6">
        <v>7</v>
      </c>
      <c r="U141" s="3" t="s">
        <v>1380</v>
      </c>
      <c r="V141" s="3" t="s">
        <v>1383</v>
      </c>
      <c r="W141" s="6">
        <v>5</v>
      </c>
      <c r="X141" s="6">
        <v>5</v>
      </c>
      <c r="Y141" s="6" t="s">
        <v>1400</v>
      </c>
      <c r="Z141" s="6" t="s">
        <v>1401</v>
      </c>
    </row>
    <row r="142" spans="1:26" x14ac:dyDescent="0.2">
      <c r="A142" s="2" t="str">
        <f t="shared" si="0"/>
        <v>2_3</v>
      </c>
      <c r="B142" s="2">
        <v>2</v>
      </c>
      <c r="C142" s="2">
        <v>3</v>
      </c>
      <c r="D142" s="82">
        <v>0.9</v>
      </c>
      <c r="E142" s="7"/>
      <c r="F142" s="7">
        <v>15</v>
      </c>
      <c r="G142" s="7" t="s">
        <v>594</v>
      </c>
      <c r="H142" s="7" t="s">
        <v>592</v>
      </c>
      <c r="I142" s="7"/>
      <c r="J142" s="7"/>
      <c r="K142" s="7">
        <v>1</v>
      </c>
      <c r="L142" s="7">
        <v>1</v>
      </c>
      <c r="M142" s="7"/>
      <c r="N142" s="7"/>
      <c r="T142" s="6">
        <v>8</v>
      </c>
      <c r="U142" s="6" t="s">
        <v>1379</v>
      </c>
      <c r="V142" s="6" t="s">
        <v>1378</v>
      </c>
      <c r="W142" s="6">
        <v>5</v>
      </c>
      <c r="X142" s="6">
        <v>6</v>
      </c>
      <c r="Y142" s="6" t="s">
        <v>1402</v>
      </c>
      <c r="Z142" s="6" t="s">
        <v>1403</v>
      </c>
    </row>
    <row r="143" spans="1:26" x14ac:dyDescent="0.2">
      <c r="A143" s="134" t="str">
        <f t="shared" si="0"/>
        <v>2_4</v>
      </c>
      <c r="B143" s="134">
        <v>2</v>
      </c>
      <c r="C143" s="134">
        <v>4</v>
      </c>
      <c r="D143" s="82">
        <v>5.02734375</v>
      </c>
      <c r="E143" s="136"/>
      <c r="F143" s="136">
        <v>17.5</v>
      </c>
      <c r="G143" s="136" t="s">
        <v>594</v>
      </c>
      <c r="H143" s="136" t="s">
        <v>592</v>
      </c>
      <c r="I143" s="136" t="s">
        <v>591</v>
      </c>
      <c r="J143" s="136"/>
      <c r="K143" s="136">
        <v>1</v>
      </c>
      <c r="L143" s="136">
        <v>0.4</v>
      </c>
      <c r="M143" s="136">
        <v>0.5</v>
      </c>
      <c r="N143" s="136"/>
      <c r="T143" s="6">
        <v>9</v>
      </c>
      <c r="U143" s="127" t="s">
        <v>1384</v>
      </c>
      <c r="V143" s="127" t="s">
        <v>1385</v>
      </c>
      <c r="W143" s="6">
        <v>8</v>
      </c>
      <c r="X143" s="6">
        <v>8</v>
      </c>
      <c r="Y143" s="6" t="s">
        <v>1404</v>
      </c>
      <c r="Z143" s="6" t="s">
        <v>1405</v>
      </c>
    </row>
    <row r="144" spans="1:26" x14ac:dyDescent="0.2">
      <c r="A144" s="134" t="str">
        <f t="shared" si="0"/>
        <v>2_5</v>
      </c>
      <c r="B144" s="134">
        <v>2</v>
      </c>
      <c r="C144" s="134">
        <v>5</v>
      </c>
      <c r="D144" s="82">
        <v>9.75</v>
      </c>
      <c r="E144" s="136"/>
      <c r="F144" s="136">
        <v>20</v>
      </c>
      <c r="G144" s="136" t="s">
        <v>594</v>
      </c>
      <c r="H144" s="136" t="s">
        <v>592</v>
      </c>
      <c r="I144" s="136" t="s">
        <v>591</v>
      </c>
      <c r="J144" s="136"/>
      <c r="K144" s="136">
        <v>0.3</v>
      </c>
      <c r="L144" s="136">
        <v>0.2</v>
      </c>
      <c r="M144" s="136">
        <v>0.5</v>
      </c>
      <c r="N144" s="136"/>
      <c r="T144" s="6">
        <v>10</v>
      </c>
      <c r="U144" s="127" t="s">
        <v>1384</v>
      </c>
      <c r="V144" s="127" t="s">
        <v>1386</v>
      </c>
      <c r="W144" s="6">
        <v>8</v>
      </c>
      <c r="X144" s="6">
        <v>8</v>
      </c>
      <c r="Y144" s="6" t="s">
        <v>1404</v>
      </c>
      <c r="Z144" s="6" t="s">
        <v>1406</v>
      </c>
    </row>
    <row r="145" spans="1:21" x14ac:dyDescent="0.2">
      <c r="A145" s="2" t="str">
        <f t="shared" si="0"/>
        <v>3_1</v>
      </c>
      <c r="B145" s="2">
        <v>3</v>
      </c>
      <c r="C145" s="2">
        <v>1</v>
      </c>
      <c r="D145" s="82">
        <v>1.21875</v>
      </c>
      <c r="E145" s="7" t="s">
        <v>666</v>
      </c>
      <c r="F145" s="7">
        <v>10</v>
      </c>
      <c r="G145" s="7" t="s">
        <v>597</v>
      </c>
      <c r="H145" s="7"/>
      <c r="I145" s="7"/>
      <c r="J145" s="7"/>
      <c r="K145" s="7">
        <v>2</v>
      </c>
      <c r="L145" s="7"/>
      <c r="M145" s="7"/>
      <c r="N145" s="7"/>
      <c r="U145" s="127"/>
    </row>
    <row r="146" spans="1:21" x14ac:dyDescent="0.2">
      <c r="A146" s="2" t="str">
        <f t="shared" si="0"/>
        <v>3_2</v>
      </c>
      <c r="B146" s="2">
        <v>3</v>
      </c>
      <c r="C146" s="2">
        <v>2</v>
      </c>
      <c r="D146" s="82">
        <v>1.2</v>
      </c>
      <c r="E146" s="7"/>
      <c r="F146" s="7">
        <v>12.5</v>
      </c>
      <c r="G146" s="7" t="s">
        <v>597</v>
      </c>
      <c r="H146" s="7" t="s">
        <v>591</v>
      </c>
      <c r="I146" s="7"/>
      <c r="J146" s="7"/>
      <c r="K146" s="7">
        <v>2</v>
      </c>
      <c r="L146" s="7">
        <v>2</v>
      </c>
      <c r="M146" s="7"/>
      <c r="N146" s="7"/>
    </row>
    <row r="147" spans="1:21" x14ac:dyDescent="0.2">
      <c r="A147" s="2" t="str">
        <f t="shared" si="0"/>
        <v>3_3</v>
      </c>
      <c r="B147" s="2">
        <v>3</v>
      </c>
      <c r="C147" s="2">
        <v>3</v>
      </c>
      <c r="D147" s="82">
        <v>3</v>
      </c>
      <c r="E147" s="7"/>
      <c r="F147" s="7">
        <v>15</v>
      </c>
      <c r="G147" s="7" t="s">
        <v>597</v>
      </c>
      <c r="H147" s="7" t="s">
        <v>592</v>
      </c>
      <c r="I147" s="7"/>
      <c r="J147" s="7"/>
      <c r="K147" s="7">
        <v>2</v>
      </c>
      <c r="L147" s="7">
        <v>1</v>
      </c>
      <c r="M147" s="7"/>
      <c r="N147" s="7"/>
    </row>
    <row r="148" spans="1:21" s="128" customFormat="1" x14ac:dyDescent="0.2">
      <c r="A148" s="134" t="str">
        <f t="shared" si="0"/>
        <v>3_4</v>
      </c>
      <c r="B148" s="134">
        <v>3</v>
      </c>
      <c r="C148" s="134">
        <v>4</v>
      </c>
      <c r="D148" s="135">
        <v>2.25</v>
      </c>
      <c r="E148" s="136"/>
      <c r="F148" s="136">
        <v>17.5</v>
      </c>
      <c r="G148" s="136" t="s">
        <v>597</v>
      </c>
      <c r="H148" s="136" t="s">
        <v>592</v>
      </c>
      <c r="I148" s="136" t="s">
        <v>594</v>
      </c>
      <c r="J148" s="136"/>
      <c r="K148" s="136">
        <v>2</v>
      </c>
      <c r="L148" s="136">
        <v>0.3</v>
      </c>
      <c r="M148" s="136">
        <v>1</v>
      </c>
      <c r="N148" s="136"/>
    </row>
    <row r="149" spans="1:21" s="128" customFormat="1" x14ac:dyDescent="0.2">
      <c r="A149" s="134" t="str">
        <f t="shared" si="0"/>
        <v>3_5</v>
      </c>
      <c r="B149" s="134">
        <v>3</v>
      </c>
      <c r="C149" s="134">
        <v>5</v>
      </c>
      <c r="D149" s="135">
        <v>3.75</v>
      </c>
      <c r="E149" s="136"/>
      <c r="F149" s="136">
        <v>20</v>
      </c>
      <c r="G149" s="136" t="s">
        <v>597</v>
      </c>
      <c r="H149" s="136" t="s">
        <v>591</v>
      </c>
      <c r="I149" s="136" t="s">
        <v>594</v>
      </c>
      <c r="J149" s="136"/>
      <c r="K149" s="136">
        <v>1.5</v>
      </c>
      <c r="L149" s="136">
        <v>1</v>
      </c>
      <c r="M149" s="136">
        <v>0.3</v>
      </c>
      <c r="N149" s="136"/>
    </row>
    <row r="150" spans="1:21" x14ac:dyDescent="0.2">
      <c r="A150" s="2" t="str">
        <f t="shared" si="0"/>
        <v>4_1</v>
      </c>
      <c r="B150" s="2">
        <v>4</v>
      </c>
      <c r="C150" s="2">
        <v>1</v>
      </c>
      <c r="D150" s="82">
        <v>1.21875</v>
      </c>
      <c r="E150" s="7" t="s">
        <v>394</v>
      </c>
      <c r="F150" s="7">
        <v>10</v>
      </c>
      <c r="G150" s="7" t="s">
        <v>600</v>
      </c>
      <c r="H150" s="7"/>
      <c r="I150" s="7"/>
      <c r="J150" s="7"/>
      <c r="K150" s="7">
        <v>1.5</v>
      </c>
      <c r="L150" s="7"/>
      <c r="M150" s="7"/>
      <c r="N150" s="7"/>
    </row>
    <row r="151" spans="1:21" x14ac:dyDescent="0.2">
      <c r="A151" s="2" t="str">
        <f t="shared" si="0"/>
        <v>4_2</v>
      </c>
      <c r="B151" s="2">
        <v>4</v>
      </c>
      <c r="C151" s="2">
        <v>2</v>
      </c>
      <c r="D151" s="82">
        <v>15</v>
      </c>
      <c r="E151" s="7"/>
      <c r="F151" s="7">
        <v>12.5</v>
      </c>
      <c r="G151" s="7" t="s">
        <v>600</v>
      </c>
      <c r="H151" s="7" t="s">
        <v>591</v>
      </c>
      <c r="I151" s="7"/>
      <c r="J151" s="7"/>
      <c r="K151" s="7">
        <v>1.5</v>
      </c>
      <c r="L151" s="7">
        <v>0.5</v>
      </c>
      <c r="M151" s="7"/>
      <c r="N151" s="7"/>
    </row>
    <row r="152" spans="1:21" x14ac:dyDescent="0.2">
      <c r="A152" s="2" t="str">
        <f t="shared" si="0"/>
        <v>4_3</v>
      </c>
      <c r="B152" s="2">
        <v>4</v>
      </c>
      <c r="C152" s="2">
        <v>3</v>
      </c>
      <c r="D152" s="82">
        <v>18</v>
      </c>
      <c r="E152" s="7"/>
      <c r="F152" s="7">
        <v>15</v>
      </c>
      <c r="G152" s="7" t="s">
        <v>600</v>
      </c>
      <c r="H152" s="7" t="s">
        <v>592</v>
      </c>
      <c r="I152" s="7"/>
      <c r="J152" s="7"/>
      <c r="K152" s="7">
        <v>1.5</v>
      </c>
      <c r="L152" s="7">
        <v>0.2</v>
      </c>
      <c r="M152" s="7"/>
      <c r="N152" s="7"/>
    </row>
    <row r="153" spans="1:21" s="128" customFormat="1" x14ac:dyDescent="0.2">
      <c r="A153" s="134" t="str">
        <f t="shared" si="0"/>
        <v>4_4</v>
      </c>
      <c r="B153" s="134">
        <v>4</v>
      </c>
      <c r="C153" s="134">
        <v>4</v>
      </c>
      <c r="D153" s="135">
        <v>3</v>
      </c>
      <c r="E153" s="136"/>
      <c r="F153" s="136">
        <v>17.5</v>
      </c>
      <c r="G153" s="136" t="s">
        <v>600</v>
      </c>
      <c r="H153" s="136" t="s">
        <v>594</v>
      </c>
      <c r="I153" s="136"/>
      <c r="J153" s="136"/>
      <c r="K153" s="136">
        <v>1.5</v>
      </c>
      <c r="L153" s="136">
        <v>0.4</v>
      </c>
      <c r="M153" s="136"/>
      <c r="N153" s="136"/>
    </row>
    <row r="154" spans="1:21" s="128" customFormat="1" x14ac:dyDescent="0.2">
      <c r="A154" s="134" t="str">
        <f t="shared" si="0"/>
        <v>4_5</v>
      </c>
      <c r="B154" s="134">
        <v>4</v>
      </c>
      <c r="C154" s="134">
        <v>5</v>
      </c>
      <c r="D154" s="135">
        <v>3</v>
      </c>
      <c r="E154" s="136"/>
      <c r="F154" s="136">
        <v>20</v>
      </c>
      <c r="G154" s="136" t="s">
        <v>600</v>
      </c>
      <c r="H154" s="136" t="s">
        <v>597</v>
      </c>
      <c r="I154" s="136"/>
      <c r="J154" s="136"/>
      <c r="K154" s="136">
        <v>0.5</v>
      </c>
      <c r="L154" s="136">
        <v>2</v>
      </c>
      <c r="M154" s="136"/>
      <c r="N154" s="136"/>
    </row>
    <row r="155" spans="1:21" x14ac:dyDescent="0.2">
      <c r="A155" s="2" t="str">
        <f t="shared" si="0"/>
        <v>5_1</v>
      </c>
      <c r="B155" s="2">
        <v>5</v>
      </c>
      <c r="C155" s="2">
        <v>1</v>
      </c>
      <c r="D155" s="82">
        <v>1.21875</v>
      </c>
      <c r="E155" s="7" t="s">
        <v>667</v>
      </c>
      <c r="F155" s="7">
        <v>10</v>
      </c>
      <c r="G155" s="7" t="s">
        <v>604</v>
      </c>
      <c r="H155" s="7"/>
      <c r="I155" s="7"/>
      <c r="J155" s="7"/>
      <c r="K155" s="7">
        <v>1.5</v>
      </c>
      <c r="L155" s="7"/>
      <c r="M155" s="7"/>
      <c r="N155" s="7"/>
    </row>
    <row r="156" spans="1:21" x14ac:dyDescent="0.2">
      <c r="A156" s="2" t="str">
        <f t="shared" si="0"/>
        <v>5_2</v>
      </c>
      <c r="B156" s="2">
        <v>5</v>
      </c>
      <c r="C156" s="2">
        <v>2</v>
      </c>
      <c r="D156" s="82">
        <v>2.4375</v>
      </c>
      <c r="E156" s="7"/>
      <c r="F156" s="7">
        <v>12.5</v>
      </c>
      <c r="G156" s="7" t="s">
        <v>604</v>
      </c>
      <c r="H156" s="7" t="s">
        <v>592</v>
      </c>
      <c r="I156" s="7"/>
      <c r="J156" s="7"/>
      <c r="K156" s="7">
        <v>1.5</v>
      </c>
      <c r="L156" s="7">
        <v>0.2</v>
      </c>
      <c r="M156" s="7"/>
      <c r="N156" s="7"/>
    </row>
    <row r="157" spans="1:21" x14ac:dyDescent="0.2">
      <c r="A157" s="2" t="str">
        <f t="shared" si="0"/>
        <v>5_3</v>
      </c>
      <c r="B157" s="2">
        <v>5</v>
      </c>
      <c r="C157" s="2">
        <v>3</v>
      </c>
      <c r="D157" s="82">
        <v>3</v>
      </c>
      <c r="E157" s="7"/>
      <c r="F157" s="7">
        <v>15</v>
      </c>
      <c r="G157" s="7" t="s">
        <v>604</v>
      </c>
      <c r="H157" s="7" t="s">
        <v>594</v>
      </c>
      <c r="I157" s="7" t="s">
        <v>600</v>
      </c>
      <c r="J157" s="7"/>
      <c r="K157" s="7">
        <v>1.5</v>
      </c>
      <c r="L157" s="7">
        <v>0.4</v>
      </c>
      <c r="M157" s="7">
        <v>1.5</v>
      </c>
      <c r="N157" s="7"/>
    </row>
    <row r="158" spans="1:21" s="128" customFormat="1" x14ac:dyDescent="0.2">
      <c r="A158" s="134" t="str">
        <f t="shared" si="0"/>
        <v>5_4</v>
      </c>
      <c r="B158" s="134">
        <v>5</v>
      </c>
      <c r="C158" s="134">
        <v>4</v>
      </c>
      <c r="D158" s="135">
        <v>3</v>
      </c>
      <c r="E158" s="136"/>
      <c r="F158" s="136">
        <v>17.5</v>
      </c>
      <c r="G158" s="136" t="s">
        <v>604</v>
      </c>
      <c r="H158" s="136" t="s">
        <v>600</v>
      </c>
      <c r="I158" s="136"/>
      <c r="J158" s="136"/>
      <c r="K158" s="136">
        <v>1.5</v>
      </c>
      <c r="L158" s="136">
        <v>0.5</v>
      </c>
      <c r="M158" s="136"/>
      <c r="N158" s="136"/>
    </row>
    <row r="159" spans="1:21" s="128" customFormat="1" ht="15" thickBot="1" x14ac:dyDescent="0.25">
      <c r="A159" s="143" t="str">
        <f t="shared" si="0"/>
        <v>5_5</v>
      </c>
      <c r="B159" s="143">
        <v>5</v>
      </c>
      <c r="C159" s="143">
        <v>5</v>
      </c>
      <c r="D159" s="135">
        <v>3</v>
      </c>
      <c r="E159" s="144"/>
      <c r="F159" s="144">
        <v>20</v>
      </c>
      <c r="G159" s="144" t="s">
        <v>604</v>
      </c>
      <c r="H159" s="144" t="s">
        <v>600</v>
      </c>
      <c r="I159" s="144" t="s">
        <v>597</v>
      </c>
      <c r="J159" s="144" t="s">
        <v>605</v>
      </c>
      <c r="K159" s="144">
        <v>1.5</v>
      </c>
      <c r="L159" s="144">
        <v>0.5</v>
      </c>
      <c r="M159" s="144">
        <v>2</v>
      </c>
      <c r="N159" s="144">
        <v>0</v>
      </c>
    </row>
    <row r="160" spans="1:21" x14ac:dyDescent="0.2">
      <c r="A160" s="118" t="str">
        <f t="shared" ref="A160:A184" si="1">B160&amp;"_"&amp;C160</f>
        <v>6_1</v>
      </c>
      <c r="B160" s="118">
        <f>B135+5</f>
        <v>6</v>
      </c>
      <c r="C160" s="118">
        <v>1</v>
      </c>
      <c r="D160" s="82">
        <v>1.21875</v>
      </c>
      <c r="E160" s="115" t="s">
        <v>1311</v>
      </c>
      <c r="F160" s="115">
        <v>10</v>
      </c>
      <c r="G160" s="115" t="s">
        <v>590</v>
      </c>
      <c r="H160" s="115" t="s">
        <v>968</v>
      </c>
      <c r="I160" s="115"/>
      <c r="J160" s="115"/>
      <c r="K160" s="115">
        <v>1</v>
      </c>
      <c r="L160" s="115">
        <v>0</v>
      </c>
      <c r="M160" s="115"/>
      <c r="N160" s="115"/>
      <c r="O160" s="6">
        <v>0.5</v>
      </c>
    </row>
    <row r="161" spans="1:14" x14ac:dyDescent="0.2">
      <c r="A161" s="2" t="str">
        <f t="shared" si="1"/>
        <v>6_2</v>
      </c>
      <c r="B161" s="2">
        <f t="shared" ref="B161:B184" si="2">B136+5</f>
        <v>6</v>
      </c>
      <c r="C161" s="2">
        <v>2</v>
      </c>
      <c r="D161" s="82">
        <v>2.4375</v>
      </c>
      <c r="E161" s="115" t="s">
        <v>1311</v>
      </c>
      <c r="F161" s="7">
        <v>12.5</v>
      </c>
      <c r="G161" s="7" t="s">
        <v>590</v>
      </c>
      <c r="H161" s="115" t="s">
        <v>968</v>
      </c>
      <c r="I161" s="7"/>
      <c r="J161" s="7"/>
      <c r="K161" s="7">
        <v>0.5</v>
      </c>
      <c r="L161" s="7">
        <v>4</v>
      </c>
      <c r="M161" s="7"/>
      <c r="N161" s="7"/>
    </row>
    <row r="162" spans="1:14" x14ac:dyDescent="0.2">
      <c r="A162" s="2" t="str">
        <f t="shared" si="1"/>
        <v>6_3</v>
      </c>
      <c r="B162" s="2">
        <f t="shared" si="2"/>
        <v>6</v>
      </c>
      <c r="C162" s="2">
        <v>3</v>
      </c>
      <c r="D162" s="82">
        <v>3</v>
      </c>
      <c r="E162" s="115" t="s">
        <v>1311</v>
      </c>
      <c r="F162" s="7">
        <v>15</v>
      </c>
      <c r="G162" s="7" t="s">
        <v>590</v>
      </c>
      <c r="H162" s="7" t="s">
        <v>591</v>
      </c>
      <c r="I162" s="115" t="s">
        <v>968</v>
      </c>
      <c r="J162" s="7"/>
      <c r="K162" s="7">
        <v>0.5</v>
      </c>
      <c r="L162" s="7">
        <v>1.5</v>
      </c>
      <c r="M162" s="7">
        <v>4</v>
      </c>
      <c r="N162" s="7"/>
    </row>
    <row r="163" spans="1:14" x14ac:dyDescent="0.2">
      <c r="A163" s="2" t="str">
        <f t="shared" si="1"/>
        <v>6_4</v>
      </c>
      <c r="B163" s="2">
        <f t="shared" si="2"/>
        <v>6</v>
      </c>
      <c r="C163" s="2">
        <v>4</v>
      </c>
      <c r="D163" s="82">
        <v>3</v>
      </c>
      <c r="E163" s="115" t="s">
        <v>1311</v>
      </c>
      <c r="F163" s="7">
        <v>17.5</v>
      </c>
      <c r="G163" s="7" t="s">
        <v>590</v>
      </c>
      <c r="H163" s="7" t="s">
        <v>591</v>
      </c>
      <c r="I163" s="115" t="s">
        <v>968</v>
      </c>
      <c r="J163" s="7"/>
      <c r="K163" s="7">
        <v>0.3</v>
      </c>
      <c r="L163" s="7">
        <v>1.5</v>
      </c>
      <c r="M163" s="7">
        <v>4</v>
      </c>
      <c r="N163" s="7"/>
    </row>
    <row r="164" spans="1:14" x14ac:dyDescent="0.2">
      <c r="A164" s="2" t="str">
        <f t="shared" si="1"/>
        <v>6_5</v>
      </c>
      <c r="B164" s="2">
        <f t="shared" si="2"/>
        <v>6</v>
      </c>
      <c r="C164" s="2">
        <v>5</v>
      </c>
      <c r="D164" s="82">
        <v>3</v>
      </c>
      <c r="E164" s="115" t="s">
        <v>1311</v>
      </c>
      <c r="F164" s="7">
        <v>20</v>
      </c>
      <c r="G164" s="7" t="s">
        <v>590</v>
      </c>
      <c r="H164" s="7" t="s">
        <v>591</v>
      </c>
      <c r="I164" s="115" t="s">
        <v>968</v>
      </c>
      <c r="J164" s="7"/>
      <c r="K164" s="7">
        <v>0.3</v>
      </c>
      <c r="L164" s="7">
        <v>0.75</v>
      </c>
      <c r="M164" s="7">
        <v>2</v>
      </c>
      <c r="N164" s="7"/>
    </row>
    <row r="165" spans="1:14" x14ac:dyDescent="0.2">
      <c r="A165" s="2" t="str">
        <f t="shared" si="1"/>
        <v>7_1</v>
      </c>
      <c r="B165" s="2">
        <f t="shared" si="2"/>
        <v>7</v>
      </c>
      <c r="C165" s="2">
        <v>1</v>
      </c>
      <c r="D165" s="82">
        <f>D160*1.1</f>
        <v>1.3406250000000002</v>
      </c>
      <c r="E165" s="115" t="s">
        <v>1311</v>
      </c>
      <c r="F165" s="7">
        <v>10</v>
      </c>
      <c r="G165" s="7" t="s">
        <v>594</v>
      </c>
      <c r="H165" s="115" t="s">
        <v>968</v>
      </c>
      <c r="I165" s="7"/>
      <c r="J165" s="7"/>
      <c r="K165" s="7">
        <v>1</v>
      </c>
      <c r="L165" s="7">
        <v>0</v>
      </c>
      <c r="M165" s="7"/>
      <c r="N165" s="7"/>
    </row>
    <row r="166" spans="1:14" x14ac:dyDescent="0.2">
      <c r="A166" s="2" t="str">
        <f t="shared" si="1"/>
        <v>7_2</v>
      </c>
      <c r="B166" s="2">
        <f t="shared" si="2"/>
        <v>7</v>
      </c>
      <c r="C166" s="2">
        <v>2</v>
      </c>
      <c r="D166" s="82">
        <f t="shared" ref="D166:D184" si="3">D161*1.1</f>
        <v>2.6812500000000004</v>
      </c>
      <c r="E166" s="115" t="s">
        <v>1311</v>
      </c>
      <c r="F166" s="7">
        <v>12.5</v>
      </c>
      <c r="G166" s="7" t="s">
        <v>594</v>
      </c>
      <c r="H166" s="7" t="s">
        <v>591</v>
      </c>
      <c r="I166" s="115" t="s">
        <v>968</v>
      </c>
      <c r="J166" s="7"/>
      <c r="K166" s="7">
        <v>1</v>
      </c>
      <c r="L166" s="7">
        <v>0.5</v>
      </c>
      <c r="M166" s="7">
        <v>4</v>
      </c>
      <c r="N166" s="7"/>
    </row>
    <row r="167" spans="1:14" x14ac:dyDescent="0.2">
      <c r="A167" s="2" t="str">
        <f t="shared" si="1"/>
        <v>7_3</v>
      </c>
      <c r="B167" s="2">
        <f t="shared" si="2"/>
        <v>7</v>
      </c>
      <c r="C167" s="2">
        <v>3</v>
      </c>
      <c r="D167" s="82">
        <f t="shared" si="3"/>
        <v>3.3000000000000003</v>
      </c>
      <c r="E167" s="115" t="s">
        <v>1311</v>
      </c>
      <c r="F167" s="7">
        <v>15</v>
      </c>
      <c r="G167" s="7" t="s">
        <v>594</v>
      </c>
      <c r="H167" s="7" t="s">
        <v>592</v>
      </c>
      <c r="I167" s="115" t="s">
        <v>968</v>
      </c>
      <c r="J167" s="7"/>
      <c r="K167" s="7">
        <v>1</v>
      </c>
      <c r="L167" s="7">
        <v>0.2</v>
      </c>
      <c r="M167" s="7">
        <v>4</v>
      </c>
      <c r="N167" s="7"/>
    </row>
    <row r="168" spans="1:14" x14ac:dyDescent="0.2">
      <c r="A168" s="2" t="str">
        <f t="shared" si="1"/>
        <v>7_4</v>
      </c>
      <c r="B168" s="2">
        <f t="shared" si="2"/>
        <v>7</v>
      </c>
      <c r="C168" s="2">
        <v>4</v>
      </c>
      <c r="D168" s="82">
        <f t="shared" si="3"/>
        <v>3.3000000000000003</v>
      </c>
      <c r="E168" s="115" t="s">
        <v>1311</v>
      </c>
      <c r="F168" s="7">
        <v>17.5</v>
      </c>
      <c r="G168" s="7" t="s">
        <v>594</v>
      </c>
      <c r="H168" s="7" t="s">
        <v>592</v>
      </c>
      <c r="I168" s="7" t="s">
        <v>591</v>
      </c>
      <c r="J168" s="115" t="s">
        <v>968</v>
      </c>
      <c r="K168" s="7">
        <v>1</v>
      </c>
      <c r="L168" s="7">
        <v>0.4</v>
      </c>
      <c r="M168" s="7">
        <v>0.5</v>
      </c>
      <c r="N168" s="7">
        <v>4</v>
      </c>
    </row>
    <row r="169" spans="1:14" x14ac:dyDescent="0.2">
      <c r="A169" s="2" t="str">
        <f t="shared" si="1"/>
        <v>7_5</v>
      </c>
      <c r="B169" s="2">
        <f t="shared" si="2"/>
        <v>7</v>
      </c>
      <c r="C169" s="2">
        <v>5</v>
      </c>
      <c r="D169" s="82">
        <f t="shared" si="3"/>
        <v>3.3000000000000003</v>
      </c>
      <c r="E169" s="115" t="s">
        <v>1311</v>
      </c>
      <c r="F169" s="7">
        <v>20</v>
      </c>
      <c r="G169" s="7" t="s">
        <v>594</v>
      </c>
      <c r="H169" s="7" t="s">
        <v>592</v>
      </c>
      <c r="I169" s="7" t="s">
        <v>591</v>
      </c>
      <c r="J169" s="115" t="s">
        <v>968</v>
      </c>
      <c r="K169" s="7">
        <v>0.3</v>
      </c>
      <c r="L169" s="7">
        <v>0.2</v>
      </c>
      <c r="M169" s="7">
        <v>0.5</v>
      </c>
      <c r="N169" s="7">
        <v>2</v>
      </c>
    </row>
    <row r="170" spans="1:14" x14ac:dyDescent="0.2">
      <c r="A170" s="2" t="str">
        <f t="shared" si="1"/>
        <v>8_1</v>
      </c>
      <c r="B170" s="2">
        <f t="shared" si="2"/>
        <v>8</v>
      </c>
      <c r="C170" s="2">
        <v>1</v>
      </c>
      <c r="D170" s="82">
        <f t="shared" si="3"/>
        <v>1.4746875000000004</v>
      </c>
      <c r="E170" s="115" t="s">
        <v>1311</v>
      </c>
      <c r="F170" s="7">
        <v>10</v>
      </c>
      <c r="G170" s="7" t="s">
        <v>597</v>
      </c>
      <c r="H170" s="115" t="s">
        <v>970</v>
      </c>
      <c r="I170" s="7"/>
      <c r="J170" s="7"/>
      <c r="K170" s="7">
        <v>2</v>
      </c>
      <c r="L170" s="7">
        <v>0</v>
      </c>
      <c r="M170" s="7"/>
      <c r="N170" s="7"/>
    </row>
    <row r="171" spans="1:14" x14ac:dyDescent="0.2">
      <c r="A171" s="2" t="str">
        <f t="shared" si="1"/>
        <v>8_2</v>
      </c>
      <c r="B171" s="2">
        <f t="shared" si="2"/>
        <v>8</v>
      </c>
      <c r="C171" s="2">
        <v>2</v>
      </c>
      <c r="D171" s="82">
        <f t="shared" si="3"/>
        <v>2.9493750000000007</v>
      </c>
      <c r="E171" s="115" t="s">
        <v>1311</v>
      </c>
      <c r="F171" s="7">
        <v>12.5</v>
      </c>
      <c r="G171" s="7" t="s">
        <v>597</v>
      </c>
      <c r="H171" s="7" t="s">
        <v>591</v>
      </c>
      <c r="I171" s="115" t="s">
        <v>970</v>
      </c>
      <c r="J171" s="7"/>
      <c r="K171" s="7">
        <v>2</v>
      </c>
      <c r="L171" s="7">
        <v>1</v>
      </c>
      <c r="M171" s="7">
        <v>4</v>
      </c>
      <c r="N171" s="7"/>
    </row>
    <row r="172" spans="1:14" x14ac:dyDescent="0.2">
      <c r="A172" s="2" t="str">
        <f t="shared" si="1"/>
        <v>8_3</v>
      </c>
      <c r="B172" s="2">
        <f t="shared" si="2"/>
        <v>8</v>
      </c>
      <c r="C172" s="2">
        <v>3</v>
      </c>
      <c r="D172" s="82">
        <f t="shared" si="3"/>
        <v>3.6300000000000008</v>
      </c>
      <c r="E172" s="115" t="s">
        <v>1311</v>
      </c>
      <c r="F172" s="7">
        <v>15</v>
      </c>
      <c r="G172" s="7" t="s">
        <v>597</v>
      </c>
      <c r="H172" s="7" t="s">
        <v>592</v>
      </c>
      <c r="I172" s="115" t="s">
        <v>970</v>
      </c>
      <c r="J172" s="7"/>
      <c r="K172" s="7">
        <v>2</v>
      </c>
      <c r="L172" s="7">
        <v>0.3</v>
      </c>
      <c r="M172" s="7">
        <v>4</v>
      </c>
      <c r="N172" s="7"/>
    </row>
    <row r="173" spans="1:14" x14ac:dyDescent="0.2">
      <c r="A173" s="2" t="str">
        <f t="shared" si="1"/>
        <v>8_4</v>
      </c>
      <c r="B173" s="2">
        <f t="shared" si="2"/>
        <v>8</v>
      </c>
      <c r="C173" s="2">
        <v>4</v>
      </c>
      <c r="D173" s="82">
        <f t="shared" si="3"/>
        <v>3.6300000000000008</v>
      </c>
      <c r="E173" s="115" t="s">
        <v>1311</v>
      </c>
      <c r="F173" s="7">
        <v>17.5</v>
      </c>
      <c r="G173" s="7" t="s">
        <v>597</v>
      </c>
      <c r="H173" s="7" t="s">
        <v>592</v>
      </c>
      <c r="I173" s="7" t="s">
        <v>594</v>
      </c>
      <c r="J173" s="115" t="s">
        <v>970</v>
      </c>
      <c r="K173" s="7">
        <v>2</v>
      </c>
      <c r="L173" s="7">
        <v>0.3</v>
      </c>
      <c r="M173" s="7">
        <v>1</v>
      </c>
      <c r="N173" s="7">
        <v>4</v>
      </c>
    </row>
    <row r="174" spans="1:14" x14ac:dyDescent="0.2">
      <c r="A174" s="2" t="str">
        <f t="shared" si="1"/>
        <v>8_5</v>
      </c>
      <c r="B174" s="2">
        <f t="shared" si="2"/>
        <v>8</v>
      </c>
      <c r="C174" s="2">
        <v>5</v>
      </c>
      <c r="D174" s="82">
        <f t="shared" si="3"/>
        <v>3.6300000000000008</v>
      </c>
      <c r="E174" s="115" t="s">
        <v>1311</v>
      </c>
      <c r="F174" s="7">
        <v>20</v>
      </c>
      <c r="G174" s="7" t="s">
        <v>597</v>
      </c>
      <c r="H174" s="7" t="s">
        <v>591</v>
      </c>
      <c r="I174" s="7" t="s">
        <v>594</v>
      </c>
      <c r="J174" s="115" t="s">
        <v>970</v>
      </c>
      <c r="K174" s="7">
        <v>1</v>
      </c>
      <c r="L174" s="7">
        <v>1</v>
      </c>
      <c r="M174" s="7">
        <v>0.3</v>
      </c>
      <c r="N174" s="7">
        <v>2</v>
      </c>
    </row>
    <row r="175" spans="1:14" x14ac:dyDescent="0.2">
      <c r="A175" s="2" t="str">
        <f t="shared" si="1"/>
        <v>9_1</v>
      </c>
      <c r="B175" s="2">
        <f t="shared" si="2"/>
        <v>9</v>
      </c>
      <c r="C175" s="2">
        <v>1</v>
      </c>
      <c r="D175" s="82">
        <f t="shared" si="3"/>
        <v>1.6221562500000006</v>
      </c>
      <c r="E175" s="115" t="s">
        <v>1311</v>
      </c>
      <c r="F175" s="7">
        <v>10</v>
      </c>
      <c r="G175" s="7" t="s">
        <v>600</v>
      </c>
      <c r="H175" s="115" t="s">
        <v>970</v>
      </c>
      <c r="I175" s="7"/>
      <c r="J175" s="7"/>
      <c r="K175" s="7">
        <v>1.5</v>
      </c>
      <c r="L175" s="7">
        <v>0</v>
      </c>
      <c r="M175" s="7"/>
      <c r="N175" s="7"/>
    </row>
    <row r="176" spans="1:14" x14ac:dyDescent="0.2">
      <c r="A176" s="2" t="str">
        <f t="shared" si="1"/>
        <v>9_2</v>
      </c>
      <c r="B176" s="2">
        <f t="shared" si="2"/>
        <v>9</v>
      </c>
      <c r="C176" s="2">
        <v>2</v>
      </c>
      <c r="D176" s="82">
        <f t="shared" si="3"/>
        <v>3.2443125000000013</v>
      </c>
      <c r="E176" s="115" t="s">
        <v>1311</v>
      </c>
      <c r="F176" s="7">
        <v>12.5</v>
      </c>
      <c r="G176" s="7" t="s">
        <v>600</v>
      </c>
      <c r="H176" s="7" t="s">
        <v>591</v>
      </c>
      <c r="I176" s="115" t="s">
        <v>970</v>
      </c>
      <c r="J176" s="7"/>
      <c r="K176" s="7">
        <v>1.5</v>
      </c>
      <c r="L176" s="7">
        <v>0.5</v>
      </c>
      <c r="M176" s="7">
        <v>4</v>
      </c>
      <c r="N176" s="7"/>
    </row>
    <row r="177" spans="1:14" x14ac:dyDescent="0.2">
      <c r="A177" s="2" t="str">
        <f t="shared" si="1"/>
        <v>9_3</v>
      </c>
      <c r="B177" s="2">
        <f t="shared" si="2"/>
        <v>9</v>
      </c>
      <c r="C177" s="2">
        <v>3</v>
      </c>
      <c r="D177" s="82">
        <f t="shared" si="3"/>
        <v>3.9930000000000012</v>
      </c>
      <c r="E177" s="115" t="s">
        <v>1311</v>
      </c>
      <c r="F177" s="7">
        <v>15</v>
      </c>
      <c r="G177" s="7" t="s">
        <v>600</v>
      </c>
      <c r="H177" s="7" t="s">
        <v>592</v>
      </c>
      <c r="I177" s="115" t="s">
        <v>970</v>
      </c>
      <c r="J177" s="7"/>
      <c r="K177" s="7">
        <v>1.5</v>
      </c>
      <c r="L177" s="7">
        <v>0.2</v>
      </c>
      <c r="M177" s="7">
        <v>4</v>
      </c>
      <c r="N177" s="7"/>
    </row>
    <row r="178" spans="1:14" x14ac:dyDescent="0.2">
      <c r="A178" s="2" t="str">
        <f t="shared" si="1"/>
        <v>9_4</v>
      </c>
      <c r="B178" s="2">
        <f t="shared" si="2"/>
        <v>9</v>
      </c>
      <c r="C178" s="2">
        <v>4</v>
      </c>
      <c r="D178" s="82">
        <f t="shared" si="3"/>
        <v>3.9930000000000012</v>
      </c>
      <c r="E178" s="115" t="s">
        <v>1311</v>
      </c>
      <c r="F178" s="7">
        <v>17.5</v>
      </c>
      <c r="G178" s="7" t="s">
        <v>600</v>
      </c>
      <c r="H178" s="7" t="s">
        <v>594</v>
      </c>
      <c r="I178" s="115" t="s">
        <v>970</v>
      </c>
      <c r="J178" s="7"/>
      <c r="K178" s="7">
        <v>1.5</v>
      </c>
      <c r="L178" s="7">
        <v>0.4</v>
      </c>
      <c r="M178" s="7">
        <v>4</v>
      </c>
      <c r="N178" s="7"/>
    </row>
    <row r="179" spans="1:14" x14ac:dyDescent="0.2">
      <c r="A179" s="2" t="str">
        <f t="shared" si="1"/>
        <v>9_5</v>
      </c>
      <c r="B179" s="2">
        <f t="shared" si="2"/>
        <v>9</v>
      </c>
      <c r="C179" s="2">
        <v>5</v>
      </c>
      <c r="D179" s="82">
        <f t="shared" si="3"/>
        <v>3.9930000000000012</v>
      </c>
      <c r="E179" s="115" t="s">
        <v>1311</v>
      </c>
      <c r="F179" s="7">
        <v>20</v>
      </c>
      <c r="G179" s="7" t="s">
        <v>600</v>
      </c>
      <c r="H179" s="7" t="s">
        <v>597</v>
      </c>
      <c r="I179" s="115" t="s">
        <v>970</v>
      </c>
      <c r="J179" s="7"/>
      <c r="K179" s="7">
        <v>0.5</v>
      </c>
      <c r="L179" s="7">
        <v>2</v>
      </c>
      <c r="M179" s="7">
        <v>2</v>
      </c>
      <c r="N179" s="7"/>
    </row>
    <row r="180" spans="1:14" x14ac:dyDescent="0.2">
      <c r="A180" s="2" t="str">
        <f t="shared" si="1"/>
        <v>10_1</v>
      </c>
      <c r="B180" s="2">
        <f t="shared" si="2"/>
        <v>10</v>
      </c>
      <c r="C180" s="2">
        <v>1</v>
      </c>
      <c r="D180" s="82">
        <f t="shared" si="3"/>
        <v>1.7843718750000008</v>
      </c>
      <c r="E180" s="115" t="s">
        <v>1311</v>
      </c>
      <c r="F180" s="7">
        <v>10</v>
      </c>
      <c r="G180" s="7" t="s">
        <v>604</v>
      </c>
      <c r="H180" s="115" t="s">
        <v>972</v>
      </c>
      <c r="I180" s="7"/>
      <c r="J180" s="7"/>
      <c r="K180" s="7">
        <v>1.5</v>
      </c>
      <c r="L180" s="7">
        <v>0</v>
      </c>
      <c r="M180" s="7"/>
      <c r="N180" s="7"/>
    </row>
    <row r="181" spans="1:14" x14ac:dyDescent="0.2">
      <c r="A181" s="2" t="str">
        <f t="shared" si="1"/>
        <v>10_2</v>
      </c>
      <c r="B181" s="2">
        <f t="shared" si="2"/>
        <v>10</v>
      </c>
      <c r="C181" s="2">
        <v>2</v>
      </c>
      <c r="D181" s="82">
        <f t="shared" si="3"/>
        <v>3.5687437500000017</v>
      </c>
      <c r="E181" s="115" t="s">
        <v>1311</v>
      </c>
      <c r="F181" s="7">
        <v>12.5</v>
      </c>
      <c r="G181" s="7" t="s">
        <v>604</v>
      </c>
      <c r="H181" s="7" t="s">
        <v>592</v>
      </c>
      <c r="I181" s="115" t="s">
        <v>972</v>
      </c>
      <c r="J181" s="7"/>
      <c r="K181" s="7">
        <v>1.5</v>
      </c>
      <c r="L181" s="7">
        <v>0.2</v>
      </c>
      <c r="M181" s="7">
        <v>4</v>
      </c>
      <c r="N181" s="7"/>
    </row>
    <row r="182" spans="1:14" x14ac:dyDescent="0.2">
      <c r="A182" s="2" t="str">
        <f t="shared" si="1"/>
        <v>10_3</v>
      </c>
      <c r="B182" s="2">
        <f t="shared" si="2"/>
        <v>10</v>
      </c>
      <c r="C182" s="2">
        <v>3</v>
      </c>
      <c r="D182" s="82">
        <f t="shared" si="3"/>
        <v>4.3923000000000014</v>
      </c>
      <c r="E182" s="115" t="s">
        <v>1311</v>
      </c>
      <c r="F182" s="7">
        <v>15</v>
      </c>
      <c r="G182" s="7" t="s">
        <v>604</v>
      </c>
      <c r="H182" s="7" t="s">
        <v>594</v>
      </c>
      <c r="I182" s="7" t="s">
        <v>600</v>
      </c>
      <c r="J182" s="115" t="s">
        <v>972</v>
      </c>
      <c r="K182" s="7">
        <v>1.5</v>
      </c>
      <c r="L182" s="7">
        <v>0.4</v>
      </c>
      <c r="M182" s="7">
        <v>1.5</v>
      </c>
      <c r="N182" s="7">
        <v>4</v>
      </c>
    </row>
    <row r="183" spans="1:14" x14ac:dyDescent="0.2">
      <c r="A183" s="2" t="str">
        <f t="shared" si="1"/>
        <v>10_4</v>
      </c>
      <c r="B183" s="2">
        <f t="shared" si="2"/>
        <v>10</v>
      </c>
      <c r="C183" s="2">
        <v>4</v>
      </c>
      <c r="D183" s="82">
        <f t="shared" si="3"/>
        <v>4.3923000000000014</v>
      </c>
      <c r="E183" s="115" t="s">
        <v>1311</v>
      </c>
      <c r="F183" s="7">
        <v>17.5</v>
      </c>
      <c r="G183" s="7" t="s">
        <v>604</v>
      </c>
      <c r="H183" s="7" t="s">
        <v>600</v>
      </c>
      <c r="I183" s="115" t="s">
        <v>972</v>
      </c>
      <c r="J183" s="7"/>
      <c r="K183" s="7">
        <v>1.5</v>
      </c>
      <c r="L183" s="7">
        <v>0.5</v>
      </c>
      <c r="M183" s="7">
        <v>4</v>
      </c>
      <c r="N183" s="7"/>
    </row>
    <row r="184" spans="1:14" x14ac:dyDescent="0.2">
      <c r="A184" s="2" t="str">
        <f t="shared" si="1"/>
        <v>10_5</v>
      </c>
      <c r="B184" s="2">
        <f t="shared" si="2"/>
        <v>10</v>
      </c>
      <c r="C184" s="2">
        <v>5</v>
      </c>
      <c r="D184" s="82">
        <f t="shared" si="3"/>
        <v>4.3923000000000014</v>
      </c>
      <c r="E184" s="115" t="s">
        <v>1311</v>
      </c>
      <c r="F184" s="7">
        <v>20</v>
      </c>
      <c r="G184" s="7" t="s">
        <v>604</v>
      </c>
      <c r="H184" s="7" t="s">
        <v>600</v>
      </c>
      <c r="I184" s="7" t="s">
        <v>597</v>
      </c>
      <c r="J184" s="115" t="s">
        <v>972</v>
      </c>
      <c r="K184" s="7">
        <v>1.5</v>
      </c>
      <c r="L184" s="7">
        <v>0.5</v>
      </c>
      <c r="M184" s="7">
        <v>2</v>
      </c>
      <c r="N184" s="7">
        <v>2</v>
      </c>
    </row>
    <row r="190" spans="1:14" s="4" customFormat="1" x14ac:dyDescent="0.2">
      <c r="A190" s="4" t="s">
        <v>13</v>
      </c>
    </row>
    <row r="191" spans="1:14" x14ac:dyDescent="0.2">
      <c r="A191" s="5" t="s">
        <v>389</v>
      </c>
      <c r="E191" s="5"/>
    </row>
    <row r="192" spans="1:14" x14ac:dyDescent="0.2">
      <c r="A192" s="8" t="s">
        <v>380</v>
      </c>
      <c r="B192" s="8" t="s">
        <v>381</v>
      </c>
      <c r="C192" s="8" t="s">
        <v>391</v>
      </c>
      <c r="D192" s="158" t="s">
        <v>392</v>
      </c>
      <c r="E192" s="159"/>
      <c r="F192" s="159"/>
      <c r="G192" s="160"/>
      <c r="L192" s="138" t="s">
        <v>1970</v>
      </c>
      <c r="M192" s="138" t="s">
        <v>1971</v>
      </c>
      <c r="N192" s="138" t="s">
        <v>380</v>
      </c>
    </row>
    <row r="193" spans="1:14" x14ac:dyDescent="0.2">
      <c r="A193" s="2">
        <v>1</v>
      </c>
      <c r="B193" s="82">
        <v>5</v>
      </c>
      <c r="C193" s="82"/>
      <c r="D193" s="82" t="s">
        <v>590</v>
      </c>
      <c r="E193" s="82"/>
      <c r="F193" s="82"/>
      <c r="G193" s="82"/>
      <c r="L193" s="138">
        <v>2.7</v>
      </c>
      <c r="M193" s="138">
        <v>30</v>
      </c>
      <c r="N193" s="138" t="s">
        <v>1979</v>
      </c>
    </row>
    <row r="194" spans="1:14" x14ac:dyDescent="0.2">
      <c r="A194" s="2">
        <v>2</v>
      </c>
      <c r="B194" s="80">
        <f>B193+$L$193</f>
        <v>7.7</v>
      </c>
      <c r="C194" s="7"/>
      <c r="D194" s="82" t="s">
        <v>590</v>
      </c>
      <c r="E194" s="82" t="s">
        <v>591</v>
      </c>
      <c r="F194" s="82"/>
      <c r="G194" s="82"/>
      <c r="L194" s="138">
        <v>2.5</v>
      </c>
      <c r="M194" s="138">
        <v>20</v>
      </c>
      <c r="N194" s="176" t="s">
        <v>1980</v>
      </c>
    </row>
    <row r="195" spans="1:14" x14ac:dyDescent="0.2">
      <c r="A195" s="2">
        <v>3</v>
      </c>
      <c r="B195" s="80">
        <f>B194+$L$193</f>
        <v>10.4</v>
      </c>
      <c r="C195" s="7" t="s">
        <v>393</v>
      </c>
      <c r="D195" s="82" t="s">
        <v>591</v>
      </c>
      <c r="E195" s="82" t="s">
        <v>592</v>
      </c>
      <c r="F195" s="82"/>
      <c r="G195" s="82"/>
      <c r="L195" s="138">
        <v>5</v>
      </c>
      <c r="M195" s="138">
        <v>20</v>
      </c>
      <c r="N195" s="138" t="s">
        <v>1981</v>
      </c>
    </row>
    <row r="196" spans="1:14" x14ac:dyDescent="0.2">
      <c r="A196" s="2">
        <v>4</v>
      </c>
      <c r="B196" s="80">
        <f>B195+$M$193</f>
        <v>40.4</v>
      </c>
      <c r="C196" s="7" t="s">
        <v>383</v>
      </c>
      <c r="D196" s="82" t="s">
        <v>593</v>
      </c>
      <c r="E196" s="82" t="s">
        <v>592</v>
      </c>
      <c r="F196" s="82"/>
      <c r="G196" s="82"/>
      <c r="L196" s="138">
        <v>10</v>
      </c>
      <c r="M196" s="138">
        <v>20</v>
      </c>
      <c r="N196" s="138" t="s">
        <v>1982</v>
      </c>
    </row>
    <row r="197" spans="1:14" x14ac:dyDescent="0.2">
      <c r="A197" s="2">
        <v>5</v>
      </c>
      <c r="B197" s="82">
        <v>15</v>
      </c>
      <c r="C197" s="7"/>
      <c r="D197" s="82" t="s">
        <v>591</v>
      </c>
      <c r="E197" s="82" t="s">
        <v>594</v>
      </c>
      <c r="F197" s="82"/>
      <c r="G197" s="82"/>
      <c r="L197" s="138">
        <v>10</v>
      </c>
      <c r="M197" s="138">
        <v>40</v>
      </c>
      <c r="N197" s="138" t="s">
        <v>1983</v>
      </c>
    </row>
    <row r="198" spans="1:14" x14ac:dyDescent="0.2">
      <c r="A198" s="2">
        <v>6</v>
      </c>
      <c r="B198" s="80">
        <f>B197+$L$194</f>
        <v>17.5</v>
      </c>
      <c r="C198" s="7"/>
      <c r="D198" s="82" t="s">
        <v>591</v>
      </c>
      <c r="E198" s="82" t="s">
        <v>594</v>
      </c>
      <c r="F198" s="82"/>
      <c r="G198" s="82"/>
      <c r="L198" s="138"/>
      <c r="M198" s="138"/>
      <c r="N198" s="138"/>
    </row>
    <row r="199" spans="1:14" x14ac:dyDescent="0.2">
      <c r="A199" s="2">
        <v>7</v>
      </c>
      <c r="B199" s="80">
        <f>B198+$L$194</f>
        <v>20</v>
      </c>
      <c r="C199" s="7"/>
      <c r="D199" s="82" t="s">
        <v>590</v>
      </c>
      <c r="E199" s="82" t="s">
        <v>594</v>
      </c>
      <c r="F199" s="82"/>
      <c r="G199" s="82"/>
      <c r="L199" s="138"/>
      <c r="M199" s="138"/>
      <c r="N199" s="138"/>
    </row>
    <row r="200" spans="1:14" x14ac:dyDescent="0.2">
      <c r="A200" s="2">
        <v>8</v>
      </c>
      <c r="B200" s="80">
        <f>B199+$M$194</f>
        <v>40</v>
      </c>
      <c r="C200" s="7" t="s">
        <v>383</v>
      </c>
      <c r="D200" s="82" t="s">
        <v>595</v>
      </c>
      <c r="E200" s="82" t="s">
        <v>596</v>
      </c>
      <c r="F200" s="82"/>
      <c r="G200" s="82"/>
      <c r="L200" s="138"/>
      <c r="M200" s="138"/>
      <c r="N200" s="138"/>
    </row>
    <row r="201" spans="1:14" x14ac:dyDescent="0.2">
      <c r="A201" s="2">
        <v>9</v>
      </c>
      <c r="B201" s="82">
        <v>30</v>
      </c>
      <c r="C201" s="7" t="s">
        <v>385</v>
      </c>
      <c r="D201" s="82" t="s">
        <v>591</v>
      </c>
      <c r="E201" s="82" t="s">
        <v>597</v>
      </c>
      <c r="F201" s="82"/>
      <c r="G201" s="82"/>
      <c r="L201" s="138"/>
      <c r="M201" s="138"/>
      <c r="N201" s="138"/>
    </row>
    <row r="202" spans="1:14" x14ac:dyDescent="0.2">
      <c r="A202" s="2">
        <v>10</v>
      </c>
      <c r="B202" s="80">
        <f>B201+$L$195</f>
        <v>35</v>
      </c>
      <c r="C202" s="7"/>
      <c r="D202" s="82" t="s">
        <v>591</v>
      </c>
      <c r="E202" s="82" t="s">
        <v>597</v>
      </c>
      <c r="F202" s="82"/>
      <c r="G202" s="82"/>
      <c r="L202" s="138"/>
      <c r="M202" s="138"/>
      <c r="N202" s="138"/>
    </row>
    <row r="203" spans="1:14" x14ac:dyDescent="0.2">
      <c r="A203" s="2">
        <v>11</v>
      </c>
      <c r="B203" s="80">
        <f>B202+$L$195</f>
        <v>40</v>
      </c>
      <c r="C203" s="7"/>
      <c r="D203" s="82" t="s">
        <v>597</v>
      </c>
      <c r="E203" s="82" t="s">
        <v>598</v>
      </c>
      <c r="F203" s="82"/>
      <c r="G203" s="82"/>
      <c r="L203" s="138"/>
      <c r="M203" s="138"/>
      <c r="N203" s="138"/>
    </row>
    <row r="204" spans="1:14" x14ac:dyDescent="0.2">
      <c r="A204" s="2">
        <v>12</v>
      </c>
      <c r="B204" s="80">
        <f>B203+$M$195</f>
        <v>60</v>
      </c>
      <c r="C204" s="7" t="s">
        <v>383</v>
      </c>
      <c r="D204" s="82" t="s">
        <v>591</v>
      </c>
      <c r="E204" s="82" t="s">
        <v>597</v>
      </c>
      <c r="F204" s="82" t="s">
        <v>599</v>
      </c>
      <c r="G204" s="82"/>
      <c r="L204" s="138"/>
      <c r="M204" s="138"/>
      <c r="N204" s="138"/>
    </row>
    <row r="205" spans="1:14" x14ac:dyDescent="0.2">
      <c r="A205" s="2">
        <v>13</v>
      </c>
      <c r="B205" s="82">
        <v>50</v>
      </c>
      <c r="C205" s="7" t="s">
        <v>394</v>
      </c>
      <c r="D205" s="82" t="s">
        <v>600</v>
      </c>
      <c r="E205" s="82"/>
      <c r="F205" s="82"/>
      <c r="G205" s="82"/>
      <c r="L205" s="138"/>
      <c r="M205" s="138"/>
      <c r="N205" s="138"/>
    </row>
    <row r="206" spans="1:14" x14ac:dyDescent="0.2">
      <c r="A206" s="2">
        <v>14</v>
      </c>
      <c r="B206" s="80">
        <f>B205+$L$196</f>
        <v>60</v>
      </c>
      <c r="C206" s="7"/>
      <c r="D206" s="82" t="s">
        <v>600</v>
      </c>
      <c r="E206" s="82" t="s">
        <v>598</v>
      </c>
      <c r="F206" s="82"/>
      <c r="G206" s="82"/>
      <c r="L206" s="138"/>
      <c r="M206" s="138"/>
      <c r="N206" s="138"/>
    </row>
    <row r="207" spans="1:14" x14ac:dyDescent="0.2">
      <c r="A207" s="2">
        <v>15</v>
      </c>
      <c r="B207" s="80">
        <f>B206+$L$196</f>
        <v>70</v>
      </c>
      <c r="C207" s="7"/>
      <c r="D207" s="82" t="s">
        <v>600</v>
      </c>
      <c r="E207" s="82" t="s">
        <v>601</v>
      </c>
      <c r="F207" s="82"/>
      <c r="G207" s="82"/>
      <c r="L207" s="138"/>
      <c r="M207" s="138"/>
      <c r="N207" s="138"/>
    </row>
    <row r="208" spans="1:14" x14ac:dyDescent="0.2">
      <c r="A208" s="2">
        <v>16</v>
      </c>
      <c r="B208" s="80">
        <f>B207+$M$196</f>
        <v>90</v>
      </c>
      <c r="C208" s="7" t="s">
        <v>383</v>
      </c>
      <c r="D208" s="82" t="s">
        <v>591</v>
      </c>
      <c r="E208" s="82" t="s">
        <v>602</v>
      </c>
      <c r="F208" s="82"/>
      <c r="G208" s="82"/>
      <c r="L208" s="138"/>
      <c r="M208" s="138"/>
      <c r="N208" s="138"/>
    </row>
    <row r="209" spans="1:14" x14ac:dyDescent="0.2">
      <c r="A209" s="2">
        <v>17</v>
      </c>
      <c r="B209" s="82">
        <v>70</v>
      </c>
      <c r="C209" s="7" t="s">
        <v>386</v>
      </c>
      <c r="D209" s="82" t="s">
        <v>603</v>
      </c>
      <c r="E209" s="82" t="s">
        <v>604</v>
      </c>
      <c r="F209" s="82"/>
      <c r="G209" s="82"/>
      <c r="L209" s="138"/>
      <c r="M209" s="138"/>
      <c r="N209" s="138"/>
    </row>
    <row r="210" spans="1:14" x14ac:dyDescent="0.2">
      <c r="A210" s="2">
        <v>18</v>
      </c>
      <c r="B210" s="80">
        <f>B209+$L$197</f>
        <v>80</v>
      </c>
      <c r="C210" s="7"/>
      <c r="D210" s="82" t="s">
        <v>604</v>
      </c>
      <c r="E210" s="82" t="s">
        <v>598</v>
      </c>
      <c r="F210" s="82"/>
      <c r="G210" s="82"/>
      <c r="H210" s="6" t="s">
        <v>1312</v>
      </c>
      <c r="L210" s="138"/>
      <c r="M210" s="138"/>
      <c r="N210" s="138"/>
    </row>
    <row r="211" spans="1:14" x14ac:dyDescent="0.2">
      <c r="A211" s="2">
        <v>19</v>
      </c>
      <c r="B211" s="80">
        <f>B210+$L$197</f>
        <v>90</v>
      </c>
      <c r="C211" s="7"/>
      <c r="D211" s="82" t="s">
        <v>604</v>
      </c>
      <c r="E211" s="82" t="s">
        <v>598</v>
      </c>
      <c r="F211" s="82" t="s">
        <v>601</v>
      </c>
      <c r="G211" s="82"/>
      <c r="H211" s="6" t="s">
        <v>1312</v>
      </c>
    </row>
    <row r="212" spans="1:14" x14ac:dyDescent="0.2">
      <c r="A212" s="2">
        <v>20</v>
      </c>
      <c r="B212" s="80">
        <f>B211+$M$197</f>
        <v>130</v>
      </c>
      <c r="C212" s="7" t="s">
        <v>383</v>
      </c>
      <c r="D212" s="82" t="s">
        <v>604</v>
      </c>
      <c r="E212" s="82" t="s">
        <v>606</v>
      </c>
      <c r="F212" s="82" t="s">
        <v>601</v>
      </c>
      <c r="G212" s="82" t="s">
        <v>605</v>
      </c>
      <c r="H212" s="6" t="s">
        <v>1312</v>
      </c>
    </row>
    <row r="213" spans="1:14" x14ac:dyDescent="0.2">
      <c r="A213" s="2" t="s">
        <v>1312</v>
      </c>
      <c r="B213" s="121">
        <v>1.5</v>
      </c>
      <c r="C213" s="7"/>
      <c r="D213" s="82"/>
      <c r="E213" s="82"/>
      <c r="F213" s="82"/>
      <c r="G213" s="82"/>
    </row>
    <row r="216" spans="1:14" s="4" customFormat="1" x14ac:dyDescent="0.2">
      <c r="A216" s="4" t="s">
        <v>1806</v>
      </c>
    </row>
    <row r="217" spans="1:14" x14ac:dyDescent="0.2">
      <c r="A217" s="5" t="s">
        <v>389</v>
      </c>
      <c r="E217" s="5"/>
      <c r="L217" s="6" t="s">
        <v>1970</v>
      </c>
      <c r="M217" s="6" t="s">
        <v>1971</v>
      </c>
      <c r="N217" s="6" t="s">
        <v>380</v>
      </c>
    </row>
    <row r="218" spans="1:14" x14ac:dyDescent="0.2">
      <c r="A218" s="8" t="s">
        <v>380</v>
      </c>
      <c r="B218" s="8" t="s">
        <v>381</v>
      </c>
      <c r="C218" s="8" t="s">
        <v>391</v>
      </c>
      <c r="D218" s="158" t="s">
        <v>26</v>
      </c>
      <c r="E218" s="159"/>
      <c r="F218" s="159"/>
      <c r="G218" s="160"/>
      <c r="H218" s="158" t="s">
        <v>404</v>
      </c>
      <c r="I218" s="159"/>
      <c r="J218" s="159"/>
      <c r="K218" s="160"/>
      <c r="L218" s="6">
        <v>2.7</v>
      </c>
      <c r="M218" s="6">
        <v>30</v>
      </c>
      <c r="N218" s="6" t="s">
        <v>1972</v>
      </c>
    </row>
    <row r="219" spans="1:14" x14ac:dyDescent="0.2">
      <c r="A219" s="2">
        <v>1</v>
      </c>
      <c r="B219" s="82">
        <v>5</v>
      </c>
      <c r="C219" s="82"/>
      <c r="D219" s="82" t="s">
        <v>590</v>
      </c>
      <c r="E219" s="82"/>
      <c r="F219" s="82"/>
      <c r="G219" s="82"/>
      <c r="H219" s="7">
        <v>0.75</v>
      </c>
      <c r="I219" s="7"/>
      <c r="J219" s="7"/>
      <c r="K219" s="7"/>
      <c r="L219" s="6">
        <v>2.5</v>
      </c>
      <c r="M219" s="6">
        <v>20</v>
      </c>
      <c r="N219" s="150" t="s">
        <v>1973</v>
      </c>
    </row>
    <row r="220" spans="1:14" x14ac:dyDescent="0.2">
      <c r="A220" s="2">
        <v>2</v>
      </c>
      <c r="B220" s="80">
        <f>IF(C220="BOSS",B219+$M$218,B219+$L$218)</f>
        <v>7.7</v>
      </c>
      <c r="C220" s="7"/>
      <c r="D220" s="82" t="s">
        <v>590</v>
      </c>
      <c r="E220" s="82" t="s">
        <v>591</v>
      </c>
      <c r="F220" s="82"/>
      <c r="G220" s="82"/>
      <c r="H220" s="7">
        <v>0.75</v>
      </c>
      <c r="I220" s="7">
        <v>1.5</v>
      </c>
      <c r="J220" s="7"/>
      <c r="K220" s="7"/>
      <c r="L220" s="6">
        <v>5</v>
      </c>
      <c r="M220" s="6">
        <v>20</v>
      </c>
      <c r="N220" s="6" t="s">
        <v>1974</v>
      </c>
    </row>
    <row r="221" spans="1:14" x14ac:dyDescent="0.2">
      <c r="A221" s="2">
        <v>3</v>
      </c>
      <c r="B221" s="80">
        <f t="shared" ref="B221:B223" si="4">IF(C221="BOSS",B220+$M$218,B220+$L$218)</f>
        <v>10.4</v>
      </c>
      <c r="C221" s="7" t="s">
        <v>393</v>
      </c>
      <c r="D221" s="82" t="s">
        <v>591</v>
      </c>
      <c r="E221" s="82" t="s">
        <v>592</v>
      </c>
      <c r="F221" s="82"/>
      <c r="G221" s="82"/>
      <c r="H221" s="7">
        <v>1.5</v>
      </c>
      <c r="I221" s="7">
        <v>0.2</v>
      </c>
      <c r="J221" s="7"/>
      <c r="K221" s="7"/>
      <c r="L221" s="6">
        <v>10</v>
      </c>
      <c r="M221" s="6">
        <v>40</v>
      </c>
      <c r="N221" s="6" t="s">
        <v>1975</v>
      </c>
    </row>
    <row r="222" spans="1:14" x14ac:dyDescent="0.2">
      <c r="A222" s="2">
        <v>4</v>
      </c>
      <c r="B222" s="80">
        <f t="shared" si="4"/>
        <v>13.100000000000001</v>
      </c>
      <c r="C222" s="7"/>
      <c r="D222" s="82" t="s">
        <v>590</v>
      </c>
      <c r="E222" s="82" t="s">
        <v>594</v>
      </c>
      <c r="F222" s="82"/>
      <c r="G222" s="82"/>
      <c r="H222" s="7">
        <v>0.75</v>
      </c>
      <c r="I222" s="7">
        <v>1</v>
      </c>
      <c r="J222" s="7"/>
      <c r="K222" s="7"/>
    </row>
    <row r="223" spans="1:14" s="3" customFormat="1" x14ac:dyDescent="0.2">
      <c r="A223" s="148">
        <v>5</v>
      </c>
      <c r="B223" s="80">
        <f t="shared" si="4"/>
        <v>43.1</v>
      </c>
      <c r="C223" s="140" t="s">
        <v>383</v>
      </c>
      <c r="D223" s="149" t="s">
        <v>593</v>
      </c>
      <c r="E223" s="149" t="s">
        <v>592</v>
      </c>
      <c r="F223" s="149"/>
      <c r="G223" s="149"/>
      <c r="H223" s="140">
        <v>0</v>
      </c>
      <c r="I223" s="140">
        <v>0.4</v>
      </c>
      <c r="J223" s="140"/>
      <c r="K223" s="140"/>
    </row>
    <row r="224" spans="1:14" x14ac:dyDescent="0.2">
      <c r="A224" s="2">
        <v>6</v>
      </c>
      <c r="B224" s="82">
        <v>15</v>
      </c>
      <c r="C224" s="7"/>
      <c r="D224" s="82" t="s">
        <v>591</v>
      </c>
      <c r="E224" s="82" t="s">
        <v>594</v>
      </c>
      <c r="F224" s="82"/>
      <c r="G224" s="82"/>
      <c r="H224" s="7">
        <v>0.75</v>
      </c>
      <c r="I224" s="7">
        <v>0.75</v>
      </c>
      <c r="J224" s="7"/>
      <c r="K224" s="7"/>
      <c r="N224" s="6" t="s">
        <v>380</v>
      </c>
    </row>
    <row r="225" spans="1:16" x14ac:dyDescent="0.2">
      <c r="A225" s="2">
        <v>7</v>
      </c>
      <c r="B225" s="80">
        <f t="shared" ref="B225:B228" si="5">IF(C225="BOSS",B224+$M$219,B224+$L$219)</f>
        <v>17.5</v>
      </c>
      <c r="C225" s="7"/>
      <c r="D225" s="82" t="s">
        <v>591</v>
      </c>
      <c r="E225" s="82" t="s">
        <v>594</v>
      </c>
      <c r="F225" s="82"/>
      <c r="G225" s="82"/>
      <c r="H225" s="7">
        <v>0.5</v>
      </c>
      <c r="I225" s="7">
        <v>0.75</v>
      </c>
      <c r="J225" s="7"/>
      <c r="K225" s="7"/>
      <c r="N225" s="6">
        <v>20</v>
      </c>
      <c r="O225" s="6">
        <f>B238</f>
        <v>130</v>
      </c>
      <c r="P225" s="6">
        <v>1.3</v>
      </c>
    </row>
    <row r="226" spans="1:16" x14ac:dyDescent="0.2">
      <c r="A226" s="2">
        <v>8</v>
      </c>
      <c r="B226" s="80">
        <f t="shared" si="5"/>
        <v>20</v>
      </c>
      <c r="C226" s="7"/>
      <c r="D226" s="82" t="s">
        <v>591</v>
      </c>
      <c r="E226" s="82" t="s">
        <v>597</v>
      </c>
      <c r="F226" s="82"/>
      <c r="G226" s="82"/>
      <c r="H226" s="7">
        <v>1</v>
      </c>
      <c r="I226" s="7">
        <v>3</v>
      </c>
      <c r="J226" s="7"/>
      <c r="K226" s="7"/>
      <c r="N226" s="6">
        <v>21</v>
      </c>
      <c r="O226" s="6">
        <f>O225*$P$225</f>
        <v>169</v>
      </c>
    </row>
    <row r="227" spans="1:16" x14ac:dyDescent="0.2">
      <c r="A227" s="2">
        <v>9</v>
      </c>
      <c r="B227" s="80">
        <f t="shared" si="5"/>
        <v>22.5</v>
      </c>
      <c r="C227" s="7" t="s">
        <v>385</v>
      </c>
      <c r="D227" s="82" t="s">
        <v>591</v>
      </c>
      <c r="E227" s="82" t="s">
        <v>597</v>
      </c>
      <c r="F227" s="82"/>
      <c r="G227" s="82"/>
      <c r="H227" s="7">
        <v>0.2</v>
      </c>
      <c r="I227" s="7">
        <v>3</v>
      </c>
      <c r="J227" s="7"/>
      <c r="K227" s="7"/>
      <c r="N227" s="6">
        <v>22</v>
      </c>
      <c r="O227" s="6">
        <f t="shared" ref="O227:O239" si="6">O226*$P$225</f>
        <v>219.70000000000002</v>
      </c>
    </row>
    <row r="228" spans="1:16" s="3" customFormat="1" x14ac:dyDescent="0.2">
      <c r="A228" s="148">
        <v>10</v>
      </c>
      <c r="B228" s="80">
        <f t="shared" si="5"/>
        <v>42.5</v>
      </c>
      <c r="C228" s="140" t="s">
        <v>383</v>
      </c>
      <c r="D228" s="82" t="s">
        <v>597</v>
      </c>
      <c r="E228" s="149" t="s">
        <v>596</v>
      </c>
      <c r="F228" s="149"/>
      <c r="G228" s="149"/>
      <c r="H228" s="140">
        <v>3</v>
      </c>
      <c r="I228" s="140">
        <v>0</v>
      </c>
      <c r="J228" s="140"/>
      <c r="K228" s="140"/>
      <c r="N228" s="6">
        <v>23</v>
      </c>
      <c r="O228" s="6">
        <f t="shared" si="6"/>
        <v>285.61</v>
      </c>
    </row>
    <row r="229" spans="1:16" x14ac:dyDescent="0.2">
      <c r="A229" s="2">
        <v>11</v>
      </c>
      <c r="B229" s="82">
        <v>40</v>
      </c>
      <c r="C229" s="7"/>
      <c r="D229" s="82" t="s">
        <v>597</v>
      </c>
      <c r="E229" s="82" t="s">
        <v>598</v>
      </c>
      <c r="F229" s="82"/>
      <c r="G229" s="82"/>
      <c r="H229" s="7">
        <v>2</v>
      </c>
      <c r="I229" s="7">
        <v>0</v>
      </c>
      <c r="J229" s="7"/>
      <c r="K229" s="7"/>
      <c r="N229" s="6">
        <v>24</v>
      </c>
      <c r="O229" s="6">
        <f t="shared" si="6"/>
        <v>371.29300000000001</v>
      </c>
    </row>
    <row r="230" spans="1:16" x14ac:dyDescent="0.2">
      <c r="A230" s="2">
        <v>12</v>
      </c>
      <c r="B230" s="80">
        <f t="shared" ref="B230:B233" si="7">IF(C230="BOSS",B229+$M$220,B229+$L$220)</f>
        <v>45</v>
      </c>
      <c r="C230" s="7" t="s">
        <v>394</v>
      </c>
      <c r="D230" s="82" t="s">
        <v>600</v>
      </c>
      <c r="E230" s="82"/>
      <c r="F230" s="82"/>
      <c r="G230" s="82"/>
      <c r="H230" s="7">
        <v>1.5</v>
      </c>
      <c r="I230" s="7"/>
      <c r="J230" s="7"/>
      <c r="K230" s="7"/>
      <c r="N230" s="6">
        <v>25</v>
      </c>
      <c r="O230" s="6">
        <f t="shared" si="6"/>
        <v>482.68090000000001</v>
      </c>
    </row>
    <row r="231" spans="1:16" x14ac:dyDescent="0.2">
      <c r="A231" s="2">
        <v>13</v>
      </c>
      <c r="B231" s="80">
        <f t="shared" si="7"/>
        <v>50</v>
      </c>
      <c r="C231" s="7"/>
      <c r="D231" s="82" t="s">
        <v>600</v>
      </c>
      <c r="E231" s="82" t="s">
        <v>598</v>
      </c>
      <c r="F231" s="82"/>
      <c r="G231" s="82"/>
      <c r="H231" s="7">
        <v>1.5</v>
      </c>
      <c r="I231" s="7">
        <v>1.5</v>
      </c>
      <c r="J231" s="7"/>
      <c r="K231" s="7"/>
      <c r="N231" s="6">
        <v>26</v>
      </c>
      <c r="O231" s="6">
        <f t="shared" si="6"/>
        <v>627.48517000000004</v>
      </c>
    </row>
    <row r="232" spans="1:16" x14ac:dyDescent="0.2">
      <c r="A232" s="2">
        <v>14</v>
      </c>
      <c r="B232" s="80">
        <f t="shared" si="7"/>
        <v>55</v>
      </c>
      <c r="C232" s="7"/>
      <c r="D232" s="82" t="s">
        <v>600</v>
      </c>
      <c r="E232" s="82" t="s">
        <v>601</v>
      </c>
      <c r="F232" s="82"/>
      <c r="G232" s="82"/>
      <c r="H232" s="7">
        <v>0.75</v>
      </c>
      <c r="I232" s="7">
        <v>3</v>
      </c>
      <c r="J232" s="7"/>
      <c r="K232" s="7"/>
      <c r="N232" s="6">
        <v>27</v>
      </c>
      <c r="O232" s="6">
        <f t="shared" si="6"/>
        <v>815.73072100000013</v>
      </c>
    </row>
    <row r="233" spans="1:16" s="3" customFormat="1" x14ac:dyDescent="0.2">
      <c r="A233" s="148">
        <v>15</v>
      </c>
      <c r="B233" s="80">
        <f t="shared" si="7"/>
        <v>75</v>
      </c>
      <c r="C233" s="140" t="s">
        <v>383</v>
      </c>
      <c r="D233" s="149" t="s">
        <v>591</v>
      </c>
      <c r="E233" s="149" t="s">
        <v>597</v>
      </c>
      <c r="F233" s="149" t="s">
        <v>599</v>
      </c>
      <c r="G233" s="149"/>
      <c r="H233" s="140">
        <v>0.2</v>
      </c>
      <c r="I233" s="140">
        <v>3</v>
      </c>
      <c r="J233" s="140">
        <v>0</v>
      </c>
      <c r="K233" s="140"/>
      <c r="N233" s="6">
        <v>28</v>
      </c>
      <c r="O233" s="6">
        <f t="shared" si="6"/>
        <v>1060.4499373000001</v>
      </c>
    </row>
    <row r="234" spans="1:16" x14ac:dyDescent="0.2">
      <c r="A234" s="2">
        <v>16</v>
      </c>
      <c r="B234" s="82">
        <v>60</v>
      </c>
      <c r="C234" s="7" t="s">
        <v>386</v>
      </c>
      <c r="D234" s="82" t="s">
        <v>603</v>
      </c>
      <c r="E234" s="82" t="s">
        <v>604</v>
      </c>
      <c r="F234" s="82"/>
      <c r="G234" s="82"/>
      <c r="H234" s="7">
        <v>0.75</v>
      </c>
      <c r="I234" s="7">
        <v>3</v>
      </c>
      <c r="J234" s="7"/>
      <c r="K234" s="7"/>
      <c r="N234" s="6">
        <v>29</v>
      </c>
      <c r="O234" s="6">
        <f t="shared" si="6"/>
        <v>1378.5849184900003</v>
      </c>
    </row>
    <row r="235" spans="1:16" x14ac:dyDescent="0.2">
      <c r="A235" s="2">
        <v>17</v>
      </c>
      <c r="B235" s="80">
        <f t="shared" ref="B235:B238" si="8">IF(C235="BOSS",B234+$M$221,B234+$L$221)</f>
        <v>70</v>
      </c>
      <c r="C235" s="7"/>
      <c r="D235" s="82" t="s">
        <v>604</v>
      </c>
      <c r="E235" s="82" t="s">
        <v>598</v>
      </c>
      <c r="F235" s="82"/>
      <c r="G235" s="82"/>
      <c r="H235" s="7">
        <v>1.5</v>
      </c>
      <c r="I235" s="7">
        <v>0.75</v>
      </c>
      <c r="J235" s="7"/>
      <c r="K235" s="7"/>
      <c r="N235" s="6">
        <v>30</v>
      </c>
      <c r="O235" s="6">
        <f t="shared" si="6"/>
        <v>1792.1603940370005</v>
      </c>
    </row>
    <row r="236" spans="1:16" x14ac:dyDescent="0.2">
      <c r="A236" s="2">
        <v>18</v>
      </c>
      <c r="B236" s="80">
        <f t="shared" si="8"/>
        <v>80</v>
      </c>
      <c r="C236" s="7"/>
      <c r="D236" s="82" t="s">
        <v>604</v>
      </c>
      <c r="E236" s="82" t="s">
        <v>598</v>
      </c>
      <c r="F236" s="82" t="s">
        <v>601</v>
      </c>
      <c r="G236" s="82"/>
      <c r="H236" s="7">
        <v>1.5</v>
      </c>
      <c r="I236" s="7">
        <v>0.75</v>
      </c>
      <c r="J236" s="7">
        <v>2</v>
      </c>
      <c r="K236" s="7"/>
      <c r="N236" s="6">
        <v>31</v>
      </c>
      <c r="O236" s="6">
        <f t="shared" si="6"/>
        <v>2329.8085122481007</v>
      </c>
    </row>
    <row r="237" spans="1:16" x14ac:dyDescent="0.2">
      <c r="A237" s="2">
        <v>19</v>
      </c>
      <c r="B237" s="80">
        <f t="shared" si="8"/>
        <v>90</v>
      </c>
      <c r="C237" s="7"/>
      <c r="D237" s="82" t="s">
        <v>604</v>
      </c>
      <c r="E237" s="82" t="s">
        <v>606</v>
      </c>
      <c r="F237" s="82" t="s">
        <v>601</v>
      </c>
      <c r="G237" s="82"/>
      <c r="H237" s="7">
        <v>1.5</v>
      </c>
      <c r="I237" s="7">
        <v>0.75</v>
      </c>
      <c r="J237" s="7">
        <v>1</v>
      </c>
      <c r="K237" s="7"/>
      <c r="N237" s="6">
        <v>32</v>
      </c>
      <c r="O237" s="6">
        <f t="shared" si="6"/>
        <v>3028.7510659225309</v>
      </c>
    </row>
    <row r="238" spans="1:16" s="3" customFormat="1" x14ac:dyDescent="0.2">
      <c r="A238" s="148">
        <v>20</v>
      </c>
      <c r="B238" s="80">
        <f t="shared" si="8"/>
        <v>130</v>
      </c>
      <c r="C238" s="140" t="s">
        <v>383</v>
      </c>
      <c r="D238" s="149" t="s">
        <v>591</v>
      </c>
      <c r="E238" s="149" t="s">
        <v>602</v>
      </c>
      <c r="F238" s="149" t="s">
        <v>601</v>
      </c>
      <c r="G238" s="149"/>
      <c r="H238" s="140">
        <v>0.2</v>
      </c>
      <c r="I238" s="140">
        <v>0</v>
      </c>
      <c r="J238" s="140">
        <v>1</v>
      </c>
      <c r="K238" s="140"/>
      <c r="N238" s="6">
        <v>33</v>
      </c>
      <c r="O238" s="6">
        <f t="shared" si="6"/>
        <v>3937.37638569929</v>
      </c>
    </row>
    <row r="239" spans="1:16" x14ac:dyDescent="0.2">
      <c r="A239" s="2" t="s">
        <v>1312</v>
      </c>
      <c r="B239" s="121">
        <f>B234/B235</f>
        <v>0.8571428571428571</v>
      </c>
      <c r="C239" s="7"/>
      <c r="D239" s="82"/>
      <c r="E239" s="82"/>
      <c r="F239" s="82"/>
      <c r="G239" s="82"/>
      <c r="H239" s="82"/>
      <c r="I239" s="82"/>
      <c r="J239" s="82"/>
      <c r="K239" s="82"/>
      <c r="N239" s="6">
        <v>34</v>
      </c>
      <c r="O239" s="6">
        <f t="shared" si="6"/>
        <v>5118.5893014090771</v>
      </c>
    </row>
    <row r="244" spans="1:5" ht="18" x14ac:dyDescent="0.25">
      <c r="A244" s="28" t="s">
        <v>11</v>
      </c>
    </row>
    <row r="246" spans="1:5" ht="18" x14ac:dyDescent="0.25">
      <c r="A246" s="28" t="s">
        <v>937</v>
      </c>
    </row>
    <row r="247" spans="1:5" s="4" customFormat="1" x14ac:dyDescent="0.2">
      <c r="A247" s="4" t="s">
        <v>936</v>
      </c>
    </row>
    <row r="248" spans="1:5" x14ac:dyDescent="0.2">
      <c r="A248" s="8" t="s">
        <v>936</v>
      </c>
      <c r="B248" s="8" t="s">
        <v>941</v>
      </c>
      <c r="C248" s="8" t="s">
        <v>942</v>
      </c>
      <c r="D248" s="8" t="s">
        <v>940</v>
      </c>
      <c r="E248" s="8" t="s">
        <v>939</v>
      </c>
    </row>
    <row r="249" spans="1:5" x14ac:dyDescent="0.2">
      <c r="A249" s="115">
        <v>1</v>
      </c>
      <c r="B249" s="115">
        <v>14</v>
      </c>
      <c r="C249" s="116">
        <f>0+B249</f>
        <v>14</v>
      </c>
      <c r="D249" s="115" t="s">
        <v>944</v>
      </c>
      <c r="E249" s="115" t="s">
        <v>945</v>
      </c>
    </row>
    <row r="250" spans="1:5" x14ac:dyDescent="0.2">
      <c r="A250" s="7">
        <v>2</v>
      </c>
      <c r="B250" s="7">
        <v>14</v>
      </c>
      <c r="C250" s="80">
        <f>C249+B250</f>
        <v>28</v>
      </c>
      <c r="D250" s="7" t="s">
        <v>947</v>
      </c>
      <c r="E250" s="7" t="s">
        <v>946</v>
      </c>
    </row>
    <row r="251" spans="1:5" x14ac:dyDescent="0.2">
      <c r="A251" s="7">
        <v>3</v>
      </c>
      <c r="B251" s="7">
        <v>14</v>
      </c>
      <c r="C251" s="80">
        <f t="shared" ref="C251:C252" si="9">C250+B251</f>
        <v>42</v>
      </c>
      <c r="D251" s="7" t="s">
        <v>951</v>
      </c>
      <c r="E251" s="7" t="s">
        <v>948</v>
      </c>
    </row>
    <row r="252" spans="1:5" x14ac:dyDescent="0.2">
      <c r="A252" s="7">
        <v>4</v>
      </c>
      <c r="B252" s="7">
        <v>14</v>
      </c>
      <c r="C252" s="80">
        <f t="shared" si="9"/>
        <v>56</v>
      </c>
      <c r="D252" s="7" t="s">
        <v>949</v>
      </c>
      <c r="E252" s="7" t="s">
        <v>950</v>
      </c>
    </row>
    <row r="254" spans="1:5" x14ac:dyDescent="0.2">
      <c r="A254" s="90" t="s">
        <v>966</v>
      </c>
    </row>
    <row r="255" spans="1:5" x14ac:dyDescent="0.2">
      <c r="A255" s="8" t="s">
        <v>938</v>
      </c>
      <c r="B255" s="8" t="s">
        <v>964</v>
      </c>
      <c r="C255" s="8" t="s">
        <v>965</v>
      </c>
      <c r="D255" s="8" t="s">
        <v>952</v>
      </c>
    </row>
    <row r="256" spans="1:5" x14ac:dyDescent="0.2">
      <c r="A256" s="7" t="s">
        <v>954</v>
      </c>
      <c r="B256" s="53">
        <v>0.05</v>
      </c>
      <c r="C256" s="53">
        <v>0.15</v>
      </c>
      <c r="D256" s="117">
        <v>2</v>
      </c>
    </row>
    <row r="257" spans="1:20" x14ac:dyDescent="0.2">
      <c r="A257" s="7" t="s">
        <v>953</v>
      </c>
      <c r="B257" s="53">
        <v>0.05</v>
      </c>
      <c r="C257" s="53">
        <v>0.15</v>
      </c>
      <c r="D257" s="117">
        <v>2</v>
      </c>
    </row>
    <row r="258" spans="1:20" x14ac:dyDescent="0.2">
      <c r="A258" s="7" t="s">
        <v>955</v>
      </c>
      <c r="B258" s="53">
        <v>0.05</v>
      </c>
      <c r="C258" s="53">
        <v>0.15</v>
      </c>
      <c r="D258" s="117">
        <v>2</v>
      </c>
    </row>
    <row r="259" spans="1:20" x14ac:dyDescent="0.2">
      <c r="A259" s="7" t="s">
        <v>956</v>
      </c>
      <c r="B259" s="53">
        <v>0.05</v>
      </c>
      <c r="C259" s="53">
        <v>0.15</v>
      </c>
      <c r="D259" s="117">
        <v>2</v>
      </c>
    </row>
    <row r="260" spans="1:20" x14ac:dyDescent="0.2">
      <c r="A260" s="7" t="s">
        <v>959</v>
      </c>
      <c r="B260" s="53">
        <v>0.05</v>
      </c>
      <c r="C260" s="53">
        <v>0.15</v>
      </c>
      <c r="D260" s="117">
        <v>2</v>
      </c>
    </row>
    <row r="261" spans="1:20" x14ac:dyDescent="0.2">
      <c r="A261" s="7" t="s">
        <v>960</v>
      </c>
      <c r="B261" s="53">
        <v>0.05</v>
      </c>
      <c r="C261" s="53">
        <v>0.15</v>
      </c>
      <c r="D261" s="117">
        <v>2</v>
      </c>
    </row>
    <row r="262" spans="1:20" x14ac:dyDescent="0.2">
      <c r="A262" s="7" t="s">
        <v>961</v>
      </c>
      <c r="B262" s="53">
        <v>0.05</v>
      </c>
      <c r="C262" s="53">
        <v>0.15</v>
      </c>
      <c r="D262" s="117">
        <v>2</v>
      </c>
    </row>
    <row r="263" spans="1:20" x14ac:dyDescent="0.2">
      <c r="A263" s="7" t="s">
        <v>962</v>
      </c>
      <c r="B263" s="53">
        <v>0.05</v>
      </c>
      <c r="C263" s="53">
        <v>0.15</v>
      </c>
      <c r="D263" s="117">
        <v>2</v>
      </c>
    </row>
    <row r="264" spans="1:20" x14ac:dyDescent="0.2">
      <c r="A264" s="7" t="s">
        <v>957</v>
      </c>
      <c r="B264" s="53">
        <v>0.05</v>
      </c>
      <c r="C264" s="53">
        <v>0.15</v>
      </c>
      <c r="D264" s="117">
        <v>2</v>
      </c>
    </row>
    <row r="265" spans="1:20" x14ac:dyDescent="0.2">
      <c r="A265" s="7" t="s">
        <v>958</v>
      </c>
      <c r="B265" s="53">
        <v>0.05</v>
      </c>
      <c r="C265" s="53">
        <v>0.15</v>
      </c>
      <c r="D265" s="117">
        <v>2</v>
      </c>
    </row>
    <row r="266" spans="1:20" x14ac:dyDescent="0.2">
      <c r="A266" s="7" t="s">
        <v>963</v>
      </c>
      <c r="B266" s="53">
        <v>0.05</v>
      </c>
      <c r="C266" s="53">
        <v>0.15</v>
      </c>
      <c r="D266" s="117">
        <v>2</v>
      </c>
    </row>
    <row r="270" spans="1:20" x14ac:dyDescent="0.2">
      <c r="T270" s="3"/>
    </row>
  </sheetData>
  <mergeCells count="9">
    <mergeCell ref="D218:G218"/>
    <mergeCell ref="H218:K218"/>
    <mergeCell ref="B25:G25"/>
    <mergeCell ref="H25:K25"/>
    <mergeCell ref="D192:G192"/>
    <mergeCell ref="D114:G114"/>
    <mergeCell ref="D121:K121"/>
    <mergeCell ref="G134:J134"/>
    <mergeCell ref="K134:N134"/>
  </mergeCells>
  <phoneticPr fontId="4" type="noConversion"/>
  <conditionalFormatting sqref="B78:B80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{DD5CDEA9-94BB-47FC-9D11-EF39744231F3}</x14:id>
        </ext>
      </extLst>
    </cfRule>
  </conditionalFormatting>
  <conditionalFormatting sqref="B115:B117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{4C8BDF73-2FA6-49A1-B979-C86E88400865}</x14:id>
        </ext>
      </extLst>
    </cfRule>
  </conditionalFormatting>
  <conditionalFormatting sqref="B122:B131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{167BAA26-4EAF-42A0-8850-0C7247AEC615}</x14:id>
        </ext>
      </extLst>
    </cfRule>
  </conditionalFormatting>
  <conditionalFormatting sqref="B197 B193 B201 B205 B20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{D62D4BC9-97F8-41F7-B6BB-AADEBE4DC9F0}</x14:id>
        </ext>
      </extLst>
    </cfRule>
  </conditionalFormatting>
  <conditionalFormatting sqref="B213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{24FDAD87-C0C9-414A-8749-31D1BAA80784}</x14:id>
        </ext>
      </extLst>
    </cfRule>
  </conditionalFormatting>
  <conditionalFormatting sqref="B219:B2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{E887857C-7882-4375-A958-54226BF4F791}</x14:id>
        </ext>
      </extLst>
    </cfRule>
  </conditionalFormatting>
  <conditionalFormatting sqref="B59:C59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{0A59312A-32DE-439E-93DA-87E6ACD8CFA5}</x14:id>
        </ext>
      </extLst>
    </cfRule>
  </conditionalFormatting>
  <conditionalFormatting sqref="B59:C75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{5E98F10C-80F3-4EA6-93B8-A3CCB50053FE}</x14:id>
        </ext>
      </extLst>
    </cfRule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{9E3FC92F-FC09-490B-8686-63C052BA50E8}</x14:id>
        </ext>
      </extLst>
    </cfRule>
  </conditionalFormatting>
  <conditionalFormatting sqref="B60:C75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{93C7D234-430A-4211-908D-F7A2EFECA223}</x14:id>
        </ext>
      </extLst>
    </cfRule>
  </conditionalFormatting>
  <conditionalFormatting sqref="C78:C80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{15344B84-CE0B-4645-A96C-A1EA5637A30D}</x14:id>
        </ext>
      </extLst>
    </cfRule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{D502FBFD-CE44-4943-9D4B-F0A9F003C3B6}</x14:id>
        </ext>
      </extLst>
    </cfRule>
  </conditionalFormatting>
  <conditionalFormatting sqref="D135:D184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{77EB7C4E-EE69-49F8-AD21-508FE8A4B8BD}</x14:id>
        </ext>
      </extLst>
    </cfRule>
  </conditionalFormatting>
  <conditionalFormatting sqref="H219:K238">
    <cfRule type="cellIs" dxfId="1" priority="5" operator="equal">
      <formula>0</formula>
    </cfRule>
  </conditionalFormatting>
  <conditionalFormatting sqref="B194:B19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{7FE494A3-BFE6-49F4-AF4D-83EBADF5E182}</x14:id>
        </ext>
      </extLst>
    </cfRule>
  </conditionalFormatting>
  <conditionalFormatting sqref="B198:B200 B202:B204 B206:B208 B210:B21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{446D93BE-C766-4831-9AEE-0EED4B2F9F41}</x14:id>
        </ext>
      </extLst>
    </cfRule>
  </conditionalFormatting>
  <conditionalFormatting sqref="B193:B2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{DCD938B9-BFA4-4ACD-ABC2-296326E0B6B0}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5CDEA9-94BB-47FC-9D11-EF39744231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B78:B80</xm:sqref>
        </x14:conditionalFormatting>
        <x14:conditionalFormatting xmlns:xm="http://schemas.microsoft.com/office/excel/2006/main">
          <x14:cfRule type="dataBar" id="{4C8BDF73-2FA6-49A1-B979-C86E88400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B115:B117</xm:sqref>
        </x14:conditionalFormatting>
        <x14:conditionalFormatting xmlns:xm="http://schemas.microsoft.com/office/excel/2006/main">
          <x14:cfRule type="dataBar" id="{167BAA26-4EAF-42A0-8850-0C7247AEC6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B122:B131</xm:sqref>
        </x14:conditionalFormatting>
        <x14:conditionalFormatting xmlns:xm="http://schemas.microsoft.com/office/excel/2006/main">
          <x14:cfRule type="dataBar" id="{D62D4BC9-97F8-41F7-B6BB-AADEBE4DC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 B193 B201 B205 B209</xm:sqref>
        </x14:conditionalFormatting>
        <x14:conditionalFormatting xmlns:xm="http://schemas.microsoft.com/office/excel/2006/main">
          <x14:cfRule type="dataBar" id="{24FDAD87-C0C9-414A-8749-31D1BAA807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E887857C-7882-4375-A958-54226BF4F7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B219:B239</xm:sqref>
        </x14:conditionalFormatting>
        <x14:conditionalFormatting xmlns:xm="http://schemas.microsoft.com/office/excel/2006/main">
          <x14:cfRule type="dataBar" id="{0A59312A-32DE-439E-93DA-87E6ACD8C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B59:C59</xm:sqref>
        </x14:conditionalFormatting>
        <x14:conditionalFormatting xmlns:xm="http://schemas.microsoft.com/office/excel/2006/main">
          <x14:cfRule type="dataBar" id="{5E98F10C-80F3-4EA6-93B8-A3CCB50053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E3FC92F-FC09-490B-8686-63C052BA5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B59:C75</xm:sqref>
        </x14:conditionalFormatting>
        <x14:conditionalFormatting xmlns:xm="http://schemas.microsoft.com/office/excel/2006/main">
          <x14:cfRule type="dataBar" id="{93C7D234-430A-4211-908D-F7A2EFECA2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B60:C75</xm:sqref>
        </x14:conditionalFormatting>
        <x14:conditionalFormatting xmlns:xm="http://schemas.microsoft.com/office/excel/2006/main">
          <x14:cfRule type="dataBar" id="{15344B84-CE0B-4645-A96C-A1EA5637A3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502FBFD-CE44-4943-9D4B-F0A9F003C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C78:C80</xm:sqref>
        </x14:conditionalFormatting>
        <x14:conditionalFormatting xmlns:xm="http://schemas.microsoft.com/office/excel/2006/main">
          <x14:cfRule type="dataBar" id="{77EB7C4E-EE69-49F8-AD21-508FE8A4B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D135:D184</xm:sqref>
        </x14:conditionalFormatting>
        <x14:conditionalFormatting xmlns:xm="http://schemas.microsoft.com/office/excel/2006/main">
          <x14:cfRule type="dataBar" id="{7FE494A3-BFE6-49F4-AF4D-83EBADF5E1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B194:B196</xm:sqref>
        </x14:conditionalFormatting>
        <x14:conditionalFormatting xmlns:xm="http://schemas.microsoft.com/office/excel/2006/main">
          <x14:cfRule type="dataBar" id="{446D93BE-C766-4831-9AEE-0EED4B2F9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B198:B200 B202:B204 B206:B208 B210:B212</xm:sqref>
        </x14:conditionalFormatting>
        <x14:conditionalFormatting xmlns:xm="http://schemas.microsoft.com/office/excel/2006/main">
          <x14:cfRule type="dataBar" id="{DCD938B9-BFA4-4ACD-ABC2-296326E0B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B193:B212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B905-BD30-4AD7-83C7-9D3E6D5A97A2}">
  <dimension ref="A1:L16"/>
  <sheetViews>
    <sheetView workbookViewId="0">
      <selection activeCell="H18" sqref="H18"/>
    </sheetView>
  </sheetViews>
  <sheetFormatPr defaultRowHeight="14.25" x14ac:dyDescent="0.2"/>
  <cols>
    <col min="2" max="2" width="17.25" bestFit="1" customWidth="1"/>
  </cols>
  <sheetData>
    <row r="1" spans="1:12" s="4" customFormat="1" x14ac:dyDescent="0.2">
      <c r="A1" s="4" t="s">
        <v>1715</v>
      </c>
    </row>
    <row r="2" spans="1:12" x14ac:dyDescent="0.2">
      <c r="A2" t="s">
        <v>1712</v>
      </c>
    </row>
    <row r="3" spans="1:12" x14ac:dyDescent="0.2">
      <c r="A3" t="s">
        <v>1713</v>
      </c>
    </row>
    <row r="4" spans="1:12" x14ac:dyDescent="0.2">
      <c r="A4" t="s">
        <v>1714</v>
      </c>
    </row>
    <row r="5" spans="1:12" x14ac:dyDescent="0.2">
      <c r="A5" t="s">
        <v>1736</v>
      </c>
    </row>
    <row r="7" spans="1:12" s="4" customFormat="1" x14ac:dyDescent="0.2">
      <c r="A7" s="4" t="s">
        <v>1711</v>
      </c>
    </row>
    <row r="8" spans="1:12" x14ac:dyDescent="0.2">
      <c r="A8" s="40" t="s">
        <v>1716</v>
      </c>
      <c r="B8" s="40" t="s">
        <v>1717</v>
      </c>
      <c r="C8" s="40" t="s">
        <v>1718</v>
      </c>
      <c r="D8" s="162" t="s">
        <v>1719</v>
      </c>
      <c r="E8" s="163"/>
      <c r="F8" s="163"/>
      <c r="G8" s="163"/>
      <c r="H8" s="163"/>
      <c r="I8" s="163"/>
      <c r="J8" s="163"/>
      <c r="K8" s="164"/>
    </row>
    <row r="9" spans="1:12" x14ac:dyDescent="0.2">
      <c r="A9" s="40" t="s">
        <v>1720</v>
      </c>
      <c r="B9" s="40" t="s">
        <v>1722</v>
      </c>
      <c r="C9" s="40" t="s">
        <v>1435</v>
      </c>
      <c r="D9" s="7" t="s">
        <v>1723</v>
      </c>
      <c r="E9" s="7" t="s">
        <v>1724</v>
      </c>
      <c r="F9" s="7" t="s">
        <v>1725</v>
      </c>
      <c r="G9" s="7" t="s">
        <v>1726</v>
      </c>
      <c r="H9" s="7" t="s">
        <v>1727</v>
      </c>
      <c r="I9" s="7" t="s">
        <v>1728</v>
      </c>
      <c r="J9" s="7" t="s">
        <v>1729</v>
      </c>
      <c r="K9" s="7"/>
      <c r="L9" s="147"/>
    </row>
    <row r="10" spans="1:12" x14ac:dyDescent="0.2">
      <c r="A10" s="40" t="s">
        <v>1721</v>
      </c>
      <c r="B10" s="40" t="s">
        <v>1731</v>
      </c>
      <c r="C10" s="40" t="s">
        <v>12</v>
      </c>
      <c r="D10" s="140" t="s">
        <v>12</v>
      </c>
      <c r="E10" s="7" t="s">
        <v>1732</v>
      </c>
      <c r="F10" s="7"/>
      <c r="G10" s="7"/>
      <c r="H10" s="7"/>
      <c r="I10" s="7"/>
      <c r="J10" s="7"/>
      <c r="K10" s="7"/>
    </row>
    <row r="11" spans="1:12" x14ac:dyDescent="0.2">
      <c r="A11" s="40" t="s">
        <v>1733</v>
      </c>
      <c r="B11" s="40" t="s">
        <v>1734</v>
      </c>
      <c r="C11" s="40" t="s">
        <v>13</v>
      </c>
      <c r="D11" s="7" t="s">
        <v>13</v>
      </c>
      <c r="E11" s="140" t="s">
        <v>1735</v>
      </c>
      <c r="F11" s="7"/>
      <c r="G11" s="7"/>
      <c r="H11" s="7"/>
      <c r="I11" s="7"/>
      <c r="J11" s="7"/>
      <c r="K11" s="7"/>
    </row>
    <row r="12" spans="1:12" x14ac:dyDescent="0.2">
      <c r="A12" s="40" t="s">
        <v>673</v>
      </c>
      <c r="B12" s="40" t="s">
        <v>1785</v>
      </c>
      <c r="C12" s="40" t="s">
        <v>1777</v>
      </c>
      <c r="D12" s="7" t="s">
        <v>1789</v>
      </c>
      <c r="E12" s="7" t="s">
        <v>1802</v>
      </c>
      <c r="F12" s="7" t="s">
        <v>1790</v>
      </c>
      <c r="G12" s="7" t="s">
        <v>1730</v>
      </c>
      <c r="H12" s="7" t="s">
        <v>1791</v>
      </c>
      <c r="I12" s="7" t="s">
        <v>1802</v>
      </c>
      <c r="J12" s="7" t="s">
        <v>1790</v>
      </c>
      <c r="K12" s="7"/>
      <c r="L12" s="147"/>
    </row>
    <row r="13" spans="1:12" x14ac:dyDescent="0.2">
      <c r="A13" s="40" t="s">
        <v>1778</v>
      </c>
      <c r="B13" s="40" t="s">
        <v>1784</v>
      </c>
      <c r="C13" s="40" t="s">
        <v>1779</v>
      </c>
      <c r="D13" s="7" t="s">
        <v>1792</v>
      </c>
      <c r="E13" s="7" t="s">
        <v>1802</v>
      </c>
      <c r="F13" s="7" t="s">
        <v>1790</v>
      </c>
      <c r="G13" s="7" t="s">
        <v>1730</v>
      </c>
      <c r="H13" s="7" t="s">
        <v>1794</v>
      </c>
      <c r="I13" s="7" t="s">
        <v>1802</v>
      </c>
      <c r="J13" s="7" t="s">
        <v>1790</v>
      </c>
      <c r="K13" s="7"/>
      <c r="L13" s="147"/>
    </row>
    <row r="14" spans="1:12" x14ac:dyDescent="0.2">
      <c r="A14" s="40" t="s">
        <v>1786</v>
      </c>
      <c r="B14" s="40" t="s">
        <v>1783</v>
      </c>
      <c r="C14" s="40" t="s">
        <v>1780</v>
      </c>
      <c r="D14" s="7" t="s">
        <v>1793</v>
      </c>
      <c r="E14" s="7" t="s">
        <v>1802</v>
      </c>
      <c r="F14" s="7" t="s">
        <v>1790</v>
      </c>
      <c r="G14" s="7" t="s">
        <v>1730</v>
      </c>
      <c r="H14" s="7" t="s">
        <v>1803</v>
      </c>
      <c r="I14" s="7" t="s">
        <v>1802</v>
      </c>
      <c r="J14" s="7" t="s">
        <v>1790</v>
      </c>
      <c r="K14" s="7"/>
      <c r="L14" s="147"/>
    </row>
    <row r="15" spans="1:12" x14ac:dyDescent="0.2">
      <c r="A15" s="40" t="s">
        <v>1787</v>
      </c>
      <c r="B15" s="40" t="s">
        <v>1781</v>
      </c>
      <c r="C15" s="40" t="s">
        <v>1796</v>
      </c>
      <c r="D15" s="7" t="s">
        <v>1795</v>
      </c>
      <c r="E15" s="7" t="s">
        <v>1802</v>
      </c>
      <c r="F15" s="7" t="s">
        <v>1790</v>
      </c>
      <c r="G15" s="7" t="s">
        <v>1730</v>
      </c>
      <c r="H15" s="7" t="s">
        <v>1795</v>
      </c>
      <c r="I15" s="7" t="s">
        <v>1802</v>
      </c>
      <c r="J15" s="7" t="s">
        <v>1375</v>
      </c>
      <c r="K15" s="7" t="s">
        <v>1790</v>
      </c>
      <c r="L15" s="147"/>
    </row>
    <row r="16" spans="1:12" x14ac:dyDescent="0.2">
      <c r="A16" s="40" t="s">
        <v>1788</v>
      </c>
      <c r="B16" s="40" t="s">
        <v>1782</v>
      </c>
      <c r="C16" s="40" t="s">
        <v>1797</v>
      </c>
      <c r="D16" s="7" t="s">
        <v>1789</v>
      </c>
      <c r="E16" s="7" t="s">
        <v>1802</v>
      </c>
      <c r="F16" s="7" t="s">
        <v>1790</v>
      </c>
      <c r="G16" s="7" t="s">
        <v>1798</v>
      </c>
      <c r="H16" s="7"/>
      <c r="I16" s="7"/>
      <c r="J16" s="7"/>
      <c r="K16" s="7"/>
      <c r="L16" s="147"/>
    </row>
  </sheetData>
  <mergeCells count="1">
    <mergeCell ref="D8:K8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0283-F964-47FE-92F3-5DC86C081B5C}">
  <dimension ref="A1:I13"/>
  <sheetViews>
    <sheetView workbookViewId="0">
      <selection activeCell="G19" sqref="G19"/>
    </sheetView>
  </sheetViews>
  <sheetFormatPr defaultRowHeight="14.25" x14ac:dyDescent="0.2"/>
  <sheetData>
    <row r="1" spans="1:9" x14ac:dyDescent="0.2">
      <c r="A1" s="40" t="s">
        <v>62</v>
      </c>
      <c r="B1" s="40" t="s">
        <v>1315</v>
      </c>
      <c r="C1" s="40" t="s">
        <v>63</v>
      </c>
      <c r="D1" s="40" t="s">
        <v>64</v>
      </c>
      <c r="E1" s="40" t="s">
        <v>65</v>
      </c>
      <c r="F1" s="40" t="s">
        <v>66</v>
      </c>
      <c r="G1" s="40" t="s">
        <v>1316</v>
      </c>
      <c r="H1" s="122" t="s">
        <v>1317</v>
      </c>
    </row>
    <row r="2" spans="1:9" x14ac:dyDescent="0.2">
      <c r="A2" s="40" t="s">
        <v>60</v>
      </c>
      <c r="B2" s="7">
        <v>450</v>
      </c>
      <c r="C2" s="7">
        <v>8</v>
      </c>
      <c r="D2" s="7">
        <v>30</v>
      </c>
      <c r="E2" s="7">
        <v>10</v>
      </c>
      <c r="F2" s="7">
        <v>9999</v>
      </c>
      <c r="G2" s="7">
        <v>200</v>
      </c>
      <c r="H2" s="41">
        <f>B2-G2</f>
        <v>250</v>
      </c>
    </row>
    <row r="3" spans="1:9" x14ac:dyDescent="0.2">
      <c r="A3" s="40" t="s">
        <v>61</v>
      </c>
      <c r="B3" s="7">
        <v>720</v>
      </c>
      <c r="C3" s="41">
        <f>INT('⚪设计'!$D$55/'⚪设计'!$C$55)</f>
        <v>8</v>
      </c>
      <c r="D3" s="7">
        <v>30</v>
      </c>
      <c r="E3" s="7">
        <v>20</v>
      </c>
      <c r="F3" s="7">
        <v>60</v>
      </c>
      <c r="G3" s="7">
        <v>200</v>
      </c>
      <c r="H3" s="41">
        <f t="shared" ref="H3:H13" si="0">B3-G3</f>
        <v>520</v>
      </c>
    </row>
    <row r="4" spans="1:9" x14ac:dyDescent="0.2">
      <c r="A4" s="40">
        <v>1</v>
      </c>
      <c r="B4" s="7">
        <v>200</v>
      </c>
      <c r="C4" s="41">
        <f>INT('⚪设计'!$D$55/'⚪设计'!$C$55)</f>
        <v>8</v>
      </c>
      <c r="D4" s="7">
        <v>30</v>
      </c>
      <c r="E4" s="7">
        <v>10</v>
      </c>
      <c r="F4" s="7">
        <v>60</v>
      </c>
      <c r="G4" s="7">
        <v>200</v>
      </c>
      <c r="H4" s="41">
        <f t="shared" si="0"/>
        <v>0</v>
      </c>
      <c r="I4" s="90" t="s">
        <v>673</v>
      </c>
    </row>
    <row r="5" spans="1:9" x14ac:dyDescent="0.2">
      <c r="A5" s="40">
        <v>2</v>
      </c>
      <c r="B5" s="7">
        <v>200</v>
      </c>
      <c r="C5" s="41">
        <f>INT('⚪设计'!$D$55/'⚪设计'!$C$55)</f>
        <v>8</v>
      </c>
      <c r="D5" s="7">
        <v>30</v>
      </c>
      <c r="E5" s="7">
        <v>0</v>
      </c>
      <c r="F5" s="7">
        <v>60</v>
      </c>
      <c r="G5" s="7">
        <v>200</v>
      </c>
      <c r="H5" s="41">
        <f t="shared" si="0"/>
        <v>0</v>
      </c>
      <c r="I5" s="90" t="s">
        <v>674</v>
      </c>
    </row>
    <row r="6" spans="1:9" x14ac:dyDescent="0.2">
      <c r="A6" s="40">
        <v>3</v>
      </c>
      <c r="B6" s="7">
        <v>400</v>
      </c>
      <c r="C6" s="41">
        <f>INT('⚪设计'!$D$55/'⚪设计'!$C$55)</f>
        <v>8</v>
      </c>
      <c r="D6" s="7">
        <v>30</v>
      </c>
      <c r="E6" s="7">
        <v>10</v>
      </c>
      <c r="F6" s="7">
        <v>60</v>
      </c>
      <c r="G6" s="7">
        <v>200</v>
      </c>
      <c r="H6" s="41">
        <f t="shared" si="0"/>
        <v>200</v>
      </c>
      <c r="I6" s="90" t="s">
        <v>675</v>
      </c>
    </row>
    <row r="7" spans="1:9" x14ac:dyDescent="0.2">
      <c r="A7" s="40">
        <v>4</v>
      </c>
      <c r="B7" s="7">
        <v>550</v>
      </c>
      <c r="C7" s="41">
        <f>INT('⚪设计'!$D$55/'⚪设计'!$C$55)</f>
        <v>8</v>
      </c>
      <c r="D7" s="7">
        <v>30</v>
      </c>
      <c r="E7" s="7">
        <v>10</v>
      </c>
      <c r="F7" s="7">
        <v>60</v>
      </c>
      <c r="G7" s="7">
        <v>200</v>
      </c>
      <c r="H7" s="41">
        <f t="shared" si="0"/>
        <v>350</v>
      </c>
      <c r="I7" s="90" t="s">
        <v>676</v>
      </c>
    </row>
    <row r="8" spans="1:9" x14ac:dyDescent="0.2">
      <c r="A8" s="40">
        <v>5</v>
      </c>
      <c r="B8" s="7">
        <v>720</v>
      </c>
      <c r="C8" s="41">
        <f>INT('⚪设计'!$D$55/'⚪设计'!$C$55)</f>
        <v>8</v>
      </c>
      <c r="D8" s="7">
        <v>30</v>
      </c>
      <c r="E8" s="7">
        <v>10</v>
      </c>
      <c r="F8" s="7">
        <v>60</v>
      </c>
      <c r="G8" s="7">
        <v>200</v>
      </c>
      <c r="H8" s="41">
        <f t="shared" si="0"/>
        <v>520</v>
      </c>
      <c r="I8" s="90" t="s">
        <v>677</v>
      </c>
    </row>
    <row r="9" spans="1:9" x14ac:dyDescent="0.2">
      <c r="A9" s="40">
        <v>6</v>
      </c>
      <c r="B9" s="7">
        <v>720</v>
      </c>
      <c r="C9" s="41">
        <f>INT('⚪设计'!$D$55/'⚪设计'!$C$55)</f>
        <v>8</v>
      </c>
      <c r="D9" s="7">
        <v>30</v>
      </c>
      <c r="E9" s="7">
        <v>10</v>
      </c>
      <c r="F9" s="7">
        <v>60</v>
      </c>
      <c r="G9" s="7">
        <v>200</v>
      </c>
      <c r="H9" s="41">
        <f t="shared" si="0"/>
        <v>520</v>
      </c>
      <c r="I9" s="90" t="s">
        <v>977</v>
      </c>
    </row>
    <row r="10" spans="1:9" x14ac:dyDescent="0.2">
      <c r="A10" s="40">
        <v>7</v>
      </c>
      <c r="B10" s="7">
        <v>720</v>
      </c>
      <c r="C10" s="41">
        <f>INT('⚪设计'!$D$55/'⚪设计'!$C$55)</f>
        <v>8</v>
      </c>
      <c r="D10" s="7">
        <v>30</v>
      </c>
      <c r="E10" s="7">
        <v>10</v>
      </c>
      <c r="F10" s="7">
        <v>60</v>
      </c>
      <c r="G10" s="7">
        <v>200</v>
      </c>
      <c r="H10" s="41">
        <f t="shared" si="0"/>
        <v>520</v>
      </c>
      <c r="I10" s="90" t="s">
        <v>978</v>
      </c>
    </row>
    <row r="11" spans="1:9" x14ac:dyDescent="0.2">
      <c r="A11" s="40">
        <v>8</v>
      </c>
      <c r="B11" s="7">
        <v>720</v>
      </c>
      <c r="C11" s="41">
        <f>INT('⚪设计'!$D$55/'⚪设计'!$C$55)</f>
        <v>8</v>
      </c>
      <c r="D11" s="7">
        <v>30</v>
      </c>
      <c r="E11" s="7">
        <v>10</v>
      </c>
      <c r="F11" s="7">
        <v>60</v>
      </c>
      <c r="G11" s="7">
        <v>200</v>
      </c>
      <c r="H11" s="41">
        <f t="shared" si="0"/>
        <v>520</v>
      </c>
      <c r="I11" s="90" t="s">
        <v>979</v>
      </c>
    </row>
    <row r="12" spans="1:9" x14ac:dyDescent="0.2">
      <c r="A12" s="40">
        <v>9</v>
      </c>
      <c r="B12" s="7">
        <v>720</v>
      </c>
      <c r="C12" s="41">
        <f>INT('⚪设计'!$D$55/'⚪设计'!$C$55)</f>
        <v>8</v>
      </c>
      <c r="D12" s="7">
        <v>30</v>
      </c>
      <c r="E12" s="7">
        <v>10</v>
      </c>
      <c r="F12" s="7">
        <v>60</v>
      </c>
      <c r="G12" s="7">
        <v>200</v>
      </c>
      <c r="H12" s="41">
        <f t="shared" si="0"/>
        <v>520</v>
      </c>
      <c r="I12" s="90" t="s">
        <v>980</v>
      </c>
    </row>
    <row r="13" spans="1:9" x14ac:dyDescent="0.2">
      <c r="A13" s="40">
        <v>10</v>
      </c>
      <c r="B13" s="7">
        <v>720</v>
      </c>
      <c r="C13" s="41">
        <f>INT('⚪设计'!$D$55/'⚪设计'!$C$55)</f>
        <v>8</v>
      </c>
      <c r="D13" s="7">
        <v>30</v>
      </c>
      <c r="E13" s="7">
        <v>10</v>
      </c>
      <c r="F13" s="7">
        <v>60</v>
      </c>
      <c r="G13" s="7">
        <v>200</v>
      </c>
      <c r="H13" s="41">
        <f t="shared" si="0"/>
        <v>520</v>
      </c>
      <c r="I13" s="90" t="s">
        <v>981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04A0-B1F7-4B6B-B416-335E2938FA4C}">
  <dimension ref="A1:P78"/>
  <sheetViews>
    <sheetView topLeftCell="A10" workbookViewId="0">
      <selection activeCell="J8" sqref="J8"/>
    </sheetView>
  </sheetViews>
  <sheetFormatPr defaultRowHeight="14.25" x14ac:dyDescent="0.2"/>
  <cols>
    <col min="11" max="11" width="15" bestFit="1" customWidth="1"/>
  </cols>
  <sheetData>
    <row r="1" spans="1:16" x14ac:dyDescent="0.2">
      <c r="A1" s="40" t="s">
        <v>82</v>
      </c>
      <c r="B1" s="40" t="s">
        <v>83</v>
      </c>
      <c r="C1" s="40" t="s">
        <v>87</v>
      </c>
      <c r="D1" s="40" t="s">
        <v>93</v>
      </c>
      <c r="E1" s="40" t="s">
        <v>88</v>
      </c>
      <c r="F1" s="40" t="s">
        <v>1324</v>
      </c>
      <c r="G1" s="40" t="s">
        <v>89</v>
      </c>
      <c r="H1" s="40" t="s">
        <v>90</v>
      </c>
      <c r="I1" s="40" t="s">
        <v>91</v>
      </c>
      <c r="J1" s="40" t="s">
        <v>92</v>
      </c>
      <c r="K1" s="40" t="s">
        <v>94</v>
      </c>
      <c r="L1" s="40" t="s">
        <v>1330</v>
      </c>
      <c r="M1" s="40" t="s">
        <v>1331</v>
      </c>
      <c r="N1" s="40" t="s">
        <v>1332</v>
      </c>
      <c r="O1" s="40" t="s">
        <v>1333</v>
      </c>
    </row>
    <row r="2" spans="1:16" x14ac:dyDescent="0.2">
      <c r="A2" s="40" t="s">
        <v>86</v>
      </c>
      <c r="B2" s="7">
        <v>200</v>
      </c>
      <c r="C2" s="41">
        <f>VLOOKUP(防御塔!A2,'⚪设计'!$A$59:$C$70,2,FALSE)*B2</f>
        <v>200</v>
      </c>
      <c r="D2" s="41">
        <f>VLOOKUP(防御塔!A2,'⚪设计'!$A$59:$C$70,3,FALSE)*B2</f>
        <v>200</v>
      </c>
      <c r="E2" s="7">
        <v>1</v>
      </c>
      <c r="F2" s="7">
        <v>1</v>
      </c>
      <c r="G2" s="7">
        <v>7.5</v>
      </c>
      <c r="H2" s="41">
        <f>INT(C2/F2/(1/E2))</f>
        <v>200</v>
      </c>
      <c r="I2" s="41">
        <f>INT($H2/'⚪设计'!$C$78*'⚪设计'!$C$79)</f>
        <v>900</v>
      </c>
      <c r="J2" s="41">
        <f>INT($H2/'⚪设计'!$C$78*'⚪设计'!$C$80)</f>
        <v>3600</v>
      </c>
      <c r="K2" s="40"/>
      <c r="L2" s="123"/>
      <c r="M2" s="123"/>
      <c r="N2" s="50"/>
      <c r="O2" s="50"/>
    </row>
    <row r="3" spans="1:16" x14ac:dyDescent="0.2">
      <c r="A3" s="40" t="s">
        <v>33</v>
      </c>
      <c r="B3" s="7">
        <v>150</v>
      </c>
      <c r="C3" s="41">
        <f>VLOOKUP(防御塔!A3,'⚪设计'!$A$59:$C$70,2,FALSE)*B3</f>
        <v>300</v>
      </c>
      <c r="D3" s="41">
        <f>VLOOKUP(防御塔!A3,'⚪设计'!$A$59:$C$70,3,FALSE)*B3</f>
        <v>300</v>
      </c>
      <c r="E3" s="7">
        <v>0.5</v>
      </c>
      <c r="F3" s="7">
        <v>1</v>
      </c>
      <c r="G3" s="7">
        <v>15</v>
      </c>
      <c r="H3" s="41">
        <f>INT(C3/F3/(1/E3))</f>
        <v>150</v>
      </c>
      <c r="I3" s="41">
        <f>INT($H3/'⚪设计'!$C$78*'⚪设计'!$C$79)</f>
        <v>675</v>
      </c>
      <c r="J3" s="41">
        <f>INT($H3/'⚪设计'!$C$78*'⚪设计'!$C$80/(L3*(1+M3)+(1-L3)))</f>
        <v>2076</v>
      </c>
      <c r="K3" s="40" t="s">
        <v>1327</v>
      </c>
      <c r="L3" s="52">
        <v>0.15</v>
      </c>
      <c r="M3" s="52">
        <v>2</v>
      </c>
      <c r="N3" s="50"/>
      <c r="O3" s="50"/>
    </row>
    <row r="4" spans="1:16" x14ac:dyDescent="0.2">
      <c r="A4" s="40" t="s">
        <v>34</v>
      </c>
      <c r="B4" s="7">
        <v>150</v>
      </c>
      <c r="C4" s="41">
        <f>VLOOKUP(防御塔!A4,'⚪设计'!$A$59:$C$70,2,FALSE)*B4</f>
        <v>300</v>
      </c>
      <c r="D4" s="41">
        <f>VLOOKUP(防御塔!A4,'⚪设计'!$A$59:$C$70,3,FALSE)*B4</f>
        <v>300</v>
      </c>
      <c r="E4" s="7">
        <v>0.5</v>
      </c>
      <c r="F4" s="7">
        <v>3</v>
      </c>
      <c r="G4" s="7">
        <v>15</v>
      </c>
      <c r="H4" s="41">
        <f>INT(C4/F4/(1/E4))</f>
        <v>50</v>
      </c>
      <c r="I4" s="41">
        <f>INT($H4/'⚪设计'!$C$78*'⚪设计'!$C$79)</f>
        <v>225</v>
      </c>
      <c r="J4" s="41">
        <f>INT($H4/'⚪设计'!$C$78*'⚪设计'!$C$80)</f>
        <v>900</v>
      </c>
      <c r="K4" s="40"/>
      <c r="L4" s="50"/>
      <c r="M4" s="50"/>
      <c r="N4" s="50"/>
      <c r="O4" s="50"/>
    </row>
    <row r="5" spans="1:16" x14ac:dyDescent="0.2">
      <c r="A5" s="40" t="s">
        <v>35</v>
      </c>
      <c r="B5" s="7">
        <v>200</v>
      </c>
      <c r="C5" s="41">
        <f>VLOOKUP(防御塔!A5,'⚪设计'!$A$59:$C$70,2,FALSE)*B5</f>
        <v>800</v>
      </c>
      <c r="D5" s="41">
        <f>VLOOKUP(防御塔!A5,'⚪设计'!$A$59:$C$70,3,FALSE)*B5</f>
        <v>100</v>
      </c>
      <c r="E5" s="7">
        <v>0.3</v>
      </c>
      <c r="F5" s="7">
        <v>15</v>
      </c>
      <c r="G5" s="7">
        <v>15</v>
      </c>
      <c r="H5" s="41">
        <f>INT(C5/F5/(1/E5))</f>
        <v>16</v>
      </c>
      <c r="I5" s="41">
        <f>INT($H5/'⚪设计'!$C$78*'⚪设计'!$C$79)</f>
        <v>72</v>
      </c>
      <c r="J5" s="41">
        <f>INT($H5/'⚪设计'!$C$78*'⚪设计'!$C$80*(1-L5))</f>
        <v>144</v>
      </c>
      <c r="K5" s="40" t="s">
        <v>1338</v>
      </c>
      <c r="L5" s="52">
        <v>0.5</v>
      </c>
      <c r="M5" s="125">
        <v>10</v>
      </c>
      <c r="N5" s="125">
        <v>0.3</v>
      </c>
      <c r="O5" s="41">
        <f>ROUND(J5/(1-L5)*L5*(M5/E5)/(M5/N5)/J5,3)</f>
        <v>1</v>
      </c>
    </row>
    <row r="6" spans="1:16" x14ac:dyDescent="0.2">
      <c r="A6" s="40" t="s">
        <v>36</v>
      </c>
      <c r="B6" s="7">
        <v>200</v>
      </c>
      <c r="C6" s="41">
        <f>VLOOKUP(防御塔!A6,'⚪设计'!$A$59:$C$70,2,FALSE)*B6</f>
        <v>800</v>
      </c>
      <c r="D6" s="41">
        <f>VLOOKUP(防御塔!A6,'⚪设计'!$A$59:$C$70,3,FALSE)*B6</f>
        <v>100</v>
      </c>
      <c r="E6" s="7">
        <v>0.3</v>
      </c>
      <c r="F6" s="7">
        <v>15</v>
      </c>
      <c r="G6" s="7">
        <v>15</v>
      </c>
      <c r="H6" s="41">
        <f>INT(D6/F6/(1/E6))</f>
        <v>2</v>
      </c>
      <c r="I6" s="41">
        <f>INT($H6/'⚪设计'!$C$78*'⚪设计'!$C$79)</f>
        <v>9</v>
      </c>
      <c r="J6" s="41">
        <f>INT($H6/'⚪设计'!$C$78*'⚪设计'!$C$80)*(C6/D6)</f>
        <v>288</v>
      </c>
      <c r="K6" s="40" t="s">
        <v>1334</v>
      </c>
      <c r="L6" s="41">
        <f>ROUND((C6-D6)/D6/G6,2)</f>
        <v>0.47</v>
      </c>
      <c r="M6" s="41">
        <f>L6</f>
        <v>0.47</v>
      </c>
      <c r="N6" s="41"/>
      <c r="O6" s="50"/>
    </row>
    <row r="7" spans="1:16" x14ac:dyDescent="0.2">
      <c r="A7" s="40" t="s">
        <v>37</v>
      </c>
      <c r="B7" s="7">
        <v>200</v>
      </c>
      <c r="C7" s="41">
        <f>VLOOKUP(防御塔!A7,'⚪设计'!$A$59:$C$70,2,FALSE)*B7</f>
        <v>800</v>
      </c>
      <c r="D7" s="41">
        <f>VLOOKUP(防御塔!A7,'⚪设计'!$A$59:$C$70,3,FALSE)*B7</f>
        <v>0</v>
      </c>
      <c r="E7" s="7">
        <v>3</v>
      </c>
      <c r="F7" s="7">
        <v>1</v>
      </c>
      <c r="G7" s="7">
        <v>15</v>
      </c>
      <c r="H7" s="41">
        <f>INT(C7/F7/(1/E7))</f>
        <v>2400</v>
      </c>
      <c r="I7" s="41">
        <f>INT($H7/'⚪设计'!$C$78*'⚪设计'!$C$79)</f>
        <v>10800</v>
      </c>
      <c r="J7" s="41">
        <f>INT($H7/'⚪设计'!$C$78*'⚪设计'!$C$80/3)</f>
        <v>14400</v>
      </c>
      <c r="K7" s="40"/>
      <c r="L7" s="50"/>
      <c r="M7" s="50"/>
      <c r="N7" s="50"/>
      <c r="O7" s="50"/>
    </row>
    <row r="8" spans="1:16" x14ac:dyDescent="0.2">
      <c r="A8" s="40" t="s">
        <v>38</v>
      </c>
      <c r="B8" s="7">
        <v>200</v>
      </c>
      <c r="C8" s="41">
        <f>VLOOKUP(防御塔!A8,'⚪设计'!$A$59:$C$70,2,FALSE)*B8</f>
        <v>800</v>
      </c>
      <c r="D8" s="41">
        <f>VLOOKUP(防御塔!A8,'⚪设计'!$A$59:$C$70,3,FALSE)*B8</f>
        <v>100</v>
      </c>
      <c r="E8" s="7">
        <v>1</v>
      </c>
      <c r="F8" s="7">
        <v>1</v>
      </c>
      <c r="G8" s="7">
        <v>10</v>
      </c>
      <c r="H8" s="41">
        <f>INT(D8/F8/(1/E8))</f>
        <v>100</v>
      </c>
      <c r="I8" s="41">
        <f>INT($H8/'⚪设计'!$C$78*'⚪设计'!$C$79)</f>
        <v>450</v>
      </c>
      <c r="J8" s="41">
        <f>INT($H8/'⚪设计'!$C$78*'⚪设计'!$C$80/2)</f>
        <v>900</v>
      </c>
      <c r="K8" s="40" t="s">
        <v>1335</v>
      </c>
      <c r="L8" s="41">
        <f>ROUND((C8-D8)/D8/5,2)</f>
        <v>1.4</v>
      </c>
      <c r="M8" s="41">
        <f>L8</f>
        <v>1.4</v>
      </c>
      <c r="N8" s="41">
        <f>L8</f>
        <v>1.4</v>
      </c>
      <c r="O8" s="50"/>
      <c r="P8" s="51" t="s">
        <v>96</v>
      </c>
    </row>
    <row r="9" spans="1:16" x14ac:dyDescent="0.2">
      <c r="A9" s="40" t="s">
        <v>39</v>
      </c>
      <c r="B9" s="7">
        <v>250</v>
      </c>
      <c r="C9" s="41">
        <f>VLOOKUP(防御塔!A9,'⚪设计'!$A$59:$C$70,2,FALSE)*B9</f>
        <v>250</v>
      </c>
      <c r="D9" s="41">
        <f>VLOOKUP(防御塔!A9,'⚪设计'!$A$59:$C$70,3,FALSE)*B9</f>
        <v>62.5</v>
      </c>
      <c r="E9" s="7">
        <v>1</v>
      </c>
      <c r="F9" s="7">
        <v>5</v>
      </c>
      <c r="G9" s="7">
        <v>7.5</v>
      </c>
      <c r="H9" s="41">
        <f>INT(D9/F9/(1/E9))</f>
        <v>12</v>
      </c>
      <c r="I9" s="41">
        <f>INT($H9/'⚪设计'!$C$78*'⚪设计'!$C$79)</f>
        <v>54</v>
      </c>
      <c r="J9" s="41">
        <f>INT($H9/'⚪设计'!$C$78*'⚪设计'!$C$80)</f>
        <v>216</v>
      </c>
      <c r="K9" s="40" t="s">
        <v>1336</v>
      </c>
      <c r="L9" s="52">
        <v>0.25</v>
      </c>
      <c r="M9" s="52">
        <v>0.4</v>
      </c>
      <c r="N9" s="52">
        <v>0.5</v>
      </c>
      <c r="O9" s="50"/>
    </row>
    <row r="10" spans="1:16" x14ac:dyDescent="0.2">
      <c r="A10" s="40" t="s">
        <v>40</v>
      </c>
      <c r="B10" s="7">
        <v>250</v>
      </c>
      <c r="C10" s="41">
        <f>VLOOKUP(防御塔!A10,'⚪设计'!$A$59:$C$70,2,FALSE)*B10</f>
        <v>500</v>
      </c>
      <c r="D10" s="41">
        <f>VLOOKUP(防御塔!A10,'⚪设计'!$A$59:$C$70,3,FALSE)*B10</f>
        <v>125</v>
      </c>
      <c r="E10" s="7">
        <v>1</v>
      </c>
      <c r="F10" s="7">
        <v>8</v>
      </c>
      <c r="G10" s="7">
        <v>7.5</v>
      </c>
      <c r="H10" s="41">
        <f>INT(D10/F10/(1/E10))</f>
        <v>15</v>
      </c>
      <c r="I10" s="41">
        <f>INT($H10/'⚪设计'!$C$78*'⚪设计'!$C$79)</f>
        <v>67</v>
      </c>
      <c r="J10" s="41">
        <f>INT($H10/'⚪设计'!$C$78*'⚪设计'!$C$80)</f>
        <v>270</v>
      </c>
      <c r="K10" s="40" t="s">
        <v>1337</v>
      </c>
      <c r="L10" s="53">
        <v>0.3</v>
      </c>
      <c r="M10" s="53">
        <v>0.5</v>
      </c>
      <c r="N10" s="53">
        <v>0.6</v>
      </c>
      <c r="O10" s="50"/>
    </row>
    <row r="11" spans="1:16" x14ac:dyDescent="0.2">
      <c r="A11" s="8" t="s">
        <v>1534</v>
      </c>
      <c r="B11" s="7">
        <v>200</v>
      </c>
      <c r="C11" s="41">
        <f>VLOOKUP(防御塔!A11,'⚪设计'!$A$59:$C$70,2,FALSE)*B11</f>
        <v>800</v>
      </c>
      <c r="D11" s="41">
        <f>VLOOKUP(防御塔!A11,'⚪设计'!$A$59:$C$70,3,FALSE)*B11</f>
        <v>50</v>
      </c>
      <c r="E11" s="7">
        <v>1</v>
      </c>
      <c r="F11" s="131">
        <v>1</v>
      </c>
      <c r="G11" s="7">
        <v>15</v>
      </c>
      <c r="H11" s="41">
        <f t="shared" ref="H11:H13" si="0">INT(D11/F11/(1/E11))</f>
        <v>50</v>
      </c>
      <c r="I11" s="41">
        <f>INT($H11/'⚪设计'!$C$78*'⚪设计'!$C$79)</f>
        <v>225</v>
      </c>
      <c r="J11" s="41">
        <f>INT($H11/'⚪设计'!$C$78*'⚪设计'!$C$80/3)</f>
        <v>300</v>
      </c>
      <c r="K11" s="40" t="s">
        <v>1538</v>
      </c>
      <c r="L11" s="98">
        <v>0.01</v>
      </c>
      <c r="M11" s="98">
        <v>0.02</v>
      </c>
      <c r="N11" s="98">
        <v>0.03</v>
      </c>
      <c r="O11" s="50"/>
    </row>
    <row r="12" spans="1:16" x14ac:dyDescent="0.2">
      <c r="A12" s="8" t="s">
        <v>1586</v>
      </c>
      <c r="B12" s="7">
        <v>50</v>
      </c>
      <c r="C12" s="41">
        <f>VLOOKUP(防御塔!A12,'⚪设计'!$A$59:$C$70,2,FALSE)*B12</f>
        <v>200</v>
      </c>
      <c r="D12" s="41">
        <f>VLOOKUP(防御塔!A12,'⚪设计'!$A$59:$C$70,3,FALSE)*B12</f>
        <v>25</v>
      </c>
      <c r="E12" s="7">
        <v>1</v>
      </c>
      <c r="F12" s="132">
        <v>5</v>
      </c>
      <c r="G12" s="7">
        <v>7.5</v>
      </c>
      <c r="H12" s="41">
        <f>INT(D12/F12/(1/E12))*L12</f>
        <v>2000</v>
      </c>
      <c r="I12" s="41">
        <f>INT($H12/'⚪设计'!$C$78*'⚪设计'!$C$79)</f>
        <v>9000</v>
      </c>
      <c r="J12" s="41">
        <f>INT($H12/'⚪设计'!$C$78*'⚪设计'!$C$80)</f>
        <v>36000</v>
      </c>
      <c r="K12" s="40" t="s">
        <v>1597</v>
      </c>
      <c r="L12" s="98">
        <v>400</v>
      </c>
      <c r="M12" s="98">
        <v>1</v>
      </c>
      <c r="N12" s="41"/>
      <c r="O12" s="41"/>
    </row>
    <row r="13" spans="1:16" x14ac:dyDescent="0.2">
      <c r="A13" s="8" t="s">
        <v>1535</v>
      </c>
      <c r="B13" s="7">
        <v>250</v>
      </c>
      <c r="C13" s="41">
        <f>VLOOKUP(防御塔!A13,'⚪设计'!$A$59:$C$70,2,FALSE)*B13</f>
        <v>62.5</v>
      </c>
      <c r="D13" s="41">
        <f>VLOOKUP(防御塔!A13,'⚪设计'!$A$59:$C$70,3,FALSE)*B13</f>
        <v>62.5</v>
      </c>
      <c r="E13" s="7">
        <v>1</v>
      </c>
      <c r="F13" s="132">
        <v>1</v>
      </c>
      <c r="G13" s="7">
        <v>7.5</v>
      </c>
      <c r="H13" s="41">
        <f t="shared" si="0"/>
        <v>62</v>
      </c>
      <c r="I13" s="41">
        <f>INT($H13/'⚪设计'!$C$78*'⚪设计'!$C$79)</f>
        <v>279</v>
      </c>
      <c r="J13" s="41">
        <f>INT($H13/'⚪设计'!$C$78*'⚪设计'!$C$80/2)</f>
        <v>558</v>
      </c>
      <c r="K13" s="40" t="s">
        <v>1539</v>
      </c>
      <c r="L13" s="41">
        <v>1</v>
      </c>
      <c r="M13" s="41">
        <v>4</v>
      </c>
      <c r="N13" s="41">
        <v>15</v>
      </c>
      <c r="O13" s="41"/>
    </row>
    <row r="14" spans="1:16" x14ac:dyDescent="0.2">
      <c r="L14">
        <v>60</v>
      </c>
      <c r="M14">
        <v>60</v>
      </c>
      <c r="N14">
        <v>60</v>
      </c>
    </row>
    <row r="15" spans="1:16" x14ac:dyDescent="0.2">
      <c r="L15">
        <f>L13*L14</f>
        <v>60</v>
      </c>
      <c r="M15">
        <f t="shared" ref="M15:N15" si="1">M13*M14</f>
        <v>240</v>
      </c>
      <c r="N15">
        <f t="shared" si="1"/>
        <v>900</v>
      </c>
    </row>
    <row r="16" spans="1:16" x14ac:dyDescent="0.2">
      <c r="L16">
        <v>250</v>
      </c>
      <c r="M16">
        <f>L16*3</f>
        <v>750</v>
      </c>
      <c r="N16">
        <f>M16*3</f>
        <v>2250</v>
      </c>
    </row>
    <row r="17" spans="10:14" x14ac:dyDescent="0.2">
      <c r="L17">
        <f>L16/L15</f>
        <v>4.166666666666667</v>
      </c>
      <c r="M17">
        <f t="shared" ref="M17:N17" si="2">M16/M15</f>
        <v>3.125</v>
      </c>
      <c r="N17">
        <f t="shared" si="2"/>
        <v>2.5</v>
      </c>
    </row>
    <row r="19" spans="10:14" x14ac:dyDescent="0.2">
      <c r="J19">
        <v>1</v>
      </c>
      <c r="K19">
        <v>1</v>
      </c>
      <c r="L19">
        <v>0.01</v>
      </c>
    </row>
    <row r="20" spans="10:14" x14ac:dyDescent="0.2">
      <c r="J20">
        <v>2</v>
      </c>
      <c r="K20">
        <f>K19*(1-$L$19)</f>
        <v>0.99</v>
      </c>
    </row>
    <row r="21" spans="10:14" x14ac:dyDescent="0.2">
      <c r="J21">
        <v>3</v>
      </c>
      <c r="K21">
        <f t="shared" ref="K21:K78" si="3">K20*(1-$L$19)</f>
        <v>0.98009999999999997</v>
      </c>
    </row>
    <row r="22" spans="10:14" x14ac:dyDescent="0.2">
      <c r="J22">
        <v>4</v>
      </c>
      <c r="K22">
        <f t="shared" si="3"/>
        <v>0.97029899999999991</v>
      </c>
    </row>
    <row r="23" spans="10:14" x14ac:dyDescent="0.2">
      <c r="J23">
        <v>5</v>
      </c>
      <c r="K23">
        <f t="shared" si="3"/>
        <v>0.96059600999999994</v>
      </c>
    </row>
    <row r="24" spans="10:14" x14ac:dyDescent="0.2">
      <c r="J24">
        <v>6</v>
      </c>
      <c r="K24">
        <f t="shared" si="3"/>
        <v>0.95099004989999991</v>
      </c>
    </row>
    <row r="25" spans="10:14" x14ac:dyDescent="0.2">
      <c r="J25">
        <v>7</v>
      </c>
      <c r="K25">
        <f t="shared" si="3"/>
        <v>0.94148014940099989</v>
      </c>
    </row>
    <row r="26" spans="10:14" x14ac:dyDescent="0.2">
      <c r="J26">
        <v>8</v>
      </c>
      <c r="K26">
        <f t="shared" si="3"/>
        <v>0.93206534790698992</v>
      </c>
    </row>
    <row r="27" spans="10:14" x14ac:dyDescent="0.2">
      <c r="J27">
        <v>9</v>
      </c>
      <c r="K27">
        <f t="shared" si="3"/>
        <v>0.92274469442791995</v>
      </c>
    </row>
    <row r="28" spans="10:14" x14ac:dyDescent="0.2">
      <c r="J28">
        <v>10</v>
      </c>
      <c r="K28">
        <f t="shared" si="3"/>
        <v>0.91351724748364072</v>
      </c>
    </row>
    <row r="29" spans="10:14" x14ac:dyDescent="0.2">
      <c r="J29">
        <v>11</v>
      </c>
      <c r="K29">
        <f t="shared" si="3"/>
        <v>0.9043820750088043</v>
      </c>
    </row>
    <row r="30" spans="10:14" x14ac:dyDescent="0.2">
      <c r="J30">
        <v>12</v>
      </c>
      <c r="K30">
        <f t="shared" si="3"/>
        <v>0.89533825425871627</v>
      </c>
    </row>
    <row r="31" spans="10:14" x14ac:dyDescent="0.2">
      <c r="J31">
        <v>13</v>
      </c>
      <c r="K31">
        <f t="shared" si="3"/>
        <v>0.88638487171612912</v>
      </c>
    </row>
    <row r="32" spans="10:14" x14ac:dyDescent="0.2">
      <c r="J32">
        <v>14</v>
      </c>
      <c r="K32">
        <f t="shared" si="3"/>
        <v>0.87752102299896784</v>
      </c>
    </row>
    <row r="33" spans="10:11" x14ac:dyDescent="0.2">
      <c r="J33">
        <v>15</v>
      </c>
      <c r="K33">
        <f t="shared" si="3"/>
        <v>0.86874581276897811</v>
      </c>
    </row>
    <row r="34" spans="10:11" x14ac:dyDescent="0.2">
      <c r="J34">
        <v>16</v>
      </c>
      <c r="K34">
        <f t="shared" si="3"/>
        <v>0.86005835464128833</v>
      </c>
    </row>
    <row r="35" spans="10:11" x14ac:dyDescent="0.2">
      <c r="J35">
        <v>17</v>
      </c>
      <c r="K35">
        <f t="shared" si="3"/>
        <v>0.85145777109487542</v>
      </c>
    </row>
    <row r="36" spans="10:11" x14ac:dyDescent="0.2">
      <c r="J36">
        <v>18</v>
      </c>
      <c r="K36">
        <f t="shared" si="3"/>
        <v>0.84294319338392665</v>
      </c>
    </row>
    <row r="37" spans="10:11" x14ac:dyDescent="0.2">
      <c r="J37">
        <v>19</v>
      </c>
      <c r="K37">
        <f t="shared" si="3"/>
        <v>0.83451376145008738</v>
      </c>
    </row>
    <row r="38" spans="10:11" x14ac:dyDescent="0.2">
      <c r="J38">
        <v>20</v>
      </c>
      <c r="K38">
        <f t="shared" si="3"/>
        <v>0.82616862383558654</v>
      </c>
    </row>
    <row r="39" spans="10:11" x14ac:dyDescent="0.2">
      <c r="J39">
        <v>21</v>
      </c>
      <c r="K39">
        <f t="shared" si="3"/>
        <v>0.81790693759723065</v>
      </c>
    </row>
    <row r="40" spans="10:11" x14ac:dyDescent="0.2">
      <c r="J40">
        <v>22</v>
      </c>
      <c r="K40">
        <f t="shared" si="3"/>
        <v>0.80972786822125831</v>
      </c>
    </row>
    <row r="41" spans="10:11" x14ac:dyDescent="0.2">
      <c r="J41">
        <v>23</v>
      </c>
      <c r="K41">
        <f t="shared" si="3"/>
        <v>0.80163058953904576</v>
      </c>
    </row>
    <row r="42" spans="10:11" x14ac:dyDescent="0.2">
      <c r="J42">
        <v>24</v>
      </c>
      <c r="K42">
        <f t="shared" si="3"/>
        <v>0.79361428364365527</v>
      </c>
    </row>
    <row r="43" spans="10:11" x14ac:dyDescent="0.2">
      <c r="J43">
        <v>25</v>
      </c>
      <c r="K43">
        <f t="shared" si="3"/>
        <v>0.78567814080721876</v>
      </c>
    </row>
    <row r="44" spans="10:11" x14ac:dyDescent="0.2">
      <c r="J44">
        <v>26</v>
      </c>
      <c r="K44">
        <f t="shared" si="3"/>
        <v>0.77782135939914654</v>
      </c>
    </row>
    <row r="45" spans="10:11" x14ac:dyDescent="0.2">
      <c r="J45">
        <v>27</v>
      </c>
      <c r="K45">
        <f t="shared" si="3"/>
        <v>0.77004314580515509</v>
      </c>
    </row>
    <row r="46" spans="10:11" x14ac:dyDescent="0.2">
      <c r="J46">
        <v>28</v>
      </c>
      <c r="K46">
        <f t="shared" si="3"/>
        <v>0.76234271434710354</v>
      </c>
    </row>
    <row r="47" spans="10:11" x14ac:dyDescent="0.2">
      <c r="J47">
        <v>29</v>
      </c>
      <c r="K47">
        <f t="shared" si="3"/>
        <v>0.75471928720363246</v>
      </c>
    </row>
    <row r="48" spans="10:11" x14ac:dyDescent="0.2">
      <c r="J48">
        <v>30</v>
      </c>
      <c r="K48">
        <f t="shared" si="3"/>
        <v>0.74717209433159615</v>
      </c>
    </row>
    <row r="49" spans="10:11" x14ac:dyDescent="0.2">
      <c r="J49">
        <v>31</v>
      </c>
      <c r="K49">
        <f t="shared" si="3"/>
        <v>0.73970037338828021</v>
      </c>
    </row>
    <row r="50" spans="10:11" x14ac:dyDescent="0.2">
      <c r="J50">
        <v>32</v>
      </c>
      <c r="K50">
        <f t="shared" si="3"/>
        <v>0.73230336965439735</v>
      </c>
    </row>
    <row r="51" spans="10:11" x14ac:dyDescent="0.2">
      <c r="J51">
        <v>33</v>
      </c>
      <c r="K51">
        <f t="shared" si="3"/>
        <v>0.72498033595785338</v>
      </c>
    </row>
    <row r="52" spans="10:11" x14ac:dyDescent="0.2">
      <c r="J52">
        <v>34</v>
      </c>
      <c r="K52">
        <f t="shared" si="3"/>
        <v>0.7177305325982748</v>
      </c>
    </row>
    <row r="53" spans="10:11" x14ac:dyDescent="0.2">
      <c r="J53">
        <v>35</v>
      </c>
      <c r="K53">
        <f t="shared" si="3"/>
        <v>0.71055322727229209</v>
      </c>
    </row>
    <row r="54" spans="10:11" x14ac:dyDescent="0.2">
      <c r="J54">
        <v>36</v>
      </c>
      <c r="K54">
        <f t="shared" si="3"/>
        <v>0.70344769499956916</v>
      </c>
    </row>
    <row r="55" spans="10:11" x14ac:dyDescent="0.2">
      <c r="J55">
        <v>37</v>
      </c>
      <c r="K55">
        <f t="shared" si="3"/>
        <v>0.69641321804957346</v>
      </c>
    </row>
    <row r="56" spans="10:11" x14ac:dyDescent="0.2">
      <c r="J56">
        <v>38</v>
      </c>
      <c r="K56">
        <f t="shared" si="3"/>
        <v>0.68944908586907772</v>
      </c>
    </row>
    <row r="57" spans="10:11" x14ac:dyDescent="0.2">
      <c r="J57">
        <v>39</v>
      </c>
      <c r="K57">
        <f t="shared" si="3"/>
        <v>0.68255459501038696</v>
      </c>
    </row>
    <row r="58" spans="10:11" x14ac:dyDescent="0.2">
      <c r="J58">
        <v>40</v>
      </c>
      <c r="K58">
        <f t="shared" si="3"/>
        <v>0.67572904906028308</v>
      </c>
    </row>
    <row r="59" spans="10:11" x14ac:dyDescent="0.2">
      <c r="J59">
        <v>41</v>
      </c>
      <c r="K59">
        <f t="shared" si="3"/>
        <v>0.66897175856968027</v>
      </c>
    </row>
    <row r="60" spans="10:11" x14ac:dyDescent="0.2">
      <c r="J60">
        <v>42</v>
      </c>
      <c r="K60">
        <f t="shared" si="3"/>
        <v>0.66228204098398347</v>
      </c>
    </row>
    <row r="61" spans="10:11" x14ac:dyDescent="0.2">
      <c r="J61">
        <v>43</v>
      </c>
      <c r="K61">
        <f t="shared" si="3"/>
        <v>0.65565922057414361</v>
      </c>
    </row>
    <row r="62" spans="10:11" x14ac:dyDescent="0.2">
      <c r="J62">
        <v>44</v>
      </c>
      <c r="K62">
        <f t="shared" si="3"/>
        <v>0.64910262836840216</v>
      </c>
    </row>
    <row r="63" spans="10:11" x14ac:dyDescent="0.2">
      <c r="J63">
        <v>45</v>
      </c>
      <c r="K63">
        <f t="shared" si="3"/>
        <v>0.64261160208471813</v>
      </c>
    </row>
    <row r="64" spans="10:11" x14ac:dyDescent="0.2">
      <c r="J64">
        <v>46</v>
      </c>
      <c r="K64">
        <f t="shared" si="3"/>
        <v>0.63618548606387093</v>
      </c>
    </row>
    <row r="65" spans="10:11" x14ac:dyDescent="0.2">
      <c r="J65">
        <v>47</v>
      </c>
      <c r="K65">
        <f t="shared" si="3"/>
        <v>0.62982363120323226</v>
      </c>
    </row>
    <row r="66" spans="10:11" x14ac:dyDescent="0.2">
      <c r="J66">
        <v>48</v>
      </c>
      <c r="K66">
        <f t="shared" si="3"/>
        <v>0.62352539489119996</v>
      </c>
    </row>
    <row r="67" spans="10:11" x14ac:dyDescent="0.2">
      <c r="J67">
        <v>49</v>
      </c>
      <c r="K67">
        <f t="shared" si="3"/>
        <v>0.61729014094228796</v>
      </c>
    </row>
    <row r="68" spans="10:11" x14ac:dyDescent="0.2">
      <c r="J68">
        <v>50</v>
      </c>
      <c r="K68">
        <f t="shared" si="3"/>
        <v>0.61111723953286512</v>
      </c>
    </row>
    <row r="69" spans="10:11" x14ac:dyDescent="0.2">
      <c r="J69">
        <v>51</v>
      </c>
      <c r="K69">
        <f t="shared" si="3"/>
        <v>0.60500606713753646</v>
      </c>
    </row>
    <row r="70" spans="10:11" x14ac:dyDescent="0.2">
      <c r="J70">
        <v>52</v>
      </c>
      <c r="K70">
        <f t="shared" si="3"/>
        <v>0.59895600646616109</v>
      </c>
    </row>
    <row r="71" spans="10:11" x14ac:dyDescent="0.2">
      <c r="J71">
        <v>53</v>
      </c>
      <c r="K71">
        <f t="shared" si="3"/>
        <v>0.59296644640149943</v>
      </c>
    </row>
    <row r="72" spans="10:11" x14ac:dyDescent="0.2">
      <c r="J72">
        <v>54</v>
      </c>
      <c r="K72">
        <f t="shared" si="3"/>
        <v>0.58703678193748443</v>
      </c>
    </row>
    <row r="73" spans="10:11" x14ac:dyDescent="0.2">
      <c r="J73">
        <v>55</v>
      </c>
      <c r="K73">
        <f t="shared" si="3"/>
        <v>0.58116641411810954</v>
      </c>
    </row>
    <row r="74" spans="10:11" x14ac:dyDescent="0.2">
      <c r="J74">
        <v>56</v>
      </c>
      <c r="K74">
        <f t="shared" si="3"/>
        <v>0.57535474997692848</v>
      </c>
    </row>
    <row r="75" spans="10:11" x14ac:dyDescent="0.2">
      <c r="J75">
        <v>57</v>
      </c>
      <c r="K75">
        <f t="shared" si="3"/>
        <v>0.56960120247715917</v>
      </c>
    </row>
    <row r="76" spans="10:11" x14ac:dyDescent="0.2">
      <c r="J76">
        <v>58</v>
      </c>
      <c r="K76">
        <f t="shared" si="3"/>
        <v>0.56390519045238763</v>
      </c>
    </row>
    <row r="77" spans="10:11" x14ac:dyDescent="0.2">
      <c r="J77">
        <v>59</v>
      </c>
      <c r="K77">
        <f t="shared" si="3"/>
        <v>0.55826613854786378</v>
      </c>
    </row>
    <row r="78" spans="10:11" x14ac:dyDescent="0.2">
      <c r="J78">
        <v>60</v>
      </c>
      <c r="K78">
        <f t="shared" si="3"/>
        <v>0.55268347716238508</v>
      </c>
    </row>
  </sheetData>
  <phoneticPr fontId="4" type="noConversion"/>
  <conditionalFormatting sqref="K19:K7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{38C7F090-46B4-4443-86AC-14DD0C6FA069}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C7F090-46B4-4443-86AC-14DD0C6FA0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K19:K78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B692-E10F-479F-ABFA-C16A979BA6F0}">
  <dimension ref="A1:X5"/>
  <sheetViews>
    <sheetView workbookViewId="0">
      <selection activeCell="A5" sqref="A5:XFD5"/>
    </sheetView>
  </sheetViews>
  <sheetFormatPr defaultRowHeight="14.25" x14ac:dyDescent="0.2"/>
  <cols>
    <col min="5" max="5" width="14.125" customWidth="1"/>
    <col min="10" max="10" width="13.625" bestFit="1" customWidth="1"/>
    <col min="15" max="15" width="8.625" customWidth="1"/>
  </cols>
  <sheetData>
    <row r="1" spans="1:24" s="66" customFormat="1" x14ac:dyDescent="0.2">
      <c r="A1" s="165" t="s">
        <v>380</v>
      </c>
      <c r="B1" s="165" t="s">
        <v>428</v>
      </c>
      <c r="C1" s="167" t="s">
        <v>430</v>
      </c>
      <c r="D1" s="167" t="s">
        <v>396</v>
      </c>
      <c r="E1" s="165" t="s">
        <v>400</v>
      </c>
      <c r="F1" s="166"/>
      <c r="G1" s="166"/>
      <c r="H1" s="166"/>
      <c r="I1" s="166"/>
      <c r="J1" s="165" t="s">
        <v>401</v>
      </c>
      <c r="K1" s="166"/>
      <c r="L1" s="166"/>
      <c r="M1" s="166"/>
      <c r="N1" s="166"/>
      <c r="O1" s="165" t="s">
        <v>402</v>
      </c>
      <c r="P1" s="166"/>
      <c r="Q1" s="166"/>
      <c r="R1" s="166"/>
      <c r="S1" s="166"/>
      <c r="T1" s="165" t="s">
        <v>403</v>
      </c>
      <c r="U1" s="166"/>
      <c r="V1" s="166"/>
      <c r="W1" s="166"/>
      <c r="X1" s="167"/>
    </row>
    <row r="2" spans="1:24" s="66" customFormat="1" x14ac:dyDescent="0.2">
      <c r="A2" s="168"/>
      <c r="B2" s="168"/>
      <c r="C2" s="169"/>
      <c r="D2" s="169"/>
      <c r="E2" s="93" t="s">
        <v>397</v>
      </c>
      <c r="F2" s="87" t="s">
        <v>283</v>
      </c>
      <c r="G2" s="87" t="s">
        <v>404</v>
      </c>
      <c r="H2" s="87" t="s">
        <v>398</v>
      </c>
      <c r="I2" s="87" t="s">
        <v>399</v>
      </c>
      <c r="J2" s="85" t="s">
        <v>397</v>
      </c>
      <c r="K2" s="87" t="s">
        <v>283</v>
      </c>
      <c r="L2" s="87" t="s">
        <v>404</v>
      </c>
      <c r="M2" s="87" t="s">
        <v>398</v>
      </c>
      <c r="N2" s="87" t="s">
        <v>399</v>
      </c>
      <c r="O2" s="93" t="s">
        <v>397</v>
      </c>
      <c r="P2" s="87" t="s">
        <v>283</v>
      </c>
      <c r="Q2" s="87" t="s">
        <v>404</v>
      </c>
      <c r="R2" s="87" t="s">
        <v>398</v>
      </c>
      <c r="S2" s="87" t="s">
        <v>399</v>
      </c>
      <c r="T2" s="85" t="s">
        <v>397</v>
      </c>
      <c r="U2" s="87" t="s">
        <v>283</v>
      </c>
      <c r="V2" s="87" t="s">
        <v>404</v>
      </c>
      <c r="W2" s="87" t="s">
        <v>398</v>
      </c>
      <c r="X2" s="86" t="s">
        <v>399</v>
      </c>
    </row>
    <row r="3" spans="1:24" s="66" customFormat="1" x14ac:dyDescent="0.2">
      <c r="A3" s="84">
        <v>1</v>
      </c>
      <c r="B3" s="88">
        <f>MAX(MIN(战斗节奏!$C$2-INT(A3/'⚪设计'!$C$55),MOD(A3,'⚪设计'!$C$55)),0)*'⚪设计'!$C$79*防御塔!$C$2+MIN(INT(A3/'⚪设计'!$C$55),战斗节奏!$C$2)*'⚪设计'!$C$80*防御塔!$C$2</f>
        <v>900</v>
      </c>
      <c r="C3" s="7">
        <v>1</v>
      </c>
      <c r="D3" s="7">
        <v>10</v>
      </c>
      <c r="E3" s="71" t="str">
        <f>IF(VLOOKUP(A3,'⚪设计'!$A$115:$G$117,4,FALSE)="","",VLOOKUP(VLOOKUP(A3,'⚪设计'!$A$115:$G$117,4,FALSE),'⚪设计'!$B$85:$D$101,2,FALSE))</f>
        <v>ResUnit_MiFeng1</v>
      </c>
      <c r="F3" s="88">
        <f>IF(E3="",0,IF(G3=0,1,ROUND($D3/G3,0)))</f>
        <v>13</v>
      </c>
      <c r="G3" s="7">
        <v>0.75</v>
      </c>
      <c r="H3" s="88">
        <f>IF(E3="",0,ROUND(VLOOKUP($A3,'⚪设计'!$A$115:$B$212,2,FALSE)*$B3/SUM(IF($E3="",0,VLOOKUP($E3,'⚪设计'!$C$85:$E$101,3,FALSE))*$F3,IF($J3="",0,VLOOKUP($J3,'⚪设计'!$C$85:$E$101,3,FALSE))*$K3,IF($O3="",0,VLOOKUP($O3,'⚪设计'!$C$85:$E$101,3,FALSE))*$P3,IF($T3="",0,VLOOKUP($T3,'⚪设计'!$C$85:$E$101,3,FALSE))*$U3)*VLOOKUP(E3,'⚪设计'!$C$85:$E$101,3,FALSE),0))</f>
        <v>208</v>
      </c>
      <c r="I3" s="88">
        <f>ROUND(战斗节奏!$B$2/SUM(IF($E3="",0,VLOOKUP($E3,'⚪设计'!$C$85:$G$101,4,FALSE)*$F3),IF($J3="",0,VLOOKUP($J3,'⚪设计'!$C$85:$G$101,4,FALSE)*$K3),IF($O3="",0,VLOOKUP($O3,'⚪设计'!$C$85:$G$101,4,FALSE)*$P3),IF($T3="",0,VLOOKUP($T3,'⚪设计'!$C$85:$G$101,4,FALSE)*$U3))*IF(E3="",0,VLOOKUP(E3,'⚪设计'!$C$85:$G$101,4,FALSE)),0)</f>
        <v>35</v>
      </c>
      <c r="J3" s="88" t="str">
        <f>IF(VLOOKUP(A3,'⚪设计'!$A$115:$G$117,5,FALSE)="","",VLOOKUP(VLOOKUP(A3,'⚪设计'!$A$115:$G$117,5,FALSE),'⚪设计'!$B$85:$D$101,2,FALSE))</f>
        <v/>
      </c>
      <c r="K3" s="88">
        <f>IF(J3="",0,IF(L3=0,1,ROUND($D3/L3,0)))</f>
        <v>0</v>
      </c>
      <c r="L3" s="7"/>
      <c r="M3" s="88">
        <f>IF(J3="",0,ROUND(VLOOKUP($A3,'⚪设计'!$A$115:$B$212,2,FALSE)*$B3/SUM(IF($E3="",0,VLOOKUP($E3,'⚪设计'!$C$85:$E$101,3,FALSE))*$F3,IF($J3="",0,VLOOKUP($J3,'⚪设计'!$C$85:$E$101,3,FALSE))*$K3,IF($O3="",0,VLOOKUP($O3,'⚪设计'!$C$85:$E$101,3,FALSE))*$P3,IF($T3="",0,VLOOKUP($T3,'⚪设计'!$C$85:$E$101,3,FALSE))*$U3)*VLOOKUP(J3,'⚪设计'!$C$85:$E$101,3,FALSE),0))</f>
        <v>0</v>
      </c>
      <c r="N3" s="88">
        <f>ROUND(战斗节奏!$B$2/SUM(IF($E3="",0,VLOOKUP($E3,'⚪设计'!$C$85:$G$101,4,FALSE)*$F3),IF($J3="",0,VLOOKUP($J3,'⚪设计'!$C$85:$G$101,4,FALSE)*$K3),IF($O3="",0,VLOOKUP($O3,'⚪设计'!$C$85:$G$101,4,FALSE)*$P3),IF($T3="",0,VLOOKUP($T3,'⚪设计'!$C$85:$G$101,4,FALSE)*$U3))*IF(J3="",0,VLOOKUP(J3,'⚪设计'!$C$85:$G$101,4,FALSE)),0)</f>
        <v>0</v>
      </c>
      <c r="O3" s="71" t="str">
        <f>IF(VLOOKUP(A3,'⚪设计'!$A$115:$G$117,6,FALSE)="","",VLOOKUP(VLOOKUP(A3,'⚪设计'!$A$115:$G$117,6,FALSE),'⚪设计'!$B$85:$D$101,2,FALSE))</f>
        <v/>
      </c>
      <c r="P3" s="88">
        <f>IF(O3="",0,IF(Q3=0,1,ROUND($D3/Q3,0)))</f>
        <v>0</v>
      </c>
      <c r="Q3" s="7"/>
      <c r="R3" s="88">
        <f>IF(O3="",0,ROUND(VLOOKUP($A3,'⚪设计'!$A$115:$B$212,2,FALSE)*$B3/SUM(IF($E3="",0,VLOOKUP($E3,'⚪设计'!$C$85:$E$101,3,FALSE))*$F3,IF($J3="",0,VLOOKUP($J3,'⚪设计'!$C$85:$E$101,3,FALSE))*$K3,IF($O3="",0,VLOOKUP($O3,'⚪设计'!$C$85:$E$101,3,FALSE))*$P3,IF($T3="",0,VLOOKUP($T3,'⚪设计'!$C$85:$E$101,3,FALSE))*$U3)*VLOOKUP(O3,'⚪设计'!$C$85:$E$101,3,FALSE),0))</f>
        <v>0</v>
      </c>
      <c r="S3" s="88">
        <f>ROUND(战斗节奏!$B$2/SUM(IF($E3="",0,VLOOKUP($E3,'⚪设计'!$C$85:$G$101,4,FALSE)*$F3),IF($J3="",0,VLOOKUP($J3,'⚪设计'!$C$85:$G$101,4,FALSE)*$K3),IF($O3="",0,VLOOKUP($O3,'⚪设计'!$C$85:$G$101,4,FALSE)*$P3),IF($T3="",0,VLOOKUP($T3,'⚪设计'!$C$85:$G$101,4,FALSE)*$U3))*IF(O3="",0,VLOOKUP(O3,'⚪设计'!$C$85:$G$101,4,FALSE)),0)</f>
        <v>0</v>
      </c>
      <c r="T3" s="88" t="str">
        <f>IF(VLOOKUP(A3,'⚪设计'!$A$115:$G$117,7,FALSE)="","",VLOOKUP(VLOOKUP(A3,'⚪设计'!$A$115:$G$117,7,FALSE),'⚪设计'!$B$85:$D$101,2,FALSE))</f>
        <v/>
      </c>
      <c r="U3" s="88">
        <f>IF(T3="",0,IF(V3=0,1,ROUND($D3/V3,0)))</f>
        <v>0</v>
      </c>
      <c r="V3" s="7"/>
      <c r="W3" s="88">
        <f>IF(T3="",0,ROUND(VLOOKUP($A3,'⚪设计'!$A$115:$B$212,2,FALSE)*$B3/SUM(IF($E3="",0,VLOOKUP($E3,'⚪设计'!$C$85:$E$101,3,FALSE))*$F3,IF($J3="",0,VLOOKUP($J3,'⚪设计'!$C$85:$E$101,3,FALSE))*$K3,IF($O3="",0,VLOOKUP($O3,'⚪设计'!$C$85:$E$101,3,FALSE))*$P3,IF($T3="",0,VLOOKUP($T3,'⚪设计'!$C$85:$E$101,3,FALSE))*$U3)*VLOOKUP(T3,'⚪设计'!$C$85:$E$101,3,FALSE),0))</f>
        <v>0</v>
      </c>
      <c r="X3" s="88">
        <f>ROUND(战斗节奏!$B$2/SUM(IF($E3="",0,VLOOKUP($E3,'⚪设计'!$C$85:$G$101,4,FALSE)*$F3),IF($J3="",0,VLOOKUP($J3,'⚪设计'!$C$85:$G$101,4,FALSE)*$K3),IF($O3="",0,VLOOKUP($O3,'⚪设计'!$C$85:$G$101,4,FALSE)*$P3),IF($T3="",0,VLOOKUP($T3,'⚪设计'!$C$85:$G$101,4,FALSE)*$U3))*IF(T3="",0,VLOOKUP(T3,'⚪设计'!$C$85:$G$101,4,FALSE)),0)</f>
        <v>0</v>
      </c>
    </row>
    <row r="4" spans="1:24" s="66" customFormat="1" x14ac:dyDescent="0.2">
      <c r="A4" s="84">
        <v>2</v>
      </c>
      <c r="B4" s="88">
        <f>MAX(MIN(战斗节奏!$C$2-INT(A4/'⚪设计'!$C$55),MOD(A4,'⚪设计'!$C$55)),0)*'⚪设计'!$C$79*防御塔!$C$2+MIN(INT(A4/'⚪设计'!$C$55),战斗节奏!$C$2)*'⚪设计'!$C$80*防御塔!$C$2</f>
        <v>1800</v>
      </c>
      <c r="C4" s="7">
        <v>1.05</v>
      </c>
      <c r="D4" s="7">
        <v>11</v>
      </c>
      <c r="E4" s="71" t="str">
        <f>IF(VLOOKUP(A4,'⚪设计'!$A$115:$G$117,4,FALSE)="","",VLOOKUP(VLOOKUP(A4,'⚪设计'!$A$115:$G$117,4,FALSE),'⚪设计'!$B$85:$D$101,2,FALSE))</f>
        <v>ResUnit_MiFeng1</v>
      </c>
      <c r="F4" s="88">
        <f t="shared" ref="F4:F5" si="0">IF(E4="",0,IF(G4=0,1,ROUND($D4/G4,0)))</f>
        <v>7</v>
      </c>
      <c r="G4" s="7">
        <v>1.5</v>
      </c>
      <c r="H4" s="88">
        <f>IF(E4="",0,ROUND(VLOOKUP($A4,'⚪设计'!$A$115:$B$212,2,FALSE)*$B4/SUM(IF($E4="",0,VLOOKUP($E4,'⚪设计'!$C$85:$E$101,3,FALSE))*$F4,IF($J4="",0,VLOOKUP($J4,'⚪设计'!$C$85:$E$101,3,FALSE))*$K4,IF($O4="",0,VLOOKUP($O4,'⚪设计'!$C$85:$E$101,3,FALSE))*$P4,IF($T4="",0,VLOOKUP($T4,'⚪设计'!$C$85:$E$101,3,FALSE))*$U4)*VLOOKUP(E4,'⚪设计'!$C$85:$E$101,3,FALSE),0))</f>
        <v>321</v>
      </c>
      <c r="I4" s="88">
        <f>ROUND(战斗节奏!$B$2/SUM(IF($E4="",0,VLOOKUP($E4,'⚪设计'!$C$85:$G$101,4,FALSE)*$F4),IF($J4="",0,VLOOKUP($J4,'⚪设计'!$C$85:$G$101,4,FALSE)*$K4),IF($O4="",0,VLOOKUP($O4,'⚪设计'!$C$85:$G$101,4,FALSE)*$P4),IF($T4="",0,VLOOKUP($T4,'⚪设计'!$C$85:$G$101,4,FALSE)*$U4))*IF(E4="",0,VLOOKUP(E4,'⚪设计'!$C$85:$G$101,4,FALSE)),0)</f>
        <v>64</v>
      </c>
      <c r="J4" s="88" t="str">
        <f>IF(VLOOKUP(A4,'⚪设计'!$A$115:$G$117,5,FALSE)="","",VLOOKUP(VLOOKUP(A4,'⚪设计'!$A$115:$G$117,5,FALSE),'⚪设计'!$B$85:$D$101,2,FALSE))</f>
        <v/>
      </c>
      <c r="K4" s="88">
        <f t="shared" ref="K4:K5" si="1">IF(J4="",0,IF(L4=0,1,ROUND($D4/L4,0)))</f>
        <v>0</v>
      </c>
      <c r="L4" s="7"/>
      <c r="M4" s="88">
        <f>IF(J4="",0,ROUND(VLOOKUP($A4,'⚪设计'!$A$115:$B$212,2,FALSE)*$B4/SUM(IF($E4="",0,VLOOKUP($E4,'⚪设计'!$C$85:$E$101,3,FALSE))*$F4,IF($J4="",0,VLOOKUP($J4,'⚪设计'!$C$85:$E$101,3,FALSE))*$K4,IF($O4="",0,VLOOKUP($O4,'⚪设计'!$C$85:$E$101,3,FALSE))*$P4,IF($T4="",0,VLOOKUP($T4,'⚪设计'!$C$85:$E$101,3,FALSE))*$U4)*VLOOKUP(J4,'⚪设计'!$C$85:$E$101,3,FALSE),0))</f>
        <v>0</v>
      </c>
      <c r="N4" s="88">
        <f>ROUND(战斗节奏!$B$2/SUM(IF($E4="",0,VLOOKUP($E4,'⚪设计'!$C$85:$G$101,4,FALSE)*$F4),IF($J4="",0,VLOOKUP($J4,'⚪设计'!$C$85:$G$101,4,FALSE)*$K4),IF($O4="",0,VLOOKUP($O4,'⚪设计'!$C$85:$G$101,4,FALSE)*$P4),IF($T4="",0,VLOOKUP($T4,'⚪设计'!$C$85:$G$101,4,FALSE)*$U4))*IF(J4="",0,VLOOKUP(J4,'⚪设计'!$C$85:$G$101,4,FALSE)),0)</f>
        <v>0</v>
      </c>
      <c r="O4" s="71" t="str">
        <f>IF(VLOOKUP(A4,'⚪设计'!$A$115:$G$117,6,FALSE)="","",VLOOKUP(VLOOKUP(A4,'⚪设计'!$A$115:$G$117,6,FALSE),'⚪设计'!$B$85:$D$101,2,FALSE))</f>
        <v/>
      </c>
      <c r="P4" s="88">
        <f t="shared" ref="P4:P5" si="2">IF(O4="",0,IF(Q4=0,1,ROUND($D4/Q4,0)))</f>
        <v>0</v>
      </c>
      <c r="Q4" s="7"/>
      <c r="R4" s="88">
        <f>IF(O4="",0,ROUND(VLOOKUP($A4,'⚪设计'!$A$115:$B$212,2,FALSE)*$B4/SUM(IF($E4="",0,VLOOKUP($E4,'⚪设计'!$C$85:$E$101,3,FALSE))*$F4,IF($J4="",0,VLOOKUP($J4,'⚪设计'!$C$85:$E$101,3,FALSE))*$K4,IF($O4="",0,VLOOKUP($O4,'⚪设计'!$C$85:$E$101,3,FALSE))*$P4,IF($T4="",0,VLOOKUP($T4,'⚪设计'!$C$85:$E$101,3,FALSE))*$U4)*VLOOKUP(O4,'⚪设计'!$C$85:$E$101,3,FALSE),0))</f>
        <v>0</v>
      </c>
      <c r="S4" s="88">
        <f>ROUND(战斗节奏!$B$2/SUM(IF($E4="",0,VLOOKUP($E4,'⚪设计'!$C$85:$G$101,4,FALSE)*$F4),IF($J4="",0,VLOOKUP($J4,'⚪设计'!$C$85:$G$101,4,FALSE)*$K4),IF($O4="",0,VLOOKUP($O4,'⚪设计'!$C$85:$G$101,4,FALSE)*$P4),IF($T4="",0,VLOOKUP($T4,'⚪设计'!$C$85:$G$101,4,FALSE)*$U4))*IF(O4="",0,VLOOKUP(O4,'⚪设计'!$C$85:$G$101,4,FALSE)),0)</f>
        <v>0</v>
      </c>
      <c r="T4" s="88" t="str">
        <f>IF(VLOOKUP(A4,'⚪设计'!$A$115:$G$117,7,FALSE)="","",VLOOKUP(VLOOKUP(A4,'⚪设计'!$A$115:$G$117,7,FALSE),'⚪设计'!$B$85:$D$101,2,FALSE))</f>
        <v/>
      </c>
      <c r="U4" s="88">
        <f t="shared" ref="U4:U5" si="3">IF(T4="",0,IF(V4=0,1,ROUND($D4/V4,0)))</f>
        <v>0</v>
      </c>
      <c r="V4" s="7"/>
      <c r="W4" s="88">
        <f>IF(T4="",0,ROUND(VLOOKUP($A4,'⚪设计'!$A$115:$B$212,2,FALSE)*$B4/SUM(IF($E4="",0,VLOOKUP($E4,'⚪设计'!$C$85:$E$101,3,FALSE))*$F4,IF($J4="",0,VLOOKUP($J4,'⚪设计'!$C$85:$E$101,3,FALSE))*$K4,IF($O4="",0,VLOOKUP($O4,'⚪设计'!$C$85:$E$101,3,FALSE))*$P4,IF($T4="",0,VLOOKUP($T4,'⚪设计'!$C$85:$E$101,3,FALSE))*$U4)*VLOOKUP(T4,'⚪设计'!$C$85:$E$101,3,FALSE),0))</f>
        <v>0</v>
      </c>
      <c r="X4" s="88">
        <f>ROUND(战斗节奏!$B$2/SUM(IF($E4="",0,VLOOKUP($E4,'⚪设计'!$C$85:$G$101,4,FALSE)*$F4),IF($J4="",0,VLOOKUP($J4,'⚪设计'!$C$85:$G$101,4,FALSE)*$K4),IF($O4="",0,VLOOKUP($O4,'⚪设计'!$C$85:$G$101,4,FALSE)*$P4),IF($T4="",0,VLOOKUP($T4,'⚪设计'!$C$85:$G$101,4,FALSE)*$U4))*IF(T4="",0,VLOOKUP(T4,'⚪设计'!$C$85:$G$101,4,FALSE)),0)</f>
        <v>0</v>
      </c>
    </row>
    <row r="5" spans="1:24" s="66" customFormat="1" x14ac:dyDescent="0.2">
      <c r="A5" s="84">
        <v>3</v>
      </c>
      <c r="B5" s="88">
        <f>MAX(MIN(战斗节奏!$C$2-INT(A5/'⚪设计'!$C$55),MOD(A5,'⚪设计'!$C$55)),0)*'⚪设计'!$C$79*防御塔!$C$2+MIN(INT(A5/'⚪设计'!$C$55),战斗节奏!$C$2)*'⚪设计'!$C$80*防御塔!$C$2</f>
        <v>3600</v>
      </c>
      <c r="C5" s="7">
        <v>1.1000000000000001</v>
      </c>
      <c r="D5" s="7">
        <v>12</v>
      </c>
      <c r="E5" s="71" t="str">
        <f>IF(VLOOKUP(A5,'⚪设计'!$A$115:$G$117,4,FALSE)="","",VLOOKUP(VLOOKUP(A5,'⚪设计'!$A$115:$G$117,4,FALSE),'⚪设计'!$B$85:$D$101,2,FALSE))</f>
        <v>ResUnit_MiFeng1</v>
      </c>
      <c r="F5" s="88">
        <f t="shared" si="0"/>
        <v>16</v>
      </c>
      <c r="G5" s="7">
        <v>0.75</v>
      </c>
      <c r="H5" s="88">
        <f>IF(E5="",0,ROUND(VLOOKUP($A5,'⚪设计'!$A$115:$B$212,2,FALSE)*$B5/SUM(IF($E5="",0,VLOOKUP($E5,'⚪设计'!$C$85:$E$101,3,FALSE))*$F5,IF($J5="",0,VLOOKUP($J5,'⚪设计'!$C$85:$E$101,3,FALSE))*$K5,IF($O5="",0,VLOOKUP($O5,'⚪设计'!$C$85:$E$101,3,FALSE))*$P5,IF($T5="",0,VLOOKUP($T5,'⚪设计'!$C$85:$E$101,3,FALSE))*$U5)*VLOOKUP(E5,'⚪设计'!$C$85:$E$101,3,FALSE),0))</f>
        <v>110</v>
      </c>
      <c r="I5" s="88">
        <f>ROUND(战斗节奏!$B$2/SUM(IF($E5="",0,VLOOKUP($E5,'⚪设计'!$C$85:$G$101,4,FALSE)*$F5),IF($J5="",0,VLOOKUP($J5,'⚪设计'!$C$85:$G$101,4,FALSE)*$K5),IF($O5="",0,VLOOKUP($O5,'⚪设计'!$C$85:$G$101,4,FALSE)*$P5),IF($T5="",0,VLOOKUP($T5,'⚪设计'!$C$85:$G$101,4,FALSE)*$U5))*IF(E5="",0,VLOOKUP(E5,'⚪设计'!$C$85:$G$101,4,FALSE)),0)</f>
        <v>6</v>
      </c>
      <c r="J5" s="88" t="str">
        <f>IF(VLOOKUP(A5,'⚪设计'!$A$115:$G$117,5,FALSE)="","",VLOOKUP(VLOOKUP(A5,'⚪设计'!$A$115:$G$117,5,FALSE),'⚪设计'!$B$85:$D$101,2,FALSE))</f>
        <v>ResUnit_Dan1</v>
      </c>
      <c r="K5" s="88">
        <f t="shared" si="1"/>
        <v>8</v>
      </c>
      <c r="L5" s="7">
        <v>1.5</v>
      </c>
      <c r="M5" s="88">
        <f>IF(J5="",0,ROUND(VLOOKUP($A5,'⚪设计'!$A$115:$B$212,2,FALSE)*$B5/SUM(IF($E5="",0,VLOOKUP($E5,'⚪设计'!$C$85:$E$101,3,FALSE))*$F5,IF($J5="",0,VLOOKUP($J5,'⚪设计'!$C$85:$E$101,3,FALSE))*$K5,IF($O5="",0,VLOOKUP($O5,'⚪设计'!$C$85:$E$101,3,FALSE))*$P5,IF($T5="",0,VLOOKUP($T5,'⚪设计'!$C$85:$E$101,3,FALSE))*$U5)*VLOOKUP(J5,'⚪设计'!$C$85:$E$101,3,FALSE),0))</f>
        <v>440</v>
      </c>
      <c r="N5" s="88">
        <f>ROUND(战斗节奏!$B$2/SUM(IF($E5="",0,VLOOKUP($E5,'⚪设计'!$C$85:$G$101,4,FALSE)*$F5),IF($J5="",0,VLOOKUP($J5,'⚪设计'!$C$85:$G$101,4,FALSE)*$K5),IF($O5="",0,VLOOKUP($O5,'⚪设计'!$C$85:$G$101,4,FALSE)*$P5),IF($T5="",0,VLOOKUP($T5,'⚪设计'!$C$85:$G$101,4,FALSE)*$U5))*IF(J5="",0,VLOOKUP(J5,'⚪设计'!$C$85:$G$101,4,FALSE)),0)</f>
        <v>25</v>
      </c>
      <c r="O5" s="71" t="str">
        <f>IF(VLOOKUP(A5,'⚪设计'!$A$115:$G$117,6,FALSE)="","",VLOOKUP(VLOOKUP(A5,'⚪设计'!$A$115:$G$117,6,FALSE),'⚪设计'!$B$85:$D$101,2,FALSE))</f>
        <v>ResUnit_ZhiZhu1</v>
      </c>
      <c r="P5" s="88">
        <f t="shared" si="2"/>
        <v>12</v>
      </c>
      <c r="Q5" s="7">
        <v>1</v>
      </c>
      <c r="R5" s="88">
        <f>IF(O5="",0,ROUND(VLOOKUP($A5,'⚪设计'!$A$115:$B$212,2,FALSE)*$B5/SUM(IF($E5="",0,VLOOKUP($E5,'⚪设计'!$C$85:$E$101,3,FALSE))*$F5,IF($J5="",0,VLOOKUP($J5,'⚪设计'!$C$85:$E$101,3,FALSE))*$K5,IF($O5="",0,VLOOKUP($O5,'⚪设计'!$C$85:$E$101,3,FALSE))*$P5,IF($T5="",0,VLOOKUP($T5,'⚪设计'!$C$85:$E$101,3,FALSE))*$U5)*VLOOKUP(O5,'⚪设计'!$C$85:$E$101,3,FALSE),0))</f>
        <v>220</v>
      </c>
      <c r="S5" s="88">
        <f>ROUND(战斗节奏!$B$2/SUM(IF($E5="",0,VLOOKUP($E5,'⚪设计'!$C$85:$G$101,4,FALSE)*$F5),IF($J5="",0,VLOOKUP($J5,'⚪设计'!$C$85:$G$101,4,FALSE)*$K5),IF($O5="",0,VLOOKUP($O5,'⚪设计'!$C$85:$G$101,4,FALSE)*$P5),IF($T5="",0,VLOOKUP($T5,'⚪设计'!$C$85:$G$101,4,FALSE)*$U5))*IF(O5="",0,VLOOKUP(O5,'⚪设计'!$C$85:$G$101,4,FALSE)),0)</f>
        <v>13</v>
      </c>
      <c r="T5" s="88" t="str">
        <f>IF(VLOOKUP(A5,'⚪设计'!$A$115:$G$117,7,FALSE)="","",VLOOKUP(VLOOKUP(A5,'⚪设计'!$A$115:$G$117,7,FALSE),'⚪设计'!$B$85:$D$101,2,FALSE))</f>
        <v/>
      </c>
      <c r="U5" s="88">
        <f t="shared" si="3"/>
        <v>0</v>
      </c>
      <c r="V5" s="7"/>
      <c r="W5" s="88">
        <f>IF(T5="",0,ROUND(VLOOKUP($A5,'⚪设计'!$A$115:$B$212,2,FALSE)*$B5/SUM(IF($E5="",0,VLOOKUP($E5,'⚪设计'!$C$85:$E$101,3,FALSE))*$F5,IF($J5="",0,VLOOKUP($J5,'⚪设计'!$C$85:$E$101,3,FALSE))*$K5,IF($O5="",0,VLOOKUP($O5,'⚪设计'!$C$85:$E$101,3,FALSE))*$P5,IF($T5="",0,VLOOKUP($T5,'⚪设计'!$C$85:$E$101,3,FALSE))*$U5)*VLOOKUP(T5,'⚪设计'!$C$85:$E$101,3,FALSE),0))</f>
        <v>0</v>
      </c>
      <c r="X5" s="88">
        <f>ROUND(战斗节奏!$B$2/SUM(IF($E5="",0,VLOOKUP($E5,'⚪设计'!$C$85:$G$101,4,FALSE)*$F5),IF($J5="",0,VLOOKUP($J5,'⚪设计'!$C$85:$G$101,4,FALSE)*$K5),IF($O5="",0,VLOOKUP($O5,'⚪设计'!$C$85:$G$101,4,FALSE)*$P5),IF($T5="",0,VLOOKUP($T5,'⚪设计'!$C$85:$G$101,4,FALSE)*$U5))*IF(T5="",0,VLOOKUP(T5,'⚪设计'!$C$85:$G$101,4,FALSE)),0)</f>
        <v>0</v>
      </c>
    </row>
  </sheetData>
  <mergeCells count="8">
    <mergeCell ref="E1:I1"/>
    <mergeCell ref="J1:N1"/>
    <mergeCell ref="O1:S1"/>
    <mergeCell ref="T1:X1"/>
    <mergeCell ref="A1:A2"/>
    <mergeCell ref="B1:B2"/>
    <mergeCell ref="C1:C2"/>
    <mergeCell ref="D1:D2"/>
  </mergeCells>
  <phoneticPr fontId="4" type="noConversion"/>
  <conditionalFormatting sqref="A3:X5">
    <cfRule type="cellIs" dxfId="21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02F0-2EB0-43F1-9C67-E9B8E603D573}">
  <dimension ref="A1:Z52"/>
  <sheetViews>
    <sheetView zoomScale="85" zoomScaleNormal="85" workbookViewId="0">
      <selection activeCell="A8" sqref="A8:XFD10"/>
    </sheetView>
  </sheetViews>
  <sheetFormatPr defaultColWidth="9" defaultRowHeight="14.25" x14ac:dyDescent="0.2"/>
  <cols>
    <col min="1" max="16384" width="9" style="96"/>
  </cols>
  <sheetData>
    <row r="1" spans="1:26" x14ac:dyDescent="0.2">
      <c r="A1" s="165" t="s">
        <v>665</v>
      </c>
      <c r="B1" s="165" t="s">
        <v>62</v>
      </c>
      <c r="C1" s="165" t="s">
        <v>380</v>
      </c>
      <c r="D1" s="165" t="s">
        <v>428</v>
      </c>
      <c r="E1" s="167" t="s">
        <v>430</v>
      </c>
      <c r="F1" s="167" t="s">
        <v>396</v>
      </c>
      <c r="G1" s="165" t="s">
        <v>400</v>
      </c>
      <c r="H1" s="166"/>
      <c r="I1" s="166"/>
      <c r="J1" s="166"/>
      <c r="K1" s="166"/>
      <c r="L1" s="165" t="s">
        <v>401</v>
      </c>
      <c r="M1" s="166"/>
      <c r="N1" s="166"/>
      <c r="O1" s="166"/>
      <c r="P1" s="166"/>
      <c r="Q1" s="165" t="s">
        <v>402</v>
      </c>
      <c r="R1" s="166"/>
      <c r="S1" s="166"/>
      <c r="T1" s="166"/>
      <c r="U1" s="166"/>
      <c r="V1" s="165" t="s">
        <v>403</v>
      </c>
      <c r="W1" s="166"/>
      <c r="X1" s="166"/>
      <c r="Y1" s="166"/>
      <c r="Z1" s="167"/>
    </row>
    <row r="2" spans="1:26" x14ac:dyDescent="0.2">
      <c r="A2" s="168"/>
      <c r="B2" s="168"/>
      <c r="C2" s="168"/>
      <c r="D2" s="168"/>
      <c r="E2" s="169"/>
      <c r="F2" s="169"/>
      <c r="G2" s="85" t="s">
        <v>397</v>
      </c>
      <c r="H2" s="87" t="s">
        <v>283</v>
      </c>
      <c r="I2" s="87" t="s">
        <v>404</v>
      </c>
      <c r="J2" s="87" t="s">
        <v>398</v>
      </c>
      <c r="K2" s="87" t="s">
        <v>399</v>
      </c>
      <c r="L2" s="85" t="s">
        <v>397</v>
      </c>
      <c r="M2" s="87" t="s">
        <v>283</v>
      </c>
      <c r="N2" s="87" t="s">
        <v>404</v>
      </c>
      <c r="O2" s="87" t="s">
        <v>398</v>
      </c>
      <c r="P2" s="87" t="s">
        <v>399</v>
      </c>
      <c r="Q2" s="85" t="s">
        <v>397</v>
      </c>
      <c r="R2" s="87" t="s">
        <v>283</v>
      </c>
      <c r="S2" s="87" t="s">
        <v>404</v>
      </c>
      <c r="T2" s="87" t="s">
        <v>398</v>
      </c>
      <c r="U2" s="87" t="s">
        <v>399</v>
      </c>
      <c r="V2" s="85" t="s">
        <v>397</v>
      </c>
      <c r="W2" s="87" t="s">
        <v>283</v>
      </c>
      <c r="X2" s="87" t="s">
        <v>404</v>
      </c>
      <c r="Y2" s="87" t="s">
        <v>398</v>
      </c>
      <c r="Z2" s="86" t="s">
        <v>399</v>
      </c>
    </row>
    <row r="3" spans="1:26" x14ac:dyDescent="0.2">
      <c r="A3" s="2" t="str">
        <f>B3&amp;"_"&amp;C3</f>
        <v>1_1</v>
      </c>
      <c r="B3" s="2">
        <v>1</v>
      </c>
      <c r="C3" s="2">
        <v>1</v>
      </c>
      <c r="D3" s="97">
        <f>VLOOKUP(C3,无限模式!$A$3:$B$22,2,FALSE)</f>
        <v>900</v>
      </c>
      <c r="E3" s="98">
        <v>1</v>
      </c>
      <c r="F3" s="97">
        <f>'⚪设计'!F135</f>
        <v>10</v>
      </c>
      <c r="G3" s="97" t="str">
        <f>IF(VLOOKUP($A3,'⚪设计'!$A$135:$N$184,7,FALSE)="","",VLOOKUP($A3,'⚪设计'!$A$135:$N$184,7,FALSE))</f>
        <v>蜜蜂1</v>
      </c>
      <c r="H3" s="97">
        <f>IF(I3=0,1,IF(I3="","",ROUND($F3/I3,0)))</f>
        <v>5</v>
      </c>
      <c r="I3" s="97">
        <f>IF(VLOOKUP($A3,'⚪设计'!$A$135:$N$184,11,FALSE)="","",VLOOKUP($A3,'⚪设计'!$A$135:$N$184,11,FALSE))</f>
        <v>2</v>
      </c>
      <c r="J3" s="97">
        <f>IF(G3="","",ROUND($D3*'⚪设计'!$D135/(IF($G3="",0,VLOOKUP($G3,'⚪设计'!$B$85:$H$104,4,FALSE)*$H3)+IF($L3="",0,VLOOKUP($L3,'⚪设计'!$B$85:$H$104,4,FALSE)*$M3)+IF($Q3="",0,VLOOKUP($Q3,'⚪设计'!$B$85:$H$104,4,FALSE)*$R3)+IF($V3="",0,VLOOKUP($V3,'⚪设计'!$B$85:$H$104,4,FALSE)*$W3))*IF(G3="",0,VLOOKUP(G3,'⚪设计'!$B$85:$H$104,4,FALSE)),0))</f>
        <v>486</v>
      </c>
      <c r="K3" s="97">
        <f>IF(G3="","",ROUND(VLOOKUP($B3,战斗节奏!$A$4:$F$13,2,FALSE)/(IF($G3="",0,VLOOKUP($G3,'⚪设计'!$B$85:$H$104,5,FALSE)*$H3)+IF($L3="",0,VLOOKUP($L3,'⚪设计'!$B$85:$H$104,5,FALSE)*$M3)+IF($Q3="",0,VLOOKUP($Q3,'⚪设计'!$B$85:$H$104,5,FALSE)*$R3)+IF($V3="",0,VLOOKUP($V3,'⚪设计'!$B$85:$H$104,5,FALSE)*$W3))*IF(G3="",0,VLOOKUP(G3,'⚪设计'!$B$85:$H$104,5,FALSE)),0))</f>
        <v>40</v>
      </c>
      <c r="L3" s="97" t="str">
        <f>IF(VLOOKUP($A3,'⚪设计'!$A$135:$N$184,8,FALSE)="","",VLOOKUP($A3,'⚪设计'!$A$135:$N$184,8,FALSE))</f>
        <v/>
      </c>
      <c r="M3" s="97" t="str">
        <f>IF(N3=0,1,IF(N3="","",ROUND($F3/N3,0)))</f>
        <v/>
      </c>
      <c r="N3" s="97" t="str">
        <f>IF(VLOOKUP($A3,'⚪设计'!$A$135:$N$184,12,FALSE)="","",VLOOKUP($A3,'⚪设计'!$A$135:$N$184,12,FALSE))</f>
        <v/>
      </c>
      <c r="O3" s="97" t="str">
        <f>IF(L3="","",ROUND($D3*'⚪设计'!$D135/(IF($G3="",0,VLOOKUP($G3,'⚪设计'!$B$85:$H$104,4,FALSE)*$H3)+IF($L3="",0,VLOOKUP($L3,'⚪设计'!$B$85:$H$104,4,FALSE)*$M3)+IF($Q3="",0,VLOOKUP($Q3,'⚪设计'!$B$85:$H$104,4,FALSE)*$R3)+IF($V3="",0,VLOOKUP($V3,'⚪设计'!$B$85:$H$104,4,FALSE)*$W3))*IF(L3="",0,VLOOKUP(L3,'⚪设计'!$B$85:$H$104,4,FALSE)),0))</f>
        <v/>
      </c>
      <c r="P3" s="97" t="str">
        <f>IF(L3="","",ROUND(VLOOKUP($B3,战斗节奏!$A$4:$F$13,2,FALSE)/(IF($G3="",0,VLOOKUP($G3,'⚪设计'!$B$85:$H$104,5,FALSE)*$H3)+IF($L3="",0,VLOOKUP($L3,'⚪设计'!$B$85:$H$104,5,FALSE)*$M3)+IF($Q3="",0,VLOOKUP($Q3,'⚪设计'!$B$85:$H$104,5,FALSE)*$R3)+IF($V3="",0,VLOOKUP($V3,'⚪设计'!$B$85:$H$104,5,FALSE)*$W3))*IF(L3="",0,VLOOKUP(L3,'⚪设计'!$B$85:$H$104,5,FALSE)),0))</f>
        <v/>
      </c>
      <c r="Q3" s="97" t="str">
        <f>IF(VLOOKUP($A3,'⚪设计'!$A$135:$N$184,9,FALSE)="","",VLOOKUP($A3,'⚪设计'!$A$135:$N$184,9,FALSE))</f>
        <v/>
      </c>
      <c r="R3" s="97" t="str">
        <f>IF(S3=0,1,IF(S3="","",ROUND($F3/S3,0)))</f>
        <v/>
      </c>
      <c r="S3" s="97" t="str">
        <f>IF(VLOOKUP($A3,'⚪设计'!$A$135:$N$184,13,FALSE)="","",VLOOKUP($A3,'⚪设计'!$A$135:$N$184,13,FALSE))</f>
        <v/>
      </c>
      <c r="T3" s="97" t="str">
        <f>IF(Q3="","",ROUND($D3*'⚪设计'!$D135/(IF($G3="",0,VLOOKUP($G3,'⚪设计'!$B$85:$H$104,4,FALSE)*$H3)+IF($L3="",0,VLOOKUP($L3,'⚪设计'!$B$85:$H$104,4,FALSE)*$M3)+IF($Q3="",0,VLOOKUP($Q3,'⚪设计'!$B$85:$H$104,4,FALSE)*$R3)+IF($V3="",0,VLOOKUP($V3,'⚪设计'!$B$85:$H$104,4,FALSE)*$W3))*IF(Q3="",0,VLOOKUP(Q3,'⚪设计'!$B$85:$H$104,4,FALSE)),0))</f>
        <v/>
      </c>
      <c r="U3" s="97" t="str">
        <f>IF(Q3="","",ROUND(VLOOKUP($B3,战斗节奏!$A$4:$F$13,2,FALSE)/(IF($G3="",0,VLOOKUP($G3,'⚪设计'!$B$85:$H$104,5,FALSE)*$H3)+IF($L3="",0,VLOOKUP($L3,'⚪设计'!$B$85:$H$104,5,FALSE)*$M3)+IF($Q3="",0,VLOOKUP($Q3,'⚪设计'!$B$85:$H$104,5,FALSE)*$R3)+IF($V3="",0,VLOOKUP($V3,'⚪设计'!$B$85:$H$104,5,FALSE)*$W3))*IF(Q3="",0,VLOOKUP(Q3,'⚪设计'!$B$85:$H$104,5,FALSE)),0))</f>
        <v/>
      </c>
      <c r="V3" s="97" t="str">
        <f>IF(VLOOKUP($A3,'⚪设计'!$A$135:$N$184,10,FALSE)="","",VLOOKUP($A3,'⚪设计'!$A$135:$N$184,10,FALSE))</f>
        <v/>
      </c>
      <c r="W3" s="97" t="str">
        <f>IF(X3=0,1,IF(X3="","",ROUND($F3/X3,0)))</f>
        <v/>
      </c>
      <c r="X3" s="97" t="str">
        <f>IF(VLOOKUP($A3,'⚪设计'!$A$135:$N$184,14,FALSE)="","",VLOOKUP($A3,'⚪设计'!$A$135:$N$184,14,FALSE))</f>
        <v/>
      </c>
      <c r="Y3" s="97" t="str">
        <f>IF(V3="","",ROUND($D3*'⚪设计'!$D135/(IF($G3="",0,VLOOKUP($G3,'⚪设计'!$B$85:$H$104,4,FALSE)*$H3)+IF($L3="",0,VLOOKUP($L3,'⚪设计'!$B$85:$H$104,4,FALSE)*$M3)+IF($Q3="",0,VLOOKUP($Q3,'⚪设计'!$B$85:$H$104,4,FALSE)*$R3)+IF($V3="",0,VLOOKUP($V3,'⚪设计'!$B$85:$H$104,4,FALSE)*$W3))*IF(V3="",0,VLOOKUP(V3,'⚪设计'!$B$85:$H$104,4,FALSE)),0))</f>
        <v/>
      </c>
      <c r="Z3" s="97" t="str">
        <f>IF(V3="","",ROUND(VLOOKUP($B3,战斗节奏!$A$4:$F$13,2,FALSE)/(IF($G3="",0,VLOOKUP($G3,'⚪设计'!$B$85:$H$104,5,FALSE)*$H3)+IF($L3="",0,VLOOKUP($L3,'⚪设计'!$B$85:$H$104,5,FALSE)*$M3)+IF($Q3="",0,VLOOKUP($Q3,'⚪设计'!$B$85:$H$104,5,FALSE)*$R3)+IF($V3="",0,VLOOKUP($V3,'⚪设计'!$B$85:$H$104,5,FALSE)*$W3))*IF(V3="",0,VLOOKUP(V3,'⚪设计'!$B$85:$H$104,5,FALSE)),0))</f>
        <v/>
      </c>
    </row>
    <row r="4" spans="1:26" x14ac:dyDescent="0.2">
      <c r="A4" s="2" t="str">
        <f t="shared" ref="A4:A52" si="0">B4&amp;"_"&amp;C4</f>
        <v>1_2</v>
      </c>
      <c r="B4" s="2">
        <v>1</v>
      </c>
      <c r="C4" s="2">
        <v>2</v>
      </c>
      <c r="D4" s="97">
        <f>VLOOKUP(C4,无限模式!$A$3:$B$22,2,FALSE)</f>
        <v>1800</v>
      </c>
      <c r="E4" s="98">
        <v>1</v>
      </c>
      <c r="F4" s="97">
        <f>'⚪设计'!F136</f>
        <v>12.5</v>
      </c>
      <c r="G4" s="97" t="str">
        <f>IF(VLOOKUP($A4,'⚪设计'!$A$135:$N$184,7,FALSE)="","",VLOOKUP($A4,'⚪设计'!$A$135:$N$184,7,FALSE))</f>
        <v>蜜蜂1</v>
      </c>
      <c r="H4" s="97">
        <f t="shared" ref="H4:H52" si="1">IF(I4=0,1,IF(I4="","",ROUND($F4/I4,0)))</f>
        <v>25</v>
      </c>
      <c r="I4" s="97">
        <f>IF(VLOOKUP($A4,'⚪设计'!$A$135:$N$184,11,FALSE)="","",VLOOKUP($A4,'⚪设计'!$A$135:$N$184,11,FALSE))</f>
        <v>0.5</v>
      </c>
      <c r="J4" s="97">
        <f>IF(G4="","",ROUND($D4*'⚪设计'!$D136/(IF($G4="",0,VLOOKUP($G4,'⚪设计'!$B$85:$H$104,4,FALSE)*$H4)+IF($L4="",0,VLOOKUP($L4,'⚪设计'!$B$85:$H$104,4,FALSE)*$M4)+IF($Q4="",0,VLOOKUP($Q4,'⚪设计'!$B$85:$H$104,4,FALSE)*$R4)+IF($V4="",0,VLOOKUP($V4,'⚪设计'!$B$85:$H$104,4,FALSE)*$W4))*IF(G4="",0,VLOOKUP(G4,'⚪设计'!$B$85:$H$104,4,FALSE)),0))</f>
        <v>173</v>
      </c>
      <c r="K4" s="97">
        <f>IF(G4="","",ROUND(VLOOKUP($B4,战斗节奏!$A$4:$F$13,2,FALSE)/(IF($G4="",0,VLOOKUP($G4,'⚪设计'!$B$85:$H$104,5,FALSE)*$H4)+IF($L4="",0,VLOOKUP($L4,'⚪设计'!$B$85:$H$104,5,FALSE)*$M4)+IF($Q4="",0,VLOOKUP($Q4,'⚪设计'!$B$85:$H$104,5,FALSE)*$R4)+IF($V4="",0,VLOOKUP($V4,'⚪设计'!$B$85:$H$104,5,FALSE)*$W4))*IF(G4="",0,VLOOKUP(G4,'⚪设计'!$B$85:$H$104,5,FALSE)),0))</f>
        <v>8</v>
      </c>
      <c r="L4" s="97" t="str">
        <f>IF(VLOOKUP($A4,'⚪设计'!$A$135:$N$184,8,FALSE)="","",VLOOKUP($A4,'⚪设计'!$A$135:$N$184,8,FALSE))</f>
        <v/>
      </c>
      <c r="M4" s="97" t="str">
        <f t="shared" ref="M4:M52" si="2">IF(N4=0,1,IF(N4="","",ROUND($F4/N4,0)))</f>
        <v/>
      </c>
      <c r="N4" s="97" t="str">
        <f>IF(VLOOKUP($A4,'⚪设计'!$A$135:$N$184,12,FALSE)="","",VLOOKUP($A4,'⚪设计'!$A$135:$N$184,12,FALSE))</f>
        <v/>
      </c>
      <c r="O4" s="97" t="str">
        <f>IF(L4="","",ROUND($D4*'⚪设计'!$D136/(IF($G4="",0,VLOOKUP($G4,'⚪设计'!$B$85:$H$104,4,FALSE)*$H4)+IF($L4="",0,VLOOKUP($L4,'⚪设计'!$B$85:$H$104,4,FALSE)*$M4)+IF($Q4="",0,VLOOKUP($Q4,'⚪设计'!$B$85:$H$104,4,FALSE)*$R4)+IF($V4="",0,VLOOKUP($V4,'⚪设计'!$B$85:$H$104,4,FALSE)*$W4))*IF(L4="",0,VLOOKUP(L4,'⚪设计'!$B$85:$H$104,4,FALSE)),0))</f>
        <v/>
      </c>
      <c r="P4" s="97" t="str">
        <f>IF(L4="","",ROUND(VLOOKUP($B4,战斗节奏!$A$4:$F$13,2,FALSE)/(IF($G4="",0,VLOOKUP($G4,'⚪设计'!$B$85:$H$104,5,FALSE)*$H4)+IF($L4="",0,VLOOKUP($L4,'⚪设计'!$B$85:$H$104,5,FALSE)*$M4)+IF($Q4="",0,VLOOKUP($Q4,'⚪设计'!$B$85:$H$104,5,FALSE)*$R4)+IF($V4="",0,VLOOKUP($V4,'⚪设计'!$B$85:$H$104,5,FALSE)*$W4))*IF(L4="",0,VLOOKUP(L4,'⚪设计'!$B$85:$H$104,5,FALSE)),0))</f>
        <v/>
      </c>
      <c r="Q4" s="97" t="str">
        <f>IF(VLOOKUP($A4,'⚪设计'!$A$135:$N$184,9,FALSE)="","",VLOOKUP($A4,'⚪设计'!$A$135:$N$184,9,FALSE))</f>
        <v/>
      </c>
      <c r="R4" s="97" t="str">
        <f t="shared" ref="R4:R52" si="3">IF(S4=0,1,IF(S4="","",ROUND($F4/S4,0)))</f>
        <v/>
      </c>
      <c r="S4" s="97" t="str">
        <f>IF(VLOOKUP($A4,'⚪设计'!$A$135:$N$184,13,FALSE)="","",VLOOKUP($A4,'⚪设计'!$A$135:$N$184,13,FALSE))</f>
        <v/>
      </c>
      <c r="T4" s="97" t="str">
        <f>IF(Q4="","",ROUND($D4*'⚪设计'!$D136/(IF($G4="",0,VLOOKUP($G4,'⚪设计'!$B$85:$H$104,4,FALSE)*$H4)+IF($L4="",0,VLOOKUP($L4,'⚪设计'!$B$85:$H$104,4,FALSE)*$M4)+IF($Q4="",0,VLOOKUP($Q4,'⚪设计'!$B$85:$H$104,4,FALSE)*$R4)+IF($V4="",0,VLOOKUP($V4,'⚪设计'!$B$85:$H$104,4,FALSE)*$W4))*IF(Q4="",0,VLOOKUP(Q4,'⚪设计'!$B$85:$H$104,4,FALSE)),0))</f>
        <v/>
      </c>
      <c r="U4" s="97" t="str">
        <f>IF(Q4="","",ROUND(VLOOKUP($B4,战斗节奏!$A$4:$F$13,2,FALSE)/(IF($G4="",0,VLOOKUP($G4,'⚪设计'!$B$85:$H$104,5,FALSE)*$H4)+IF($L4="",0,VLOOKUP($L4,'⚪设计'!$B$85:$H$104,5,FALSE)*$M4)+IF($Q4="",0,VLOOKUP($Q4,'⚪设计'!$B$85:$H$104,5,FALSE)*$R4)+IF($V4="",0,VLOOKUP($V4,'⚪设计'!$B$85:$H$104,5,FALSE)*$W4))*IF(Q4="",0,VLOOKUP(Q4,'⚪设计'!$B$85:$H$104,5,FALSE)),0))</f>
        <v/>
      </c>
      <c r="V4" s="97" t="str">
        <f>IF(VLOOKUP($A4,'⚪设计'!$A$135:$N$184,10,FALSE)="","",VLOOKUP($A4,'⚪设计'!$A$135:$N$184,10,FALSE))</f>
        <v/>
      </c>
      <c r="W4" s="97" t="str">
        <f t="shared" ref="W4:W52" si="4">IF(X4=0,1,IF(X4="","",ROUND($F4/X4,0)))</f>
        <v/>
      </c>
      <c r="X4" s="97" t="str">
        <f>IF(VLOOKUP($A4,'⚪设计'!$A$135:$N$184,14,FALSE)="","",VLOOKUP($A4,'⚪设计'!$A$135:$N$184,14,FALSE))</f>
        <v/>
      </c>
      <c r="Y4" s="97" t="str">
        <f>IF(V4="","",ROUND($D4*'⚪设计'!$D136/(IF($G4="",0,VLOOKUP($G4,'⚪设计'!$B$85:$H$104,4,FALSE)*$H4)+IF($L4="",0,VLOOKUP($L4,'⚪设计'!$B$85:$H$104,4,FALSE)*$M4)+IF($Q4="",0,VLOOKUP($Q4,'⚪设计'!$B$85:$H$104,4,FALSE)*$R4)+IF($V4="",0,VLOOKUP($V4,'⚪设计'!$B$85:$H$104,4,FALSE)*$W4))*IF(V4="",0,VLOOKUP(V4,'⚪设计'!$B$85:$H$104,4,FALSE)),0))</f>
        <v/>
      </c>
      <c r="Z4" s="97" t="str">
        <f>IF(V4="","",ROUND(VLOOKUP($B4,战斗节奏!$A$4:$F$13,2,FALSE)/(IF($G4="",0,VLOOKUP($G4,'⚪设计'!$B$85:$H$104,5,FALSE)*$H4)+IF($L4="",0,VLOOKUP($L4,'⚪设计'!$B$85:$H$104,5,FALSE)*$M4)+IF($Q4="",0,VLOOKUP($Q4,'⚪设计'!$B$85:$H$104,5,FALSE)*$R4)+IF($V4="",0,VLOOKUP($V4,'⚪设计'!$B$85:$H$104,5,FALSE)*$W4))*IF(V4="",0,VLOOKUP(V4,'⚪设计'!$B$85:$H$104,5,FALSE)),0))</f>
        <v/>
      </c>
    </row>
    <row r="5" spans="1:26" x14ac:dyDescent="0.2">
      <c r="A5" s="2" t="str">
        <f t="shared" si="0"/>
        <v>1_3</v>
      </c>
      <c r="B5" s="2">
        <v>1</v>
      </c>
      <c r="C5" s="2">
        <v>3</v>
      </c>
      <c r="D5" s="97">
        <f>VLOOKUP(C5,无限模式!$A$3:$B$22,2,FALSE)</f>
        <v>3600</v>
      </c>
      <c r="E5" s="98">
        <v>1</v>
      </c>
      <c r="F5" s="97">
        <f>'⚪设计'!F137</f>
        <v>15</v>
      </c>
      <c r="G5" s="97" t="str">
        <f>IF(VLOOKUP($A5,'⚪设计'!$A$135:$N$184,7,FALSE)="","",VLOOKUP($A5,'⚪设计'!$A$135:$N$184,7,FALSE))</f>
        <v>蜜蜂1</v>
      </c>
      <c r="H5" s="97">
        <f t="shared" si="1"/>
        <v>30</v>
      </c>
      <c r="I5" s="97">
        <f>IF(VLOOKUP($A5,'⚪设计'!$A$135:$N$184,11,FALSE)="","",VLOOKUP($A5,'⚪设计'!$A$135:$N$184,11,FALSE))</f>
        <v>0.5</v>
      </c>
      <c r="J5" s="97">
        <f>IF(G5="","",ROUND($D5*'⚪设计'!$D137/(IF($G5="",0,VLOOKUP($G5,'⚪设计'!$B$85:$H$104,4,FALSE)*$H5)+IF($L5="",0,VLOOKUP($L5,'⚪设计'!$B$85:$H$104,4,FALSE)*$M5)+IF($Q5="",0,VLOOKUP($Q5,'⚪设计'!$B$85:$H$104,4,FALSE)*$R5)+IF($V5="",0,VLOOKUP($V5,'⚪设计'!$B$85:$H$104,4,FALSE)*$W5))*IF(G5="",0,VLOOKUP(G5,'⚪设计'!$B$85:$H$104,4,FALSE)),0))</f>
        <v>324</v>
      </c>
      <c r="K5" s="97">
        <f>IF(G5="","",ROUND(VLOOKUP($B5,战斗节奏!$A$4:$F$13,2,FALSE)/(IF($G5="",0,VLOOKUP($G5,'⚪设计'!$B$85:$H$104,5,FALSE)*$H5)+IF($L5="",0,VLOOKUP($L5,'⚪设计'!$B$85:$H$104,5,FALSE)*$M5)+IF($Q5="",0,VLOOKUP($Q5,'⚪设计'!$B$85:$H$104,5,FALSE)*$R5)+IF($V5="",0,VLOOKUP($V5,'⚪设计'!$B$85:$H$104,5,FALSE)*$W5))*IF(G5="",0,VLOOKUP(G5,'⚪设计'!$B$85:$H$104,5,FALSE)),0))</f>
        <v>4</v>
      </c>
      <c r="L5" s="97" t="str">
        <f>IF(VLOOKUP($A5,'⚪设计'!$A$135:$N$184,8,FALSE)="","",VLOOKUP($A5,'⚪设计'!$A$135:$N$184,8,FALSE))</f>
        <v>蜜蜂2</v>
      </c>
      <c r="M5" s="97">
        <f t="shared" si="2"/>
        <v>5</v>
      </c>
      <c r="N5" s="97">
        <f>IF(VLOOKUP($A5,'⚪设计'!$A$135:$N$184,12,FALSE)="","",VLOOKUP($A5,'⚪设计'!$A$135:$N$184,12,FALSE))</f>
        <v>3</v>
      </c>
      <c r="O5" s="97">
        <f>IF(L5="","",ROUND($D5*'⚪设计'!$D137/(IF($G5="",0,VLOOKUP($G5,'⚪设计'!$B$85:$H$104,4,FALSE)*$H5)+IF($L5="",0,VLOOKUP($L5,'⚪设计'!$B$85:$H$104,4,FALSE)*$M5)+IF($Q5="",0,VLOOKUP($Q5,'⚪设计'!$B$85:$H$104,4,FALSE)*$R5)+IF($V5="",0,VLOOKUP($V5,'⚪设计'!$B$85:$H$104,4,FALSE)*$W5))*IF(L5="",0,VLOOKUP(L5,'⚪设计'!$B$85:$H$104,4,FALSE)),0))</f>
        <v>1296</v>
      </c>
      <c r="P5" s="97">
        <f>IF(L5="","",ROUND(VLOOKUP($B5,战斗节奏!$A$4:$F$13,2,FALSE)/(IF($G5="",0,VLOOKUP($G5,'⚪设计'!$B$85:$H$104,5,FALSE)*$H5)+IF($L5="",0,VLOOKUP($L5,'⚪设计'!$B$85:$H$104,5,FALSE)*$M5)+IF($Q5="",0,VLOOKUP($Q5,'⚪设计'!$B$85:$H$104,5,FALSE)*$R5)+IF($V5="",0,VLOOKUP($V5,'⚪设计'!$B$85:$H$104,5,FALSE)*$W5))*IF(L5="",0,VLOOKUP(L5,'⚪设计'!$B$85:$H$104,5,FALSE)),0))</f>
        <v>16</v>
      </c>
      <c r="Q5" s="97" t="str">
        <f>IF(VLOOKUP($A5,'⚪设计'!$A$135:$N$184,9,FALSE)="","",VLOOKUP($A5,'⚪设计'!$A$135:$N$184,9,FALSE))</f>
        <v/>
      </c>
      <c r="R5" s="97" t="str">
        <f t="shared" si="3"/>
        <v/>
      </c>
      <c r="S5" s="97" t="str">
        <f>IF(VLOOKUP($A5,'⚪设计'!$A$135:$N$184,13,FALSE)="","",VLOOKUP($A5,'⚪设计'!$A$135:$N$184,13,FALSE))</f>
        <v/>
      </c>
      <c r="T5" s="97" t="str">
        <f>IF(Q5="","",ROUND($D5*'⚪设计'!$D137/(IF($G5="",0,VLOOKUP($G5,'⚪设计'!$B$85:$H$104,4,FALSE)*$H5)+IF($L5="",0,VLOOKUP($L5,'⚪设计'!$B$85:$H$104,4,FALSE)*$M5)+IF($Q5="",0,VLOOKUP($Q5,'⚪设计'!$B$85:$H$104,4,FALSE)*$R5)+IF($V5="",0,VLOOKUP($V5,'⚪设计'!$B$85:$H$104,4,FALSE)*$W5))*IF(Q5="",0,VLOOKUP(Q5,'⚪设计'!$B$85:$H$104,4,FALSE)),0))</f>
        <v/>
      </c>
      <c r="U5" s="97" t="str">
        <f>IF(Q5="","",ROUND(VLOOKUP($B5,战斗节奏!$A$4:$F$13,2,FALSE)/(IF($G5="",0,VLOOKUP($G5,'⚪设计'!$B$85:$H$104,5,FALSE)*$H5)+IF($L5="",0,VLOOKUP($L5,'⚪设计'!$B$85:$H$104,5,FALSE)*$M5)+IF($Q5="",0,VLOOKUP($Q5,'⚪设计'!$B$85:$H$104,5,FALSE)*$R5)+IF($V5="",0,VLOOKUP($V5,'⚪设计'!$B$85:$H$104,5,FALSE)*$W5))*IF(Q5="",0,VLOOKUP(Q5,'⚪设计'!$B$85:$H$104,5,FALSE)),0))</f>
        <v/>
      </c>
      <c r="V5" s="97" t="str">
        <f>IF(VLOOKUP($A5,'⚪设计'!$A$135:$N$184,10,FALSE)="","",VLOOKUP($A5,'⚪设计'!$A$135:$N$184,10,FALSE))</f>
        <v/>
      </c>
      <c r="W5" s="97" t="str">
        <f t="shared" si="4"/>
        <v/>
      </c>
      <c r="X5" s="97" t="str">
        <f>IF(VLOOKUP($A5,'⚪设计'!$A$135:$N$184,14,FALSE)="","",VLOOKUP($A5,'⚪设计'!$A$135:$N$184,14,FALSE))</f>
        <v/>
      </c>
      <c r="Y5" s="97" t="str">
        <f>IF(V5="","",ROUND($D5*'⚪设计'!$D137/(IF($G5="",0,VLOOKUP($G5,'⚪设计'!$B$85:$H$104,4,FALSE)*$H5)+IF($L5="",0,VLOOKUP($L5,'⚪设计'!$B$85:$H$104,4,FALSE)*$M5)+IF($Q5="",0,VLOOKUP($Q5,'⚪设计'!$B$85:$H$104,4,FALSE)*$R5)+IF($V5="",0,VLOOKUP($V5,'⚪设计'!$B$85:$H$104,4,FALSE)*$W5))*IF(V5="",0,VLOOKUP(V5,'⚪设计'!$B$85:$H$104,4,FALSE)),0))</f>
        <v/>
      </c>
      <c r="Z5" s="97" t="str">
        <f>IF(V5="","",ROUND(VLOOKUP($B5,战斗节奏!$A$4:$F$13,2,FALSE)/(IF($G5="",0,VLOOKUP($G5,'⚪设计'!$B$85:$H$104,5,FALSE)*$H5)+IF($L5="",0,VLOOKUP($L5,'⚪设计'!$B$85:$H$104,5,FALSE)*$M5)+IF($Q5="",0,VLOOKUP($Q5,'⚪设计'!$B$85:$H$104,5,FALSE)*$R5)+IF($V5="",0,VLOOKUP($V5,'⚪设计'!$B$85:$H$104,5,FALSE)*$W5))*IF(V5="",0,VLOOKUP(V5,'⚪设计'!$B$85:$H$104,5,FALSE)),0))</f>
        <v/>
      </c>
    </row>
    <row r="6" spans="1:26" x14ac:dyDescent="0.2">
      <c r="A6" s="2" t="str">
        <f t="shared" si="0"/>
        <v>1_4</v>
      </c>
      <c r="B6" s="2">
        <v>1</v>
      </c>
      <c r="C6" s="2">
        <v>4</v>
      </c>
      <c r="D6" s="97">
        <f>VLOOKUP(C6,无限模式!$A$3:$B$22,2,FALSE)</f>
        <v>4500</v>
      </c>
      <c r="E6" s="98">
        <v>1</v>
      </c>
      <c r="F6" s="97">
        <f>'⚪设计'!F138</f>
        <v>17.5</v>
      </c>
      <c r="G6" s="97" t="str">
        <f>IF(VLOOKUP($A6,'⚪设计'!$A$135:$N$184,7,FALSE)="","",VLOOKUP($A6,'⚪设计'!$A$135:$N$184,7,FALSE))</f>
        <v>蜜蜂1</v>
      </c>
      <c r="H6" s="97">
        <f t="shared" si="1"/>
        <v>58</v>
      </c>
      <c r="I6" s="97">
        <f>IF(VLOOKUP($A6,'⚪设计'!$A$135:$N$184,11,FALSE)="","",VLOOKUP($A6,'⚪设计'!$A$135:$N$184,11,FALSE))</f>
        <v>0.3</v>
      </c>
      <c r="J6" s="97">
        <f>IF(G6="","",ROUND($D6*'⚪设计'!$D138/(IF($G6="",0,VLOOKUP($G6,'⚪设计'!$B$85:$H$104,4,FALSE)*$H6)+IF($L6="",0,VLOOKUP($L6,'⚪设计'!$B$85:$H$104,4,FALSE)*$M6)+IF($Q6="",0,VLOOKUP($Q6,'⚪设计'!$B$85:$H$104,4,FALSE)*$R6)+IF($V6="",0,VLOOKUP($V6,'⚪设计'!$B$85:$H$104,4,FALSE)*$W6))*IF(G6="",0,VLOOKUP(G6,'⚪设计'!$B$85:$H$104,4,FALSE)),0))</f>
        <v>166</v>
      </c>
      <c r="K6" s="97">
        <f>IF(G6="","",ROUND(VLOOKUP($B6,战斗节奏!$A$4:$F$13,2,FALSE)/(IF($G6="",0,VLOOKUP($G6,'⚪设计'!$B$85:$H$104,5,FALSE)*$H6)+IF($L6="",0,VLOOKUP($L6,'⚪设计'!$B$85:$H$104,5,FALSE)*$M6)+IF($Q6="",0,VLOOKUP($Q6,'⚪设计'!$B$85:$H$104,5,FALSE)*$R6)+IF($V6="",0,VLOOKUP($V6,'⚪设计'!$B$85:$H$104,5,FALSE)*$W6))*IF(G6="",0,VLOOKUP(G6,'⚪设计'!$B$85:$H$104,5,FALSE)),0))</f>
        <v>2</v>
      </c>
      <c r="L6" s="97" t="str">
        <f>IF(VLOOKUP($A6,'⚪设计'!$A$135:$N$184,8,FALSE)="","",VLOOKUP($A6,'⚪设计'!$A$135:$N$184,8,FALSE))</f>
        <v>蜜蜂2</v>
      </c>
      <c r="M6" s="97">
        <f t="shared" si="2"/>
        <v>12</v>
      </c>
      <c r="N6" s="97">
        <f>IF(VLOOKUP($A6,'⚪设计'!$A$135:$N$184,12,FALSE)="","",VLOOKUP($A6,'⚪设计'!$A$135:$N$184,12,FALSE))</f>
        <v>1.5</v>
      </c>
      <c r="O6" s="97">
        <f>IF(L6="","",ROUND($D6*'⚪设计'!$D138/(IF($G6="",0,VLOOKUP($G6,'⚪设计'!$B$85:$H$104,4,FALSE)*$H6)+IF($L6="",0,VLOOKUP($L6,'⚪设计'!$B$85:$H$104,4,FALSE)*$M6)+IF($Q6="",0,VLOOKUP($Q6,'⚪设计'!$B$85:$H$104,4,FALSE)*$R6)+IF($V6="",0,VLOOKUP($V6,'⚪设计'!$B$85:$H$104,4,FALSE)*$W6))*IF(L6="",0,VLOOKUP(L6,'⚪设计'!$B$85:$H$104,4,FALSE)),0))</f>
        <v>662</v>
      </c>
      <c r="P6" s="97">
        <f>IF(L6="","",ROUND(VLOOKUP($B6,战斗节奏!$A$4:$F$13,2,FALSE)/(IF($G6="",0,VLOOKUP($G6,'⚪设计'!$B$85:$H$104,5,FALSE)*$H6)+IF($L6="",0,VLOOKUP($L6,'⚪设计'!$B$85:$H$104,5,FALSE)*$M6)+IF($Q6="",0,VLOOKUP($Q6,'⚪设计'!$B$85:$H$104,5,FALSE)*$R6)+IF($V6="",0,VLOOKUP($V6,'⚪设计'!$B$85:$H$104,5,FALSE)*$W6))*IF(L6="",0,VLOOKUP(L6,'⚪设计'!$B$85:$H$104,5,FALSE)),0))</f>
        <v>8</v>
      </c>
      <c r="Q6" s="97" t="str">
        <f>IF(VLOOKUP($A6,'⚪设计'!$A$135:$N$184,9,FALSE)="","",VLOOKUP($A6,'⚪设计'!$A$135:$N$184,9,FALSE))</f>
        <v/>
      </c>
      <c r="R6" s="97" t="str">
        <f t="shared" si="3"/>
        <v/>
      </c>
      <c r="S6" s="97" t="str">
        <f>IF(VLOOKUP($A6,'⚪设计'!$A$135:$N$184,13,FALSE)="","",VLOOKUP($A6,'⚪设计'!$A$135:$N$184,13,FALSE))</f>
        <v/>
      </c>
      <c r="T6" s="97" t="str">
        <f>IF(Q6="","",ROUND($D6*'⚪设计'!$D138/(IF($G6="",0,VLOOKUP($G6,'⚪设计'!$B$85:$H$104,4,FALSE)*$H6)+IF($L6="",0,VLOOKUP($L6,'⚪设计'!$B$85:$H$104,4,FALSE)*$M6)+IF($Q6="",0,VLOOKUP($Q6,'⚪设计'!$B$85:$H$104,4,FALSE)*$R6)+IF($V6="",0,VLOOKUP($V6,'⚪设计'!$B$85:$H$104,4,FALSE)*$W6))*IF(Q6="",0,VLOOKUP(Q6,'⚪设计'!$B$85:$H$104,4,FALSE)),0))</f>
        <v/>
      </c>
      <c r="U6" s="97" t="str">
        <f>IF(Q6="","",ROUND(VLOOKUP($B6,战斗节奏!$A$4:$F$13,2,FALSE)/(IF($G6="",0,VLOOKUP($G6,'⚪设计'!$B$85:$H$104,5,FALSE)*$H6)+IF($L6="",0,VLOOKUP($L6,'⚪设计'!$B$85:$H$104,5,FALSE)*$M6)+IF($Q6="",0,VLOOKUP($Q6,'⚪设计'!$B$85:$H$104,5,FALSE)*$R6)+IF($V6="",0,VLOOKUP($V6,'⚪设计'!$B$85:$H$104,5,FALSE)*$W6))*IF(Q6="",0,VLOOKUP(Q6,'⚪设计'!$B$85:$H$104,5,FALSE)),0))</f>
        <v/>
      </c>
      <c r="V6" s="97" t="str">
        <f>IF(VLOOKUP($A6,'⚪设计'!$A$135:$N$184,10,FALSE)="","",VLOOKUP($A6,'⚪设计'!$A$135:$N$184,10,FALSE))</f>
        <v/>
      </c>
      <c r="W6" s="97" t="str">
        <f t="shared" si="4"/>
        <v/>
      </c>
      <c r="X6" s="97" t="str">
        <f>IF(VLOOKUP($A6,'⚪设计'!$A$135:$N$184,14,FALSE)="","",VLOOKUP($A6,'⚪设计'!$A$135:$N$184,14,FALSE))</f>
        <v/>
      </c>
      <c r="Y6" s="97" t="str">
        <f>IF(V6="","",ROUND($D6*'⚪设计'!$D138/(IF($G6="",0,VLOOKUP($G6,'⚪设计'!$B$85:$H$104,4,FALSE)*$H6)+IF($L6="",0,VLOOKUP($L6,'⚪设计'!$B$85:$H$104,4,FALSE)*$M6)+IF($Q6="",0,VLOOKUP($Q6,'⚪设计'!$B$85:$H$104,4,FALSE)*$R6)+IF($V6="",0,VLOOKUP($V6,'⚪设计'!$B$85:$H$104,4,FALSE)*$W6))*IF(V6="",0,VLOOKUP(V6,'⚪设计'!$B$85:$H$104,4,FALSE)),0))</f>
        <v/>
      </c>
      <c r="Z6" s="97" t="str">
        <f>IF(V6="","",ROUND(VLOOKUP($B6,战斗节奏!$A$4:$F$13,2,FALSE)/(IF($G6="",0,VLOOKUP($G6,'⚪设计'!$B$85:$H$104,5,FALSE)*$H6)+IF($L6="",0,VLOOKUP($L6,'⚪设计'!$B$85:$H$104,5,FALSE)*$M6)+IF($Q6="",0,VLOOKUP($Q6,'⚪设计'!$B$85:$H$104,5,FALSE)*$R6)+IF($V6="",0,VLOOKUP($V6,'⚪设计'!$B$85:$H$104,5,FALSE)*$W6))*IF(V6="",0,VLOOKUP(V6,'⚪设计'!$B$85:$H$104,5,FALSE)),0))</f>
        <v/>
      </c>
    </row>
    <row r="7" spans="1:26" x14ac:dyDescent="0.2">
      <c r="A7" s="2" t="str">
        <f t="shared" si="0"/>
        <v>1_5</v>
      </c>
      <c r="B7" s="2">
        <v>1</v>
      </c>
      <c r="C7" s="2">
        <v>5</v>
      </c>
      <c r="D7" s="97">
        <f>VLOOKUP(C7,无限模式!$A$3:$B$22,2,FALSE)</f>
        <v>5400</v>
      </c>
      <c r="E7" s="98">
        <v>1</v>
      </c>
      <c r="F7" s="97">
        <f>'⚪设计'!F139</f>
        <v>20</v>
      </c>
      <c r="G7" s="97" t="str">
        <f>IF(VLOOKUP($A7,'⚪设计'!$A$135:$N$184,7,FALSE)="","",VLOOKUP($A7,'⚪设计'!$A$135:$N$184,7,FALSE))</f>
        <v>蜜蜂1</v>
      </c>
      <c r="H7" s="97">
        <f t="shared" si="1"/>
        <v>67</v>
      </c>
      <c r="I7" s="97">
        <f>IF(VLOOKUP($A7,'⚪设计'!$A$135:$N$184,11,FALSE)="","",VLOOKUP($A7,'⚪设计'!$A$135:$N$184,11,FALSE))</f>
        <v>0.3</v>
      </c>
      <c r="J7" s="97">
        <f>IF(G7="","",ROUND($D7*'⚪设计'!$D139/(IF($G7="",0,VLOOKUP($G7,'⚪设计'!$B$85:$H$104,4,FALSE)*$H7)+IF($L7="",0,VLOOKUP($L7,'⚪设计'!$B$85:$H$104,4,FALSE)*$M7)+IF($Q7="",0,VLOOKUP($Q7,'⚪设计'!$B$85:$H$104,4,FALSE)*$R7)+IF($V7="",0,VLOOKUP($V7,'⚪设计'!$B$85:$H$104,4,FALSE)*$W7))*IF(G7="",0,VLOOKUP(G7,'⚪设计'!$B$85:$H$104,4,FALSE)),0))</f>
        <v>181</v>
      </c>
      <c r="K7" s="97">
        <f>IF(G7="","",ROUND(VLOOKUP($B7,战斗节奏!$A$4:$F$13,2,FALSE)/(IF($G7="",0,VLOOKUP($G7,'⚪设计'!$B$85:$H$104,5,FALSE)*$H7)+IF($L7="",0,VLOOKUP($L7,'⚪设计'!$B$85:$H$104,5,FALSE)*$M7)+IF($Q7="",0,VLOOKUP($Q7,'⚪设计'!$B$85:$H$104,5,FALSE)*$R7)+IF($V7="",0,VLOOKUP($V7,'⚪设计'!$B$85:$H$104,5,FALSE)*$W7))*IF(G7="",0,VLOOKUP(G7,'⚪设计'!$B$85:$H$104,5,FALSE)),0))</f>
        <v>1</v>
      </c>
      <c r="L7" s="97" t="str">
        <f>IF(VLOOKUP($A7,'⚪设计'!$A$135:$N$184,8,FALSE)="","",VLOOKUP($A7,'⚪设计'!$A$135:$N$184,8,FALSE))</f>
        <v>蜜蜂2</v>
      </c>
      <c r="M7" s="97">
        <f t="shared" si="2"/>
        <v>27</v>
      </c>
      <c r="N7" s="97">
        <f>IF(VLOOKUP($A7,'⚪设计'!$A$135:$N$184,12,FALSE)="","",VLOOKUP($A7,'⚪设计'!$A$135:$N$184,12,FALSE))</f>
        <v>0.75</v>
      </c>
      <c r="O7" s="97">
        <f>IF(L7="","",ROUND($D7*'⚪设计'!$D139/(IF($G7="",0,VLOOKUP($G7,'⚪设计'!$B$85:$H$104,4,FALSE)*$H7)+IF($L7="",0,VLOOKUP($L7,'⚪设计'!$B$85:$H$104,4,FALSE)*$M7)+IF($Q7="",0,VLOOKUP($Q7,'⚪设计'!$B$85:$H$104,4,FALSE)*$R7)+IF($V7="",0,VLOOKUP($V7,'⚪设计'!$B$85:$H$104,4,FALSE)*$W7))*IF(L7="",0,VLOOKUP(L7,'⚪设计'!$B$85:$H$104,4,FALSE)),0))</f>
        <v>722</v>
      </c>
      <c r="P7" s="97">
        <f>IF(L7="","",ROUND(VLOOKUP($B7,战斗节奏!$A$4:$F$13,2,FALSE)/(IF($G7="",0,VLOOKUP($G7,'⚪设计'!$B$85:$H$104,5,FALSE)*$H7)+IF($L7="",0,VLOOKUP($L7,'⚪设计'!$B$85:$H$104,5,FALSE)*$M7)+IF($Q7="",0,VLOOKUP($Q7,'⚪设计'!$B$85:$H$104,5,FALSE)*$R7)+IF($V7="",0,VLOOKUP($V7,'⚪设计'!$B$85:$H$104,5,FALSE)*$W7))*IF(L7="",0,VLOOKUP(L7,'⚪设计'!$B$85:$H$104,5,FALSE)),0))</f>
        <v>5</v>
      </c>
      <c r="Q7" s="97" t="str">
        <f>IF(VLOOKUP($A7,'⚪设计'!$A$135:$N$184,9,FALSE)="","",VLOOKUP($A7,'⚪设计'!$A$135:$N$184,9,FALSE))</f>
        <v/>
      </c>
      <c r="R7" s="97" t="str">
        <f t="shared" si="3"/>
        <v/>
      </c>
      <c r="S7" s="97" t="str">
        <f>IF(VLOOKUP($A7,'⚪设计'!$A$135:$N$184,13,FALSE)="","",VLOOKUP($A7,'⚪设计'!$A$135:$N$184,13,FALSE))</f>
        <v/>
      </c>
      <c r="T7" s="97" t="str">
        <f>IF(Q7="","",ROUND($D7*'⚪设计'!$D139/(IF($G7="",0,VLOOKUP($G7,'⚪设计'!$B$85:$H$104,4,FALSE)*$H7)+IF($L7="",0,VLOOKUP($L7,'⚪设计'!$B$85:$H$104,4,FALSE)*$M7)+IF($Q7="",0,VLOOKUP($Q7,'⚪设计'!$B$85:$H$104,4,FALSE)*$R7)+IF($V7="",0,VLOOKUP($V7,'⚪设计'!$B$85:$H$104,4,FALSE)*$W7))*IF(Q7="",0,VLOOKUP(Q7,'⚪设计'!$B$85:$H$104,4,FALSE)),0))</f>
        <v/>
      </c>
      <c r="U7" s="97" t="str">
        <f>IF(Q7="","",ROUND(VLOOKUP($B7,战斗节奏!$A$4:$F$13,2,FALSE)/(IF($G7="",0,VLOOKUP($G7,'⚪设计'!$B$85:$H$104,5,FALSE)*$H7)+IF($L7="",0,VLOOKUP($L7,'⚪设计'!$B$85:$H$104,5,FALSE)*$M7)+IF($Q7="",0,VLOOKUP($Q7,'⚪设计'!$B$85:$H$104,5,FALSE)*$R7)+IF($V7="",0,VLOOKUP($V7,'⚪设计'!$B$85:$H$104,5,FALSE)*$W7))*IF(Q7="",0,VLOOKUP(Q7,'⚪设计'!$B$85:$H$104,5,FALSE)),0))</f>
        <v/>
      </c>
      <c r="V7" s="97" t="str">
        <f>IF(VLOOKUP($A7,'⚪设计'!$A$135:$N$184,10,FALSE)="","",VLOOKUP($A7,'⚪设计'!$A$135:$N$184,10,FALSE))</f>
        <v/>
      </c>
      <c r="W7" s="97" t="str">
        <f t="shared" si="4"/>
        <v/>
      </c>
      <c r="X7" s="97" t="str">
        <f>IF(VLOOKUP($A7,'⚪设计'!$A$135:$N$184,14,FALSE)="","",VLOOKUP($A7,'⚪设计'!$A$135:$N$184,14,FALSE))</f>
        <v/>
      </c>
      <c r="Y7" s="97" t="str">
        <f>IF(V7="","",ROUND($D7*'⚪设计'!$D139/(IF($G7="",0,VLOOKUP($G7,'⚪设计'!$B$85:$H$104,4,FALSE)*$H7)+IF($L7="",0,VLOOKUP($L7,'⚪设计'!$B$85:$H$104,4,FALSE)*$M7)+IF($Q7="",0,VLOOKUP($Q7,'⚪设计'!$B$85:$H$104,4,FALSE)*$R7)+IF($V7="",0,VLOOKUP($V7,'⚪设计'!$B$85:$H$104,4,FALSE)*$W7))*IF(V7="",0,VLOOKUP(V7,'⚪设计'!$B$85:$H$104,4,FALSE)),0))</f>
        <v/>
      </c>
      <c r="Z7" s="97" t="str">
        <f>IF(V7="","",ROUND(VLOOKUP($B7,战斗节奏!$A$4:$F$13,2,FALSE)/(IF($G7="",0,VLOOKUP($G7,'⚪设计'!$B$85:$H$104,5,FALSE)*$H7)+IF($L7="",0,VLOOKUP($L7,'⚪设计'!$B$85:$H$104,5,FALSE)*$M7)+IF($Q7="",0,VLOOKUP($Q7,'⚪设计'!$B$85:$H$104,5,FALSE)*$R7)+IF($V7="",0,VLOOKUP($V7,'⚪设计'!$B$85:$H$104,5,FALSE)*$W7))*IF(V7="",0,VLOOKUP(V7,'⚪设计'!$B$85:$H$104,5,FALSE)),0))</f>
        <v/>
      </c>
    </row>
    <row r="8" spans="1:26" x14ac:dyDescent="0.2">
      <c r="A8" s="2" t="str">
        <f t="shared" si="0"/>
        <v>2_1</v>
      </c>
      <c r="B8" s="2">
        <v>2</v>
      </c>
      <c r="C8" s="2">
        <v>1</v>
      </c>
      <c r="D8" s="97">
        <f>VLOOKUP(C8,无限模式!$A$3:$B$22,2,FALSE)</f>
        <v>900</v>
      </c>
      <c r="E8" s="98">
        <v>1</v>
      </c>
      <c r="F8" s="97">
        <f>'⚪设计'!F140</f>
        <v>10</v>
      </c>
      <c r="G8" s="97" t="str">
        <f>IF(VLOOKUP($A8,'⚪设计'!$A$135:$N$184,7,FALSE)="","",VLOOKUP($A8,'⚪设计'!$A$135:$N$184,7,FALSE))</f>
        <v>蜘蛛1</v>
      </c>
      <c r="H8" s="97">
        <f t="shared" si="1"/>
        <v>5</v>
      </c>
      <c r="I8" s="97">
        <f>IF(VLOOKUP($A8,'⚪设计'!$A$135:$N$184,11,FALSE)="","",VLOOKUP($A8,'⚪设计'!$A$135:$N$184,11,FALSE))</f>
        <v>2</v>
      </c>
      <c r="J8" s="97">
        <f>IF(G8="","",ROUND($D8*'⚪设计'!$D140/(IF($G8="",0,VLOOKUP($G8,'⚪设计'!$B$85:$H$104,4,FALSE)*$H8)+IF($L8="",0,VLOOKUP($L8,'⚪设计'!$B$85:$H$104,4,FALSE)*$M8)+IF($Q8="",0,VLOOKUP($Q8,'⚪设计'!$B$85:$H$104,4,FALSE)*$R8)+IF($V8="",0,VLOOKUP($V8,'⚪设计'!$B$85:$H$104,4,FALSE)*$W8))*IF(G8="",0,VLOOKUP(G8,'⚪设计'!$B$85:$H$104,4,FALSE)),0))</f>
        <v>22</v>
      </c>
      <c r="K8" s="97">
        <f>IF(G8="","",ROUND(VLOOKUP($B8,战斗节奏!$A$4:$F$13,2,FALSE)/(IF($G8="",0,VLOOKUP($G8,'⚪设计'!$B$85:$H$104,5,FALSE)*$H8)+IF($L8="",0,VLOOKUP($L8,'⚪设计'!$B$85:$H$104,5,FALSE)*$M8)+IF($Q8="",0,VLOOKUP($Q8,'⚪设计'!$B$85:$H$104,5,FALSE)*$R8)+IF($V8="",0,VLOOKUP($V8,'⚪设计'!$B$85:$H$104,5,FALSE)*$W8))*IF(G8="",0,VLOOKUP(G8,'⚪设计'!$B$85:$H$104,5,FALSE)),0))</f>
        <v>40</v>
      </c>
      <c r="L8" s="97" t="str">
        <f>IF(VLOOKUP($A8,'⚪设计'!$A$135:$N$184,8,FALSE)="","",VLOOKUP($A8,'⚪设计'!$A$135:$N$184,8,FALSE))</f>
        <v/>
      </c>
      <c r="M8" s="97" t="str">
        <f t="shared" si="2"/>
        <v/>
      </c>
      <c r="N8" s="97" t="str">
        <f>IF(VLOOKUP($A8,'⚪设计'!$A$135:$N$184,12,FALSE)="","",VLOOKUP($A8,'⚪设计'!$A$135:$N$184,12,FALSE))</f>
        <v/>
      </c>
      <c r="O8" s="97" t="str">
        <f>IF(L8="","",ROUND($D8*'⚪设计'!$D140/(IF($G8="",0,VLOOKUP($G8,'⚪设计'!$B$85:$H$104,4,FALSE)*$H8)+IF($L8="",0,VLOOKUP($L8,'⚪设计'!$B$85:$H$104,4,FALSE)*$M8)+IF($Q8="",0,VLOOKUP($Q8,'⚪设计'!$B$85:$H$104,4,FALSE)*$R8)+IF($V8="",0,VLOOKUP($V8,'⚪设计'!$B$85:$H$104,4,FALSE)*$W8))*IF(L8="",0,VLOOKUP(L8,'⚪设计'!$B$85:$H$104,4,FALSE)),0))</f>
        <v/>
      </c>
      <c r="P8" s="97" t="str">
        <f>IF(L8="","",ROUND(VLOOKUP($B8,战斗节奏!$A$4:$F$13,2,FALSE)/(IF($G8="",0,VLOOKUP($G8,'⚪设计'!$B$85:$H$104,5,FALSE)*$H8)+IF($L8="",0,VLOOKUP($L8,'⚪设计'!$B$85:$H$104,5,FALSE)*$M8)+IF($Q8="",0,VLOOKUP($Q8,'⚪设计'!$B$85:$H$104,5,FALSE)*$R8)+IF($V8="",0,VLOOKUP($V8,'⚪设计'!$B$85:$H$104,5,FALSE)*$W8))*IF(L8="",0,VLOOKUP(L8,'⚪设计'!$B$85:$H$104,5,FALSE)),0))</f>
        <v/>
      </c>
      <c r="Q8" s="97" t="str">
        <f>IF(VLOOKUP($A8,'⚪设计'!$A$135:$N$184,9,FALSE)="","",VLOOKUP($A8,'⚪设计'!$A$135:$N$184,9,FALSE))</f>
        <v/>
      </c>
      <c r="R8" s="97" t="str">
        <f t="shared" si="3"/>
        <v/>
      </c>
      <c r="S8" s="97" t="str">
        <f>IF(VLOOKUP($A8,'⚪设计'!$A$135:$N$184,13,FALSE)="","",VLOOKUP($A8,'⚪设计'!$A$135:$N$184,13,FALSE))</f>
        <v/>
      </c>
      <c r="T8" s="97" t="str">
        <f>IF(Q8="","",ROUND($D8*'⚪设计'!$D140/(IF($G8="",0,VLOOKUP($G8,'⚪设计'!$B$85:$H$104,4,FALSE)*$H8)+IF($L8="",0,VLOOKUP($L8,'⚪设计'!$B$85:$H$104,4,FALSE)*$M8)+IF($Q8="",0,VLOOKUP($Q8,'⚪设计'!$B$85:$H$104,4,FALSE)*$R8)+IF($V8="",0,VLOOKUP($V8,'⚪设计'!$B$85:$H$104,4,FALSE)*$W8))*IF(Q8="",0,VLOOKUP(Q8,'⚪设计'!$B$85:$H$104,4,FALSE)),0))</f>
        <v/>
      </c>
      <c r="U8" s="97" t="str">
        <f>IF(Q8="","",ROUND(VLOOKUP($B8,战斗节奏!$A$4:$F$13,2,FALSE)/(IF($G8="",0,VLOOKUP($G8,'⚪设计'!$B$85:$H$104,5,FALSE)*$H8)+IF($L8="",0,VLOOKUP($L8,'⚪设计'!$B$85:$H$104,5,FALSE)*$M8)+IF($Q8="",0,VLOOKUP($Q8,'⚪设计'!$B$85:$H$104,5,FALSE)*$R8)+IF($V8="",0,VLOOKUP($V8,'⚪设计'!$B$85:$H$104,5,FALSE)*$W8))*IF(Q8="",0,VLOOKUP(Q8,'⚪设计'!$B$85:$H$104,5,FALSE)),0))</f>
        <v/>
      </c>
      <c r="V8" s="97" t="str">
        <f>IF(VLOOKUP($A8,'⚪设计'!$A$135:$N$184,10,FALSE)="","",VLOOKUP($A8,'⚪设计'!$A$135:$N$184,10,FALSE))</f>
        <v/>
      </c>
      <c r="W8" s="97" t="str">
        <f t="shared" si="4"/>
        <v/>
      </c>
      <c r="X8" s="97" t="str">
        <f>IF(VLOOKUP($A8,'⚪设计'!$A$135:$N$184,14,FALSE)="","",VLOOKUP($A8,'⚪设计'!$A$135:$N$184,14,FALSE))</f>
        <v/>
      </c>
      <c r="Y8" s="97" t="str">
        <f>IF(V8="","",ROUND($D8*'⚪设计'!$D140/(IF($G8="",0,VLOOKUP($G8,'⚪设计'!$B$85:$H$104,4,FALSE)*$H8)+IF($L8="",0,VLOOKUP($L8,'⚪设计'!$B$85:$H$104,4,FALSE)*$M8)+IF($Q8="",0,VLOOKUP($Q8,'⚪设计'!$B$85:$H$104,4,FALSE)*$R8)+IF($V8="",0,VLOOKUP($V8,'⚪设计'!$B$85:$H$104,4,FALSE)*$W8))*IF(V8="",0,VLOOKUP(V8,'⚪设计'!$B$85:$H$104,4,FALSE)),0))</f>
        <v/>
      </c>
      <c r="Z8" s="97" t="str">
        <f>IF(V8="","",ROUND(VLOOKUP($B8,战斗节奏!$A$4:$F$13,2,FALSE)/(IF($G8="",0,VLOOKUP($G8,'⚪设计'!$B$85:$H$104,5,FALSE)*$H8)+IF($L8="",0,VLOOKUP($L8,'⚪设计'!$B$85:$H$104,5,FALSE)*$M8)+IF($Q8="",0,VLOOKUP($Q8,'⚪设计'!$B$85:$H$104,5,FALSE)*$R8)+IF($V8="",0,VLOOKUP($V8,'⚪设计'!$B$85:$H$104,5,FALSE)*$W8))*IF(V8="",0,VLOOKUP(V8,'⚪设计'!$B$85:$H$104,5,FALSE)),0))</f>
        <v/>
      </c>
    </row>
    <row r="9" spans="1:26" x14ac:dyDescent="0.2">
      <c r="A9" s="2" t="str">
        <f t="shared" si="0"/>
        <v>2_2</v>
      </c>
      <c r="B9" s="2">
        <v>2</v>
      </c>
      <c r="C9" s="2">
        <v>2</v>
      </c>
      <c r="D9" s="97">
        <f>VLOOKUP(C9,无限模式!$A$3:$B$22,2,FALSE)</f>
        <v>1800</v>
      </c>
      <c r="E9" s="98">
        <v>1</v>
      </c>
      <c r="F9" s="97">
        <f>'⚪设计'!F141</f>
        <v>12.5</v>
      </c>
      <c r="G9" s="97" t="str">
        <f>IF(VLOOKUP($A9,'⚪设计'!$A$135:$N$184,7,FALSE)="","",VLOOKUP($A9,'⚪设计'!$A$135:$N$184,7,FALSE))</f>
        <v>蜘蛛1</v>
      </c>
      <c r="H9" s="97">
        <f t="shared" si="1"/>
        <v>6</v>
      </c>
      <c r="I9" s="97">
        <f>IF(VLOOKUP($A9,'⚪设计'!$A$135:$N$184,11,FALSE)="","",VLOOKUP($A9,'⚪设计'!$A$135:$N$184,11,FALSE))</f>
        <v>2</v>
      </c>
      <c r="J9" s="97">
        <f>IF(G9="","",ROUND($D9*'⚪设计'!$D141/(IF($G9="",0,VLOOKUP($G9,'⚪设计'!$B$85:$H$104,4,FALSE)*$H9)+IF($L9="",0,VLOOKUP($L9,'⚪设计'!$B$85:$H$104,4,FALSE)*$M9)+IF($Q9="",0,VLOOKUP($Q9,'⚪设计'!$B$85:$H$104,4,FALSE)*$R9)+IF($V9="",0,VLOOKUP($V9,'⚪设计'!$B$85:$H$104,4,FALSE)*$W9))*IF(G9="",0,VLOOKUP(G9,'⚪设计'!$B$85:$H$104,4,FALSE)),0))</f>
        <v>90</v>
      </c>
      <c r="K9" s="97">
        <f>IF(G9="","",ROUND(VLOOKUP($B9,战斗节奏!$A$4:$F$13,2,FALSE)/(IF($G9="",0,VLOOKUP($G9,'⚪设计'!$B$85:$H$104,5,FALSE)*$H9)+IF($L9="",0,VLOOKUP($L9,'⚪设计'!$B$85:$H$104,5,FALSE)*$M9)+IF($Q9="",0,VLOOKUP($Q9,'⚪设计'!$B$85:$H$104,5,FALSE)*$R9)+IF($V9="",0,VLOOKUP($V9,'⚪设计'!$B$85:$H$104,5,FALSE)*$W9))*IF(G9="",0,VLOOKUP(G9,'⚪设计'!$B$85:$H$104,5,FALSE)),0))</f>
        <v>11</v>
      </c>
      <c r="L9" s="97" t="str">
        <f>IF(VLOOKUP($A9,'⚪设计'!$A$135:$N$184,8,FALSE)="","",VLOOKUP($A9,'⚪设计'!$A$135:$N$184,8,FALSE))</f>
        <v>蜜蜂2</v>
      </c>
      <c r="M9" s="97">
        <f t="shared" si="2"/>
        <v>6</v>
      </c>
      <c r="N9" s="97">
        <f>IF(VLOOKUP($A9,'⚪设计'!$A$135:$N$184,12,FALSE)="","",VLOOKUP($A9,'⚪设计'!$A$135:$N$184,12,FALSE))</f>
        <v>2</v>
      </c>
      <c r="O9" s="97">
        <f>IF(L9="","",ROUND($D9*'⚪设计'!$D141/(IF($G9="",0,VLOOKUP($G9,'⚪设计'!$B$85:$H$104,4,FALSE)*$H9)+IF($L9="",0,VLOOKUP($L9,'⚪设计'!$B$85:$H$104,4,FALSE)*$M9)+IF($Q9="",0,VLOOKUP($Q9,'⚪设计'!$B$85:$H$104,4,FALSE)*$R9)+IF($V9="",0,VLOOKUP($V9,'⚪设计'!$B$85:$H$104,4,FALSE)*$W9))*IF(L9="",0,VLOOKUP(L9,'⚪设计'!$B$85:$H$104,4,FALSE)),0))</f>
        <v>180</v>
      </c>
      <c r="P9" s="97">
        <f>IF(L9="","",ROUND(VLOOKUP($B9,战斗节奏!$A$4:$F$13,2,FALSE)/(IF($G9="",0,VLOOKUP($G9,'⚪设计'!$B$85:$H$104,5,FALSE)*$H9)+IF($L9="",0,VLOOKUP($L9,'⚪设计'!$B$85:$H$104,5,FALSE)*$M9)+IF($Q9="",0,VLOOKUP($Q9,'⚪设计'!$B$85:$H$104,5,FALSE)*$R9)+IF($V9="",0,VLOOKUP($V9,'⚪设计'!$B$85:$H$104,5,FALSE)*$W9))*IF(L9="",0,VLOOKUP(L9,'⚪设计'!$B$85:$H$104,5,FALSE)),0))</f>
        <v>22</v>
      </c>
      <c r="Q9" s="97" t="str">
        <f>IF(VLOOKUP($A9,'⚪设计'!$A$135:$N$184,9,FALSE)="","",VLOOKUP($A9,'⚪设计'!$A$135:$N$184,9,FALSE))</f>
        <v/>
      </c>
      <c r="R9" s="97" t="str">
        <f t="shared" si="3"/>
        <v/>
      </c>
      <c r="S9" s="97" t="str">
        <f>IF(VLOOKUP($A9,'⚪设计'!$A$135:$N$184,13,FALSE)="","",VLOOKUP($A9,'⚪设计'!$A$135:$N$184,13,FALSE))</f>
        <v/>
      </c>
      <c r="T9" s="97" t="str">
        <f>IF(Q9="","",ROUND($D9*'⚪设计'!$D141/(IF($G9="",0,VLOOKUP($G9,'⚪设计'!$B$85:$H$104,4,FALSE)*$H9)+IF($L9="",0,VLOOKUP($L9,'⚪设计'!$B$85:$H$104,4,FALSE)*$M9)+IF($Q9="",0,VLOOKUP($Q9,'⚪设计'!$B$85:$H$104,4,FALSE)*$R9)+IF($V9="",0,VLOOKUP($V9,'⚪设计'!$B$85:$H$104,4,FALSE)*$W9))*IF(Q9="",0,VLOOKUP(Q9,'⚪设计'!$B$85:$H$104,4,FALSE)),0))</f>
        <v/>
      </c>
      <c r="U9" s="97" t="str">
        <f>IF(Q9="","",ROUND(VLOOKUP($B9,战斗节奏!$A$4:$F$13,2,FALSE)/(IF($G9="",0,VLOOKUP($G9,'⚪设计'!$B$85:$H$104,5,FALSE)*$H9)+IF($L9="",0,VLOOKUP($L9,'⚪设计'!$B$85:$H$104,5,FALSE)*$M9)+IF($Q9="",0,VLOOKUP($Q9,'⚪设计'!$B$85:$H$104,5,FALSE)*$R9)+IF($V9="",0,VLOOKUP($V9,'⚪设计'!$B$85:$H$104,5,FALSE)*$W9))*IF(Q9="",0,VLOOKUP(Q9,'⚪设计'!$B$85:$H$104,5,FALSE)),0))</f>
        <v/>
      </c>
      <c r="V9" s="97" t="str">
        <f>IF(VLOOKUP($A9,'⚪设计'!$A$135:$N$184,10,FALSE)="","",VLOOKUP($A9,'⚪设计'!$A$135:$N$184,10,FALSE))</f>
        <v/>
      </c>
      <c r="W9" s="97" t="str">
        <f t="shared" si="4"/>
        <v/>
      </c>
      <c r="X9" s="97" t="str">
        <f>IF(VLOOKUP($A9,'⚪设计'!$A$135:$N$184,14,FALSE)="","",VLOOKUP($A9,'⚪设计'!$A$135:$N$184,14,FALSE))</f>
        <v/>
      </c>
      <c r="Y9" s="97" t="str">
        <f>IF(V9="","",ROUND($D9*'⚪设计'!$D141/(IF($G9="",0,VLOOKUP($G9,'⚪设计'!$B$85:$H$104,4,FALSE)*$H9)+IF($L9="",0,VLOOKUP($L9,'⚪设计'!$B$85:$H$104,4,FALSE)*$M9)+IF($Q9="",0,VLOOKUP($Q9,'⚪设计'!$B$85:$H$104,4,FALSE)*$R9)+IF($V9="",0,VLOOKUP($V9,'⚪设计'!$B$85:$H$104,4,FALSE)*$W9))*IF(V9="",0,VLOOKUP(V9,'⚪设计'!$B$85:$H$104,4,FALSE)),0))</f>
        <v/>
      </c>
      <c r="Z9" s="97" t="str">
        <f>IF(V9="","",ROUND(VLOOKUP($B9,战斗节奏!$A$4:$F$13,2,FALSE)/(IF($G9="",0,VLOOKUP($G9,'⚪设计'!$B$85:$H$104,5,FALSE)*$H9)+IF($L9="",0,VLOOKUP($L9,'⚪设计'!$B$85:$H$104,5,FALSE)*$M9)+IF($Q9="",0,VLOOKUP($Q9,'⚪设计'!$B$85:$H$104,5,FALSE)*$R9)+IF($V9="",0,VLOOKUP($V9,'⚪设计'!$B$85:$H$104,5,FALSE)*$W9))*IF(V9="",0,VLOOKUP(V9,'⚪设计'!$B$85:$H$104,5,FALSE)),0))</f>
        <v/>
      </c>
    </row>
    <row r="10" spans="1:26" x14ac:dyDescent="0.2">
      <c r="A10" s="2" t="str">
        <f t="shared" si="0"/>
        <v>2_3</v>
      </c>
      <c r="B10" s="2">
        <v>2</v>
      </c>
      <c r="C10" s="2">
        <v>3</v>
      </c>
      <c r="D10" s="97">
        <f>VLOOKUP(C10,无限模式!$A$3:$B$22,2,FALSE)</f>
        <v>3600</v>
      </c>
      <c r="E10" s="98">
        <v>1</v>
      </c>
      <c r="F10" s="97">
        <f>'⚪设计'!F142</f>
        <v>15</v>
      </c>
      <c r="G10" s="97" t="str">
        <f>IF(VLOOKUP($A10,'⚪设计'!$A$135:$N$184,7,FALSE)="","",VLOOKUP($A10,'⚪设计'!$A$135:$N$184,7,FALSE))</f>
        <v>蜘蛛1</v>
      </c>
      <c r="H10" s="97">
        <f t="shared" si="1"/>
        <v>15</v>
      </c>
      <c r="I10" s="97">
        <f>IF(VLOOKUP($A10,'⚪设计'!$A$135:$N$184,11,FALSE)="","",VLOOKUP($A10,'⚪设计'!$A$135:$N$184,11,FALSE))</f>
        <v>1</v>
      </c>
      <c r="J10" s="97">
        <f>IF(G10="","",ROUND($D10*'⚪设计'!$D142/(IF($G10="",0,VLOOKUP($G10,'⚪设计'!$B$85:$H$104,4,FALSE)*$H10)+IF($L10="",0,VLOOKUP($L10,'⚪设计'!$B$85:$H$104,4,FALSE)*$M10)+IF($Q10="",0,VLOOKUP($Q10,'⚪设计'!$B$85:$H$104,4,FALSE)*$R10)+IF($V10="",0,VLOOKUP($V10,'⚪设计'!$B$85:$H$104,4,FALSE)*$W10))*IF(G10="",0,VLOOKUP(G10,'⚪设计'!$B$85:$H$104,4,FALSE)),0))</f>
        <v>144</v>
      </c>
      <c r="K10" s="97">
        <f>IF(G10="","",ROUND(VLOOKUP($B10,战斗节奏!$A$4:$F$13,2,FALSE)/(IF($G10="",0,VLOOKUP($G10,'⚪设计'!$B$85:$H$104,5,FALSE)*$H10)+IF($L10="",0,VLOOKUP($L10,'⚪设计'!$B$85:$H$104,5,FALSE)*$M10)+IF($Q10="",0,VLOOKUP($Q10,'⚪设计'!$B$85:$H$104,5,FALSE)*$R10)+IF($V10="",0,VLOOKUP($V10,'⚪设计'!$B$85:$H$104,5,FALSE)*$W10))*IF(G10="",0,VLOOKUP(G10,'⚪设计'!$B$85:$H$104,5,FALSE)),0))</f>
        <v>9</v>
      </c>
      <c r="L10" s="97" t="str">
        <f>IF(VLOOKUP($A10,'⚪设计'!$A$135:$N$184,8,FALSE)="","",VLOOKUP($A10,'⚪设计'!$A$135:$N$184,8,FALSE))</f>
        <v>蝙蝠1</v>
      </c>
      <c r="M10" s="97">
        <f t="shared" si="2"/>
        <v>15</v>
      </c>
      <c r="N10" s="97">
        <f>IF(VLOOKUP($A10,'⚪设计'!$A$135:$N$184,12,FALSE)="","",VLOOKUP($A10,'⚪设计'!$A$135:$N$184,12,FALSE))</f>
        <v>1</v>
      </c>
      <c r="O10" s="97">
        <f>IF(L10="","",ROUND($D10*'⚪设计'!$D142/(IF($G10="",0,VLOOKUP($G10,'⚪设计'!$B$85:$H$104,4,FALSE)*$H10)+IF($L10="",0,VLOOKUP($L10,'⚪设计'!$B$85:$H$104,4,FALSE)*$M10)+IF($Q10="",0,VLOOKUP($Q10,'⚪设计'!$B$85:$H$104,4,FALSE)*$R10)+IF($V10="",0,VLOOKUP($V10,'⚪设计'!$B$85:$H$104,4,FALSE)*$W10))*IF(L10="",0,VLOOKUP(L10,'⚪设计'!$B$85:$H$104,4,FALSE)),0))</f>
        <v>72</v>
      </c>
      <c r="P10" s="97">
        <f>IF(L10="","",ROUND(VLOOKUP($B10,战斗节奏!$A$4:$F$13,2,FALSE)/(IF($G10="",0,VLOOKUP($G10,'⚪设计'!$B$85:$H$104,5,FALSE)*$H10)+IF($L10="",0,VLOOKUP($L10,'⚪设计'!$B$85:$H$104,5,FALSE)*$M10)+IF($Q10="",0,VLOOKUP($Q10,'⚪设计'!$B$85:$H$104,5,FALSE)*$R10)+IF($V10="",0,VLOOKUP($V10,'⚪设计'!$B$85:$H$104,5,FALSE)*$W10))*IF(L10="",0,VLOOKUP(L10,'⚪设计'!$B$85:$H$104,5,FALSE)),0))</f>
        <v>4</v>
      </c>
      <c r="Q10" s="97" t="str">
        <f>IF(VLOOKUP($A10,'⚪设计'!$A$135:$N$184,9,FALSE)="","",VLOOKUP($A10,'⚪设计'!$A$135:$N$184,9,FALSE))</f>
        <v/>
      </c>
      <c r="R10" s="97" t="str">
        <f t="shared" si="3"/>
        <v/>
      </c>
      <c r="S10" s="97" t="str">
        <f>IF(VLOOKUP($A10,'⚪设计'!$A$135:$N$184,13,FALSE)="","",VLOOKUP($A10,'⚪设计'!$A$135:$N$184,13,FALSE))</f>
        <v/>
      </c>
      <c r="T10" s="97" t="str">
        <f>IF(Q10="","",ROUND($D10*'⚪设计'!$D142/(IF($G10="",0,VLOOKUP($G10,'⚪设计'!$B$85:$H$104,4,FALSE)*$H10)+IF($L10="",0,VLOOKUP($L10,'⚪设计'!$B$85:$H$104,4,FALSE)*$M10)+IF($Q10="",0,VLOOKUP($Q10,'⚪设计'!$B$85:$H$104,4,FALSE)*$R10)+IF($V10="",0,VLOOKUP($V10,'⚪设计'!$B$85:$H$104,4,FALSE)*$W10))*IF(Q10="",0,VLOOKUP(Q10,'⚪设计'!$B$85:$H$104,4,FALSE)),0))</f>
        <v/>
      </c>
      <c r="U10" s="97" t="str">
        <f>IF(Q10="","",ROUND(VLOOKUP($B10,战斗节奏!$A$4:$F$13,2,FALSE)/(IF($G10="",0,VLOOKUP($G10,'⚪设计'!$B$85:$H$104,5,FALSE)*$H10)+IF($L10="",0,VLOOKUP($L10,'⚪设计'!$B$85:$H$104,5,FALSE)*$M10)+IF($Q10="",0,VLOOKUP($Q10,'⚪设计'!$B$85:$H$104,5,FALSE)*$R10)+IF($V10="",0,VLOOKUP($V10,'⚪设计'!$B$85:$H$104,5,FALSE)*$W10))*IF(Q10="",0,VLOOKUP(Q10,'⚪设计'!$B$85:$H$104,5,FALSE)),0))</f>
        <v/>
      </c>
      <c r="V10" s="97" t="str">
        <f>IF(VLOOKUP($A10,'⚪设计'!$A$135:$N$184,10,FALSE)="","",VLOOKUP($A10,'⚪设计'!$A$135:$N$184,10,FALSE))</f>
        <v/>
      </c>
      <c r="W10" s="97" t="str">
        <f t="shared" si="4"/>
        <v/>
      </c>
      <c r="X10" s="97" t="str">
        <f>IF(VLOOKUP($A10,'⚪设计'!$A$135:$N$184,14,FALSE)="","",VLOOKUP($A10,'⚪设计'!$A$135:$N$184,14,FALSE))</f>
        <v/>
      </c>
      <c r="Y10" s="97" t="str">
        <f>IF(V10="","",ROUND($D10*'⚪设计'!$D142/(IF($G10="",0,VLOOKUP($G10,'⚪设计'!$B$85:$H$104,4,FALSE)*$H10)+IF($L10="",0,VLOOKUP($L10,'⚪设计'!$B$85:$H$104,4,FALSE)*$M10)+IF($Q10="",0,VLOOKUP($Q10,'⚪设计'!$B$85:$H$104,4,FALSE)*$R10)+IF($V10="",0,VLOOKUP($V10,'⚪设计'!$B$85:$H$104,4,FALSE)*$W10))*IF(V10="",0,VLOOKUP(V10,'⚪设计'!$B$85:$H$104,4,FALSE)),0))</f>
        <v/>
      </c>
      <c r="Z10" s="97" t="str">
        <f>IF(V10="","",ROUND(VLOOKUP($B10,战斗节奏!$A$4:$F$13,2,FALSE)/(IF($G10="",0,VLOOKUP($G10,'⚪设计'!$B$85:$H$104,5,FALSE)*$H10)+IF($L10="",0,VLOOKUP($L10,'⚪设计'!$B$85:$H$104,5,FALSE)*$M10)+IF($Q10="",0,VLOOKUP($Q10,'⚪设计'!$B$85:$H$104,5,FALSE)*$R10)+IF($V10="",0,VLOOKUP($V10,'⚪设计'!$B$85:$H$104,5,FALSE)*$W10))*IF(V10="",0,VLOOKUP(V10,'⚪设计'!$B$85:$H$104,5,FALSE)),0))</f>
        <v/>
      </c>
    </row>
    <row r="11" spans="1:26" x14ac:dyDescent="0.2">
      <c r="A11" s="2" t="str">
        <f t="shared" si="0"/>
        <v>2_4</v>
      </c>
      <c r="B11" s="2">
        <v>2</v>
      </c>
      <c r="C11" s="2">
        <v>4</v>
      </c>
      <c r="D11" s="97">
        <f>VLOOKUP(C11,无限模式!$A$3:$B$22,2,FALSE)</f>
        <v>4500</v>
      </c>
      <c r="E11" s="98">
        <v>1</v>
      </c>
      <c r="F11" s="97">
        <f>'⚪设计'!F143</f>
        <v>17.5</v>
      </c>
      <c r="G11" s="97" t="str">
        <f>IF(VLOOKUP($A11,'⚪设计'!$A$135:$N$184,7,FALSE)="","",VLOOKUP($A11,'⚪设计'!$A$135:$N$184,7,FALSE))</f>
        <v>蜘蛛1</v>
      </c>
      <c r="H11" s="97">
        <f t="shared" si="1"/>
        <v>18</v>
      </c>
      <c r="I11" s="97">
        <f>IF(VLOOKUP($A11,'⚪设计'!$A$135:$N$184,11,FALSE)="","",VLOOKUP($A11,'⚪设计'!$A$135:$N$184,11,FALSE))</f>
        <v>1</v>
      </c>
      <c r="J11" s="97">
        <f>IF(G11="","",ROUND($D11*'⚪设计'!$D143/(IF($G11="",0,VLOOKUP($G11,'⚪设计'!$B$85:$H$104,4,FALSE)*$H11)+IF($L11="",0,VLOOKUP($L11,'⚪设计'!$B$85:$H$104,4,FALSE)*$M11)+IF($Q11="",0,VLOOKUP($Q11,'⚪设计'!$B$85:$H$104,4,FALSE)*$R11)+IF($V11="",0,VLOOKUP($V11,'⚪设计'!$B$85:$H$104,4,FALSE)*$W11))*IF(G11="",0,VLOOKUP(G11,'⚪设计'!$B$85:$H$104,4,FALSE)),0))</f>
        <v>206</v>
      </c>
      <c r="K11" s="97">
        <f>IF(G11="","",ROUND(VLOOKUP($B11,战斗节奏!$A$4:$F$13,2,FALSE)/(IF($G11="",0,VLOOKUP($G11,'⚪设计'!$B$85:$H$104,5,FALSE)*$H11)+IF($L11="",0,VLOOKUP($L11,'⚪设计'!$B$85:$H$104,5,FALSE)*$M11)+IF($Q11="",0,VLOOKUP($Q11,'⚪设计'!$B$85:$H$104,5,FALSE)*$R11)+IF($V11="",0,VLOOKUP($V11,'⚪设计'!$B$85:$H$104,5,FALSE)*$W11))*IF(G11="",0,VLOOKUP(G11,'⚪设计'!$B$85:$H$104,5,FALSE)),0))</f>
        <v>2</v>
      </c>
      <c r="L11" s="97" t="str">
        <f>IF(VLOOKUP($A11,'⚪设计'!$A$135:$N$184,8,FALSE)="","",VLOOKUP($A11,'⚪设计'!$A$135:$N$184,8,FALSE))</f>
        <v>蝙蝠1</v>
      </c>
      <c r="M11" s="97">
        <f t="shared" si="2"/>
        <v>44</v>
      </c>
      <c r="N11" s="97">
        <f>IF(VLOOKUP($A11,'⚪设计'!$A$135:$N$184,12,FALSE)="","",VLOOKUP($A11,'⚪设计'!$A$135:$N$184,12,FALSE))</f>
        <v>0.4</v>
      </c>
      <c r="O11" s="97">
        <f>IF(L11="","",ROUND($D11*'⚪设计'!$D143/(IF($G11="",0,VLOOKUP($G11,'⚪设计'!$B$85:$H$104,4,FALSE)*$H11)+IF($L11="",0,VLOOKUP($L11,'⚪设计'!$B$85:$H$104,4,FALSE)*$M11)+IF($Q11="",0,VLOOKUP($Q11,'⚪设计'!$B$85:$H$104,4,FALSE)*$R11)+IF($V11="",0,VLOOKUP($V11,'⚪设计'!$B$85:$H$104,4,FALSE)*$W11))*IF(L11="",0,VLOOKUP(L11,'⚪设计'!$B$85:$H$104,4,FALSE)),0))</f>
        <v>103</v>
      </c>
      <c r="P11" s="97">
        <f>IF(L11="","",ROUND(VLOOKUP($B11,战斗节奏!$A$4:$F$13,2,FALSE)/(IF($G11="",0,VLOOKUP($G11,'⚪设计'!$B$85:$H$104,5,FALSE)*$H11)+IF($L11="",0,VLOOKUP($L11,'⚪设计'!$B$85:$H$104,5,FALSE)*$M11)+IF($Q11="",0,VLOOKUP($Q11,'⚪设计'!$B$85:$H$104,5,FALSE)*$R11)+IF($V11="",0,VLOOKUP($V11,'⚪设计'!$B$85:$H$104,5,FALSE)*$W11))*IF(L11="",0,VLOOKUP(L11,'⚪设计'!$B$85:$H$104,5,FALSE)),0))</f>
        <v>1</v>
      </c>
      <c r="Q11" s="97" t="str">
        <f>IF(VLOOKUP($A11,'⚪设计'!$A$135:$N$184,9,FALSE)="","",VLOOKUP($A11,'⚪设计'!$A$135:$N$184,9,FALSE))</f>
        <v>蜜蜂2</v>
      </c>
      <c r="R11" s="97">
        <f t="shared" si="3"/>
        <v>35</v>
      </c>
      <c r="S11" s="97">
        <f>IF(VLOOKUP($A11,'⚪设计'!$A$135:$N$184,13,FALSE)="","",VLOOKUP($A11,'⚪设计'!$A$135:$N$184,13,FALSE))</f>
        <v>0.5</v>
      </c>
      <c r="T11" s="97">
        <f>IF(Q11="","",ROUND($D11*'⚪设计'!$D143/(IF($G11="",0,VLOOKUP($G11,'⚪设计'!$B$85:$H$104,4,FALSE)*$H11)+IF($L11="",0,VLOOKUP($L11,'⚪设计'!$B$85:$H$104,4,FALSE)*$M11)+IF($Q11="",0,VLOOKUP($Q11,'⚪设计'!$B$85:$H$104,4,FALSE)*$R11)+IF($V11="",0,VLOOKUP($V11,'⚪设计'!$B$85:$H$104,4,FALSE)*$W11))*IF(Q11="",0,VLOOKUP(Q11,'⚪设计'!$B$85:$H$104,4,FALSE)),0))</f>
        <v>411</v>
      </c>
      <c r="U11" s="97">
        <f>IF(Q11="","",ROUND(VLOOKUP($B11,战斗节奏!$A$4:$F$13,2,FALSE)/(IF($G11="",0,VLOOKUP($G11,'⚪设计'!$B$85:$H$104,5,FALSE)*$H11)+IF($L11="",0,VLOOKUP($L11,'⚪设计'!$B$85:$H$104,5,FALSE)*$M11)+IF($Q11="",0,VLOOKUP($Q11,'⚪设计'!$B$85:$H$104,5,FALSE)*$R11)+IF($V11="",0,VLOOKUP($V11,'⚪设计'!$B$85:$H$104,5,FALSE)*$W11))*IF(Q11="",0,VLOOKUP(Q11,'⚪设计'!$B$85:$H$104,5,FALSE)),0))</f>
        <v>4</v>
      </c>
      <c r="V11" s="97" t="str">
        <f>IF(VLOOKUP($A11,'⚪设计'!$A$135:$N$184,10,FALSE)="","",VLOOKUP($A11,'⚪设计'!$A$135:$N$184,10,FALSE))</f>
        <v/>
      </c>
      <c r="W11" s="97" t="str">
        <f t="shared" si="4"/>
        <v/>
      </c>
      <c r="X11" s="97" t="str">
        <f>IF(VLOOKUP($A11,'⚪设计'!$A$135:$N$184,14,FALSE)="","",VLOOKUP($A11,'⚪设计'!$A$135:$N$184,14,FALSE))</f>
        <v/>
      </c>
      <c r="Y11" s="97" t="str">
        <f>IF(V11="","",ROUND($D11*'⚪设计'!$D143/(IF($G11="",0,VLOOKUP($G11,'⚪设计'!$B$85:$H$104,4,FALSE)*$H11)+IF($L11="",0,VLOOKUP($L11,'⚪设计'!$B$85:$H$104,4,FALSE)*$M11)+IF($Q11="",0,VLOOKUP($Q11,'⚪设计'!$B$85:$H$104,4,FALSE)*$R11)+IF($V11="",0,VLOOKUP($V11,'⚪设计'!$B$85:$H$104,4,FALSE)*$W11))*IF(V11="",0,VLOOKUP(V11,'⚪设计'!$B$85:$H$104,4,FALSE)),0))</f>
        <v/>
      </c>
      <c r="Z11" s="97" t="str">
        <f>IF(V11="","",ROUND(VLOOKUP($B11,战斗节奏!$A$4:$F$13,2,FALSE)/(IF($G11="",0,VLOOKUP($G11,'⚪设计'!$B$85:$H$104,5,FALSE)*$H11)+IF($L11="",0,VLOOKUP($L11,'⚪设计'!$B$85:$H$104,5,FALSE)*$M11)+IF($Q11="",0,VLOOKUP($Q11,'⚪设计'!$B$85:$H$104,5,FALSE)*$R11)+IF($V11="",0,VLOOKUP($V11,'⚪设计'!$B$85:$H$104,5,FALSE)*$W11))*IF(V11="",0,VLOOKUP(V11,'⚪设计'!$B$85:$H$104,5,FALSE)),0))</f>
        <v/>
      </c>
    </row>
    <row r="12" spans="1:26" x14ac:dyDescent="0.2">
      <c r="A12" s="2" t="str">
        <f t="shared" si="0"/>
        <v>2_5</v>
      </c>
      <c r="B12" s="2">
        <v>2</v>
      </c>
      <c r="C12" s="2">
        <v>5</v>
      </c>
      <c r="D12" s="97">
        <f>VLOOKUP(C12,无限模式!$A$3:$B$22,2,FALSE)</f>
        <v>5400</v>
      </c>
      <c r="E12" s="98">
        <v>1</v>
      </c>
      <c r="F12" s="97">
        <f>'⚪设计'!F144</f>
        <v>20</v>
      </c>
      <c r="G12" s="97" t="str">
        <f>IF(VLOOKUP($A12,'⚪设计'!$A$135:$N$184,7,FALSE)="","",VLOOKUP($A12,'⚪设计'!$A$135:$N$184,7,FALSE))</f>
        <v>蜘蛛1</v>
      </c>
      <c r="H12" s="97">
        <f t="shared" si="1"/>
        <v>67</v>
      </c>
      <c r="I12" s="97">
        <f>IF(VLOOKUP($A12,'⚪设计'!$A$135:$N$184,11,FALSE)="","",VLOOKUP($A12,'⚪设计'!$A$135:$N$184,11,FALSE))</f>
        <v>0.3</v>
      </c>
      <c r="J12" s="97">
        <f>IF(G12="","",ROUND($D12*'⚪设计'!$D144/(IF($G12="",0,VLOOKUP($G12,'⚪设计'!$B$85:$H$104,4,FALSE)*$H12)+IF($L12="",0,VLOOKUP($L12,'⚪设计'!$B$85:$H$104,4,FALSE)*$M12)+IF($Q12="",0,VLOOKUP($Q12,'⚪设计'!$B$85:$H$104,4,FALSE)*$R12)+IF($V12="",0,VLOOKUP($V12,'⚪设计'!$B$85:$H$104,4,FALSE)*$W12))*IF(G12="",0,VLOOKUP(G12,'⚪设计'!$B$85:$H$104,4,FALSE)),0))</f>
        <v>267</v>
      </c>
      <c r="K12" s="97">
        <f>IF(G12="","",ROUND(VLOOKUP($B12,战斗节奏!$A$4:$F$13,2,FALSE)/(IF($G12="",0,VLOOKUP($G12,'⚪设计'!$B$85:$H$104,5,FALSE)*$H12)+IF($L12="",0,VLOOKUP($L12,'⚪设计'!$B$85:$H$104,5,FALSE)*$M12)+IF($Q12="",0,VLOOKUP($Q12,'⚪设计'!$B$85:$H$104,5,FALSE)*$R12)+IF($V12="",0,VLOOKUP($V12,'⚪设计'!$B$85:$H$104,5,FALSE)*$W12))*IF(G12="",0,VLOOKUP(G12,'⚪设计'!$B$85:$H$104,5,FALSE)),0))</f>
        <v>1</v>
      </c>
      <c r="L12" s="97" t="str">
        <f>IF(VLOOKUP($A12,'⚪设计'!$A$135:$N$184,8,FALSE)="","",VLOOKUP($A12,'⚪设计'!$A$135:$N$184,8,FALSE))</f>
        <v>蝙蝠1</v>
      </c>
      <c r="M12" s="97">
        <f t="shared" si="2"/>
        <v>100</v>
      </c>
      <c r="N12" s="97">
        <f>IF(VLOOKUP($A12,'⚪设计'!$A$135:$N$184,12,FALSE)="","",VLOOKUP($A12,'⚪设计'!$A$135:$N$184,12,FALSE))</f>
        <v>0.2</v>
      </c>
      <c r="O12" s="97">
        <f>IF(L12="","",ROUND($D12*'⚪设计'!$D144/(IF($G12="",0,VLOOKUP($G12,'⚪设计'!$B$85:$H$104,4,FALSE)*$H12)+IF($L12="",0,VLOOKUP($L12,'⚪设计'!$B$85:$H$104,4,FALSE)*$M12)+IF($Q12="",0,VLOOKUP($Q12,'⚪设计'!$B$85:$H$104,4,FALSE)*$R12)+IF($V12="",0,VLOOKUP($V12,'⚪设计'!$B$85:$H$104,4,FALSE)*$W12))*IF(L12="",0,VLOOKUP(L12,'⚪设计'!$B$85:$H$104,4,FALSE)),0))</f>
        <v>134</v>
      </c>
      <c r="P12" s="97">
        <f>IF(L12="","",ROUND(VLOOKUP($B12,战斗节奏!$A$4:$F$13,2,FALSE)/(IF($G12="",0,VLOOKUP($G12,'⚪设计'!$B$85:$H$104,5,FALSE)*$H12)+IF($L12="",0,VLOOKUP($L12,'⚪设计'!$B$85:$H$104,5,FALSE)*$M12)+IF($Q12="",0,VLOOKUP($Q12,'⚪设计'!$B$85:$H$104,5,FALSE)*$R12)+IF($V12="",0,VLOOKUP($V12,'⚪设计'!$B$85:$H$104,5,FALSE)*$W12))*IF(L12="",0,VLOOKUP(L12,'⚪设计'!$B$85:$H$104,5,FALSE)),0))</f>
        <v>1</v>
      </c>
      <c r="Q12" s="97" t="str">
        <f>IF(VLOOKUP($A12,'⚪设计'!$A$135:$N$184,9,FALSE)="","",VLOOKUP($A12,'⚪设计'!$A$135:$N$184,9,FALSE))</f>
        <v>蜜蜂2</v>
      </c>
      <c r="R12" s="97">
        <f t="shared" si="3"/>
        <v>40</v>
      </c>
      <c r="S12" s="97">
        <f>IF(VLOOKUP($A12,'⚪设计'!$A$135:$N$184,13,FALSE)="","",VLOOKUP($A12,'⚪设计'!$A$135:$N$184,13,FALSE))</f>
        <v>0.5</v>
      </c>
      <c r="T12" s="97">
        <f>IF(Q12="","",ROUND($D12*'⚪设计'!$D144/(IF($G12="",0,VLOOKUP($G12,'⚪设计'!$B$85:$H$104,4,FALSE)*$H12)+IF($L12="",0,VLOOKUP($L12,'⚪设计'!$B$85:$H$104,4,FALSE)*$M12)+IF($Q12="",0,VLOOKUP($Q12,'⚪设计'!$B$85:$H$104,4,FALSE)*$R12)+IF($V12="",0,VLOOKUP($V12,'⚪设计'!$B$85:$H$104,4,FALSE)*$W12))*IF(Q12="",0,VLOOKUP(Q12,'⚪设计'!$B$85:$H$104,4,FALSE)),0))</f>
        <v>535</v>
      </c>
      <c r="U12" s="97">
        <f>IF(Q12="","",ROUND(VLOOKUP($B12,战斗节奏!$A$4:$F$13,2,FALSE)/(IF($G12="",0,VLOOKUP($G12,'⚪设计'!$B$85:$H$104,5,FALSE)*$H12)+IF($L12="",0,VLOOKUP($L12,'⚪设计'!$B$85:$H$104,5,FALSE)*$M12)+IF($Q12="",0,VLOOKUP($Q12,'⚪设计'!$B$85:$H$104,5,FALSE)*$R12)+IF($V12="",0,VLOOKUP($V12,'⚪设计'!$B$85:$H$104,5,FALSE)*$W12))*IF(Q12="",0,VLOOKUP(Q12,'⚪设计'!$B$85:$H$104,5,FALSE)),0))</f>
        <v>2</v>
      </c>
      <c r="V12" s="97" t="str">
        <f>IF(VLOOKUP($A12,'⚪设计'!$A$135:$N$184,10,FALSE)="","",VLOOKUP($A12,'⚪设计'!$A$135:$N$184,10,FALSE))</f>
        <v/>
      </c>
      <c r="W12" s="97" t="str">
        <f t="shared" si="4"/>
        <v/>
      </c>
      <c r="X12" s="97" t="str">
        <f>IF(VLOOKUP($A12,'⚪设计'!$A$135:$N$184,14,FALSE)="","",VLOOKUP($A12,'⚪设计'!$A$135:$N$184,14,FALSE))</f>
        <v/>
      </c>
      <c r="Y12" s="97" t="str">
        <f>IF(V12="","",ROUND($D12*'⚪设计'!$D144/(IF($G12="",0,VLOOKUP($G12,'⚪设计'!$B$85:$H$104,4,FALSE)*$H12)+IF($L12="",0,VLOOKUP($L12,'⚪设计'!$B$85:$H$104,4,FALSE)*$M12)+IF($Q12="",0,VLOOKUP($Q12,'⚪设计'!$B$85:$H$104,4,FALSE)*$R12)+IF($V12="",0,VLOOKUP($V12,'⚪设计'!$B$85:$H$104,4,FALSE)*$W12))*IF(V12="",0,VLOOKUP(V12,'⚪设计'!$B$85:$H$104,4,FALSE)),0))</f>
        <v/>
      </c>
      <c r="Z12" s="97" t="str">
        <f>IF(V12="","",ROUND(VLOOKUP($B12,战斗节奏!$A$4:$F$13,2,FALSE)/(IF($G12="",0,VLOOKUP($G12,'⚪设计'!$B$85:$H$104,5,FALSE)*$H12)+IF($L12="",0,VLOOKUP($L12,'⚪设计'!$B$85:$H$104,5,FALSE)*$M12)+IF($Q12="",0,VLOOKUP($Q12,'⚪设计'!$B$85:$H$104,5,FALSE)*$R12)+IF($V12="",0,VLOOKUP($V12,'⚪设计'!$B$85:$H$104,5,FALSE)*$W12))*IF(V12="",0,VLOOKUP(V12,'⚪设计'!$B$85:$H$104,5,FALSE)),0))</f>
        <v/>
      </c>
    </row>
    <row r="13" spans="1:26" x14ac:dyDescent="0.2">
      <c r="A13" s="2" t="str">
        <f t="shared" si="0"/>
        <v>3_1</v>
      </c>
      <c r="B13" s="2">
        <v>3</v>
      </c>
      <c r="C13" s="2">
        <v>1</v>
      </c>
      <c r="D13" s="97">
        <f>VLOOKUP(C13,无限模式!$A$3:$B$22,2,FALSE)</f>
        <v>900</v>
      </c>
      <c r="E13" s="98">
        <v>1</v>
      </c>
      <c r="F13" s="97">
        <f>'⚪设计'!F145</f>
        <v>10</v>
      </c>
      <c r="G13" s="97" t="str">
        <f>IF(VLOOKUP($A13,'⚪设计'!$A$135:$N$184,7,FALSE)="","",VLOOKUP($A13,'⚪设计'!$A$135:$N$184,7,FALSE))</f>
        <v>种子1</v>
      </c>
      <c r="H13" s="97">
        <f t="shared" si="1"/>
        <v>5</v>
      </c>
      <c r="I13" s="97">
        <f>IF(VLOOKUP($A13,'⚪设计'!$A$135:$N$184,11,FALSE)="","",VLOOKUP($A13,'⚪设计'!$A$135:$N$184,11,FALSE))</f>
        <v>2</v>
      </c>
      <c r="J13" s="97">
        <f>IF(G13="","",ROUND($D13*'⚪设计'!$D145/(IF($G13="",0,VLOOKUP($G13,'⚪设计'!$B$85:$H$104,4,FALSE)*$H13)+IF($L13="",0,VLOOKUP($L13,'⚪设计'!$B$85:$H$104,4,FALSE)*$M13)+IF($Q13="",0,VLOOKUP($Q13,'⚪设计'!$B$85:$H$104,4,FALSE)*$R13)+IF($V13="",0,VLOOKUP($V13,'⚪设计'!$B$85:$H$104,4,FALSE)*$W13))*IF(G13="",0,VLOOKUP(G13,'⚪设计'!$B$85:$H$104,4,FALSE)),0))</f>
        <v>219</v>
      </c>
      <c r="K13" s="97">
        <f>IF(G13="","",ROUND(VLOOKUP($B13,战斗节奏!$A$4:$F$13,2,FALSE)/(IF($G13="",0,VLOOKUP($G13,'⚪设计'!$B$85:$H$104,5,FALSE)*$H13)+IF($L13="",0,VLOOKUP($L13,'⚪设计'!$B$85:$H$104,5,FALSE)*$M13)+IF($Q13="",0,VLOOKUP($Q13,'⚪设计'!$B$85:$H$104,5,FALSE)*$R13)+IF($V13="",0,VLOOKUP($V13,'⚪设计'!$B$85:$H$104,5,FALSE)*$W13))*IF(G13="",0,VLOOKUP(G13,'⚪设计'!$B$85:$H$104,5,FALSE)),0))</f>
        <v>80</v>
      </c>
      <c r="L13" s="97" t="str">
        <f>IF(VLOOKUP($A13,'⚪设计'!$A$135:$N$184,8,FALSE)="","",VLOOKUP($A13,'⚪设计'!$A$135:$N$184,8,FALSE))</f>
        <v/>
      </c>
      <c r="M13" s="97" t="str">
        <f t="shared" si="2"/>
        <v/>
      </c>
      <c r="N13" s="97" t="str">
        <f>IF(VLOOKUP($A13,'⚪设计'!$A$135:$N$184,12,FALSE)="","",VLOOKUP($A13,'⚪设计'!$A$135:$N$184,12,FALSE))</f>
        <v/>
      </c>
      <c r="O13" s="97" t="str">
        <f>IF(L13="","",ROUND($D13*'⚪设计'!$D145/(IF($G13="",0,VLOOKUP($G13,'⚪设计'!$B$85:$H$104,4,FALSE)*$H13)+IF($L13="",0,VLOOKUP($L13,'⚪设计'!$B$85:$H$104,4,FALSE)*$M13)+IF($Q13="",0,VLOOKUP($Q13,'⚪设计'!$B$85:$H$104,4,FALSE)*$R13)+IF($V13="",0,VLOOKUP($V13,'⚪设计'!$B$85:$H$104,4,FALSE)*$W13))*IF(L13="",0,VLOOKUP(L13,'⚪设计'!$B$85:$H$104,4,FALSE)),0))</f>
        <v/>
      </c>
      <c r="P13" s="97" t="str">
        <f>IF(L13="","",ROUND(VLOOKUP($B13,战斗节奏!$A$4:$F$13,2,FALSE)/(IF($G13="",0,VLOOKUP($G13,'⚪设计'!$B$85:$H$104,5,FALSE)*$H13)+IF($L13="",0,VLOOKUP($L13,'⚪设计'!$B$85:$H$104,5,FALSE)*$M13)+IF($Q13="",0,VLOOKUP($Q13,'⚪设计'!$B$85:$H$104,5,FALSE)*$R13)+IF($V13="",0,VLOOKUP($V13,'⚪设计'!$B$85:$H$104,5,FALSE)*$W13))*IF(L13="",0,VLOOKUP(L13,'⚪设计'!$B$85:$H$104,5,FALSE)),0))</f>
        <v/>
      </c>
      <c r="Q13" s="97" t="str">
        <f>IF(VLOOKUP($A13,'⚪设计'!$A$135:$N$184,9,FALSE)="","",VLOOKUP($A13,'⚪设计'!$A$135:$N$184,9,FALSE))</f>
        <v/>
      </c>
      <c r="R13" s="97" t="str">
        <f t="shared" si="3"/>
        <v/>
      </c>
      <c r="S13" s="97" t="str">
        <f>IF(VLOOKUP($A13,'⚪设计'!$A$135:$N$184,13,FALSE)="","",VLOOKUP($A13,'⚪设计'!$A$135:$N$184,13,FALSE))</f>
        <v/>
      </c>
      <c r="T13" s="97" t="str">
        <f>IF(Q13="","",ROUND($D13*'⚪设计'!$D145/(IF($G13="",0,VLOOKUP($G13,'⚪设计'!$B$85:$H$104,4,FALSE)*$H13)+IF($L13="",0,VLOOKUP($L13,'⚪设计'!$B$85:$H$104,4,FALSE)*$M13)+IF($Q13="",0,VLOOKUP($Q13,'⚪设计'!$B$85:$H$104,4,FALSE)*$R13)+IF($V13="",0,VLOOKUP($V13,'⚪设计'!$B$85:$H$104,4,FALSE)*$W13))*IF(Q13="",0,VLOOKUP(Q13,'⚪设计'!$B$85:$H$104,4,FALSE)),0))</f>
        <v/>
      </c>
      <c r="U13" s="97" t="str">
        <f>IF(Q13="","",ROUND(VLOOKUP($B13,战斗节奏!$A$4:$F$13,2,FALSE)/(IF($G13="",0,VLOOKUP($G13,'⚪设计'!$B$85:$H$104,5,FALSE)*$H13)+IF($L13="",0,VLOOKUP($L13,'⚪设计'!$B$85:$H$104,5,FALSE)*$M13)+IF($Q13="",0,VLOOKUP($Q13,'⚪设计'!$B$85:$H$104,5,FALSE)*$R13)+IF($V13="",0,VLOOKUP($V13,'⚪设计'!$B$85:$H$104,5,FALSE)*$W13))*IF(Q13="",0,VLOOKUP(Q13,'⚪设计'!$B$85:$H$104,5,FALSE)),0))</f>
        <v/>
      </c>
      <c r="V13" s="97" t="str">
        <f>IF(VLOOKUP($A13,'⚪设计'!$A$135:$N$184,10,FALSE)="","",VLOOKUP($A13,'⚪设计'!$A$135:$N$184,10,FALSE))</f>
        <v/>
      </c>
      <c r="W13" s="97" t="str">
        <f t="shared" si="4"/>
        <v/>
      </c>
      <c r="X13" s="97" t="str">
        <f>IF(VLOOKUP($A13,'⚪设计'!$A$135:$N$184,14,FALSE)="","",VLOOKUP($A13,'⚪设计'!$A$135:$N$184,14,FALSE))</f>
        <v/>
      </c>
      <c r="Y13" s="97" t="str">
        <f>IF(V13="","",ROUND($D13*'⚪设计'!$D145/(IF($G13="",0,VLOOKUP($G13,'⚪设计'!$B$85:$H$104,4,FALSE)*$H13)+IF($L13="",0,VLOOKUP($L13,'⚪设计'!$B$85:$H$104,4,FALSE)*$M13)+IF($Q13="",0,VLOOKUP($Q13,'⚪设计'!$B$85:$H$104,4,FALSE)*$R13)+IF($V13="",0,VLOOKUP($V13,'⚪设计'!$B$85:$H$104,4,FALSE)*$W13))*IF(V13="",0,VLOOKUP(V13,'⚪设计'!$B$85:$H$104,4,FALSE)),0))</f>
        <v/>
      </c>
      <c r="Z13" s="97" t="str">
        <f>IF(V13="","",ROUND(VLOOKUP($B13,战斗节奏!$A$4:$F$13,2,FALSE)/(IF($G13="",0,VLOOKUP($G13,'⚪设计'!$B$85:$H$104,5,FALSE)*$H13)+IF($L13="",0,VLOOKUP($L13,'⚪设计'!$B$85:$H$104,5,FALSE)*$M13)+IF($Q13="",0,VLOOKUP($Q13,'⚪设计'!$B$85:$H$104,5,FALSE)*$R13)+IF($V13="",0,VLOOKUP($V13,'⚪设计'!$B$85:$H$104,5,FALSE)*$W13))*IF(V13="",0,VLOOKUP(V13,'⚪设计'!$B$85:$H$104,5,FALSE)),0))</f>
        <v/>
      </c>
    </row>
    <row r="14" spans="1:26" x14ac:dyDescent="0.2">
      <c r="A14" s="2" t="str">
        <f t="shared" si="0"/>
        <v>3_2</v>
      </c>
      <c r="B14" s="2">
        <v>3</v>
      </c>
      <c r="C14" s="2">
        <v>2</v>
      </c>
      <c r="D14" s="97">
        <f>VLOOKUP(C14,无限模式!$A$3:$B$22,2,FALSE)</f>
        <v>1800</v>
      </c>
      <c r="E14" s="98">
        <v>1</v>
      </c>
      <c r="F14" s="97">
        <f>'⚪设计'!F146</f>
        <v>12.5</v>
      </c>
      <c r="G14" s="97" t="str">
        <f>IF(VLOOKUP($A14,'⚪设计'!$A$135:$N$184,7,FALSE)="","",VLOOKUP($A14,'⚪设计'!$A$135:$N$184,7,FALSE))</f>
        <v>种子1</v>
      </c>
      <c r="H14" s="97">
        <f t="shared" si="1"/>
        <v>6</v>
      </c>
      <c r="I14" s="97">
        <f>IF(VLOOKUP($A14,'⚪设计'!$A$135:$N$184,11,FALSE)="","",VLOOKUP($A14,'⚪设计'!$A$135:$N$184,11,FALSE))</f>
        <v>2</v>
      </c>
      <c r="J14" s="97">
        <f>IF(G14="","",ROUND($D14*'⚪设计'!$D146/(IF($G14="",0,VLOOKUP($G14,'⚪设计'!$B$85:$H$104,4,FALSE)*$H14)+IF($L14="",0,VLOOKUP($L14,'⚪设计'!$B$85:$H$104,4,FALSE)*$M14)+IF($Q14="",0,VLOOKUP($Q14,'⚪设计'!$B$85:$H$104,4,FALSE)*$R14)+IF($V14="",0,VLOOKUP($V14,'⚪设计'!$B$85:$H$104,4,FALSE)*$W14))*IF(G14="",0,VLOOKUP(G14,'⚪设计'!$B$85:$H$104,4,FALSE)),0))</f>
        <v>216</v>
      </c>
      <c r="K14" s="97">
        <f>IF(G14="","",ROUND(VLOOKUP($B14,战斗节奏!$A$4:$F$13,2,FALSE)/(IF($G14="",0,VLOOKUP($G14,'⚪设计'!$B$85:$H$104,5,FALSE)*$H14)+IF($L14="",0,VLOOKUP($L14,'⚪设计'!$B$85:$H$104,5,FALSE)*$M14)+IF($Q14="",0,VLOOKUP($Q14,'⚪设计'!$B$85:$H$104,5,FALSE)*$R14)+IF($V14="",0,VLOOKUP($V14,'⚪设计'!$B$85:$H$104,5,FALSE)*$W14))*IF(G14="",0,VLOOKUP(G14,'⚪设计'!$B$85:$H$104,5,FALSE)),0))</f>
        <v>33</v>
      </c>
      <c r="L14" s="97" t="str">
        <f>IF(VLOOKUP($A14,'⚪设计'!$A$135:$N$184,8,FALSE)="","",VLOOKUP($A14,'⚪设计'!$A$135:$N$184,8,FALSE))</f>
        <v>蜜蜂2</v>
      </c>
      <c r="M14" s="97">
        <f t="shared" si="2"/>
        <v>6</v>
      </c>
      <c r="N14" s="97">
        <f>IF(VLOOKUP($A14,'⚪设计'!$A$135:$N$184,12,FALSE)="","",VLOOKUP($A14,'⚪设计'!$A$135:$N$184,12,FALSE))</f>
        <v>2</v>
      </c>
      <c r="O14" s="97">
        <f>IF(L14="","",ROUND($D14*'⚪设计'!$D146/(IF($G14="",0,VLOOKUP($G14,'⚪设计'!$B$85:$H$104,4,FALSE)*$H14)+IF($L14="",0,VLOOKUP($L14,'⚪设计'!$B$85:$H$104,4,FALSE)*$M14)+IF($Q14="",0,VLOOKUP($Q14,'⚪设计'!$B$85:$H$104,4,FALSE)*$R14)+IF($V14="",0,VLOOKUP($V14,'⚪设计'!$B$85:$H$104,4,FALSE)*$W14))*IF(L14="",0,VLOOKUP(L14,'⚪设计'!$B$85:$H$104,4,FALSE)),0))</f>
        <v>144</v>
      </c>
      <c r="P14" s="97">
        <f>IF(L14="","",ROUND(VLOOKUP($B14,战斗节奏!$A$4:$F$13,2,FALSE)/(IF($G14="",0,VLOOKUP($G14,'⚪设计'!$B$85:$H$104,5,FALSE)*$H14)+IF($L14="",0,VLOOKUP($L14,'⚪设计'!$B$85:$H$104,5,FALSE)*$M14)+IF($Q14="",0,VLOOKUP($Q14,'⚪设计'!$B$85:$H$104,5,FALSE)*$R14)+IF($V14="",0,VLOOKUP($V14,'⚪设计'!$B$85:$H$104,5,FALSE)*$W14))*IF(L14="",0,VLOOKUP(L14,'⚪设计'!$B$85:$H$104,5,FALSE)),0))</f>
        <v>33</v>
      </c>
      <c r="Q14" s="97" t="str">
        <f>IF(VLOOKUP($A14,'⚪设计'!$A$135:$N$184,9,FALSE)="","",VLOOKUP($A14,'⚪设计'!$A$135:$N$184,9,FALSE))</f>
        <v/>
      </c>
      <c r="R14" s="97" t="str">
        <f t="shared" si="3"/>
        <v/>
      </c>
      <c r="S14" s="97" t="str">
        <f>IF(VLOOKUP($A14,'⚪设计'!$A$135:$N$184,13,FALSE)="","",VLOOKUP($A14,'⚪设计'!$A$135:$N$184,13,FALSE))</f>
        <v/>
      </c>
      <c r="T14" s="97" t="str">
        <f>IF(Q14="","",ROUND($D14*'⚪设计'!$D146/(IF($G14="",0,VLOOKUP($G14,'⚪设计'!$B$85:$H$104,4,FALSE)*$H14)+IF($L14="",0,VLOOKUP($L14,'⚪设计'!$B$85:$H$104,4,FALSE)*$M14)+IF($Q14="",0,VLOOKUP($Q14,'⚪设计'!$B$85:$H$104,4,FALSE)*$R14)+IF($V14="",0,VLOOKUP($V14,'⚪设计'!$B$85:$H$104,4,FALSE)*$W14))*IF(Q14="",0,VLOOKUP(Q14,'⚪设计'!$B$85:$H$104,4,FALSE)),0))</f>
        <v/>
      </c>
      <c r="U14" s="97" t="str">
        <f>IF(Q14="","",ROUND(VLOOKUP($B14,战斗节奏!$A$4:$F$13,2,FALSE)/(IF($G14="",0,VLOOKUP($G14,'⚪设计'!$B$85:$H$104,5,FALSE)*$H14)+IF($L14="",0,VLOOKUP($L14,'⚪设计'!$B$85:$H$104,5,FALSE)*$M14)+IF($Q14="",0,VLOOKUP($Q14,'⚪设计'!$B$85:$H$104,5,FALSE)*$R14)+IF($V14="",0,VLOOKUP($V14,'⚪设计'!$B$85:$H$104,5,FALSE)*$W14))*IF(Q14="",0,VLOOKUP(Q14,'⚪设计'!$B$85:$H$104,5,FALSE)),0))</f>
        <v/>
      </c>
      <c r="V14" s="97" t="str">
        <f>IF(VLOOKUP($A14,'⚪设计'!$A$135:$N$184,10,FALSE)="","",VLOOKUP($A14,'⚪设计'!$A$135:$N$184,10,FALSE))</f>
        <v/>
      </c>
      <c r="W14" s="97" t="str">
        <f t="shared" si="4"/>
        <v/>
      </c>
      <c r="X14" s="97" t="str">
        <f>IF(VLOOKUP($A14,'⚪设计'!$A$135:$N$184,14,FALSE)="","",VLOOKUP($A14,'⚪设计'!$A$135:$N$184,14,FALSE))</f>
        <v/>
      </c>
      <c r="Y14" s="97" t="str">
        <f>IF(V14="","",ROUND($D14*'⚪设计'!$D146/(IF($G14="",0,VLOOKUP($G14,'⚪设计'!$B$85:$H$104,4,FALSE)*$H14)+IF($L14="",0,VLOOKUP($L14,'⚪设计'!$B$85:$H$104,4,FALSE)*$M14)+IF($Q14="",0,VLOOKUP($Q14,'⚪设计'!$B$85:$H$104,4,FALSE)*$R14)+IF($V14="",0,VLOOKUP($V14,'⚪设计'!$B$85:$H$104,4,FALSE)*$W14))*IF(V14="",0,VLOOKUP(V14,'⚪设计'!$B$85:$H$104,4,FALSE)),0))</f>
        <v/>
      </c>
      <c r="Z14" s="97" t="str">
        <f>IF(V14="","",ROUND(VLOOKUP($B14,战斗节奏!$A$4:$F$13,2,FALSE)/(IF($G14="",0,VLOOKUP($G14,'⚪设计'!$B$85:$H$104,5,FALSE)*$H14)+IF($L14="",0,VLOOKUP($L14,'⚪设计'!$B$85:$H$104,5,FALSE)*$M14)+IF($Q14="",0,VLOOKUP($Q14,'⚪设计'!$B$85:$H$104,5,FALSE)*$R14)+IF($V14="",0,VLOOKUP($V14,'⚪设计'!$B$85:$H$104,5,FALSE)*$W14))*IF(V14="",0,VLOOKUP(V14,'⚪设计'!$B$85:$H$104,5,FALSE)),0))</f>
        <v/>
      </c>
    </row>
    <row r="15" spans="1:26" x14ac:dyDescent="0.2">
      <c r="A15" s="2" t="str">
        <f t="shared" si="0"/>
        <v>3_3</v>
      </c>
      <c r="B15" s="2">
        <v>3</v>
      </c>
      <c r="C15" s="2">
        <v>3</v>
      </c>
      <c r="D15" s="97">
        <f>VLOOKUP(C15,无限模式!$A$3:$B$22,2,FALSE)</f>
        <v>3600</v>
      </c>
      <c r="E15" s="98">
        <v>1</v>
      </c>
      <c r="F15" s="97">
        <f>'⚪设计'!F147</f>
        <v>15</v>
      </c>
      <c r="G15" s="97" t="str">
        <f>IF(VLOOKUP($A15,'⚪设计'!$A$135:$N$184,7,FALSE)="","",VLOOKUP($A15,'⚪设计'!$A$135:$N$184,7,FALSE))</f>
        <v>种子1</v>
      </c>
      <c r="H15" s="97">
        <f t="shared" si="1"/>
        <v>8</v>
      </c>
      <c r="I15" s="97">
        <f>IF(VLOOKUP($A15,'⚪设计'!$A$135:$N$184,11,FALSE)="","",VLOOKUP($A15,'⚪设计'!$A$135:$N$184,11,FALSE))</f>
        <v>2</v>
      </c>
      <c r="J15" s="97">
        <f>IF(G15="","",ROUND($D15*'⚪设计'!$D147/(IF($G15="",0,VLOOKUP($G15,'⚪设计'!$B$85:$H$104,4,FALSE)*$H15)+IF($L15="",0,VLOOKUP($L15,'⚪设计'!$B$85:$H$104,4,FALSE)*$M15)+IF($Q15="",0,VLOOKUP($Q15,'⚪设计'!$B$85:$H$104,4,FALSE)*$R15)+IF($V15="",0,VLOOKUP($V15,'⚪设计'!$B$85:$H$104,4,FALSE)*$W15))*IF(G15="",0,VLOOKUP(G15,'⚪设计'!$B$85:$H$104,4,FALSE)),0))</f>
        <v>1029</v>
      </c>
      <c r="K15" s="97">
        <f>IF(G15="","",ROUND(VLOOKUP($B15,战斗节奏!$A$4:$F$13,2,FALSE)/(IF($G15="",0,VLOOKUP($G15,'⚪设计'!$B$85:$H$104,5,FALSE)*$H15)+IF($L15="",0,VLOOKUP($L15,'⚪设计'!$B$85:$H$104,5,FALSE)*$M15)+IF($Q15="",0,VLOOKUP($Q15,'⚪设计'!$B$85:$H$104,5,FALSE)*$R15)+IF($V15="",0,VLOOKUP($V15,'⚪设计'!$B$85:$H$104,5,FALSE)*$W15))*IF(G15="",0,VLOOKUP(G15,'⚪设计'!$B$85:$H$104,5,FALSE)),0))</f>
        <v>34</v>
      </c>
      <c r="L15" s="97" t="str">
        <f>IF(VLOOKUP($A15,'⚪设计'!$A$135:$N$184,8,FALSE)="","",VLOOKUP($A15,'⚪设计'!$A$135:$N$184,8,FALSE))</f>
        <v>蝙蝠1</v>
      </c>
      <c r="M15" s="97">
        <f t="shared" si="2"/>
        <v>15</v>
      </c>
      <c r="N15" s="97">
        <f>IF(VLOOKUP($A15,'⚪设计'!$A$135:$N$184,12,FALSE)="","",VLOOKUP($A15,'⚪设计'!$A$135:$N$184,12,FALSE))</f>
        <v>1</v>
      </c>
      <c r="O15" s="97">
        <f>IF(L15="","",ROUND($D15*'⚪设计'!$D147/(IF($G15="",0,VLOOKUP($G15,'⚪设计'!$B$85:$H$104,4,FALSE)*$H15)+IF($L15="",0,VLOOKUP($L15,'⚪设计'!$B$85:$H$104,4,FALSE)*$M15)+IF($Q15="",0,VLOOKUP($Q15,'⚪设计'!$B$85:$H$104,4,FALSE)*$R15)+IF($V15="",0,VLOOKUP($V15,'⚪设计'!$B$85:$H$104,4,FALSE)*$W15))*IF(L15="",0,VLOOKUP(L15,'⚪设计'!$B$85:$H$104,4,FALSE)),0))</f>
        <v>171</v>
      </c>
      <c r="P15" s="97">
        <f>IF(L15="","",ROUND(VLOOKUP($B15,战斗节奏!$A$4:$F$13,2,FALSE)/(IF($G15="",0,VLOOKUP($G15,'⚪设计'!$B$85:$H$104,5,FALSE)*$H15)+IF($L15="",0,VLOOKUP($L15,'⚪设计'!$B$85:$H$104,5,FALSE)*$M15)+IF($Q15="",0,VLOOKUP($Q15,'⚪设计'!$B$85:$H$104,5,FALSE)*$R15)+IF($V15="",0,VLOOKUP($V15,'⚪设计'!$B$85:$H$104,5,FALSE)*$W15))*IF(L15="",0,VLOOKUP(L15,'⚪设计'!$B$85:$H$104,5,FALSE)),0))</f>
        <v>9</v>
      </c>
      <c r="Q15" s="97" t="str">
        <f>IF(VLOOKUP($A15,'⚪设计'!$A$135:$N$184,9,FALSE)="","",VLOOKUP($A15,'⚪设计'!$A$135:$N$184,9,FALSE))</f>
        <v/>
      </c>
      <c r="R15" s="97" t="str">
        <f t="shared" si="3"/>
        <v/>
      </c>
      <c r="S15" s="97" t="str">
        <f>IF(VLOOKUP($A15,'⚪设计'!$A$135:$N$184,13,FALSE)="","",VLOOKUP($A15,'⚪设计'!$A$135:$N$184,13,FALSE))</f>
        <v/>
      </c>
      <c r="T15" s="97" t="str">
        <f>IF(Q15="","",ROUND($D15*'⚪设计'!$D147/(IF($G15="",0,VLOOKUP($G15,'⚪设计'!$B$85:$H$104,4,FALSE)*$H15)+IF($L15="",0,VLOOKUP($L15,'⚪设计'!$B$85:$H$104,4,FALSE)*$M15)+IF($Q15="",0,VLOOKUP($Q15,'⚪设计'!$B$85:$H$104,4,FALSE)*$R15)+IF($V15="",0,VLOOKUP($V15,'⚪设计'!$B$85:$H$104,4,FALSE)*$W15))*IF(Q15="",0,VLOOKUP(Q15,'⚪设计'!$B$85:$H$104,4,FALSE)),0))</f>
        <v/>
      </c>
      <c r="U15" s="97" t="str">
        <f>IF(Q15="","",ROUND(VLOOKUP($B15,战斗节奏!$A$4:$F$13,2,FALSE)/(IF($G15="",0,VLOOKUP($G15,'⚪设计'!$B$85:$H$104,5,FALSE)*$H15)+IF($L15="",0,VLOOKUP($L15,'⚪设计'!$B$85:$H$104,5,FALSE)*$M15)+IF($Q15="",0,VLOOKUP($Q15,'⚪设计'!$B$85:$H$104,5,FALSE)*$R15)+IF($V15="",0,VLOOKUP($V15,'⚪设计'!$B$85:$H$104,5,FALSE)*$W15))*IF(Q15="",0,VLOOKUP(Q15,'⚪设计'!$B$85:$H$104,5,FALSE)),0))</f>
        <v/>
      </c>
      <c r="V15" s="97" t="str">
        <f>IF(VLOOKUP($A15,'⚪设计'!$A$135:$N$184,10,FALSE)="","",VLOOKUP($A15,'⚪设计'!$A$135:$N$184,10,FALSE))</f>
        <v/>
      </c>
      <c r="W15" s="97" t="str">
        <f t="shared" si="4"/>
        <v/>
      </c>
      <c r="X15" s="97" t="str">
        <f>IF(VLOOKUP($A15,'⚪设计'!$A$135:$N$184,14,FALSE)="","",VLOOKUP($A15,'⚪设计'!$A$135:$N$184,14,FALSE))</f>
        <v/>
      </c>
      <c r="Y15" s="97" t="str">
        <f>IF(V15="","",ROUND($D15*'⚪设计'!$D147/(IF($G15="",0,VLOOKUP($G15,'⚪设计'!$B$85:$H$104,4,FALSE)*$H15)+IF($L15="",0,VLOOKUP($L15,'⚪设计'!$B$85:$H$104,4,FALSE)*$M15)+IF($Q15="",0,VLOOKUP($Q15,'⚪设计'!$B$85:$H$104,4,FALSE)*$R15)+IF($V15="",0,VLOOKUP($V15,'⚪设计'!$B$85:$H$104,4,FALSE)*$W15))*IF(V15="",0,VLOOKUP(V15,'⚪设计'!$B$85:$H$104,4,FALSE)),0))</f>
        <v/>
      </c>
      <c r="Z15" s="97" t="str">
        <f>IF(V15="","",ROUND(VLOOKUP($B15,战斗节奏!$A$4:$F$13,2,FALSE)/(IF($G15="",0,VLOOKUP($G15,'⚪设计'!$B$85:$H$104,5,FALSE)*$H15)+IF($L15="",0,VLOOKUP($L15,'⚪设计'!$B$85:$H$104,5,FALSE)*$M15)+IF($Q15="",0,VLOOKUP($Q15,'⚪设计'!$B$85:$H$104,5,FALSE)*$R15)+IF($V15="",0,VLOOKUP($V15,'⚪设计'!$B$85:$H$104,5,FALSE)*$W15))*IF(V15="",0,VLOOKUP(V15,'⚪设计'!$B$85:$H$104,5,FALSE)),0))</f>
        <v/>
      </c>
    </row>
    <row r="16" spans="1:26" x14ac:dyDescent="0.2">
      <c r="A16" s="2" t="str">
        <f t="shared" si="0"/>
        <v>3_4</v>
      </c>
      <c r="B16" s="2">
        <v>3</v>
      </c>
      <c r="C16" s="2">
        <v>4</v>
      </c>
      <c r="D16" s="97">
        <f>VLOOKUP(C16,无限模式!$A$3:$B$22,2,FALSE)</f>
        <v>4500</v>
      </c>
      <c r="E16" s="98">
        <v>1</v>
      </c>
      <c r="F16" s="97">
        <f>'⚪设计'!F148</f>
        <v>17.5</v>
      </c>
      <c r="G16" s="97" t="str">
        <f>IF(VLOOKUP($A16,'⚪设计'!$A$135:$N$184,7,FALSE)="","",VLOOKUP($A16,'⚪设计'!$A$135:$N$184,7,FALSE))</f>
        <v>种子1</v>
      </c>
      <c r="H16" s="97">
        <f t="shared" si="1"/>
        <v>9</v>
      </c>
      <c r="I16" s="97">
        <f>IF(VLOOKUP($A16,'⚪设计'!$A$135:$N$184,11,FALSE)="","",VLOOKUP($A16,'⚪设计'!$A$135:$N$184,11,FALSE))</f>
        <v>2</v>
      </c>
      <c r="J16" s="97">
        <f>IF(G16="","",ROUND($D16*'⚪设计'!$D148/(IF($G16="",0,VLOOKUP($G16,'⚪设计'!$B$85:$H$104,4,FALSE)*$H16)+IF($L16="",0,VLOOKUP($L16,'⚪设计'!$B$85:$H$104,4,FALSE)*$M16)+IF($Q16="",0,VLOOKUP($Q16,'⚪设计'!$B$85:$H$104,4,FALSE)*$R16)+IF($V16="",0,VLOOKUP($V16,'⚪设计'!$B$85:$H$104,4,FALSE)*$W16))*IF(G16="",0,VLOOKUP(G16,'⚪设计'!$B$85:$H$104,4,FALSE)),0))</f>
        <v>410</v>
      </c>
      <c r="K16" s="97">
        <f>IF(G16="","",ROUND(VLOOKUP($B16,战斗节奏!$A$4:$F$13,2,FALSE)/(IF($G16="",0,VLOOKUP($G16,'⚪设计'!$B$85:$H$104,5,FALSE)*$H16)+IF($L16="",0,VLOOKUP($L16,'⚪设计'!$B$85:$H$104,5,FALSE)*$M16)+IF($Q16="",0,VLOOKUP($Q16,'⚪设计'!$B$85:$H$104,5,FALSE)*$R16)+IF($V16="",0,VLOOKUP($V16,'⚪设计'!$B$85:$H$104,5,FALSE)*$W16))*IF(G16="",0,VLOOKUP(G16,'⚪设计'!$B$85:$H$104,5,FALSE)),0))</f>
        <v>12</v>
      </c>
      <c r="L16" s="97" t="str">
        <f>IF(VLOOKUP($A16,'⚪设计'!$A$135:$N$184,8,FALSE)="","",VLOOKUP($A16,'⚪设计'!$A$135:$N$184,8,FALSE))</f>
        <v>蝙蝠1</v>
      </c>
      <c r="M16" s="97">
        <f t="shared" si="2"/>
        <v>58</v>
      </c>
      <c r="N16" s="97">
        <f>IF(VLOOKUP($A16,'⚪设计'!$A$135:$N$184,12,FALSE)="","",VLOOKUP($A16,'⚪设计'!$A$135:$N$184,12,FALSE))</f>
        <v>0.3</v>
      </c>
      <c r="O16" s="97">
        <f>IF(L16="","",ROUND($D16*'⚪设计'!$D148/(IF($G16="",0,VLOOKUP($G16,'⚪设计'!$B$85:$H$104,4,FALSE)*$H16)+IF($L16="",0,VLOOKUP($L16,'⚪设计'!$B$85:$H$104,4,FALSE)*$M16)+IF($Q16="",0,VLOOKUP($Q16,'⚪设计'!$B$85:$H$104,4,FALSE)*$R16)+IF($V16="",0,VLOOKUP($V16,'⚪设计'!$B$85:$H$104,4,FALSE)*$W16))*IF(L16="",0,VLOOKUP(L16,'⚪设计'!$B$85:$H$104,4,FALSE)),0))</f>
        <v>68</v>
      </c>
      <c r="P16" s="97">
        <f>IF(L16="","",ROUND(VLOOKUP($B16,战斗节奏!$A$4:$F$13,2,FALSE)/(IF($G16="",0,VLOOKUP($G16,'⚪设计'!$B$85:$H$104,5,FALSE)*$H16)+IF($L16="",0,VLOOKUP($L16,'⚪设计'!$B$85:$H$104,5,FALSE)*$M16)+IF($Q16="",0,VLOOKUP($Q16,'⚪设计'!$B$85:$H$104,5,FALSE)*$R16)+IF($V16="",0,VLOOKUP($V16,'⚪设计'!$B$85:$H$104,5,FALSE)*$W16))*IF(L16="",0,VLOOKUP(L16,'⚪设计'!$B$85:$H$104,5,FALSE)),0))</f>
        <v>3</v>
      </c>
      <c r="Q16" s="97" t="str">
        <f>IF(VLOOKUP($A16,'⚪设计'!$A$135:$N$184,9,FALSE)="","",VLOOKUP($A16,'⚪设计'!$A$135:$N$184,9,FALSE))</f>
        <v>蜘蛛1</v>
      </c>
      <c r="R16" s="97">
        <f t="shared" si="3"/>
        <v>18</v>
      </c>
      <c r="S16" s="97">
        <f>IF(VLOOKUP($A16,'⚪设计'!$A$135:$N$184,13,FALSE)="","",VLOOKUP($A16,'⚪设计'!$A$135:$N$184,13,FALSE))</f>
        <v>1</v>
      </c>
      <c r="T16" s="97">
        <f>IF(Q16="","",ROUND($D16*'⚪设计'!$D148/(IF($G16="",0,VLOOKUP($G16,'⚪设计'!$B$85:$H$104,4,FALSE)*$H16)+IF($L16="",0,VLOOKUP($L16,'⚪设计'!$B$85:$H$104,4,FALSE)*$M16)+IF($Q16="",0,VLOOKUP($Q16,'⚪设计'!$B$85:$H$104,4,FALSE)*$R16)+IF($V16="",0,VLOOKUP($V16,'⚪设计'!$B$85:$H$104,4,FALSE)*$W16))*IF(Q16="",0,VLOOKUP(Q16,'⚪设计'!$B$85:$H$104,4,FALSE)),0))</f>
        <v>137</v>
      </c>
      <c r="U16" s="97">
        <f>IF(Q16="","",ROUND(VLOOKUP($B16,战斗节奏!$A$4:$F$13,2,FALSE)/(IF($G16="",0,VLOOKUP($G16,'⚪设计'!$B$85:$H$104,5,FALSE)*$H16)+IF($L16="",0,VLOOKUP($L16,'⚪设计'!$B$85:$H$104,5,FALSE)*$M16)+IF($Q16="",0,VLOOKUP($Q16,'⚪设计'!$B$85:$H$104,5,FALSE)*$R16)+IF($V16="",0,VLOOKUP($V16,'⚪设计'!$B$85:$H$104,5,FALSE)*$W16))*IF(Q16="",0,VLOOKUP(Q16,'⚪设计'!$B$85:$H$104,5,FALSE)),0))</f>
        <v>6</v>
      </c>
      <c r="V16" s="97" t="str">
        <f>IF(VLOOKUP($A16,'⚪设计'!$A$135:$N$184,10,FALSE)="","",VLOOKUP($A16,'⚪设计'!$A$135:$N$184,10,FALSE))</f>
        <v/>
      </c>
      <c r="W16" s="97" t="str">
        <f t="shared" si="4"/>
        <v/>
      </c>
      <c r="X16" s="97" t="str">
        <f>IF(VLOOKUP($A16,'⚪设计'!$A$135:$N$184,14,FALSE)="","",VLOOKUP($A16,'⚪设计'!$A$135:$N$184,14,FALSE))</f>
        <v/>
      </c>
      <c r="Y16" s="97" t="str">
        <f>IF(V16="","",ROUND($D16*'⚪设计'!$D148/(IF($G16="",0,VLOOKUP($G16,'⚪设计'!$B$85:$H$104,4,FALSE)*$H16)+IF($L16="",0,VLOOKUP($L16,'⚪设计'!$B$85:$H$104,4,FALSE)*$M16)+IF($Q16="",0,VLOOKUP($Q16,'⚪设计'!$B$85:$H$104,4,FALSE)*$R16)+IF($V16="",0,VLOOKUP($V16,'⚪设计'!$B$85:$H$104,4,FALSE)*$W16))*IF(V16="",0,VLOOKUP(V16,'⚪设计'!$B$85:$H$104,4,FALSE)),0))</f>
        <v/>
      </c>
      <c r="Z16" s="97" t="str">
        <f>IF(V16="","",ROUND(VLOOKUP($B16,战斗节奏!$A$4:$F$13,2,FALSE)/(IF($G16="",0,VLOOKUP($G16,'⚪设计'!$B$85:$H$104,5,FALSE)*$H16)+IF($L16="",0,VLOOKUP($L16,'⚪设计'!$B$85:$H$104,5,FALSE)*$M16)+IF($Q16="",0,VLOOKUP($Q16,'⚪设计'!$B$85:$H$104,5,FALSE)*$R16)+IF($V16="",0,VLOOKUP($V16,'⚪设计'!$B$85:$H$104,5,FALSE)*$W16))*IF(V16="",0,VLOOKUP(V16,'⚪设计'!$B$85:$H$104,5,FALSE)),0))</f>
        <v/>
      </c>
    </row>
    <row r="17" spans="1:26" x14ac:dyDescent="0.2">
      <c r="A17" s="2" t="str">
        <f t="shared" si="0"/>
        <v>3_5</v>
      </c>
      <c r="B17" s="2">
        <v>3</v>
      </c>
      <c r="C17" s="2">
        <v>5</v>
      </c>
      <c r="D17" s="97">
        <f>VLOOKUP(C17,无限模式!$A$3:$B$22,2,FALSE)</f>
        <v>5400</v>
      </c>
      <c r="E17" s="98">
        <v>1</v>
      </c>
      <c r="F17" s="97">
        <f>'⚪设计'!F149</f>
        <v>20</v>
      </c>
      <c r="G17" s="97" t="str">
        <f>IF(VLOOKUP($A17,'⚪设计'!$A$135:$N$184,7,FALSE)="","",VLOOKUP($A17,'⚪设计'!$A$135:$N$184,7,FALSE))</f>
        <v>种子1</v>
      </c>
      <c r="H17" s="97">
        <f t="shared" si="1"/>
        <v>13</v>
      </c>
      <c r="I17" s="97">
        <f>IF(VLOOKUP($A17,'⚪设计'!$A$135:$N$184,11,FALSE)="","",VLOOKUP($A17,'⚪设计'!$A$135:$N$184,11,FALSE))</f>
        <v>1.5</v>
      </c>
      <c r="J17" s="97">
        <f>IF(G17="","",ROUND($D17*'⚪设计'!$D149/(IF($G17="",0,VLOOKUP($G17,'⚪设计'!$B$85:$H$104,4,FALSE)*$H17)+IF($L17="",0,VLOOKUP($L17,'⚪设计'!$B$85:$H$104,4,FALSE)*$M17)+IF($Q17="",0,VLOOKUP($Q17,'⚪设计'!$B$85:$H$104,4,FALSE)*$R17)+IF($V17="",0,VLOOKUP($V17,'⚪设计'!$B$85:$H$104,4,FALSE)*$W17))*IF(G17="",0,VLOOKUP(G17,'⚪设计'!$B$85:$H$104,4,FALSE)),0))</f>
        <v>416</v>
      </c>
      <c r="K17" s="97">
        <f>IF(G17="","",ROUND(VLOOKUP($B17,战斗节奏!$A$4:$F$13,2,FALSE)/(IF($G17="",0,VLOOKUP($G17,'⚪设计'!$B$85:$H$104,5,FALSE)*$H17)+IF($L17="",0,VLOOKUP($L17,'⚪设计'!$B$85:$H$104,5,FALSE)*$M17)+IF($Q17="",0,VLOOKUP($Q17,'⚪设计'!$B$85:$H$104,5,FALSE)*$R17)+IF($V17="",0,VLOOKUP($V17,'⚪设计'!$B$85:$H$104,5,FALSE)*$W17))*IF(G17="",0,VLOOKUP(G17,'⚪设计'!$B$85:$H$104,5,FALSE)),0))</f>
        <v>6</v>
      </c>
      <c r="L17" s="97" t="str">
        <f>IF(VLOOKUP($A17,'⚪设计'!$A$135:$N$184,8,FALSE)="","",VLOOKUP($A17,'⚪设计'!$A$135:$N$184,8,FALSE))</f>
        <v>蜜蜂2</v>
      </c>
      <c r="M17" s="97">
        <f t="shared" si="2"/>
        <v>20</v>
      </c>
      <c r="N17" s="97">
        <f>IF(VLOOKUP($A17,'⚪设计'!$A$135:$N$184,12,FALSE)="","",VLOOKUP($A17,'⚪设计'!$A$135:$N$184,12,FALSE))</f>
        <v>1</v>
      </c>
      <c r="O17" s="97">
        <f>IF(L17="","",ROUND($D17*'⚪设计'!$D149/(IF($G17="",0,VLOOKUP($G17,'⚪设计'!$B$85:$H$104,4,FALSE)*$H17)+IF($L17="",0,VLOOKUP($L17,'⚪设计'!$B$85:$H$104,4,FALSE)*$M17)+IF($Q17="",0,VLOOKUP($Q17,'⚪设计'!$B$85:$H$104,4,FALSE)*$R17)+IF($V17="",0,VLOOKUP($V17,'⚪设计'!$B$85:$H$104,4,FALSE)*$W17))*IF(L17="",0,VLOOKUP(L17,'⚪设计'!$B$85:$H$104,4,FALSE)),0))</f>
        <v>277</v>
      </c>
      <c r="P17" s="97">
        <f>IF(L17="","",ROUND(VLOOKUP($B17,战斗节奏!$A$4:$F$13,2,FALSE)/(IF($G17="",0,VLOOKUP($G17,'⚪设计'!$B$85:$H$104,5,FALSE)*$H17)+IF($L17="",0,VLOOKUP($L17,'⚪设计'!$B$85:$H$104,5,FALSE)*$M17)+IF($Q17="",0,VLOOKUP($Q17,'⚪设计'!$B$85:$H$104,5,FALSE)*$R17)+IF($V17="",0,VLOOKUP($V17,'⚪设计'!$B$85:$H$104,5,FALSE)*$W17))*IF(L17="",0,VLOOKUP(L17,'⚪设计'!$B$85:$H$104,5,FALSE)),0))</f>
        <v>6</v>
      </c>
      <c r="Q17" s="97" t="str">
        <f>IF(VLOOKUP($A17,'⚪设计'!$A$135:$N$184,9,FALSE)="","",VLOOKUP($A17,'⚪设计'!$A$135:$N$184,9,FALSE))</f>
        <v>蜘蛛1</v>
      </c>
      <c r="R17" s="97">
        <f t="shared" si="3"/>
        <v>67</v>
      </c>
      <c r="S17" s="97">
        <f>IF(VLOOKUP($A17,'⚪设计'!$A$135:$N$184,13,FALSE)="","",VLOOKUP($A17,'⚪设计'!$A$135:$N$184,13,FALSE))</f>
        <v>0.3</v>
      </c>
      <c r="T17" s="97">
        <f>IF(Q17="","",ROUND($D17*'⚪设计'!$D149/(IF($G17="",0,VLOOKUP($G17,'⚪设计'!$B$85:$H$104,4,FALSE)*$H17)+IF($L17="",0,VLOOKUP($L17,'⚪设计'!$B$85:$H$104,4,FALSE)*$M17)+IF($Q17="",0,VLOOKUP($Q17,'⚪设计'!$B$85:$H$104,4,FALSE)*$R17)+IF($V17="",0,VLOOKUP($V17,'⚪设计'!$B$85:$H$104,4,FALSE)*$W17))*IF(Q17="",0,VLOOKUP(Q17,'⚪设计'!$B$85:$H$104,4,FALSE)),0))</f>
        <v>139</v>
      </c>
      <c r="U17" s="97">
        <f>IF(Q17="","",ROUND(VLOOKUP($B17,战斗节奏!$A$4:$F$13,2,FALSE)/(IF($G17="",0,VLOOKUP($G17,'⚪设计'!$B$85:$H$104,5,FALSE)*$H17)+IF($L17="",0,VLOOKUP($L17,'⚪设计'!$B$85:$H$104,5,FALSE)*$M17)+IF($Q17="",0,VLOOKUP($Q17,'⚪设计'!$B$85:$H$104,5,FALSE)*$R17)+IF($V17="",0,VLOOKUP($V17,'⚪设计'!$B$85:$H$104,5,FALSE)*$W17))*IF(Q17="",0,VLOOKUP(Q17,'⚪设计'!$B$85:$H$104,5,FALSE)),0))</f>
        <v>3</v>
      </c>
      <c r="V17" s="97" t="str">
        <f>IF(VLOOKUP($A17,'⚪设计'!$A$135:$N$184,10,FALSE)="","",VLOOKUP($A17,'⚪设计'!$A$135:$N$184,10,FALSE))</f>
        <v/>
      </c>
      <c r="W17" s="97" t="str">
        <f t="shared" si="4"/>
        <v/>
      </c>
      <c r="X17" s="97" t="str">
        <f>IF(VLOOKUP($A17,'⚪设计'!$A$135:$N$184,14,FALSE)="","",VLOOKUP($A17,'⚪设计'!$A$135:$N$184,14,FALSE))</f>
        <v/>
      </c>
      <c r="Y17" s="97" t="str">
        <f>IF(V17="","",ROUND($D17*'⚪设计'!$D149/(IF($G17="",0,VLOOKUP($G17,'⚪设计'!$B$85:$H$104,4,FALSE)*$H17)+IF($L17="",0,VLOOKUP($L17,'⚪设计'!$B$85:$H$104,4,FALSE)*$M17)+IF($Q17="",0,VLOOKUP($Q17,'⚪设计'!$B$85:$H$104,4,FALSE)*$R17)+IF($V17="",0,VLOOKUP($V17,'⚪设计'!$B$85:$H$104,4,FALSE)*$W17))*IF(V17="",0,VLOOKUP(V17,'⚪设计'!$B$85:$H$104,4,FALSE)),0))</f>
        <v/>
      </c>
      <c r="Z17" s="97" t="str">
        <f>IF(V17="","",ROUND(VLOOKUP($B17,战斗节奏!$A$4:$F$13,2,FALSE)/(IF($G17="",0,VLOOKUP($G17,'⚪设计'!$B$85:$H$104,5,FALSE)*$H17)+IF($L17="",0,VLOOKUP($L17,'⚪设计'!$B$85:$H$104,5,FALSE)*$M17)+IF($Q17="",0,VLOOKUP($Q17,'⚪设计'!$B$85:$H$104,5,FALSE)*$R17)+IF($V17="",0,VLOOKUP($V17,'⚪设计'!$B$85:$H$104,5,FALSE)*$W17))*IF(V17="",0,VLOOKUP(V17,'⚪设计'!$B$85:$H$104,5,FALSE)),0))</f>
        <v/>
      </c>
    </row>
    <row r="18" spans="1:26" x14ac:dyDescent="0.2">
      <c r="A18" s="2" t="str">
        <f t="shared" si="0"/>
        <v>4_1</v>
      </c>
      <c r="B18" s="2">
        <v>4</v>
      </c>
      <c r="C18" s="2">
        <v>1</v>
      </c>
      <c r="D18" s="97">
        <f>VLOOKUP(C18,无限模式!$A$3:$B$22,2,FALSE)</f>
        <v>900</v>
      </c>
      <c r="E18" s="98">
        <v>1</v>
      </c>
      <c r="F18" s="97">
        <f>'⚪设计'!F150</f>
        <v>10</v>
      </c>
      <c r="G18" s="97" t="str">
        <f>IF(VLOOKUP($A18,'⚪设计'!$A$135:$N$184,7,FALSE)="","",VLOOKUP($A18,'⚪设计'!$A$135:$N$184,7,FALSE))</f>
        <v>鬼1</v>
      </c>
      <c r="H18" s="97">
        <f t="shared" si="1"/>
        <v>7</v>
      </c>
      <c r="I18" s="97">
        <f>IF(VLOOKUP($A18,'⚪设计'!$A$135:$N$184,11,FALSE)="","",VLOOKUP($A18,'⚪设计'!$A$135:$N$184,11,FALSE))</f>
        <v>1.5</v>
      </c>
      <c r="J18" s="97">
        <f>IF(G18="","",ROUND($D18*'⚪设计'!$D150/(IF($G18="",0,VLOOKUP($G18,'⚪设计'!$B$85:$H$104,4,FALSE)*$H18)+IF($L18="",0,VLOOKUP($L18,'⚪设计'!$B$85:$H$104,4,FALSE)*$M18)+IF($Q18="",0,VLOOKUP($Q18,'⚪设计'!$B$85:$H$104,4,FALSE)*$R18)+IF($V18="",0,VLOOKUP($V18,'⚪设计'!$B$85:$H$104,4,FALSE)*$W18))*IF(G18="",0,VLOOKUP(G18,'⚪设计'!$B$85:$H$104,4,FALSE)),0))</f>
        <v>157</v>
      </c>
      <c r="K18" s="97">
        <f>IF(G18="","",ROUND(VLOOKUP($B18,战斗节奏!$A$4:$F$13,2,FALSE)/(IF($G18="",0,VLOOKUP($G18,'⚪设计'!$B$85:$H$104,5,FALSE)*$H18)+IF($L18="",0,VLOOKUP($L18,'⚪设计'!$B$85:$H$104,5,FALSE)*$M18)+IF($Q18="",0,VLOOKUP($Q18,'⚪设计'!$B$85:$H$104,5,FALSE)*$R18)+IF($V18="",0,VLOOKUP($V18,'⚪设计'!$B$85:$H$104,5,FALSE)*$W18))*IF(G18="",0,VLOOKUP(G18,'⚪设计'!$B$85:$H$104,5,FALSE)),0))</f>
        <v>79</v>
      </c>
      <c r="L18" s="97" t="str">
        <f>IF(VLOOKUP($A18,'⚪设计'!$A$135:$N$184,8,FALSE)="","",VLOOKUP($A18,'⚪设计'!$A$135:$N$184,8,FALSE))</f>
        <v/>
      </c>
      <c r="M18" s="97" t="str">
        <f t="shared" si="2"/>
        <v/>
      </c>
      <c r="N18" s="97" t="str">
        <f>IF(VLOOKUP($A18,'⚪设计'!$A$135:$N$184,12,FALSE)="","",VLOOKUP($A18,'⚪设计'!$A$135:$N$184,12,FALSE))</f>
        <v/>
      </c>
      <c r="O18" s="97" t="str">
        <f>IF(L18="","",ROUND($D18*'⚪设计'!$D150/(IF($G18="",0,VLOOKUP($G18,'⚪设计'!$B$85:$H$104,4,FALSE)*$H18)+IF($L18="",0,VLOOKUP($L18,'⚪设计'!$B$85:$H$104,4,FALSE)*$M18)+IF($Q18="",0,VLOOKUP($Q18,'⚪设计'!$B$85:$H$104,4,FALSE)*$R18)+IF($V18="",0,VLOOKUP($V18,'⚪设计'!$B$85:$H$104,4,FALSE)*$W18))*IF(L18="",0,VLOOKUP(L18,'⚪设计'!$B$85:$H$104,4,FALSE)),0))</f>
        <v/>
      </c>
      <c r="P18" s="97" t="str">
        <f>IF(L18="","",ROUND(VLOOKUP($B18,战斗节奏!$A$4:$F$13,2,FALSE)/(IF($G18="",0,VLOOKUP($G18,'⚪设计'!$B$85:$H$104,5,FALSE)*$H18)+IF($L18="",0,VLOOKUP($L18,'⚪设计'!$B$85:$H$104,5,FALSE)*$M18)+IF($Q18="",0,VLOOKUP($Q18,'⚪设计'!$B$85:$H$104,5,FALSE)*$R18)+IF($V18="",0,VLOOKUP($V18,'⚪设计'!$B$85:$H$104,5,FALSE)*$W18))*IF(L18="",0,VLOOKUP(L18,'⚪设计'!$B$85:$H$104,5,FALSE)),0))</f>
        <v/>
      </c>
      <c r="Q18" s="97" t="str">
        <f>IF(VLOOKUP($A18,'⚪设计'!$A$135:$N$184,9,FALSE)="","",VLOOKUP($A18,'⚪设计'!$A$135:$N$184,9,FALSE))</f>
        <v/>
      </c>
      <c r="R18" s="97" t="str">
        <f t="shared" si="3"/>
        <v/>
      </c>
      <c r="S18" s="97" t="str">
        <f>IF(VLOOKUP($A18,'⚪设计'!$A$135:$N$184,13,FALSE)="","",VLOOKUP($A18,'⚪设计'!$A$135:$N$184,13,FALSE))</f>
        <v/>
      </c>
      <c r="T18" s="97" t="str">
        <f>IF(Q18="","",ROUND($D18*'⚪设计'!$D150/(IF($G18="",0,VLOOKUP($G18,'⚪设计'!$B$85:$H$104,4,FALSE)*$H18)+IF($L18="",0,VLOOKUP($L18,'⚪设计'!$B$85:$H$104,4,FALSE)*$M18)+IF($Q18="",0,VLOOKUP($Q18,'⚪设计'!$B$85:$H$104,4,FALSE)*$R18)+IF($V18="",0,VLOOKUP($V18,'⚪设计'!$B$85:$H$104,4,FALSE)*$W18))*IF(Q18="",0,VLOOKUP(Q18,'⚪设计'!$B$85:$H$104,4,FALSE)),0))</f>
        <v/>
      </c>
      <c r="U18" s="97" t="str">
        <f>IF(Q18="","",ROUND(VLOOKUP($B18,战斗节奏!$A$4:$F$13,2,FALSE)/(IF($G18="",0,VLOOKUP($G18,'⚪设计'!$B$85:$H$104,5,FALSE)*$H18)+IF($L18="",0,VLOOKUP($L18,'⚪设计'!$B$85:$H$104,5,FALSE)*$M18)+IF($Q18="",0,VLOOKUP($Q18,'⚪设计'!$B$85:$H$104,5,FALSE)*$R18)+IF($V18="",0,VLOOKUP($V18,'⚪设计'!$B$85:$H$104,5,FALSE)*$W18))*IF(Q18="",0,VLOOKUP(Q18,'⚪设计'!$B$85:$H$104,5,FALSE)),0))</f>
        <v/>
      </c>
      <c r="V18" s="97" t="str">
        <f>IF(VLOOKUP($A18,'⚪设计'!$A$135:$N$184,10,FALSE)="","",VLOOKUP($A18,'⚪设计'!$A$135:$N$184,10,FALSE))</f>
        <v/>
      </c>
      <c r="W18" s="97" t="str">
        <f t="shared" si="4"/>
        <v/>
      </c>
      <c r="X18" s="97" t="str">
        <f>IF(VLOOKUP($A18,'⚪设计'!$A$135:$N$184,14,FALSE)="","",VLOOKUP($A18,'⚪设计'!$A$135:$N$184,14,FALSE))</f>
        <v/>
      </c>
      <c r="Y18" s="97" t="str">
        <f>IF(V18="","",ROUND($D18*'⚪设计'!$D150/(IF($G18="",0,VLOOKUP($G18,'⚪设计'!$B$85:$H$104,4,FALSE)*$H18)+IF($L18="",0,VLOOKUP($L18,'⚪设计'!$B$85:$H$104,4,FALSE)*$M18)+IF($Q18="",0,VLOOKUP($Q18,'⚪设计'!$B$85:$H$104,4,FALSE)*$R18)+IF($V18="",0,VLOOKUP($V18,'⚪设计'!$B$85:$H$104,4,FALSE)*$W18))*IF(V18="",0,VLOOKUP(V18,'⚪设计'!$B$85:$H$104,4,FALSE)),0))</f>
        <v/>
      </c>
      <c r="Z18" s="97" t="str">
        <f>IF(V18="","",ROUND(VLOOKUP($B18,战斗节奏!$A$4:$F$13,2,FALSE)/(IF($G18="",0,VLOOKUP($G18,'⚪设计'!$B$85:$H$104,5,FALSE)*$H18)+IF($L18="",0,VLOOKUP($L18,'⚪设计'!$B$85:$H$104,5,FALSE)*$M18)+IF($Q18="",0,VLOOKUP($Q18,'⚪设计'!$B$85:$H$104,5,FALSE)*$R18)+IF($V18="",0,VLOOKUP($V18,'⚪设计'!$B$85:$H$104,5,FALSE)*$W18))*IF(V18="",0,VLOOKUP(V18,'⚪设计'!$B$85:$H$104,5,FALSE)),0))</f>
        <v/>
      </c>
    </row>
    <row r="19" spans="1:26" x14ac:dyDescent="0.2">
      <c r="A19" s="2" t="str">
        <f t="shared" si="0"/>
        <v>4_2</v>
      </c>
      <c r="B19" s="2">
        <v>4</v>
      </c>
      <c r="C19" s="2">
        <v>2</v>
      </c>
      <c r="D19" s="97">
        <f>VLOOKUP(C19,无限模式!$A$3:$B$22,2,FALSE)</f>
        <v>1800</v>
      </c>
      <c r="E19" s="98">
        <v>1</v>
      </c>
      <c r="F19" s="97">
        <f>'⚪设计'!F151</f>
        <v>12.5</v>
      </c>
      <c r="G19" s="97" t="str">
        <f>IF(VLOOKUP($A19,'⚪设计'!$A$135:$N$184,7,FALSE)="","",VLOOKUP($A19,'⚪设计'!$A$135:$N$184,7,FALSE))</f>
        <v>鬼1</v>
      </c>
      <c r="H19" s="97">
        <f t="shared" si="1"/>
        <v>8</v>
      </c>
      <c r="I19" s="97">
        <f>IF(VLOOKUP($A19,'⚪设计'!$A$135:$N$184,11,FALSE)="","",VLOOKUP($A19,'⚪设计'!$A$135:$N$184,11,FALSE))</f>
        <v>1.5</v>
      </c>
      <c r="J19" s="97">
        <f>IF(G19="","",ROUND($D19*'⚪设计'!$D151/(IF($G19="",0,VLOOKUP($G19,'⚪设计'!$B$85:$H$104,4,FALSE)*$H19)+IF($L19="",0,VLOOKUP($L19,'⚪设计'!$B$85:$H$104,4,FALSE)*$M19)+IF($Q19="",0,VLOOKUP($Q19,'⚪设计'!$B$85:$H$104,4,FALSE)*$R19)+IF($V19="",0,VLOOKUP($V19,'⚪设计'!$B$85:$H$104,4,FALSE)*$W19))*IF(G19="",0,VLOOKUP(G19,'⚪设计'!$B$85:$H$104,4,FALSE)),0))</f>
        <v>466</v>
      </c>
      <c r="K19" s="97">
        <f>IF(G19="","",ROUND(VLOOKUP($B19,战斗节奏!$A$4:$F$13,2,FALSE)/(IF($G19="",0,VLOOKUP($G19,'⚪设计'!$B$85:$H$104,5,FALSE)*$H19)+IF($L19="",0,VLOOKUP($L19,'⚪设计'!$B$85:$H$104,5,FALSE)*$M19)+IF($Q19="",0,VLOOKUP($Q19,'⚪设计'!$B$85:$H$104,5,FALSE)*$R19)+IF($V19="",0,VLOOKUP($V19,'⚪设计'!$B$85:$H$104,5,FALSE)*$W19))*IF(G19="",0,VLOOKUP(G19,'⚪设计'!$B$85:$H$104,5,FALSE)),0))</f>
        <v>9</v>
      </c>
      <c r="L19" s="97" t="str">
        <f>IF(VLOOKUP($A19,'⚪设计'!$A$135:$N$184,8,FALSE)="","",VLOOKUP($A19,'⚪设计'!$A$135:$N$184,8,FALSE))</f>
        <v>蜜蜂2</v>
      </c>
      <c r="M19" s="97">
        <f t="shared" si="2"/>
        <v>25</v>
      </c>
      <c r="N19" s="97">
        <f>IF(VLOOKUP($A19,'⚪设计'!$A$135:$N$184,12,FALSE)="","",VLOOKUP($A19,'⚪设计'!$A$135:$N$184,12,FALSE))</f>
        <v>0.5</v>
      </c>
      <c r="O19" s="97">
        <f>IF(L19="","",ROUND($D19*'⚪设计'!$D151/(IF($G19="",0,VLOOKUP($G19,'⚪设计'!$B$85:$H$104,4,FALSE)*$H19)+IF($L19="",0,VLOOKUP($L19,'⚪设计'!$B$85:$H$104,4,FALSE)*$M19)+IF($Q19="",0,VLOOKUP($Q19,'⚪设计'!$B$85:$H$104,4,FALSE)*$R19)+IF($V19="",0,VLOOKUP($V19,'⚪设计'!$B$85:$H$104,4,FALSE)*$W19))*IF(L19="",0,VLOOKUP(L19,'⚪设计'!$B$85:$H$104,4,FALSE)),0))</f>
        <v>931</v>
      </c>
      <c r="P19" s="97">
        <f>IF(L19="","",ROUND(VLOOKUP($B19,战斗节奏!$A$4:$F$13,2,FALSE)/(IF($G19="",0,VLOOKUP($G19,'⚪设计'!$B$85:$H$104,5,FALSE)*$H19)+IF($L19="",0,VLOOKUP($L19,'⚪设计'!$B$85:$H$104,5,FALSE)*$M19)+IF($Q19="",0,VLOOKUP($Q19,'⚪设计'!$B$85:$H$104,5,FALSE)*$R19)+IF($V19="",0,VLOOKUP($V19,'⚪设计'!$B$85:$H$104,5,FALSE)*$W19))*IF(L19="",0,VLOOKUP(L19,'⚪设计'!$B$85:$H$104,5,FALSE)),0))</f>
        <v>19</v>
      </c>
      <c r="Q19" s="97" t="str">
        <f>IF(VLOOKUP($A19,'⚪设计'!$A$135:$N$184,9,FALSE)="","",VLOOKUP($A19,'⚪设计'!$A$135:$N$184,9,FALSE))</f>
        <v/>
      </c>
      <c r="R19" s="97" t="str">
        <f t="shared" si="3"/>
        <v/>
      </c>
      <c r="S19" s="97" t="str">
        <f>IF(VLOOKUP($A19,'⚪设计'!$A$135:$N$184,13,FALSE)="","",VLOOKUP($A19,'⚪设计'!$A$135:$N$184,13,FALSE))</f>
        <v/>
      </c>
      <c r="T19" s="97" t="str">
        <f>IF(Q19="","",ROUND($D19*'⚪设计'!$D151/(IF($G19="",0,VLOOKUP($G19,'⚪设计'!$B$85:$H$104,4,FALSE)*$H19)+IF($L19="",0,VLOOKUP($L19,'⚪设计'!$B$85:$H$104,4,FALSE)*$M19)+IF($Q19="",0,VLOOKUP($Q19,'⚪设计'!$B$85:$H$104,4,FALSE)*$R19)+IF($V19="",0,VLOOKUP($V19,'⚪设计'!$B$85:$H$104,4,FALSE)*$W19))*IF(Q19="",0,VLOOKUP(Q19,'⚪设计'!$B$85:$H$104,4,FALSE)),0))</f>
        <v/>
      </c>
      <c r="U19" s="97" t="str">
        <f>IF(Q19="","",ROUND(VLOOKUP($B19,战斗节奏!$A$4:$F$13,2,FALSE)/(IF($G19="",0,VLOOKUP($G19,'⚪设计'!$B$85:$H$104,5,FALSE)*$H19)+IF($L19="",0,VLOOKUP($L19,'⚪设计'!$B$85:$H$104,5,FALSE)*$M19)+IF($Q19="",0,VLOOKUP($Q19,'⚪设计'!$B$85:$H$104,5,FALSE)*$R19)+IF($V19="",0,VLOOKUP($V19,'⚪设计'!$B$85:$H$104,5,FALSE)*$W19))*IF(Q19="",0,VLOOKUP(Q19,'⚪设计'!$B$85:$H$104,5,FALSE)),0))</f>
        <v/>
      </c>
      <c r="V19" s="97" t="str">
        <f>IF(VLOOKUP($A19,'⚪设计'!$A$135:$N$184,10,FALSE)="","",VLOOKUP($A19,'⚪设计'!$A$135:$N$184,10,FALSE))</f>
        <v/>
      </c>
      <c r="W19" s="97" t="str">
        <f t="shared" si="4"/>
        <v/>
      </c>
      <c r="X19" s="97" t="str">
        <f>IF(VLOOKUP($A19,'⚪设计'!$A$135:$N$184,14,FALSE)="","",VLOOKUP($A19,'⚪设计'!$A$135:$N$184,14,FALSE))</f>
        <v/>
      </c>
      <c r="Y19" s="97" t="str">
        <f>IF(V19="","",ROUND($D19*'⚪设计'!$D151/(IF($G19="",0,VLOOKUP($G19,'⚪设计'!$B$85:$H$104,4,FALSE)*$H19)+IF($L19="",0,VLOOKUP($L19,'⚪设计'!$B$85:$H$104,4,FALSE)*$M19)+IF($Q19="",0,VLOOKUP($Q19,'⚪设计'!$B$85:$H$104,4,FALSE)*$R19)+IF($V19="",0,VLOOKUP($V19,'⚪设计'!$B$85:$H$104,4,FALSE)*$W19))*IF(V19="",0,VLOOKUP(V19,'⚪设计'!$B$85:$H$104,4,FALSE)),0))</f>
        <v/>
      </c>
      <c r="Z19" s="97" t="str">
        <f>IF(V19="","",ROUND(VLOOKUP($B19,战斗节奏!$A$4:$F$13,2,FALSE)/(IF($G19="",0,VLOOKUP($G19,'⚪设计'!$B$85:$H$104,5,FALSE)*$H19)+IF($L19="",0,VLOOKUP($L19,'⚪设计'!$B$85:$H$104,5,FALSE)*$M19)+IF($Q19="",0,VLOOKUP($Q19,'⚪设计'!$B$85:$H$104,5,FALSE)*$R19)+IF($V19="",0,VLOOKUP($V19,'⚪设计'!$B$85:$H$104,5,FALSE)*$W19))*IF(V19="",0,VLOOKUP(V19,'⚪设计'!$B$85:$H$104,5,FALSE)),0))</f>
        <v/>
      </c>
    </row>
    <row r="20" spans="1:26" x14ac:dyDescent="0.2">
      <c r="A20" s="2" t="str">
        <f t="shared" si="0"/>
        <v>4_3</v>
      </c>
      <c r="B20" s="2">
        <v>4</v>
      </c>
      <c r="C20" s="2">
        <v>3</v>
      </c>
      <c r="D20" s="97">
        <f>VLOOKUP(C20,无限模式!$A$3:$B$22,2,FALSE)</f>
        <v>3600</v>
      </c>
      <c r="E20" s="98">
        <v>1</v>
      </c>
      <c r="F20" s="97">
        <f>'⚪设计'!F152</f>
        <v>15</v>
      </c>
      <c r="G20" s="97" t="str">
        <f>IF(VLOOKUP($A20,'⚪设计'!$A$135:$N$184,7,FALSE)="","",VLOOKUP($A20,'⚪设计'!$A$135:$N$184,7,FALSE))</f>
        <v>鬼1</v>
      </c>
      <c r="H20" s="97">
        <f t="shared" si="1"/>
        <v>10</v>
      </c>
      <c r="I20" s="97">
        <f>IF(VLOOKUP($A20,'⚪设计'!$A$135:$N$184,11,FALSE)="","",VLOOKUP($A20,'⚪设计'!$A$135:$N$184,11,FALSE))</f>
        <v>1.5</v>
      </c>
      <c r="J20" s="97">
        <f>IF(G20="","",ROUND($D20*'⚪设计'!$D152/(IF($G20="",0,VLOOKUP($G20,'⚪设计'!$B$85:$H$104,4,FALSE)*$H20)+IF($L20="",0,VLOOKUP($L20,'⚪设计'!$B$85:$H$104,4,FALSE)*$M20)+IF($Q20="",0,VLOOKUP($Q20,'⚪设计'!$B$85:$H$104,4,FALSE)*$R20)+IF($V20="",0,VLOOKUP($V20,'⚪设计'!$B$85:$H$104,4,FALSE)*$W20))*IF(G20="",0,VLOOKUP(G20,'⚪设计'!$B$85:$H$104,4,FALSE)),0))</f>
        <v>1364</v>
      </c>
      <c r="K20" s="97">
        <f>IF(G20="","",ROUND(VLOOKUP($B20,战斗节奏!$A$4:$F$13,2,FALSE)/(IF($G20="",0,VLOOKUP($G20,'⚪设计'!$B$85:$H$104,5,FALSE)*$H20)+IF($L20="",0,VLOOKUP($L20,'⚪设计'!$B$85:$H$104,5,FALSE)*$M20)+IF($Q20="",0,VLOOKUP($Q20,'⚪设计'!$B$85:$H$104,5,FALSE)*$R20)+IF($V20="",0,VLOOKUP($V20,'⚪设计'!$B$85:$H$104,5,FALSE)*$W20))*IF(G20="",0,VLOOKUP(G20,'⚪设计'!$B$85:$H$104,5,FALSE)),0))</f>
        <v>12</v>
      </c>
      <c r="L20" s="97" t="str">
        <f>IF(VLOOKUP($A20,'⚪设计'!$A$135:$N$184,8,FALSE)="","",VLOOKUP($A20,'⚪设计'!$A$135:$N$184,8,FALSE))</f>
        <v>蝙蝠1</v>
      </c>
      <c r="M20" s="97">
        <f t="shared" si="2"/>
        <v>75</v>
      </c>
      <c r="N20" s="97">
        <f>IF(VLOOKUP($A20,'⚪设计'!$A$135:$N$184,12,FALSE)="","",VLOOKUP($A20,'⚪设计'!$A$135:$N$184,12,FALSE))</f>
        <v>0.2</v>
      </c>
      <c r="O20" s="97">
        <f>IF(L20="","",ROUND($D20*'⚪设计'!$D152/(IF($G20="",0,VLOOKUP($G20,'⚪设计'!$B$85:$H$104,4,FALSE)*$H20)+IF($L20="",0,VLOOKUP($L20,'⚪设计'!$B$85:$H$104,4,FALSE)*$M20)+IF($Q20="",0,VLOOKUP($Q20,'⚪设计'!$B$85:$H$104,4,FALSE)*$R20)+IF($V20="",0,VLOOKUP($V20,'⚪设计'!$B$85:$H$104,4,FALSE)*$W20))*IF(L20="",0,VLOOKUP(L20,'⚪设计'!$B$85:$H$104,4,FALSE)),0))</f>
        <v>682</v>
      </c>
      <c r="P20" s="97">
        <f>IF(L20="","",ROUND(VLOOKUP($B20,战斗节奏!$A$4:$F$13,2,FALSE)/(IF($G20="",0,VLOOKUP($G20,'⚪设计'!$B$85:$H$104,5,FALSE)*$H20)+IF($L20="",0,VLOOKUP($L20,'⚪设计'!$B$85:$H$104,5,FALSE)*$M20)+IF($Q20="",0,VLOOKUP($Q20,'⚪设计'!$B$85:$H$104,5,FALSE)*$R20)+IF($V20="",0,VLOOKUP($V20,'⚪设计'!$B$85:$H$104,5,FALSE)*$W20))*IF(L20="",0,VLOOKUP(L20,'⚪设计'!$B$85:$H$104,5,FALSE)),0))</f>
        <v>6</v>
      </c>
      <c r="Q20" s="97" t="str">
        <f>IF(VLOOKUP($A20,'⚪设计'!$A$135:$N$184,9,FALSE)="","",VLOOKUP($A20,'⚪设计'!$A$135:$N$184,9,FALSE))</f>
        <v/>
      </c>
      <c r="R20" s="97" t="str">
        <f t="shared" si="3"/>
        <v/>
      </c>
      <c r="S20" s="97" t="str">
        <f>IF(VLOOKUP($A20,'⚪设计'!$A$135:$N$184,13,FALSE)="","",VLOOKUP($A20,'⚪设计'!$A$135:$N$184,13,FALSE))</f>
        <v/>
      </c>
      <c r="T20" s="97" t="str">
        <f>IF(Q20="","",ROUND($D20*'⚪设计'!$D152/(IF($G20="",0,VLOOKUP($G20,'⚪设计'!$B$85:$H$104,4,FALSE)*$H20)+IF($L20="",0,VLOOKUP($L20,'⚪设计'!$B$85:$H$104,4,FALSE)*$M20)+IF($Q20="",0,VLOOKUP($Q20,'⚪设计'!$B$85:$H$104,4,FALSE)*$R20)+IF($V20="",0,VLOOKUP($V20,'⚪设计'!$B$85:$H$104,4,FALSE)*$W20))*IF(Q20="",0,VLOOKUP(Q20,'⚪设计'!$B$85:$H$104,4,FALSE)),0))</f>
        <v/>
      </c>
      <c r="U20" s="97" t="str">
        <f>IF(Q20="","",ROUND(VLOOKUP($B20,战斗节奏!$A$4:$F$13,2,FALSE)/(IF($G20="",0,VLOOKUP($G20,'⚪设计'!$B$85:$H$104,5,FALSE)*$H20)+IF($L20="",0,VLOOKUP($L20,'⚪设计'!$B$85:$H$104,5,FALSE)*$M20)+IF($Q20="",0,VLOOKUP($Q20,'⚪设计'!$B$85:$H$104,5,FALSE)*$R20)+IF($V20="",0,VLOOKUP($V20,'⚪设计'!$B$85:$H$104,5,FALSE)*$W20))*IF(Q20="",0,VLOOKUP(Q20,'⚪设计'!$B$85:$H$104,5,FALSE)),0))</f>
        <v/>
      </c>
      <c r="V20" s="97" t="str">
        <f>IF(VLOOKUP($A20,'⚪设计'!$A$135:$N$184,10,FALSE)="","",VLOOKUP($A20,'⚪设计'!$A$135:$N$184,10,FALSE))</f>
        <v/>
      </c>
      <c r="W20" s="97" t="str">
        <f t="shared" si="4"/>
        <v/>
      </c>
      <c r="X20" s="97" t="str">
        <f>IF(VLOOKUP($A20,'⚪设计'!$A$135:$N$184,14,FALSE)="","",VLOOKUP($A20,'⚪设计'!$A$135:$N$184,14,FALSE))</f>
        <v/>
      </c>
      <c r="Y20" s="97" t="str">
        <f>IF(V20="","",ROUND($D20*'⚪设计'!$D152/(IF($G20="",0,VLOOKUP($G20,'⚪设计'!$B$85:$H$104,4,FALSE)*$H20)+IF($L20="",0,VLOOKUP($L20,'⚪设计'!$B$85:$H$104,4,FALSE)*$M20)+IF($Q20="",0,VLOOKUP($Q20,'⚪设计'!$B$85:$H$104,4,FALSE)*$R20)+IF($V20="",0,VLOOKUP($V20,'⚪设计'!$B$85:$H$104,4,FALSE)*$W20))*IF(V20="",0,VLOOKUP(V20,'⚪设计'!$B$85:$H$104,4,FALSE)),0))</f>
        <v/>
      </c>
      <c r="Z20" s="97" t="str">
        <f>IF(V20="","",ROUND(VLOOKUP($B20,战斗节奏!$A$4:$F$13,2,FALSE)/(IF($G20="",0,VLOOKUP($G20,'⚪设计'!$B$85:$H$104,5,FALSE)*$H20)+IF($L20="",0,VLOOKUP($L20,'⚪设计'!$B$85:$H$104,5,FALSE)*$M20)+IF($Q20="",0,VLOOKUP($Q20,'⚪设计'!$B$85:$H$104,5,FALSE)*$R20)+IF($V20="",0,VLOOKUP($V20,'⚪设计'!$B$85:$H$104,5,FALSE)*$W20))*IF(V20="",0,VLOOKUP(V20,'⚪设计'!$B$85:$H$104,5,FALSE)),0))</f>
        <v/>
      </c>
    </row>
    <row r="21" spans="1:26" x14ac:dyDescent="0.2">
      <c r="A21" s="2" t="str">
        <f t="shared" si="0"/>
        <v>4_4</v>
      </c>
      <c r="B21" s="2">
        <v>4</v>
      </c>
      <c r="C21" s="2">
        <v>4</v>
      </c>
      <c r="D21" s="97">
        <f>VLOOKUP(C21,无限模式!$A$3:$B$22,2,FALSE)</f>
        <v>4500</v>
      </c>
      <c r="E21" s="98">
        <v>1</v>
      </c>
      <c r="F21" s="97">
        <f>'⚪设计'!F153</f>
        <v>17.5</v>
      </c>
      <c r="G21" s="97" t="str">
        <f>IF(VLOOKUP($A21,'⚪设计'!$A$135:$N$184,7,FALSE)="","",VLOOKUP($A21,'⚪设计'!$A$135:$N$184,7,FALSE))</f>
        <v>鬼1</v>
      </c>
      <c r="H21" s="97">
        <f t="shared" si="1"/>
        <v>12</v>
      </c>
      <c r="I21" s="97">
        <f>IF(VLOOKUP($A21,'⚪设计'!$A$135:$N$184,11,FALSE)="","",VLOOKUP($A21,'⚪设计'!$A$135:$N$184,11,FALSE))</f>
        <v>1.5</v>
      </c>
      <c r="J21" s="97">
        <f>IF(G21="","",ROUND($D21*'⚪设计'!$D153/(IF($G21="",0,VLOOKUP($G21,'⚪设计'!$B$85:$H$104,4,FALSE)*$H21)+IF($L21="",0,VLOOKUP($L21,'⚪设计'!$B$85:$H$104,4,FALSE)*$M21)+IF($Q21="",0,VLOOKUP($Q21,'⚪设计'!$B$85:$H$104,4,FALSE)*$R21)+IF($V21="",0,VLOOKUP($V21,'⚪设计'!$B$85:$H$104,4,FALSE)*$W21))*IF(G21="",0,VLOOKUP(G21,'⚪设计'!$B$85:$H$104,4,FALSE)),0))</f>
        <v>241</v>
      </c>
      <c r="K21" s="97">
        <f>IF(G21="","",ROUND(VLOOKUP($B21,战斗节奏!$A$4:$F$13,2,FALSE)/(IF($G21="",0,VLOOKUP($G21,'⚪设计'!$B$85:$H$104,5,FALSE)*$H21)+IF($L21="",0,VLOOKUP($L21,'⚪设计'!$B$85:$H$104,5,FALSE)*$M21)+IF($Q21="",0,VLOOKUP($Q21,'⚪设计'!$B$85:$H$104,5,FALSE)*$R21)+IF($V21="",0,VLOOKUP($V21,'⚪设计'!$B$85:$H$104,5,FALSE)*$W21))*IF(G21="",0,VLOOKUP(G21,'⚪设计'!$B$85:$H$104,5,FALSE)),0))</f>
        <v>10</v>
      </c>
      <c r="L21" s="97" t="str">
        <f>IF(VLOOKUP($A21,'⚪设计'!$A$135:$N$184,8,FALSE)="","",VLOOKUP($A21,'⚪设计'!$A$135:$N$184,8,FALSE))</f>
        <v>蜘蛛1</v>
      </c>
      <c r="M21" s="97">
        <f t="shared" si="2"/>
        <v>44</v>
      </c>
      <c r="N21" s="97">
        <f>IF(VLOOKUP($A21,'⚪设计'!$A$135:$N$184,12,FALSE)="","",VLOOKUP($A21,'⚪设计'!$A$135:$N$184,12,FALSE))</f>
        <v>0.4</v>
      </c>
      <c r="O21" s="97">
        <f>IF(L21="","",ROUND($D21*'⚪设计'!$D153/(IF($G21="",0,VLOOKUP($G21,'⚪设计'!$B$85:$H$104,4,FALSE)*$H21)+IF($L21="",0,VLOOKUP($L21,'⚪设计'!$B$85:$H$104,4,FALSE)*$M21)+IF($Q21="",0,VLOOKUP($Q21,'⚪设计'!$B$85:$H$104,4,FALSE)*$R21)+IF($V21="",0,VLOOKUP($V21,'⚪设计'!$B$85:$H$104,4,FALSE)*$W21))*IF(L21="",0,VLOOKUP(L21,'⚪设计'!$B$85:$H$104,4,FALSE)),0))</f>
        <v>241</v>
      </c>
      <c r="P21" s="97">
        <f>IF(L21="","",ROUND(VLOOKUP($B21,战斗节奏!$A$4:$F$13,2,FALSE)/(IF($G21="",0,VLOOKUP($G21,'⚪设计'!$B$85:$H$104,5,FALSE)*$H21)+IF($L21="",0,VLOOKUP($L21,'⚪设计'!$B$85:$H$104,5,FALSE)*$M21)+IF($Q21="",0,VLOOKUP($Q21,'⚪设计'!$B$85:$H$104,5,FALSE)*$R21)+IF($V21="",0,VLOOKUP($V21,'⚪设计'!$B$85:$H$104,5,FALSE)*$W21))*IF(L21="",0,VLOOKUP(L21,'⚪设计'!$B$85:$H$104,5,FALSE)),0))</f>
        <v>10</v>
      </c>
      <c r="Q21" s="97" t="str">
        <f>IF(VLOOKUP($A21,'⚪设计'!$A$135:$N$184,9,FALSE)="","",VLOOKUP($A21,'⚪设计'!$A$135:$N$184,9,FALSE))</f>
        <v/>
      </c>
      <c r="R21" s="97" t="str">
        <f t="shared" si="3"/>
        <v/>
      </c>
      <c r="S21" s="97" t="str">
        <f>IF(VLOOKUP($A21,'⚪设计'!$A$135:$N$184,13,FALSE)="","",VLOOKUP($A21,'⚪设计'!$A$135:$N$184,13,FALSE))</f>
        <v/>
      </c>
      <c r="T21" s="97" t="str">
        <f>IF(Q21="","",ROUND($D21*'⚪设计'!$D153/(IF($G21="",0,VLOOKUP($G21,'⚪设计'!$B$85:$H$104,4,FALSE)*$H21)+IF($L21="",0,VLOOKUP($L21,'⚪设计'!$B$85:$H$104,4,FALSE)*$M21)+IF($Q21="",0,VLOOKUP($Q21,'⚪设计'!$B$85:$H$104,4,FALSE)*$R21)+IF($V21="",0,VLOOKUP($V21,'⚪设计'!$B$85:$H$104,4,FALSE)*$W21))*IF(Q21="",0,VLOOKUP(Q21,'⚪设计'!$B$85:$H$104,4,FALSE)),0))</f>
        <v/>
      </c>
      <c r="U21" s="97" t="str">
        <f>IF(Q21="","",ROUND(VLOOKUP($B21,战斗节奏!$A$4:$F$13,2,FALSE)/(IF($G21="",0,VLOOKUP($G21,'⚪设计'!$B$85:$H$104,5,FALSE)*$H21)+IF($L21="",0,VLOOKUP($L21,'⚪设计'!$B$85:$H$104,5,FALSE)*$M21)+IF($Q21="",0,VLOOKUP($Q21,'⚪设计'!$B$85:$H$104,5,FALSE)*$R21)+IF($V21="",0,VLOOKUP($V21,'⚪设计'!$B$85:$H$104,5,FALSE)*$W21))*IF(Q21="",0,VLOOKUP(Q21,'⚪设计'!$B$85:$H$104,5,FALSE)),0))</f>
        <v/>
      </c>
      <c r="V21" s="97" t="str">
        <f>IF(VLOOKUP($A21,'⚪设计'!$A$135:$N$184,10,FALSE)="","",VLOOKUP($A21,'⚪设计'!$A$135:$N$184,10,FALSE))</f>
        <v/>
      </c>
      <c r="W21" s="97" t="str">
        <f t="shared" si="4"/>
        <v/>
      </c>
      <c r="X21" s="97" t="str">
        <f>IF(VLOOKUP($A21,'⚪设计'!$A$135:$N$184,14,FALSE)="","",VLOOKUP($A21,'⚪设计'!$A$135:$N$184,14,FALSE))</f>
        <v/>
      </c>
      <c r="Y21" s="97" t="str">
        <f>IF(V21="","",ROUND($D21*'⚪设计'!$D153/(IF($G21="",0,VLOOKUP($G21,'⚪设计'!$B$85:$H$104,4,FALSE)*$H21)+IF($L21="",0,VLOOKUP($L21,'⚪设计'!$B$85:$H$104,4,FALSE)*$M21)+IF($Q21="",0,VLOOKUP($Q21,'⚪设计'!$B$85:$H$104,4,FALSE)*$R21)+IF($V21="",0,VLOOKUP($V21,'⚪设计'!$B$85:$H$104,4,FALSE)*$W21))*IF(V21="",0,VLOOKUP(V21,'⚪设计'!$B$85:$H$104,4,FALSE)),0))</f>
        <v/>
      </c>
      <c r="Z21" s="97" t="str">
        <f>IF(V21="","",ROUND(VLOOKUP($B21,战斗节奏!$A$4:$F$13,2,FALSE)/(IF($G21="",0,VLOOKUP($G21,'⚪设计'!$B$85:$H$104,5,FALSE)*$H21)+IF($L21="",0,VLOOKUP($L21,'⚪设计'!$B$85:$H$104,5,FALSE)*$M21)+IF($Q21="",0,VLOOKUP($Q21,'⚪设计'!$B$85:$H$104,5,FALSE)*$R21)+IF($V21="",0,VLOOKUP($V21,'⚪设计'!$B$85:$H$104,5,FALSE)*$W21))*IF(V21="",0,VLOOKUP(V21,'⚪设计'!$B$85:$H$104,5,FALSE)),0))</f>
        <v/>
      </c>
    </row>
    <row r="22" spans="1:26" x14ac:dyDescent="0.2">
      <c r="A22" s="2" t="str">
        <f t="shared" si="0"/>
        <v>4_5</v>
      </c>
      <c r="B22" s="2">
        <v>4</v>
      </c>
      <c r="C22" s="2">
        <v>5</v>
      </c>
      <c r="D22" s="97">
        <f>VLOOKUP(C22,无限模式!$A$3:$B$22,2,FALSE)</f>
        <v>5400</v>
      </c>
      <c r="E22" s="98">
        <v>1</v>
      </c>
      <c r="F22" s="97">
        <f>'⚪设计'!F154</f>
        <v>20</v>
      </c>
      <c r="G22" s="97" t="str">
        <f>IF(VLOOKUP($A22,'⚪设计'!$A$135:$N$184,7,FALSE)="","",VLOOKUP($A22,'⚪设计'!$A$135:$N$184,7,FALSE))</f>
        <v>鬼1</v>
      </c>
      <c r="H22" s="97">
        <f t="shared" si="1"/>
        <v>40</v>
      </c>
      <c r="I22" s="97">
        <f>IF(VLOOKUP($A22,'⚪设计'!$A$135:$N$184,11,FALSE)="","",VLOOKUP($A22,'⚪设计'!$A$135:$N$184,11,FALSE))</f>
        <v>0.5</v>
      </c>
      <c r="J22" s="97">
        <f>IF(G22="","",ROUND($D22*'⚪设计'!$D154/(IF($G22="",0,VLOOKUP($G22,'⚪设计'!$B$85:$H$104,4,FALSE)*$H22)+IF($L22="",0,VLOOKUP($L22,'⚪设计'!$B$85:$H$104,4,FALSE)*$M22)+IF($Q22="",0,VLOOKUP($Q22,'⚪设计'!$B$85:$H$104,4,FALSE)*$R22)+IF($V22="",0,VLOOKUP($V22,'⚪设计'!$B$85:$H$104,4,FALSE)*$W22))*IF(G22="",0,VLOOKUP(G22,'⚪设计'!$B$85:$H$104,4,FALSE)),0))</f>
        <v>231</v>
      </c>
      <c r="K22" s="97">
        <f>IF(G22="","",ROUND(VLOOKUP($B22,战斗节奏!$A$4:$F$13,2,FALSE)/(IF($G22="",0,VLOOKUP($G22,'⚪设计'!$B$85:$H$104,5,FALSE)*$H22)+IF($L22="",0,VLOOKUP($L22,'⚪设计'!$B$85:$H$104,5,FALSE)*$M22)+IF($Q22="",0,VLOOKUP($Q22,'⚪设计'!$B$85:$H$104,5,FALSE)*$R22)+IF($V22="",0,VLOOKUP($V22,'⚪设计'!$B$85:$H$104,5,FALSE)*$W22))*IF(G22="",0,VLOOKUP(G22,'⚪设计'!$B$85:$H$104,5,FALSE)),0))</f>
        <v>9</v>
      </c>
      <c r="L22" s="97" t="str">
        <f>IF(VLOOKUP($A22,'⚪设计'!$A$135:$N$184,8,FALSE)="","",VLOOKUP($A22,'⚪设计'!$A$135:$N$184,8,FALSE))</f>
        <v>种子1</v>
      </c>
      <c r="M22" s="97">
        <f t="shared" si="2"/>
        <v>10</v>
      </c>
      <c r="N22" s="97">
        <f>IF(VLOOKUP($A22,'⚪设计'!$A$135:$N$184,12,FALSE)="","",VLOOKUP($A22,'⚪设计'!$A$135:$N$184,12,FALSE))</f>
        <v>2</v>
      </c>
      <c r="O22" s="97">
        <f>IF(L22="","",ROUND($D22*'⚪设计'!$D154/(IF($G22="",0,VLOOKUP($G22,'⚪设计'!$B$85:$H$104,4,FALSE)*$H22)+IF($L22="",0,VLOOKUP($L22,'⚪设计'!$B$85:$H$104,4,FALSE)*$M22)+IF($Q22="",0,VLOOKUP($Q22,'⚪设计'!$B$85:$H$104,4,FALSE)*$R22)+IF($V22="",0,VLOOKUP($V22,'⚪设计'!$B$85:$H$104,4,FALSE)*$W22))*IF(L22="",0,VLOOKUP(L22,'⚪设计'!$B$85:$H$104,4,FALSE)),0))</f>
        <v>694</v>
      </c>
      <c r="P22" s="97">
        <f>IF(L22="","",ROUND(VLOOKUP($B22,战斗节奏!$A$4:$F$13,2,FALSE)/(IF($G22="",0,VLOOKUP($G22,'⚪设计'!$B$85:$H$104,5,FALSE)*$H22)+IF($L22="",0,VLOOKUP($L22,'⚪设计'!$B$85:$H$104,5,FALSE)*$M22)+IF($Q22="",0,VLOOKUP($Q22,'⚪设计'!$B$85:$H$104,5,FALSE)*$R22)+IF($V22="",0,VLOOKUP($V22,'⚪设计'!$B$85:$H$104,5,FALSE)*$W22))*IF(L22="",0,VLOOKUP(L22,'⚪设计'!$B$85:$H$104,5,FALSE)),0))</f>
        <v>18</v>
      </c>
      <c r="Q22" s="97" t="str">
        <f>IF(VLOOKUP($A22,'⚪设计'!$A$135:$N$184,9,FALSE)="","",VLOOKUP($A22,'⚪设计'!$A$135:$N$184,9,FALSE))</f>
        <v/>
      </c>
      <c r="R22" s="97" t="str">
        <f t="shared" si="3"/>
        <v/>
      </c>
      <c r="S22" s="97" t="str">
        <f>IF(VLOOKUP($A22,'⚪设计'!$A$135:$N$184,13,FALSE)="","",VLOOKUP($A22,'⚪设计'!$A$135:$N$184,13,FALSE))</f>
        <v/>
      </c>
      <c r="T22" s="97" t="str">
        <f>IF(Q22="","",ROUND($D22*'⚪设计'!$D154/(IF($G22="",0,VLOOKUP($G22,'⚪设计'!$B$85:$H$104,4,FALSE)*$H22)+IF($L22="",0,VLOOKUP($L22,'⚪设计'!$B$85:$H$104,4,FALSE)*$M22)+IF($Q22="",0,VLOOKUP($Q22,'⚪设计'!$B$85:$H$104,4,FALSE)*$R22)+IF($V22="",0,VLOOKUP($V22,'⚪设计'!$B$85:$H$104,4,FALSE)*$W22))*IF(Q22="",0,VLOOKUP(Q22,'⚪设计'!$B$85:$H$104,4,FALSE)),0))</f>
        <v/>
      </c>
      <c r="U22" s="97" t="str">
        <f>IF(Q22="","",ROUND(VLOOKUP($B22,战斗节奏!$A$4:$F$13,2,FALSE)/(IF($G22="",0,VLOOKUP($G22,'⚪设计'!$B$85:$H$104,5,FALSE)*$H22)+IF($L22="",0,VLOOKUP($L22,'⚪设计'!$B$85:$H$104,5,FALSE)*$M22)+IF($Q22="",0,VLOOKUP($Q22,'⚪设计'!$B$85:$H$104,5,FALSE)*$R22)+IF($V22="",0,VLOOKUP($V22,'⚪设计'!$B$85:$H$104,5,FALSE)*$W22))*IF(Q22="",0,VLOOKUP(Q22,'⚪设计'!$B$85:$H$104,5,FALSE)),0))</f>
        <v/>
      </c>
      <c r="V22" s="97" t="str">
        <f>IF(VLOOKUP($A22,'⚪设计'!$A$135:$N$184,10,FALSE)="","",VLOOKUP($A22,'⚪设计'!$A$135:$N$184,10,FALSE))</f>
        <v/>
      </c>
      <c r="W22" s="97" t="str">
        <f t="shared" si="4"/>
        <v/>
      </c>
      <c r="X22" s="97" t="str">
        <f>IF(VLOOKUP($A22,'⚪设计'!$A$135:$N$184,14,FALSE)="","",VLOOKUP($A22,'⚪设计'!$A$135:$N$184,14,FALSE))</f>
        <v/>
      </c>
      <c r="Y22" s="97" t="str">
        <f>IF(V22="","",ROUND($D22*'⚪设计'!$D154/(IF($G22="",0,VLOOKUP($G22,'⚪设计'!$B$85:$H$104,4,FALSE)*$H22)+IF($L22="",0,VLOOKUP($L22,'⚪设计'!$B$85:$H$104,4,FALSE)*$M22)+IF($Q22="",0,VLOOKUP($Q22,'⚪设计'!$B$85:$H$104,4,FALSE)*$R22)+IF($V22="",0,VLOOKUP($V22,'⚪设计'!$B$85:$H$104,4,FALSE)*$W22))*IF(V22="",0,VLOOKUP(V22,'⚪设计'!$B$85:$H$104,4,FALSE)),0))</f>
        <v/>
      </c>
      <c r="Z22" s="97" t="str">
        <f>IF(V22="","",ROUND(VLOOKUP($B22,战斗节奏!$A$4:$F$13,2,FALSE)/(IF($G22="",0,VLOOKUP($G22,'⚪设计'!$B$85:$H$104,5,FALSE)*$H22)+IF($L22="",0,VLOOKUP($L22,'⚪设计'!$B$85:$H$104,5,FALSE)*$M22)+IF($Q22="",0,VLOOKUP($Q22,'⚪设计'!$B$85:$H$104,5,FALSE)*$R22)+IF($V22="",0,VLOOKUP($V22,'⚪设计'!$B$85:$H$104,5,FALSE)*$W22))*IF(V22="",0,VLOOKUP(V22,'⚪设计'!$B$85:$H$104,5,FALSE)),0))</f>
        <v/>
      </c>
    </row>
    <row r="23" spans="1:26" x14ac:dyDescent="0.2">
      <c r="A23" s="2" t="str">
        <f t="shared" si="0"/>
        <v>5_1</v>
      </c>
      <c r="B23" s="2">
        <v>5</v>
      </c>
      <c r="C23" s="2">
        <v>1</v>
      </c>
      <c r="D23" s="97">
        <f>VLOOKUP(C23,无限模式!$A$3:$B$22,2,FALSE)</f>
        <v>900</v>
      </c>
      <c r="E23" s="98">
        <v>1</v>
      </c>
      <c r="F23" s="97">
        <f>'⚪设计'!F155</f>
        <v>10</v>
      </c>
      <c r="G23" s="97" t="str">
        <f>IF(VLOOKUP($A23,'⚪设计'!$A$135:$N$184,7,FALSE)="","",VLOOKUP($A23,'⚪设计'!$A$135:$N$184,7,FALSE))</f>
        <v>蛋2</v>
      </c>
      <c r="H23" s="97">
        <f t="shared" si="1"/>
        <v>7</v>
      </c>
      <c r="I23" s="97">
        <f>IF(VLOOKUP($A23,'⚪设计'!$A$135:$N$184,11,FALSE)="","",VLOOKUP($A23,'⚪设计'!$A$135:$N$184,11,FALSE))</f>
        <v>1.5</v>
      </c>
      <c r="J23" s="97">
        <f>IF(G23="","",ROUND($D23*'⚪设计'!$D155/(IF($G23="",0,VLOOKUP($G23,'⚪设计'!$B$85:$H$104,4,FALSE)*$H23)+IF($L23="",0,VLOOKUP($L23,'⚪设计'!$B$85:$H$104,4,FALSE)*$M23)+IF($Q23="",0,VLOOKUP($Q23,'⚪设计'!$B$85:$H$104,4,FALSE)*$R23)+IF($V23="",0,VLOOKUP($V23,'⚪设计'!$B$85:$H$104,4,FALSE)*$W23))*IF(G23="",0,VLOOKUP(G23,'⚪设计'!$B$85:$H$104,4,FALSE)),0))</f>
        <v>157</v>
      </c>
      <c r="K23" s="97">
        <f>IF(G23="","",ROUND(VLOOKUP($B23,战斗节奏!$A$4:$F$13,2,FALSE)/(IF($G23="",0,VLOOKUP($G23,'⚪设计'!$B$85:$H$104,5,FALSE)*$H23)+IF($L23="",0,VLOOKUP($L23,'⚪设计'!$B$85:$H$104,5,FALSE)*$M23)+IF($Q23="",0,VLOOKUP($Q23,'⚪设计'!$B$85:$H$104,5,FALSE)*$R23)+IF($V23="",0,VLOOKUP($V23,'⚪设计'!$B$85:$H$104,5,FALSE)*$W23))*IF(G23="",0,VLOOKUP(G23,'⚪设计'!$B$85:$H$104,5,FALSE)),0))</f>
        <v>103</v>
      </c>
      <c r="L23" s="97" t="str">
        <f>IF(VLOOKUP($A23,'⚪设计'!$A$135:$N$184,8,FALSE)="","",VLOOKUP($A23,'⚪设计'!$A$135:$N$184,8,FALSE))</f>
        <v/>
      </c>
      <c r="M23" s="97" t="str">
        <f t="shared" si="2"/>
        <v/>
      </c>
      <c r="N23" s="97" t="str">
        <f>IF(VLOOKUP($A23,'⚪设计'!$A$135:$N$184,12,FALSE)="","",VLOOKUP($A23,'⚪设计'!$A$135:$N$184,12,FALSE))</f>
        <v/>
      </c>
      <c r="O23" s="97" t="str">
        <f>IF(L23="","",ROUND($D23*'⚪设计'!$D155/(IF($G23="",0,VLOOKUP($G23,'⚪设计'!$B$85:$H$104,4,FALSE)*$H23)+IF($L23="",0,VLOOKUP($L23,'⚪设计'!$B$85:$H$104,4,FALSE)*$M23)+IF($Q23="",0,VLOOKUP($Q23,'⚪设计'!$B$85:$H$104,4,FALSE)*$R23)+IF($V23="",0,VLOOKUP($V23,'⚪设计'!$B$85:$H$104,4,FALSE)*$W23))*IF(L23="",0,VLOOKUP(L23,'⚪设计'!$B$85:$H$104,4,FALSE)),0))</f>
        <v/>
      </c>
      <c r="P23" s="97" t="str">
        <f>IF(L23="","",ROUND(VLOOKUP($B23,战斗节奏!$A$4:$F$13,2,FALSE)/(IF($G23="",0,VLOOKUP($G23,'⚪设计'!$B$85:$H$104,5,FALSE)*$H23)+IF($L23="",0,VLOOKUP($L23,'⚪设计'!$B$85:$H$104,5,FALSE)*$M23)+IF($Q23="",0,VLOOKUP($Q23,'⚪设计'!$B$85:$H$104,5,FALSE)*$R23)+IF($V23="",0,VLOOKUP($V23,'⚪设计'!$B$85:$H$104,5,FALSE)*$W23))*IF(L23="",0,VLOOKUP(L23,'⚪设计'!$B$85:$H$104,5,FALSE)),0))</f>
        <v/>
      </c>
      <c r="Q23" s="97" t="str">
        <f>IF(VLOOKUP($A23,'⚪设计'!$A$135:$N$184,9,FALSE)="","",VLOOKUP($A23,'⚪设计'!$A$135:$N$184,9,FALSE))</f>
        <v/>
      </c>
      <c r="R23" s="97" t="str">
        <f t="shared" si="3"/>
        <v/>
      </c>
      <c r="S23" s="97" t="str">
        <f>IF(VLOOKUP($A23,'⚪设计'!$A$135:$N$184,13,FALSE)="","",VLOOKUP($A23,'⚪设计'!$A$135:$N$184,13,FALSE))</f>
        <v/>
      </c>
      <c r="T23" s="97" t="str">
        <f>IF(Q23="","",ROUND($D23*'⚪设计'!$D155/(IF($G23="",0,VLOOKUP($G23,'⚪设计'!$B$85:$H$104,4,FALSE)*$H23)+IF($L23="",0,VLOOKUP($L23,'⚪设计'!$B$85:$H$104,4,FALSE)*$M23)+IF($Q23="",0,VLOOKUP($Q23,'⚪设计'!$B$85:$H$104,4,FALSE)*$R23)+IF($V23="",0,VLOOKUP($V23,'⚪设计'!$B$85:$H$104,4,FALSE)*$W23))*IF(Q23="",0,VLOOKUP(Q23,'⚪设计'!$B$85:$H$104,4,FALSE)),0))</f>
        <v/>
      </c>
      <c r="U23" s="97" t="str">
        <f>IF(Q23="","",ROUND(VLOOKUP($B23,战斗节奏!$A$4:$F$13,2,FALSE)/(IF($G23="",0,VLOOKUP($G23,'⚪设计'!$B$85:$H$104,5,FALSE)*$H23)+IF($L23="",0,VLOOKUP($L23,'⚪设计'!$B$85:$H$104,5,FALSE)*$M23)+IF($Q23="",0,VLOOKUP($Q23,'⚪设计'!$B$85:$H$104,5,FALSE)*$R23)+IF($V23="",0,VLOOKUP($V23,'⚪设计'!$B$85:$H$104,5,FALSE)*$W23))*IF(Q23="",0,VLOOKUP(Q23,'⚪设计'!$B$85:$H$104,5,FALSE)),0))</f>
        <v/>
      </c>
      <c r="V23" s="97" t="str">
        <f>IF(VLOOKUP($A23,'⚪设计'!$A$135:$N$184,10,FALSE)="","",VLOOKUP($A23,'⚪设计'!$A$135:$N$184,10,FALSE))</f>
        <v/>
      </c>
      <c r="W23" s="97" t="str">
        <f t="shared" si="4"/>
        <v/>
      </c>
      <c r="X23" s="97" t="str">
        <f>IF(VLOOKUP($A23,'⚪设计'!$A$135:$N$184,14,FALSE)="","",VLOOKUP($A23,'⚪设计'!$A$135:$N$184,14,FALSE))</f>
        <v/>
      </c>
      <c r="Y23" s="97" t="str">
        <f>IF(V23="","",ROUND($D23*'⚪设计'!$D155/(IF($G23="",0,VLOOKUP($G23,'⚪设计'!$B$85:$H$104,4,FALSE)*$H23)+IF($L23="",0,VLOOKUP($L23,'⚪设计'!$B$85:$H$104,4,FALSE)*$M23)+IF($Q23="",0,VLOOKUP($Q23,'⚪设计'!$B$85:$H$104,4,FALSE)*$R23)+IF($V23="",0,VLOOKUP($V23,'⚪设计'!$B$85:$H$104,4,FALSE)*$W23))*IF(V23="",0,VLOOKUP(V23,'⚪设计'!$B$85:$H$104,4,FALSE)),0))</f>
        <v/>
      </c>
      <c r="Z23" s="97" t="str">
        <f>IF(V23="","",ROUND(VLOOKUP($B23,战斗节奏!$A$4:$F$13,2,FALSE)/(IF($G23="",0,VLOOKUP($G23,'⚪设计'!$B$85:$H$104,5,FALSE)*$H23)+IF($L23="",0,VLOOKUP($L23,'⚪设计'!$B$85:$H$104,5,FALSE)*$M23)+IF($Q23="",0,VLOOKUP($Q23,'⚪设计'!$B$85:$H$104,5,FALSE)*$R23)+IF($V23="",0,VLOOKUP($V23,'⚪设计'!$B$85:$H$104,5,FALSE)*$W23))*IF(V23="",0,VLOOKUP(V23,'⚪设计'!$B$85:$H$104,5,FALSE)),0))</f>
        <v/>
      </c>
    </row>
    <row r="24" spans="1:26" x14ac:dyDescent="0.2">
      <c r="A24" s="2" t="str">
        <f t="shared" si="0"/>
        <v>5_2</v>
      </c>
      <c r="B24" s="2">
        <v>5</v>
      </c>
      <c r="C24" s="2">
        <v>2</v>
      </c>
      <c r="D24" s="97">
        <f>VLOOKUP(C24,无限模式!$A$3:$B$22,2,FALSE)</f>
        <v>1800</v>
      </c>
      <c r="E24" s="98">
        <v>1</v>
      </c>
      <c r="F24" s="97">
        <f>'⚪设计'!F156</f>
        <v>12.5</v>
      </c>
      <c r="G24" s="97" t="str">
        <f>IF(VLOOKUP($A24,'⚪设计'!$A$135:$N$184,7,FALSE)="","",VLOOKUP($A24,'⚪设计'!$A$135:$N$184,7,FALSE))</f>
        <v>蛋2</v>
      </c>
      <c r="H24" s="97">
        <f t="shared" si="1"/>
        <v>8</v>
      </c>
      <c r="I24" s="97">
        <f>IF(VLOOKUP($A24,'⚪设计'!$A$135:$N$184,11,FALSE)="","",VLOOKUP($A24,'⚪设计'!$A$135:$N$184,11,FALSE))</f>
        <v>1.5</v>
      </c>
      <c r="J24" s="97">
        <f>IF(G24="","",ROUND($D24*'⚪设计'!$D156/(IF($G24="",0,VLOOKUP($G24,'⚪设计'!$B$85:$H$104,4,FALSE)*$H24)+IF($L24="",0,VLOOKUP($L24,'⚪设计'!$B$85:$H$104,4,FALSE)*$M24)+IF($Q24="",0,VLOOKUP($Q24,'⚪设计'!$B$85:$H$104,4,FALSE)*$R24)+IF($V24="",0,VLOOKUP($V24,'⚪设计'!$B$85:$H$104,4,FALSE)*$W24))*IF(G24="",0,VLOOKUP(G24,'⚪设计'!$B$85:$H$104,4,FALSE)),0))</f>
        <v>276</v>
      </c>
      <c r="K24" s="97">
        <f>IF(G24="","",ROUND(VLOOKUP($B24,战斗节奏!$A$4:$F$13,2,FALSE)/(IF($G24="",0,VLOOKUP($G24,'⚪设计'!$B$85:$H$104,5,FALSE)*$H24)+IF($L24="",0,VLOOKUP($L24,'⚪设计'!$B$85:$H$104,5,FALSE)*$M24)+IF($Q24="",0,VLOOKUP($Q24,'⚪设计'!$B$85:$H$104,5,FALSE)*$R24)+IF($V24="",0,VLOOKUP($V24,'⚪设计'!$B$85:$H$104,5,FALSE)*$W24))*IF(G24="",0,VLOOKUP(G24,'⚪设计'!$B$85:$H$104,5,FALSE)),0))</f>
        <v>30</v>
      </c>
      <c r="L24" s="97" t="str">
        <f>IF(VLOOKUP($A24,'⚪设计'!$A$135:$N$184,8,FALSE)="","",VLOOKUP($A24,'⚪设计'!$A$135:$N$184,8,FALSE))</f>
        <v>蝙蝠1</v>
      </c>
      <c r="M24" s="97">
        <f t="shared" si="2"/>
        <v>63</v>
      </c>
      <c r="N24" s="97">
        <f>IF(VLOOKUP($A24,'⚪设计'!$A$135:$N$184,12,FALSE)="","",VLOOKUP($A24,'⚪设计'!$A$135:$N$184,12,FALSE))</f>
        <v>0.2</v>
      </c>
      <c r="O24" s="97">
        <f>IF(L24="","",ROUND($D24*'⚪设计'!$D156/(IF($G24="",0,VLOOKUP($G24,'⚪设计'!$B$85:$H$104,4,FALSE)*$H24)+IF($L24="",0,VLOOKUP($L24,'⚪设计'!$B$85:$H$104,4,FALSE)*$M24)+IF($Q24="",0,VLOOKUP($Q24,'⚪设计'!$B$85:$H$104,4,FALSE)*$R24)+IF($V24="",0,VLOOKUP($V24,'⚪设计'!$B$85:$H$104,4,FALSE)*$W24))*IF(L24="",0,VLOOKUP(L24,'⚪设计'!$B$85:$H$104,4,FALSE)),0))</f>
        <v>35</v>
      </c>
      <c r="P24" s="97">
        <f>IF(L24="","",ROUND(VLOOKUP($B24,战斗节奏!$A$4:$F$13,2,FALSE)/(IF($G24="",0,VLOOKUP($G24,'⚪设计'!$B$85:$H$104,5,FALSE)*$H24)+IF($L24="",0,VLOOKUP($L24,'⚪设计'!$B$85:$H$104,5,FALSE)*$M24)+IF($Q24="",0,VLOOKUP($Q24,'⚪设计'!$B$85:$H$104,5,FALSE)*$R24)+IF($V24="",0,VLOOKUP($V24,'⚪设计'!$B$85:$H$104,5,FALSE)*$W24))*IF(L24="",0,VLOOKUP(L24,'⚪设计'!$B$85:$H$104,5,FALSE)),0))</f>
        <v>8</v>
      </c>
      <c r="Q24" s="97" t="str">
        <f>IF(VLOOKUP($A24,'⚪设计'!$A$135:$N$184,9,FALSE)="","",VLOOKUP($A24,'⚪设计'!$A$135:$N$184,9,FALSE))</f>
        <v/>
      </c>
      <c r="R24" s="97" t="str">
        <f t="shared" si="3"/>
        <v/>
      </c>
      <c r="S24" s="97" t="str">
        <f>IF(VLOOKUP($A24,'⚪设计'!$A$135:$N$184,13,FALSE)="","",VLOOKUP($A24,'⚪设计'!$A$135:$N$184,13,FALSE))</f>
        <v/>
      </c>
      <c r="T24" s="97" t="str">
        <f>IF(Q24="","",ROUND($D24*'⚪设计'!$D156/(IF($G24="",0,VLOOKUP($G24,'⚪设计'!$B$85:$H$104,4,FALSE)*$H24)+IF($L24="",0,VLOOKUP($L24,'⚪设计'!$B$85:$H$104,4,FALSE)*$M24)+IF($Q24="",0,VLOOKUP($Q24,'⚪设计'!$B$85:$H$104,4,FALSE)*$R24)+IF($V24="",0,VLOOKUP($V24,'⚪设计'!$B$85:$H$104,4,FALSE)*$W24))*IF(Q24="",0,VLOOKUP(Q24,'⚪设计'!$B$85:$H$104,4,FALSE)),0))</f>
        <v/>
      </c>
      <c r="U24" s="97" t="str">
        <f>IF(Q24="","",ROUND(VLOOKUP($B24,战斗节奏!$A$4:$F$13,2,FALSE)/(IF($G24="",0,VLOOKUP($G24,'⚪设计'!$B$85:$H$104,5,FALSE)*$H24)+IF($L24="",0,VLOOKUP($L24,'⚪设计'!$B$85:$H$104,5,FALSE)*$M24)+IF($Q24="",0,VLOOKUP($Q24,'⚪设计'!$B$85:$H$104,5,FALSE)*$R24)+IF($V24="",0,VLOOKUP($V24,'⚪设计'!$B$85:$H$104,5,FALSE)*$W24))*IF(Q24="",0,VLOOKUP(Q24,'⚪设计'!$B$85:$H$104,5,FALSE)),0))</f>
        <v/>
      </c>
      <c r="V24" s="97" t="str">
        <f>IF(VLOOKUP($A24,'⚪设计'!$A$135:$N$184,10,FALSE)="","",VLOOKUP($A24,'⚪设计'!$A$135:$N$184,10,FALSE))</f>
        <v/>
      </c>
      <c r="W24" s="97" t="str">
        <f t="shared" si="4"/>
        <v/>
      </c>
      <c r="X24" s="97" t="str">
        <f>IF(VLOOKUP($A24,'⚪设计'!$A$135:$N$184,14,FALSE)="","",VLOOKUP($A24,'⚪设计'!$A$135:$N$184,14,FALSE))</f>
        <v/>
      </c>
      <c r="Y24" s="97" t="str">
        <f>IF(V24="","",ROUND($D24*'⚪设计'!$D156/(IF($G24="",0,VLOOKUP($G24,'⚪设计'!$B$85:$H$104,4,FALSE)*$H24)+IF($L24="",0,VLOOKUP($L24,'⚪设计'!$B$85:$H$104,4,FALSE)*$M24)+IF($Q24="",0,VLOOKUP($Q24,'⚪设计'!$B$85:$H$104,4,FALSE)*$R24)+IF($V24="",0,VLOOKUP($V24,'⚪设计'!$B$85:$H$104,4,FALSE)*$W24))*IF(V24="",0,VLOOKUP(V24,'⚪设计'!$B$85:$H$104,4,FALSE)),0))</f>
        <v/>
      </c>
      <c r="Z24" s="97" t="str">
        <f>IF(V24="","",ROUND(VLOOKUP($B24,战斗节奏!$A$4:$F$13,2,FALSE)/(IF($G24="",0,VLOOKUP($G24,'⚪设计'!$B$85:$H$104,5,FALSE)*$H24)+IF($L24="",0,VLOOKUP($L24,'⚪设计'!$B$85:$H$104,5,FALSE)*$M24)+IF($Q24="",0,VLOOKUP($Q24,'⚪设计'!$B$85:$H$104,5,FALSE)*$R24)+IF($V24="",0,VLOOKUP($V24,'⚪设计'!$B$85:$H$104,5,FALSE)*$W24))*IF(V24="",0,VLOOKUP(V24,'⚪设计'!$B$85:$H$104,5,FALSE)),0))</f>
        <v/>
      </c>
    </row>
    <row r="25" spans="1:26" x14ac:dyDescent="0.2">
      <c r="A25" s="2" t="str">
        <f t="shared" si="0"/>
        <v>5_3</v>
      </c>
      <c r="B25" s="2">
        <v>5</v>
      </c>
      <c r="C25" s="2">
        <v>3</v>
      </c>
      <c r="D25" s="97">
        <f>VLOOKUP(C25,无限模式!$A$3:$B$22,2,FALSE)</f>
        <v>3600</v>
      </c>
      <c r="E25" s="98">
        <v>1</v>
      </c>
      <c r="F25" s="97">
        <f>'⚪设计'!F157</f>
        <v>15</v>
      </c>
      <c r="G25" s="97" t="str">
        <f>IF(VLOOKUP($A25,'⚪设计'!$A$135:$N$184,7,FALSE)="","",VLOOKUP($A25,'⚪设计'!$A$135:$N$184,7,FALSE))</f>
        <v>蛋2</v>
      </c>
      <c r="H25" s="97">
        <f t="shared" si="1"/>
        <v>10</v>
      </c>
      <c r="I25" s="97">
        <f>IF(VLOOKUP($A25,'⚪设计'!$A$135:$N$184,11,FALSE)="","",VLOOKUP($A25,'⚪设计'!$A$135:$N$184,11,FALSE))</f>
        <v>1.5</v>
      </c>
      <c r="J25" s="97">
        <f>IF(G25="","",ROUND($D25*'⚪设计'!$D157/(IF($G25="",0,VLOOKUP($G25,'⚪设计'!$B$85:$H$104,4,FALSE)*$H25)+IF($L25="",0,VLOOKUP($L25,'⚪设计'!$B$85:$H$104,4,FALSE)*$M25)+IF($Q25="",0,VLOOKUP($Q25,'⚪设计'!$B$85:$H$104,4,FALSE)*$R25)+IF($V25="",0,VLOOKUP($V25,'⚪设计'!$B$85:$H$104,4,FALSE)*$W25))*IF(G25="",0,VLOOKUP(G25,'⚪设计'!$B$85:$H$104,4,FALSE)),0))</f>
        <v>491</v>
      </c>
      <c r="K25" s="97">
        <f>IF(G25="","",ROUND(VLOOKUP($B25,战斗节奏!$A$4:$F$13,2,FALSE)/(IF($G25="",0,VLOOKUP($G25,'⚪设计'!$B$85:$H$104,5,FALSE)*$H25)+IF($L25="",0,VLOOKUP($L25,'⚪设计'!$B$85:$H$104,5,FALSE)*$M25)+IF($Q25="",0,VLOOKUP($Q25,'⚪设计'!$B$85:$H$104,5,FALSE)*$R25)+IF($V25="",0,VLOOKUP($V25,'⚪设计'!$B$85:$H$104,5,FALSE)*$W25))*IF(G25="",0,VLOOKUP(G25,'⚪设计'!$B$85:$H$104,5,FALSE)),0))</f>
        <v>21</v>
      </c>
      <c r="L25" s="97" t="str">
        <f>IF(VLOOKUP($A25,'⚪设计'!$A$135:$N$184,8,FALSE)="","",VLOOKUP($A25,'⚪设计'!$A$135:$N$184,8,FALSE))</f>
        <v>蜘蛛1</v>
      </c>
      <c r="M25" s="97">
        <f t="shared" si="2"/>
        <v>38</v>
      </c>
      <c r="N25" s="97">
        <f>IF(VLOOKUP($A25,'⚪设计'!$A$135:$N$184,12,FALSE)="","",VLOOKUP($A25,'⚪设计'!$A$135:$N$184,12,FALSE))</f>
        <v>0.4</v>
      </c>
      <c r="O25" s="97">
        <f>IF(L25="","",ROUND($D25*'⚪设计'!$D157/(IF($G25="",0,VLOOKUP($G25,'⚪设计'!$B$85:$H$104,4,FALSE)*$H25)+IF($L25="",0,VLOOKUP($L25,'⚪设计'!$B$85:$H$104,4,FALSE)*$M25)+IF($Q25="",0,VLOOKUP($Q25,'⚪设计'!$B$85:$H$104,4,FALSE)*$R25)+IF($V25="",0,VLOOKUP($V25,'⚪设计'!$B$85:$H$104,4,FALSE)*$W25))*IF(L25="",0,VLOOKUP(L25,'⚪设计'!$B$85:$H$104,4,FALSE)),0))</f>
        <v>123</v>
      </c>
      <c r="P25" s="97">
        <f>IF(L25="","",ROUND(VLOOKUP($B25,战斗节奏!$A$4:$F$13,2,FALSE)/(IF($G25="",0,VLOOKUP($G25,'⚪设计'!$B$85:$H$104,5,FALSE)*$H25)+IF($L25="",0,VLOOKUP($L25,'⚪设计'!$B$85:$H$104,5,FALSE)*$M25)+IF($Q25="",0,VLOOKUP($Q25,'⚪设计'!$B$85:$H$104,5,FALSE)*$R25)+IF($V25="",0,VLOOKUP($V25,'⚪设计'!$B$85:$H$104,5,FALSE)*$W25))*IF(L25="",0,VLOOKUP(L25,'⚪设计'!$B$85:$H$104,5,FALSE)),0))</f>
        <v>11</v>
      </c>
      <c r="Q25" s="97" t="str">
        <f>IF(VLOOKUP($A25,'⚪设计'!$A$135:$N$184,9,FALSE)="","",VLOOKUP($A25,'⚪设计'!$A$135:$N$184,9,FALSE))</f>
        <v>鬼1</v>
      </c>
      <c r="R25" s="97">
        <f t="shared" si="3"/>
        <v>10</v>
      </c>
      <c r="S25" s="97">
        <f>IF(VLOOKUP($A25,'⚪设计'!$A$135:$N$184,13,FALSE)="","",VLOOKUP($A25,'⚪设计'!$A$135:$N$184,13,FALSE))</f>
        <v>1.5</v>
      </c>
      <c r="T25" s="97">
        <f>IF(Q25="","",ROUND($D25*'⚪设计'!$D157/(IF($G25="",0,VLOOKUP($G25,'⚪设计'!$B$85:$H$104,4,FALSE)*$H25)+IF($L25="",0,VLOOKUP($L25,'⚪设计'!$B$85:$H$104,4,FALSE)*$M25)+IF($Q25="",0,VLOOKUP($Q25,'⚪设计'!$B$85:$H$104,4,FALSE)*$R25)+IF($V25="",0,VLOOKUP($V25,'⚪设计'!$B$85:$H$104,4,FALSE)*$W25))*IF(Q25="",0,VLOOKUP(Q25,'⚪设计'!$B$85:$H$104,4,FALSE)),0))</f>
        <v>123</v>
      </c>
      <c r="U25" s="97">
        <f>IF(Q25="","",ROUND(VLOOKUP($B25,战斗节奏!$A$4:$F$13,2,FALSE)/(IF($G25="",0,VLOOKUP($G25,'⚪设计'!$B$85:$H$104,5,FALSE)*$H25)+IF($L25="",0,VLOOKUP($L25,'⚪设计'!$B$85:$H$104,5,FALSE)*$M25)+IF($Q25="",0,VLOOKUP($Q25,'⚪设计'!$B$85:$H$104,5,FALSE)*$R25)+IF($V25="",0,VLOOKUP($V25,'⚪设计'!$B$85:$H$104,5,FALSE)*$W25))*IF(Q25="",0,VLOOKUP(Q25,'⚪设计'!$B$85:$H$104,5,FALSE)),0))</f>
        <v>11</v>
      </c>
      <c r="V25" s="97" t="str">
        <f>IF(VLOOKUP($A25,'⚪设计'!$A$135:$N$184,10,FALSE)="","",VLOOKUP($A25,'⚪设计'!$A$135:$N$184,10,FALSE))</f>
        <v/>
      </c>
      <c r="W25" s="97" t="str">
        <f t="shared" si="4"/>
        <v/>
      </c>
      <c r="X25" s="97" t="str">
        <f>IF(VLOOKUP($A25,'⚪设计'!$A$135:$N$184,14,FALSE)="","",VLOOKUP($A25,'⚪设计'!$A$135:$N$184,14,FALSE))</f>
        <v/>
      </c>
      <c r="Y25" s="97" t="str">
        <f>IF(V25="","",ROUND($D25*'⚪设计'!$D157/(IF($G25="",0,VLOOKUP($G25,'⚪设计'!$B$85:$H$104,4,FALSE)*$H25)+IF($L25="",0,VLOOKUP($L25,'⚪设计'!$B$85:$H$104,4,FALSE)*$M25)+IF($Q25="",0,VLOOKUP($Q25,'⚪设计'!$B$85:$H$104,4,FALSE)*$R25)+IF($V25="",0,VLOOKUP($V25,'⚪设计'!$B$85:$H$104,4,FALSE)*$W25))*IF(V25="",0,VLOOKUP(V25,'⚪设计'!$B$85:$H$104,4,FALSE)),0))</f>
        <v/>
      </c>
      <c r="Z25" s="97" t="str">
        <f>IF(V25="","",ROUND(VLOOKUP($B25,战斗节奏!$A$4:$F$13,2,FALSE)/(IF($G25="",0,VLOOKUP($G25,'⚪设计'!$B$85:$H$104,5,FALSE)*$H25)+IF($L25="",0,VLOOKUP($L25,'⚪设计'!$B$85:$H$104,5,FALSE)*$M25)+IF($Q25="",0,VLOOKUP($Q25,'⚪设计'!$B$85:$H$104,5,FALSE)*$R25)+IF($V25="",0,VLOOKUP($V25,'⚪设计'!$B$85:$H$104,5,FALSE)*$W25))*IF(V25="",0,VLOOKUP(V25,'⚪设计'!$B$85:$H$104,5,FALSE)),0))</f>
        <v/>
      </c>
    </row>
    <row r="26" spans="1:26" x14ac:dyDescent="0.2">
      <c r="A26" s="2" t="str">
        <f t="shared" si="0"/>
        <v>5_4</v>
      </c>
      <c r="B26" s="2">
        <v>5</v>
      </c>
      <c r="C26" s="2">
        <v>4</v>
      </c>
      <c r="D26" s="97">
        <f>VLOOKUP(C26,无限模式!$A$3:$B$22,2,FALSE)</f>
        <v>4500</v>
      </c>
      <c r="E26" s="98">
        <v>1</v>
      </c>
      <c r="F26" s="97">
        <f>'⚪设计'!F158</f>
        <v>17.5</v>
      </c>
      <c r="G26" s="97" t="str">
        <f>IF(VLOOKUP($A26,'⚪设计'!$A$135:$N$184,7,FALSE)="","",VLOOKUP($A26,'⚪设计'!$A$135:$N$184,7,FALSE))</f>
        <v>蛋2</v>
      </c>
      <c r="H26" s="97">
        <f t="shared" si="1"/>
        <v>12</v>
      </c>
      <c r="I26" s="97">
        <f>IF(VLOOKUP($A26,'⚪设计'!$A$135:$N$184,11,FALSE)="","",VLOOKUP($A26,'⚪设计'!$A$135:$N$184,11,FALSE))</f>
        <v>1.5</v>
      </c>
      <c r="J26" s="97">
        <f>IF(G26="","",ROUND($D26*'⚪设计'!$D158/(IF($G26="",0,VLOOKUP($G26,'⚪设计'!$B$85:$H$104,4,FALSE)*$H26)+IF($L26="",0,VLOOKUP($L26,'⚪设计'!$B$85:$H$104,4,FALSE)*$M26)+IF($Q26="",0,VLOOKUP($Q26,'⚪设计'!$B$85:$H$104,4,FALSE)*$R26)+IF($V26="",0,VLOOKUP($V26,'⚪设计'!$B$85:$H$104,4,FALSE)*$W26))*IF(G26="",0,VLOOKUP(G26,'⚪设计'!$B$85:$H$104,4,FALSE)),0))</f>
        <v>651</v>
      </c>
      <c r="K26" s="97">
        <f>IF(G26="","",ROUND(VLOOKUP($B26,战斗节奏!$A$4:$F$13,2,FALSE)/(IF($G26="",0,VLOOKUP($G26,'⚪设计'!$B$85:$H$104,5,FALSE)*$H26)+IF($L26="",0,VLOOKUP($L26,'⚪设计'!$B$85:$H$104,5,FALSE)*$M26)+IF($Q26="",0,VLOOKUP($Q26,'⚪设计'!$B$85:$H$104,5,FALSE)*$R26)+IF($V26="",0,VLOOKUP($V26,'⚪设计'!$B$85:$H$104,5,FALSE)*$W26))*IF(G26="",0,VLOOKUP(G26,'⚪设计'!$B$85:$H$104,5,FALSE)),0))</f>
        <v>24</v>
      </c>
      <c r="L26" s="97" t="str">
        <f>IF(VLOOKUP($A26,'⚪设计'!$A$135:$N$184,8,FALSE)="","",VLOOKUP($A26,'⚪设计'!$A$135:$N$184,8,FALSE))</f>
        <v>鬼1</v>
      </c>
      <c r="M26" s="97">
        <f t="shared" si="2"/>
        <v>35</v>
      </c>
      <c r="N26" s="97">
        <f>IF(VLOOKUP($A26,'⚪设计'!$A$135:$N$184,12,FALSE)="","",VLOOKUP($A26,'⚪设计'!$A$135:$N$184,12,FALSE))</f>
        <v>0.5</v>
      </c>
      <c r="O26" s="97">
        <f>IF(L26="","",ROUND($D26*'⚪设计'!$D158/(IF($G26="",0,VLOOKUP($G26,'⚪设计'!$B$85:$H$104,4,FALSE)*$H26)+IF($L26="",0,VLOOKUP($L26,'⚪设计'!$B$85:$H$104,4,FALSE)*$M26)+IF($Q26="",0,VLOOKUP($Q26,'⚪设计'!$B$85:$H$104,4,FALSE)*$R26)+IF($V26="",0,VLOOKUP($V26,'⚪设计'!$B$85:$H$104,4,FALSE)*$W26))*IF(L26="",0,VLOOKUP(L26,'⚪设计'!$B$85:$H$104,4,FALSE)),0))</f>
        <v>163</v>
      </c>
      <c r="P26" s="97">
        <f>IF(L26="","",ROUND(VLOOKUP($B26,战斗节奏!$A$4:$F$13,2,FALSE)/(IF($G26="",0,VLOOKUP($G26,'⚪设计'!$B$85:$H$104,5,FALSE)*$H26)+IF($L26="",0,VLOOKUP($L26,'⚪设计'!$B$85:$H$104,5,FALSE)*$M26)+IF($Q26="",0,VLOOKUP($Q26,'⚪设计'!$B$85:$H$104,5,FALSE)*$R26)+IF($V26="",0,VLOOKUP($V26,'⚪设计'!$B$85:$H$104,5,FALSE)*$W26))*IF(L26="",0,VLOOKUP(L26,'⚪设计'!$B$85:$H$104,5,FALSE)),0))</f>
        <v>12</v>
      </c>
      <c r="Q26" s="97" t="str">
        <f>IF(VLOOKUP($A26,'⚪设计'!$A$135:$N$184,9,FALSE)="","",VLOOKUP($A26,'⚪设计'!$A$135:$N$184,9,FALSE))</f>
        <v/>
      </c>
      <c r="R26" s="97" t="str">
        <f t="shared" si="3"/>
        <v/>
      </c>
      <c r="S26" s="97" t="str">
        <f>IF(VLOOKUP($A26,'⚪设计'!$A$135:$N$184,13,FALSE)="","",VLOOKUP($A26,'⚪设计'!$A$135:$N$184,13,FALSE))</f>
        <v/>
      </c>
      <c r="T26" s="97" t="str">
        <f>IF(Q26="","",ROUND($D26*'⚪设计'!$D158/(IF($G26="",0,VLOOKUP($G26,'⚪设计'!$B$85:$H$104,4,FALSE)*$H26)+IF($L26="",0,VLOOKUP($L26,'⚪设计'!$B$85:$H$104,4,FALSE)*$M26)+IF($Q26="",0,VLOOKUP($Q26,'⚪设计'!$B$85:$H$104,4,FALSE)*$R26)+IF($V26="",0,VLOOKUP($V26,'⚪设计'!$B$85:$H$104,4,FALSE)*$W26))*IF(Q26="",0,VLOOKUP(Q26,'⚪设计'!$B$85:$H$104,4,FALSE)),0))</f>
        <v/>
      </c>
      <c r="U26" s="97" t="str">
        <f>IF(Q26="","",ROUND(VLOOKUP($B26,战斗节奏!$A$4:$F$13,2,FALSE)/(IF($G26="",0,VLOOKUP($G26,'⚪设计'!$B$85:$H$104,5,FALSE)*$H26)+IF($L26="",0,VLOOKUP($L26,'⚪设计'!$B$85:$H$104,5,FALSE)*$M26)+IF($Q26="",0,VLOOKUP($Q26,'⚪设计'!$B$85:$H$104,5,FALSE)*$R26)+IF($V26="",0,VLOOKUP($V26,'⚪设计'!$B$85:$H$104,5,FALSE)*$W26))*IF(Q26="",0,VLOOKUP(Q26,'⚪设计'!$B$85:$H$104,5,FALSE)),0))</f>
        <v/>
      </c>
      <c r="V26" s="97" t="str">
        <f>IF(VLOOKUP($A26,'⚪设计'!$A$135:$N$184,10,FALSE)="","",VLOOKUP($A26,'⚪设计'!$A$135:$N$184,10,FALSE))</f>
        <v/>
      </c>
      <c r="W26" s="97" t="str">
        <f t="shared" si="4"/>
        <v/>
      </c>
      <c r="X26" s="97" t="str">
        <f>IF(VLOOKUP($A26,'⚪设计'!$A$135:$N$184,14,FALSE)="","",VLOOKUP($A26,'⚪设计'!$A$135:$N$184,14,FALSE))</f>
        <v/>
      </c>
      <c r="Y26" s="97" t="str">
        <f>IF(V26="","",ROUND($D26*'⚪设计'!$D158/(IF($G26="",0,VLOOKUP($G26,'⚪设计'!$B$85:$H$104,4,FALSE)*$H26)+IF($L26="",0,VLOOKUP($L26,'⚪设计'!$B$85:$H$104,4,FALSE)*$M26)+IF($Q26="",0,VLOOKUP($Q26,'⚪设计'!$B$85:$H$104,4,FALSE)*$R26)+IF($V26="",0,VLOOKUP($V26,'⚪设计'!$B$85:$H$104,4,FALSE)*$W26))*IF(V26="",0,VLOOKUP(V26,'⚪设计'!$B$85:$H$104,4,FALSE)),0))</f>
        <v/>
      </c>
      <c r="Z26" s="97" t="str">
        <f>IF(V26="","",ROUND(VLOOKUP($B26,战斗节奏!$A$4:$F$13,2,FALSE)/(IF($G26="",0,VLOOKUP($G26,'⚪设计'!$B$85:$H$104,5,FALSE)*$H26)+IF($L26="",0,VLOOKUP($L26,'⚪设计'!$B$85:$H$104,5,FALSE)*$M26)+IF($Q26="",0,VLOOKUP($Q26,'⚪设计'!$B$85:$H$104,5,FALSE)*$R26)+IF($V26="",0,VLOOKUP($V26,'⚪设计'!$B$85:$H$104,5,FALSE)*$W26))*IF(V26="",0,VLOOKUP(V26,'⚪设计'!$B$85:$H$104,5,FALSE)),0))</f>
        <v/>
      </c>
    </row>
    <row r="27" spans="1:26" x14ac:dyDescent="0.2">
      <c r="A27" s="2" t="str">
        <f t="shared" si="0"/>
        <v>5_5</v>
      </c>
      <c r="B27" s="2">
        <v>5</v>
      </c>
      <c r="C27" s="2">
        <v>5</v>
      </c>
      <c r="D27" s="97">
        <f>VLOOKUP(C27,无限模式!$A$3:$B$22,2,FALSE)</f>
        <v>5400</v>
      </c>
      <c r="E27" s="98">
        <v>1</v>
      </c>
      <c r="F27" s="97">
        <f>'⚪设计'!F159</f>
        <v>20</v>
      </c>
      <c r="G27" s="97" t="str">
        <f>IF(VLOOKUP($A27,'⚪设计'!$A$135:$N$184,7,FALSE)="","",VLOOKUP($A27,'⚪设计'!$A$135:$N$184,7,FALSE))</f>
        <v>蛋2</v>
      </c>
      <c r="H27" s="97">
        <f t="shared" si="1"/>
        <v>13</v>
      </c>
      <c r="I27" s="97">
        <f>IF(VLOOKUP($A27,'⚪设计'!$A$135:$N$184,11,FALSE)="","",VLOOKUP($A27,'⚪设计'!$A$135:$N$184,11,FALSE))</f>
        <v>1.5</v>
      </c>
      <c r="J27" s="97">
        <f>IF(G27="","",ROUND($D27*'⚪设计'!$D159/(IF($G27="",0,VLOOKUP($G27,'⚪设计'!$B$85:$H$104,4,FALSE)*$H27)+IF($L27="",0,VLOOKUP($L27,'⚪设计'!$B$85:$H$104,4,FALSE)*$M27)+IF($Q27="",0,VLOOKUP($Q27,'⚪设计'!$B$85:$H$104,4,FALSE)*$R27)+IF($V27="",0,VLOOKUP($V27,'⚪设计'!$B$85:$H$104,4,FALSE)*$W27))*IF(G27="",0,VLOOKUP(G27,'⚪设计'!$B$85:$H$104,4,FALSE)),0))</f>
        <v>400</v>
      </c>
      <c r="K27" s="97">
        <f>IF(G27="","",ROUND(VLOOKUP($B27,战斗节奏!$A$4:$F$13,2,FALSE)/(IF($G27="",0,VLOOKUP($G27,'⚪设计'!$B$85:$H$104,5,FALSE)*$H27)+IF($L27="",0,VLOOKUP($L27,'⚪设计'!$B$85:$H$104,5,FALSE)*$M27)+IF($Q27="",0,VLOOKUP($Q27,'⚪设计'!$B$85:$H$104,5,FALSE)*$R27)+IF($V27="",0,VLOOKUP($V27,'⚪设计'!$B$85:$H$104,5,FALSE)*$W27))*IF(G27="",0,VLOOKUP(G27,'⚪设计'!$B$85:$H$104,5,FALSE)),0))</f>
        <v>11</v>
      </c>
      <c r="L27" s="97" t="str">
        <f>IF(VLOOKUP($A27,'⚪设计'!$A$135:$N$184,8,FALSE)="","",VLOOKUP($A27,'⚪设计'!$A$135:$N$184,8,FALSE))</f>
        <v>鬼1</v>
      </c>
      <c r="M27" s="97">
        <f t="shared" si="2"/>
        <v>40</v>
      </c>
      <c r="N27" s="97">
        <f>IF(VLOOKUP($A27,'⚪设计'!$A$135:$N$184,12,FALSE)="","",VLOOKUP($A27,'⚪设计'!$A$135:$N$184,12,FALSE))</f>
        <v>0.5</v>
      </c>
      <c r="O27" s="97">
        <f>IF(L27="","",ROUND($D27*'⚪设计'!$D159/(IF($G27="",0,VLOOKUP($G27,'⚪设计'!$B$85:$H$104,4,FALSE)*$H27)+IF($L27="",0,VLOOKUP($L27,'⚪设计'!$B$85:$H$104,4,FALSE)*$M27)+IF($Q27="",0,VLOOKUP($Q27,'⚪设计'!$B$85:$H$104,4,FALSE)*$R27)+IF($V27="",0,VLOOKUP($V27,'⚪设计'!$B$85:$H$104,4,FALSE)*$W27))*IF(L27="",0,VLOOKUP(L27,'⚪设计'!$B$85:$H$104,4,FALSE)),0))</f>
        <v>100</v>
      </c>
      <c r="P27" s="97">
        <f>IF(L27="","",ROUND(VLOOKUP($B27,战斗节奏!$A$4:$F$13,2,FALSE)/(IF($G27="",0,VLOOKUP($G27,'⚪设计'!$B$85:$H$104,5,FALSE)*$H27)+IF($L27="",0,VLOOKUP($L27,'⚪设计'!$B$85:$H$104,5,FALSE)*$M27)+IF($Q27="",0,VLOOKUP($Q27,'⚪设计'!$B$85:$H$104,5,FALSE)*$R27)+IF($V27="",0,VLOOKUP($V27,'⚪设计'!$B$85:$H$104,5,FALSE)*$W27))*IF(L27="",0,VLOOKUP(L27,'⚪设计'!$B$85:$H$104,5,FALSE)),0))</f>
        <v>6</v>
      </c>
      <c r="Q27" s="97" t="str">
        <f>IF(VLOOKUP($A27,'⚪设计'!$A$135:$N$184,9,FALSE)="","",VLOOKUP($A27,'⚪设计'!$A$135:$N$184,9,FALSE))</f>
        <v>种子1</v>
      </c>
      <c r="R27" s="97">
        <f t="shared" si="3"/>
        <v>10</v>
      </c>
      <c r="S27" s="97">
        <f>IF(VLOOKUP($A27,'⚪设计'!$A$135:$N$184,13,FALSE)="","",VLOOKUP($A27,'⚪设计'!$A$135:$N$184,13,FALSE))</f>
        <v>2</v>
      </c>
      <c r="T27" s="97">
        <f>IF(Q27="","",ROUND($D27*'⚪设计'!$D159/(IF($G27="",0,VLOOKUP($G27,'⚪设计'!$B$85:$H$104,4,FALSE)*$H27)+IF($L27="",0,VLOOKUP($L27,'⚪设计'!$B$85:$H$104,4,FALSE)*$M27)+IF($Q27="",0,VLOOKUP($Q27,'⚪设计'!$B$85:$H$104,4,FALSE)*$R27)+IF($V27="",0,VLOOKUP($V27,'⚪设计'!$B$85:$H$104,4,FALSE)*$W27))*IF(Q27="",0,VLOOKUP(Q27,'⚪设计'!$B$85:$H$104,4,FALSE)),0))</f>
        <v>300</v>
      </c>
      <c r="U27" s="97">
        <f>IF(Q27="","",ROUND(VLOOKUP($B27,战斗节奏!$A$4:$F$13,2,FALSE)/(IF($G27="",0,VLOOKUP($G27,'⚪设计'!$B$85:$H$104,5,FALSE)*$H27)+IF($L27="",0,VLOOKUP($L27,'⚪设计'!$B$85:$H$104,5,FALSE)*$M27)+IF($Q27="",0,VLOOKUP($Q27,'⚪设计'!$B$85:$H$104,5,FALSE)*$R27)+IF($V27="",0,VLOOKUP($V27,'⚪设计'!$B$85:$H$104,5,FALSE)*$W27))*IF(Q27="",0,VLOOKUP(Q27,'⚪设计'!$B$85:$H$104,5,FALSE)),0))</f>
        <v>11</v>
      </c>
      <c r="V27" s="97" t="str">
        <f>IF(VLOOKUP($A27,'⚪设计'!$A$135:$N$184,10,FALSE)="","",VLOOKUP($A27,'⚪设计'!$A$135:$N$184,10,FALSE))</f>
        <v>蛋3</v>
      </c>
      <c r="W27" s="97">
        <f t="shared" si="4"/>
        <v>1</v>
      </c>
      <c r="X27" s="97">
        <f>IF(VLOOKUP($A27,'⚪设计'!$A$135:$N$184,14,FALSE)="","",VLOOKUP($A27,'⚪设计'!$A$135:$N$184,14,FALSE))</f>
        <v>0</v>
      </c>
      <c r="Y27" s="97">
        <f>IF(V27="","",ROUND($D27*'⚪设计'!$D159/(IF($G27="",0,VLOOKUP($G27,'⚪设计'!$B$85:$H$104,4,FALSE)*$H27)+IF($L27="",0,VLOOKUP($L27,'⚪设计'!$B$85:$H$104,4,FALSE)*$M27)+IF($Q27="",0,VLOOKUP($Q27,'⚪设计'!$B$85:$H$104,4,FALSE)*$R27)+IF($V27="",0,VLOOKUP($V27,'⚪设计'!$B$85:$H$104,4,FALSE)*$W27))*IF(V27="",0,VLOOKUP(V27,'⚪设计'!$B$85:$H$104,4,FALSE)),0))</f>
        <v>4000</v>
      </c>
      <c r="Z27" s="97">
        <f>IF(V27="","",ROUND(VLOOKUP($B27,战斗节奏!$A$4:$F$13,2,FALSE)/(IF($G27="",0,VLOOKUP($G27,'⚪设计'!$B$85:$H$104,5,FALSE)*$H27)+IF($L27="",0,VLOOKUP($L27,'⚪设计'!$B$85:$H$104,5,FALSE)*$M27)+IF($Q27="",0,VLOOKUP($Q27,'⚪设计'!$B$85:$H$104,5,FALSE)*$R27)+IF($V27="",0,VLOOKUP($V27,'⚪设计'!$B$85:$H$104,5,FALSE)*$W27))*IF(V27="",0,VLOOKUP(V27,'⚪设计'!$B$85:$H$104,5,FALSE)),0))</f>
        <v>229</v>
      </c>
    </row>
    <row r="28" spans="1:26" x14ac:dyDescent="0.2">
      <c r="A28" s="2" t="str">
        <f t="shared" si="0"/>
        <v>6_1</v>
      </c>
      <c r="B28" s="2">
        <v>6</v>
      </c>
      <c r="C28" s="2">
        <v>1</v>
      </c>
      <c r="D28" s="97">
        <f>VLOOKUP(C28,无限模式!$A$3:$B$22,2,FALSE)</f>
        <v>900</v>
      </c>
      <c r="E28" s="98">
        <v>1</v>
      </c>
      <c r="F28" s="97">
        <f>'⚪设计'!F160</f>
        <v>10</v>
      </c>
      <c r="G28" s="97" t="str">
        <f>IF(VLOOKUP($A28,'⚪设计'!$A$135:$N$184,7,FALSE)="","",VLOOKUP($A28,'⚪设计'!$A$135:$N$184,7,FALSE))</f>
        <v>蜜蜂1</v>
      </c>
      <c r="H28" s="97">
        <f>IF(I28=0,1,IF(I28="","",ROUND($F28/I28,0)))</f>
        <v>10</v>
      </c>
      <c r="I28" s="97">
        <f>IF(VLOOKUP($A28,'⚪设计'!$A$135:$N$184,11,FALSE)="","",VLOOKUP($A28,'⚪设计'!$A$135:$N$184,11,FALSE))</f>
        <v>1</v>
      </c>
      <c r="J28" s="97">
        <f>IF(G28="","",ROUND($D28*'⚪设计'!$D160/(IF($G28="",0,VLOOKUP($G28,'⚪设计'!$B$85:$H$104,4,FALSE)*$H28)+IF($L28="",0,VLOOKUP($L28,'⚪设计'!$B$85:$H$104,4,FALSE)*$M28)+IF($Q28="",0,VLOOKUP($Q28,'⚪设计'!$B$85:$H$104,4,FALSE)*$R28)+IF($V28="",0,VLOOKUP($V28,'⚪设计'!$B$85:$H$104,4,FALSE)*$W28))*IF(G28="",0,VLOOKUP(G28,'⚪设计'!$B$85:$H$104,4,FALSE)),0))</f>
        <v>78</v>
      </c>
      <c r="K28" s="97">
        <f>IF(G28="","",ROUND(VLOOKUP($B28,战斗节奏!$A$4:$F$13,2,FALSE)/(IF($G28="",0,VLOOKUP($G28,'⚪设计'!$B$85:$H$104,5,FALSE)*$H28)+IF($L28="",0,VLOOKUP($L28,'⚪设计'!$B$85:$H$104,5,FALSE)*$M28)+IF($Q28="",0,VLOOKUP($Q28,'⚪设计'!$B$85:$H$104,5,FALSE)*$R28)+IF($V28="",0,VLOOKUP($V28,'⚪设计'!$B$85:$H$104,5,FALSE)*$W28))*IF(G28="",0,VLOOKUP(G28,'⚪设计'!$B$85:$H$104,5,FALSE)),0))</f>
        <v>51</v>
      </c>
      <c r="L28" s="97" t="str">
        <f>IF(VLOOKUP($A28,'⚪设计'!$A$135:$N$184,8,FALSE)="","",VLOOKUP($A28,'⚪设计'!$A$135:$N$184,8,FALSE))</f>
        <v>鸟1</v>
      </c>
      <c r="M28" s="97">
        <f>IF(N28=0,1,IF(N28="","",ROUND($F28/N28,0)))</f>
        <v>1</v>
      </c>
      <c r="N28" s="97">
        <f>IF(VLOOKUP($A28,'⚪设计'!$A$135:$N$184,12,FALSE)="","",VLOOKUP($A28,'⚪设计'!$A$135:$N$184,12,FALSE))</f>
        <v>0</v>
      </c>
      <c r="O28" s="97">
        <f>IF(L28="","",ROUND($D28*'⚪设计'!$D160/(IF($G28="",0,VLOOKUP($G28,'⚪设计'!$B$85:$H$104,4,FALSE)*$H28)+IF($L28="",0,VLOOKUP($L28,'⚪设计'!$B$85:$H$104,4,FALSE)*$M28)+IF($Q28="",0,VLOOKUP($Q28,'⚪设计'!$B$85:$H$104,4,FALSE)*$R28)+IF($V28="",0,VLOOKUP($V28,'⚪设计'!$B$85:$H$104,4,FALSE)*$W28))*IF(L28="",0,VLOOKUP(L28,'⚪设计'!$B$85:$H$104,4,FALSE)),0))</f>
        <v>313</v>
      </c>
      <c r="P28" s="97">
        <f>IF(L28="","",ROUND(VLOOKUP($B28,战斗节奏!$A$4:$F$13,2,FALSE)/(IF($G28="",0,VLOOKUP($G28,'⚪设计'!$B$85:$H$104,5,FALSE)*$H28)+IF($L28="",0,VLOOKUP($L28,'⚪设计'!$B$85:$H$104,5,FALSE)*$M28)+IF($Q28="",0,VLOOKUP($Q28,'⚪设计'!$B$85:$H$104,5,FALSE)*$R28)+IF($V28="",0,VLOOKUP($V28,'⚪设计'!$B$85:$H$104,5,FALSE)*$W28))*IF(L28="",0,VLOOKUP(L28,'⚪设计'!$B$85:$H$104,5,FALSE)),0))</f>
        <v>206</v>
      </c>
      <c r="Q28" s="97" t="str">
        <f>IF(VLOOKUP($A28,'⚪设计'!$A$135:$N$184,9,FALSE)="","",VLOOKUP($A28,'⚪设计'!$A$135:$N$184,9,FALSE))</f>
        <v/>
      </c>
      <c r="R28" s="97" t="str">
        <f>IF(S28=0,1,IF(S28="","",ROUND($F28/S28,0)))</f>
        <v/>
      </c>
      <c r="S28" s="97" t="str">
        <f>IF(VLOOKUP($A28,'⚪设计'!$A$135:$N$184,13,FALSE)="","",VLOOKUP($A28,'⚪设计'!$A$135:$N$184,13,FALSE))</f>
        <v/>
      </c>
      <c r="T28" s="97" t="str">
        <f>IF(Q28="","",ROUND($D28*'⚪设计'!$D160/(IF($G28="",0,VLOOKUP($G28,'⚪设计'!$B$85:$H$104,4,FALSE)*$H28)+IF($L28="",0,VLOOKUP($L28,'⚪设计'!$B$85:$H$104,4,FALSE)*$M28)+IF($Q28="",0,VLOOKUP($Q28,'⚪设计'!$B$85:$H$104,4,FALSE)*$R28)+IF($V28="",0,VLOOKUP($V28,'⚪设计'!$B$85:$H$104,4,FALSE)*$W28))*IF(Q28="",0,VLOOKUP(Q28,'⚪设计'!$B$85:$H$104,4,FALSE)),0))</f>
        <v/>
      </c>
      <c r="U28" s="97" t="str">
        <f>IF(Q28="","",ROUND(VLOOKUP($B28,战斗节奏!$A$4:$F$13,2,FALSE)/(IF($G28="",0,VLOOKUP($G28,'⚪设计'!$B$85:$H$104,5,FALSE)*$H28)+IF($L28="",0,VLOOKUP($L28,'⚪设计'!$B$85:$H$104,5,FALSE)*$M28)+IF($Q28="",0,VLOOKUP($Q28,'⚪设计'!$B$85:$H$104,5,FALSE)*$R28)+IF($V28="",0,VLOOKUP($V28,'⚪设计'!$B$85:$H$104,5,FALSE)*$W28))*IF(Q28="",0,VLOOKUP(Q28,'⚪设计'!$B$85:$H$104,5,FALSE)),0))</f>
        <v/>
      </c>
      <c r="V28" s="97" t="str">
        <f>IF(VLOOKUP($A28,'⚪设计'!$A$135:$N$184,10,FALSE)="","",VLOOKUP($A28,'⚪设计'!$A$135:$N$184,10,FALSE))</f>
        <v/>
      </c>
      <c r="W28" s="97" t="str">
        <f>IF(X28=0,1,IF(X28="","",ROUND($F28/X28,0)))</f>
        <v/>
      </c>
      <c r="X28" s="97" t="str">
        <f>IF(VLOOKUP($A28,'⚪设计'!$A$135:$N$184,14,FALSE)="","",VLOOKUP($A28,'⚪设计'!$A$135:$N$184,14,FALSE))</f>
        <v/>
      </c>
      <c r="Y28" s="97" t="str">
        <f>IF(V28="","",ROUND($D28*'⚪设计'!$D160/(IF($G28="",0,VLOOKUP($G28,'⚪设计'!$B$85:$H$104,4,FALSE)*$H28)+IF($L28="",0,VLOOKUP($L28,'⚪设计'!$B$85:$H$104,4,FALSE)*$M28)+IF($Q28="",0,VLOOKUP($Q28,'⚪设计'!$B$85:$H$104,4,FALSE)*$R28)+IF($V28="",0,VLOOKUP($V28,'⚪设计'!$B$85:$H$104,4,FALSE)*$W28))*IF(V28="",0,VLOOKUP(V28,'⚪设计'!$B$85:$H$104,4,FALSE)),0))</f>
        <v/>
      </c>
      <c r="Z28" s="97" t="str">
        <f>IF(V28="","",ROUND(VLOOKUP($B28,战斗节奏!$A$4:$F$13,2,FALSE)/(IF($G28="",0,VLOOKUP($G28,'⚪设计'!$B$85:$H$104,5,FALSE)*$H28)+IF($L28="",0,VLOOKUP($L28,'⚪设计'!$B$85:$H$104,5,FALSE)*$M28)+IF($Q28="",0,VLOOKUP($Q28,'⚪设计'!$B$85:$H$104,5,FALSE)*$R28)+IF($V28="",0,VLOOKUP($V28,'⚪设计'!$B$85:$H$104,5,FALSE)*$W28))*IF(V28="",0,VLOOKUP(V28,'⚪设计'!$B$85:$H$104,5,FALSE)),0))</f>
        <v/>
      </c>
    </row>
    <row r="29" spans="1:26" x14ac:dyDescent="0.2">
      <c r="A29" s="2" t="str">
        <f t="shared" si="0"/>
        <v>6_2</v>
      </c>
      <c r="B29" s="2">
        <v>6</v>
      </c>
      <c r="C29" s="2">
        <v>2</v>
      </c>
      <c r="D29" s="97">
        <f>VLOOKUP(C29,无限模式!$A$3:$B$22,2,FALSE)</f>
        <v>1800</v>
      </c>
      <c r="E29" s="98">
        <v>1</v>
      </c>
      <c r="F29" s="97">
        <f>'⚪设计'!F161</f>
        <v>12.5</v>
      </c>
      <c r="G29" s="97" t="str">
        <f>IF(VLOOKUP($A29,'⚪设计'!$A$135:$N$184,7,FALSE)="","",VLOOKUP($A29,'⚪设计'!$A$135:$N$184,7,FALSE))</f>
        <v>蜜蜂1</v>
      </c>
      <c r="H29" s="97">
        <f t="shared" si="1"/>
        <v>25</v>
      </c>
      <c r="I29" s="97">
        <f>IF(VLOOKUP($A29,'⚪设计'!$A$135:$N$184,11,FALSE)="","",VLOOKUP($A29,'⚪设计'!$A$135:$N$184,11,FALSE))</f>
        <v>0.5</v>
      </c>
      <c r="J29" s="97">
        <f>IF(G29="","",ROUND($D29*'⚪设计'!$D161/(IF($G29="",0,VLOOKUP($G29,'⚪设计'!$B$85:$H$104,4,FALSE)*$H29)+IF($L29="",0,VLOOKUP($L29,'⚪设计'!$B$85:$H$104,4,FALSE)*$M29)+IF($Q29="",0,VLOOKUP($Q29,'⚪设计'!$B$85:$H$104,4,FALSE)*$R29)+IF($V29="",0,VLOOKUP($V29,'⚪设计'!$B$85:$H$104,4,FALSE)*$W29))*IF(G29="",0,VLOOKUP(G29,'⚪设计'!$B$85:$H$104,4,FALSE)),0))</f>
        <v>119</v>
      </c>
      <c r="K29" s="97">
        <f>IF(G29="","",ROUND(VLOOKUP($B29,战斗节奏!$A$4:$F$13,2,FALSE)/(IF($G29="",0,VLOOKUP($G29,'⚪设计'!$B$85:$H$104,5,FALSE)*$H29)+IF($L29="",0,VLOOKUP($L29,'⚪设计'!$B$85:$H$104,5,FALSE)*$M29)+IF($Q29="",0,VLOOKUP($Q29,'⚪设计'!$B$85:$H$104,5,FALSE)*$R29)+IF($V29="",0,VLOOKUP($V29,'⚪设计'!$B$85:$H$104,5,FALSE)*$W29))*IF(G29="",0,VLOOKUP(G29,'⚪设计'!$B$85:$H$104,5,FALSE)),0))</f>
        <v>19</v>
      </c>
      <c r="L29" s="97" t="str">
        <f>IF(VLOOKUP($A29,'⚪设计'!$A$135:$N$184,8,FALSE)="","",VLOOKUP($A29,'⚪设计'!$A$135:$N$184,8,FALSE))</f>
        <v>鸟1</v>
      </c>
      <c r="M29" s="97">
        <f t="shared" si="2"/>
        <v>3</v>
      </c>
      <c r="N29" s="97">
        <f>IF(VLOOKUP($A29,'⚪设计'!$A$135:$N$184,12,FALSE)="","",VLOOKUP($A29,'⚪设计'!$A$135:$N$184,12,FALSE))</f>
        <v>4</v>
      </c>
      <c r="O29" s="97">
        <f>IF(L29="","",ROUND($D29*'⚪设计'!$D161/(IF($G29="",0,VLOOKUP($G29,'⚪设计'!$B$85:$H$104,4,FALSE)*$H29)+IF($L29="",0,VLOOKUP($L29,'⚪设计'!$B$85:$H$104,4,FALSE)*$M29)+IF($Q29="",0,VLOOKUP($Q29,'⚪设计'!$B$85:$H$104,4,FALSE)*$R29)+IF($V29="",0,VLOOKUP($V29,'⚪设计'!$B$85:$H$104,4,FALSE)*$W29))*IF(L29="",0,VLOOKUP(L29,'⚪设计'!$B$85:$H$104,4,FALSE)),0))</f>
        <v>474</v>
      </c>
      <c r="P29" s="97">
        <f>IF(L29="","",ROUND(VLOOKUP($B29,战斗节奏!$A$4:$F$13,2,FALSE)/(IF($G29="",0,VLOOKUP($G29,'⚪设计'!$B$85:$H$104,5,FALSE)*$H29)+IF($L29="",0,VLOOKUP($L29,'⚪设计'!$B$85:$H$104,5,FALSE)*$M29)+IF($Q29="",0,VLOOKUP($Q29,'⚪设计'!$B$85:$H$104,5,FALSE)*$R29)+IF($V29="",0,VLOOKUP($V29,'⚪设计'!$B$85:$H$104,5,FALSE)*$W29))*IF(L29="",0,VLOOKUP(L29,'⚪设计'!$B$85:$H$104,5,FALSE)),0))</f>
        <v>78</v>
      </c>
      <c r="Q29" s="97" t="str">
        <f>IF(VLOOKUP($A29,'⚪设计'!$A$135:$N$184,9,FALSE)="","",VLOOKUP($A29,'⚪设计'!$A$135:$N$184,9,FALSE))</f>
        <v/>
      </c>
      <c r="R29" s="97" t="str">
        <f t="shared" si="3"/>
        <v/>
      </c>
      <c r="S29" s="97" t="str">
        <f>IF(VLOOKUP($A29,'⚪设计'!$A$135:$N$184,13,FALSE)="","",VLOOKUP($A29,'⚪设计'!$A$135:$N$184,13,FALSE))</f>
        <v/>
      </c>
      <c r="T29" s="97" t="str">
        <f>IF(Q29="","",ROUND($D29*'⚪设计'!$D161/(IF($G29="",0,VLOOKUP($G29,'⚪设计'!$B$85:$H$104,4,FALSE)*$H29)+IF($L29="",0,VLOOKUP($L29,'⚪设计'!$B$85:$H$104,4,FALSE)*$M29)+IF($Q29="",0,VLOOKUP($Q29,'⚪设计'!$B$85:$H$104,4,FALSE)*$R29)+IF($V29="",0,VLOOKUP($V29,'⚪设计'!$B$85:$H$104,4,FALSE)*$W29))*IF(Q29="",0,VLOOKUP(Q29,'⚪设计'!$B$85:$H$104,4,FALSE)),0))</f>
        <v/>
      </c>
      <c r="U29" s="97" t="str">
        <f>IF(Q29="","",ROUND(VLOOKUP($B29,战斗节奏!$A$4:$F$13,2,FALSE)/(IF($G29="",0,VLOOKUP($G29,'⚪设计'!$B$85:$H$104,5,FALSE)*$H29)+IF($L29="",0,VLOOKUP($L29,'⚪设计'!$B$85:$H$104,5,FALSE)*$M29)+IF($Q29="",0,VLOOKUP($Q29,'⚪设计'!$B$85:$H$104,5,FALSE)*$R29)+IF($V29="",0,VLOOKUP($V29,'⚪设计'!$B$85:$H$104,5,FALSE)*$W29))*IF(Q29="",0,VLOOKUP(Q29,'⚪设计'!$B$85:$H$104,5,FALSE)),0))</f>
        <v/>
      </c>
      <c r="V29" s="97" t="str">
        <f>IF(VLOOKUP($A29,'⚪设计'!$A$135:$N$184,10,FALSE)="","",VLOOKUP($A29,'⚪设计'!$A$135:$N$184,10,FALSE))</f>
        <v/>
      </c>
      <c r="W29" s="97" t="str">
        <f t="shared" si="4"/>
        <v/>
      </c>
      <c r="X29" s="97" t="str">
        <f>IF(VLOOKUP($A29,'⚪设计'!$A$135:$N$184,14,FALSE)="","",VLOOKUP($A29,'⚪设计'!$A$135:$N$184,14,FALSE))</f>
        <v/>
      </c>
      <c r="Y29" s="97" t="str">
        <f>IF(V29="","",ROUND($D29*'⚪设计'!$D161/(IF($G29="",0,VLOOKUP($G29,'⚪设计'!$B$85:$H$104,4,FALSE)*$H29)+IF($L29="",0,VLOOKUP($L29,'⚪设计'!$B$85:$H$104,4,FALSE)*$M29)+IF($Q29="",0,VLOOKUP($Q29,'⚪设计'!$B$85:$H$104,4,FALSE)*$R29)+IF($V29="",0,VLOOKUP($V29,'⚪设计'!$B$85:$H$104,4,FALSE)*$W29))*IF(V29="",0,VLOOKUP(V29,'⚪设计'!$B$85:$H$104,4,FALSE)),0))</f>
        <v/>
      </c>
      <c r="Z29" s="97" t="str">
        <f>IF(V29="","",ROUND(VLOOKUP($B29,战斗节奏!$A$4:$F$13,2,FALSE)/(IF($G29="",0,VLOOKUP($G29,'⚪设计'!$B$85:$H$104,5,FALSE)*$H29)+IF($L29="",0,VLOOKUP($L29,'⚪设计'!$B$85:$H$104,5,FALSE)*$M29)+IF($Q29="",0,VLOOKUP($Q29,'⚪设计'!$B$85:$H$104,5,FALSE)*$R29)+IF($V29="",0,VLOOKUP($V29,'⚪设计'!$B$85:$H$104,5,FALSE)*$W29))*IF(V29="",0,VLOOKUP(V29,'⚪设计'!$B$85:$H$104,5,FALSE)),0))</f>
        <v/>
      </c>
    </row>
    <row r="30" spans="1:26" x14ac:dyDescent="0.2">
      <c r="A30" s="2" t="str">
        <f t="shared" si="0"/>
        <v>6_3</v>
      </c>
      <c r="B30" s="2">
        <v>6</v>
      </c>
      <c r="C30" s="2">
        <v>3</v>
      </c>
      <c r="D30" s="97">
        <f>VLOOKUP(C30,无限模式!$A$3:$B$22,2,FALSE)</f>
        <v>3600</v>
      </c>
      <c r="E30" s="98">
        <v>1</v>
      </c>
      <c r="F30" s="97">
        <f>'⚪设计'!F162</f>
        <v>15</v>
      </c>
      <c r="G30" s="97" t="str">
        <f>IF(VLOOKUP($A30,'⚪设计'!$A$135:$N$184,7,FALSE)="","",VLOOKUP($A30,'⚪设计'!$A$135:$N$184,7,FALSE))</f>
        <v>蜜蜂1</v>
      </c>
      <c r="H30" s="97">
        <f t="shared" si="1"/>
        <v>30</v>
      </c>
      <c r="I30" s="97">
        <f>IF(VLOOKUP($A30,'⚪设计'!$A$135:$N$184,11,FALSE)="","",VLOOKUP($A30,'⚪设计'!$A$135:$N$184,11,FALSE))</f>
        <v>0.5</v>
      </c>
      <c r="J30" s="97">
        <f>IF(G30="","",ROUND($D30*'⚪设计'!$D162/(IF($G30="",0,VLOOKUP($G30,'⚪设计'!$B$85:$H$104,4,FALSE)*$H30)+IF($L30="",0,VLOOKUP($L30,'⚪设计'!$B$85:$H$104,4,FALSE)*$M30)+IF($Q30="",0,VLOOKUP($Q30,'⚪设计'!$B$85:$H$104,4,FALSE)*$R30)+IF($V30="",0,VLOOKUP($V30,'⚪设计'!$B$85:$H$104,4,FALSE)*$W30))*IF(G30="",0,VLOOKUP(G30,'⚪设计'!$B$85:$H$104,4,FALSE)),0))</f>
        <v>126</v>
      </c>
      <c r="K30" s="97">
        <f>IF(G30="","",ROUND(VLOOKUP($B30,战斗节奏!$A$4:$F$13,2,FALSE)/(IF($G30="",0,VLOOKUP($G30,'⚪设计'!$B$85:$H$104,5,FALSE)*$H30)+IF($L30="",0,VLOOKUP($L30,'⚪设计'!$B$85:$H$104,5,FALSE)*$M30)+IF($Q30="",0,VLOOKUP($Q30,'⚪设计'!$B$85:$H$104,5,FALSE)*$R30)+IF($V30="",0,VLOOKUP($V30,'⚪设计'!$B$85:$H$104,5,FALSE)*$W30))*IF(G30="",0,VLOOKUP(G30,'⚪设计'!$B$85:$H$104,5,FALSE)),0))</f>
        <v>8</v>
      </c>
      <c r="L30" s="97" t="str">
        <f>IF(VLOOKUP($A30,'⚪设计'!$A$135:$N$184,8,FALSE)="","",VLOOKUP($A30,'⚪设计'!$A$135:$N$184,8,FALSE))</f>
        <v>蜜蜂2</v>
      </c>
      <c r="M30" s="97">
        <f t="shared" si="2"/>
        <v>10</v>
      </c>
      <c r="N30" s="97">
        <f>IF(VLOOKUP($A30,'⚪设计'!$A$135:$N$184,12,FALSE)="","",VLOOKUP($A30,'⚪设计'!$A$135:$N$184,12,FALSE))</f>
        <v>1.5</v>
      </c>
      <c r="O30" s="97">
        <f>IF(L30="","",ROUND($D30*'⚪设计'!$D162/(IF($G30="",0,VLOOKUP($G30,'⚪设计'!$B$85:$H$104,4,FALSE)*$H30)+IF($L30="",0,VLOOKUP($L30,'⚪设计'!$B$85:$H$104,4,FALSE)*$M30)+IF($Q30="",0,VLOOKUP($Q30,'⚪设计'!$B$85:$H$104,4,FALSE)*$R30)+IF($V30="",0,VLOOKUP($V30,'⚪设计'!$B$85:$H$104,4,FALSE)*$W30))*IF(L30="",0,VLOOKUP(L30,'⚪设计'!$B$85:$H$104,4,FALSE)),0))</f>
        <v>502</v>
      </c>
      <c r="P30" s="97">
        <f>IF(L30="","",ROUND(VLOOKUP($B30,战斗节奏!$A$4:$F$13,2,FALSE)/(IF($G30="",0,VLOOKUP($G30,'⚪设计'!$B$85:$H$104,5,FALSE)*$H30)+IF($L30="",0,VLOOKUP($L30,'⚪设计'!$B$85:$H$104,5,FALSE)*$M30)+IF($Q30="",0,VLOOKUP($Q30,'⚪设计'!$B$85:$H$104,5,FALSE)*$R30)+IF($V30="",0,VLOOKUP($V30,'⚪设计'!$B$85:$H$104,5,FALSE)*$W30))*IF(L30="",0,VLOOKUP(L30,'⚪设计'!$B$85:$H$104,5,FALSE)),0))</f>
        <v>33</v>
      </c>
      <c r="Q30" s="97" t="str">
        <f>IF(VLOOKUP($A30,'⚪设计'!$A$135:$N$184,9,FALSE)="","",VLOOKUP($A30,'⚪设计'!$A$135:$N$184,9,FALSE))</f>
        <v>鸟1</v>
      </c>
      <c r="R30" s="97">
        <f t="shared" si="3"/>
        <v>4</v>
      </c>
      <c r="S30" s="97">
        <f>IF(VLOOKUP($A30,'⚪设计'!$A$135:$N$184,13,FALSE)="","",VLOOKUP($A30,'⚪设计'!$A$135:$N$184,13,FALSE))</f>
        <v>4</v>
      </c>
      <c r="T30" s="97">
        <f>IF(Q30="","",ROUND($D30*'⚪设计'!$D162/(IF($G30="",0,VLOOKUP($G30,'⚪设计'!$B$85:$H$104,4,FALSE)*$H30)+IF($L30="",0,VLOOKUP($L30,'⚪设计'!$B$85:$H$104,4,FALSE)*$M30)+IF($Q30="",0,VLOOKUP($Q30,'⚪设计'!$B$85:$H$104,4,FALSE)*$R30)+IF($V30="",0,VLOOKUP($V30,'⚪设计'!$B$85:$H$104,4,FALSE)*$W30))*IF(Q30="",0,VLOOKUP(Q30,'⚪设计'!$B$85:$H$104,4,FALSE)),0))</f>
        <v>502</v>
      </c>
      <c r="U30" s="97">
        <f>IF(Q30="","",ROUND(VLOOKUP($B30,战斗节奏!$A$4:$F$13,2,FALSE)/(IF($G30="",0,VLOOKUP($G30,'⚪设计'!$B$85:$H$104,5,FALSE)*$H30)+IF($L30="",0,VLOOKUP($L30,'⚪设计'!$B$85:$H$104,5,FALSE)*$M30)+IF($Q30="",0,VLOOKUP($Q30,'⚪设计'!$B$85:$H$104,5,FALSE)*$R30)+IF($V30="",0,VLOOKUP($V30,'⚪设计'!$B$85:$H$104,5,FALSE)*$W30))*IF(Q30="",0,VLOOKUP(Q30,'⚪设计'!$B$85:$H$104,5,FALSE)),0))</f>
        <v>33</v>
      </c>
      <c r="V30" s="97" t="str">
        <f>IF(VLOOKUP($A30,'⚪设计'!$A$135:$N$184,10,FALSE)="","",VLOOKUP($A30,'⚪设计'!$A$135:$N$184,10,FALSE))</f>
        <v/>
      </c>
      <c r="W30" s="97" t="str">
        <f t="shared" si="4"/>
        <v/>
      </c>
      <c r="X30" s="97" t="str">
        <f>IF(VLOOKUP($A30,'⚪设计'!$A$135:$N$184,14,FALSE)="","",VLOOKUP($A30,'⚪设计'!$A$135:$N$184,14,FALSE))</f>
        <v/>
      </c>
      <c r="Y30" s="97" t="str">
        <f>IF(V30="","",ROUND($D30*'⚪设计'!$D162/(IF($G30="",0,VLOOKUP($G30,'⚪设计'!$B$85:$H$104,4,FALSE)*$H30)+IF($L30="",0,VLOOKUP($L30,'⚪设计'!$B$85:$H$104,4,FALSE)*$M30)+IF($Q30="",0,VLOOKUP($Q30,'⚪设计'!$B$85:$H$104,4,FALSE)*$R30)+IF($V30="",0,VLOOKUP($V30,'⚪设计'!$B$85:$H$104,4,FALSE)*$W30))*IF(V30="",0,VLOOKUP(V30,'⚪设计'!$B$85:$H$104,4,FALSE)),0))</f>
        <v/>
      </c>
      <c r="Z30" s="97" t="str">
        <f>IF(V30="","",ROUND(VLOOKUP($B30,战斗节奏!$A$4:$F$13,2,FALSE)/(IF($G30="",0,VLOOKUP($G30,'⚪设计'!$B$85:$H$104,5,FALSE)*$H30)+IF($L30="",0,VLOOKUP($L30,'⚪设计'!$B$85:$H$104,5,FALSE)*$M30)+IF($Q30="",0,VLOOKUP($Q30,'⚪设计'!$B$85:$H$104,5,FALSE)*$R30)+IF($V30="",0,VLOOKUP($V30,'⚪设计'!$B$85:$H$104,5,FALSE)*$W30))*IF(V30="",0,VLOOKUP(V30,'⚪设计'!$B$85:$H$104,5,FALSE)),0))</f>
        <v/>
      </c>
    </row>
    <row r="31" spans="1:26" x14ac:dyDescent="0.2">
      <c r="A31" s="2" t="str">
        <f t="shared" si="0"/>
        <v>6_4</v>
      </c>
      <c r="B31" s="2">
        <v>6</v>
      </c>
      <c r="C31" s="2">
        <v>4</v>
      </c>
      <c r="D31" s="97">
        <f>VLOOKUP(C31,无限模式!$A$3:$B$22,2,FALSE)</f>
        <v>4500</v>
      </c>
      <c r="E31" s="98">
        <v>1</v>
      </c>
      <c r="F31" s="97">
        <f>'⚪设计'!F163</f>
        <v>17.5</v>
      </c>
      <c r="G31" s="97" t="str">
        <f>IF(VLOOKUP($A31,'⚪设计'!$A$135:$N$184,7,FALSE)="","",VLOOKUP($A31,'⚪设计'!$A$135:$N$184,7,FALSE))</f>
        <v>蜜蜂1</v>
      </c>
      <c r="H31" s="97">
        <f t="shared" si="1"/>
        <v>58</v>
      </c>
      <c r="I31" s="97">
        <f>IF(VLOOKUP($A31,'⚪设计'!$A$135:$N$184,11,FALSE)="","",VLOOKUP($A31,'⚪设计'!$A$135:$N$184,11,FALSE))</f>
        <v>0.3</v>
      </c>
      <c r="J31" s="97">
        <f>IF(G31="","",ROUND($D31*'⚪设计'!$D163/(IF($G31="",0,VLOOKUP($G31,'⚪设计'!$B$85:$H$104,4,FALSE)*$H31)+IF($L31="",0,VLOOKUP($L31,'⚪设计'!$B$85:$H$104,4,FALSE)*$M31)+IF($Q31="",0,VLOOKUP($Q31,'⚪设计'!$B$85:$H$104,4,FALSE)*$R31)+IF($V31="",0,VLOOKUP($V31,'⚪设计'!$B$85:$H$104,4,FALSE)*$W31))*IF(G31="",0,VLOOKUP(G31,'⚪设计'!$B$85:$H$104,4,FALSE)),0))</f>
        <v>111</v>
      </c>
      <c r="K31" s="97">
        <f>IF(G31="","",ROUND(VLOOKUP($B31,战斗节奏!$A$4:$F$13,2,FALSE)/(IF($G31="",0,VLOOKUP($G31,'⚪设计'!$B$85:$H$104,5,FALSE)*$H31)+IF($L31="",0,VLOOKUP($L31,'⚪设计'!$B$85:$H$104,5,FALSE)*$M31)+IF($Q31="",0,VLOOKUP($Q31,'⚪设计'!$B$85:$H$104,5,FALSE)*$R31)+IF($V31="",0,VLOOKUP($V31,'⚪设计'!$B$85:$H$104,5,FALSE)*$W31))*IF(G31="",0,VLOOKUP(G31,'⚪设计'!$B$85:$H$104,5,FALSE)),0))</f>
        <v>6</v>
      </c>
      <c r="L31" s="97" t="str">
        <f>IF(VLOOKUP($A31,'⚪设计'!$A$135:$N$184,8,FALSE)="","",VLOOKUP($A31,'⚪设计'!$A$135:$N$184,8,FALSE))</f>
        <v>蜜蜂2</v>
      </c>
      <c r="M31" s="97">
        <f t="shared" si="2"/>
        <v>12</v>
      </c>
      <c r="N31" s="97">
        <f>IF(VLOOKUP($A31,'⚪设计'!$A$135:$N$184,12,FALSE)="","",VLOOKUP($A31,'⚪设计'!$A$135:$N$184,12,FALSE))</f>
        <v>1.5</v>
      </c>
      <c r="O31" s="97">
        <f>IF(L31="","",ROUND($D31*'⚪设计'!$D163/(IF($G31="",0,VLOOKUP($G31,'⚪设计'!$B$85:$H$104,4,FALSE)*$H31)+IF($L31="",0,VLOOKUP($L31,'⚪设计'!$B$85:$H$104,4,FALSE)*$M31)+IF($Q31="",0,VLOOKUP($Q31,'⚪设计'!$B$85:$H$104,4,FALSE)*$R31)+IF($V31="",0,VLOOKUP($V31,'⚪设计'!$B$85:$H$104,4,FALSE)*$W31))*IF(L31="",0,VLOOKUP(L31,'⚪设计'!$B$85:$H$104,4,FALSE)),0))</f>
        <v>443</v>
      </c>
      <c r="P31" s="97">
        <f>IF(L31="","",ROUND(VLOOKUP($B31,战斗节奏!$A$4:$F$13,2,FALSE)/(IF($G31="",0,VLOOKUP($G31,'⚪设计'!$B$85:$H$104,5,FALSE)*$H31)+IF($L31="",0,VLOOKUP($L31,'⚪设计'!$B$85:$H$104,5,FALSE)*$M31)+IF($Q31="",0,VLOOKUP($Q31,'⚪设计'!$B$85:$H$104,5,FALSE)*$R31)+IF($V31="",0,VLOOKUP($V31,'⚪设计'!$B$85:$H$104,5,FALSE)*$W31))*IF(L31="",0,VLOOKUP(L31,'⚪设计'!$B$85:$H$104,5,FALSE)),0))</f>
        <v>24</v>
      </c>
      <c r="Q31" s="97" t="str">
        <f>IF(VLOOKUP($A31,'⚪设计'!$A$135:$N$184,9,FALSE)="","",VLOOKUP($A31,'⚪设计'!$A$135:$N$184,9,FALSE))</f>
        <v>鸟1</v>
      </c>
      <c r="R31" s="97">
        <f t="shared" si="3"/>
        <v>4</v>
      </c>
      <c r="S31" s="97">
        <f>IF(VLOOKUP($A31,'⚪设计'!$A$135:$N$184,13,FALSE)="","",VLOOKUP($A31,'⚪设计'!$A$135:$N$184,13,FALSE))</f>
        <v>4</v>
      </c>
      <c r="T31" s="97">
        <f>IF(Q31="","",ROUND($D31*'⚪设计'!$D163/(IF($G31="",0,VLOOKUP($G31,'⚪设计'!$B$85:$H$104,4,FALSE)*$H31)+IF($L31="",0,VLOOKUP($L31,'⚪设计'!$B$85:$H$104,4,FALSE)*$M31)+IF($Q31="",0,VLOOKUP($Q31,'⚪设计'!$B$85:$H$104,4,FALSE)*$R31)+IF($V31="",0,VLOOKUP($V31,'⚪设计'!$B$85:$H$104,4,FALSE)*$W31))*IF(Q31="",0,VLOOKUP(Q31,'⚪设计'!$B$85:$H$104,4,FALSE)),0))</f>
        <v>443</v>
      </c>
      <c r="U31" s="97">
        <f>IF(Q31="","",ROUND(VLOOKUP($B31,战斗节奏!$A$4:$F$13,2,FALSE)/(IF($G31="",0,VLOOKUP($G31,'⚪设计'!$B$85:$H$104,5,FALSE)*$H31)+IF($L31="",0,VLOOKUP($L31,'⚪设计'!$B$85:$H$104,5,FALSE)*$M31)+IF($Q31="",0,VLOOKUP($Q31,'⚪设计'!$B$85:$H$104,5,FALSE)*$R31)+IF($V31="",0,VLOOKUP($V31,'⚪设计'!$B$85:$H$104,5,FALSE)*$W31))*IF(Q31="",0,VLOOKUP(Q31,'⚪设计'!$B$85:$H$104,5,FALSE)),0))</f>
        <v>24</v>
      </c>
      <c r="V31" s="97" t="str">
        <f>IF(VLOOKUP($A31,'⚪设计'!$A$135:$N$184,10,FALSE)="","",VLOOKUP($A31,'⚪设计'!$A$135:$N$184,10,FALSE))</f>
        <v/>
      </c>
      <c r="W31" s="97" t="str">
        <f t="shared" si="4"/>
        <v/>
      </c>
      <c r="X31" s="97" t="str">
        <f>IF(VLOOKUP($A31,'⚪设计'!$A$135:$N$184,14,FALSE)="","",VLOOKUP($A31,'⚪设计'!$A$135:$N$184,14,FALSE))</f>
        <v/>
      </c>
      <c r="Y31" s="97" t="str">
        <f>IF(V31="","",ROUND($D31*'⚪设计'!$D163/(IF($G31="",0,VLOOKUP($G31,'⚪设计'!$B$85:$H$104,4,FALSE)*$H31)+IF($L31="",0,VLOOKUP($L31,'⚪设计'!$B$85:$H$104,4,FALSE)*$M31)+IF($Q31="",0,VLOOKUP($Q31,'⚪设计'!$B$85:$H$104,4,FALSE)*$R31)+IF($V31="",0,VLOOKUP($V31,'⚪设计'!$B$85:$H$104,4,FALSE)*$W31))*IF(V31="",0,VLOOKUP(V31,'⚪设计'!$B$85:$H$104,4,FALSE)),0))</f>
        <v/>
      </c>
      <c r="Z31" s="97" t="str">
        <f>IF(V31="","",ROUND(VLOOKUP($B31,战斗节奏!$A$4:$F$13,2,FALSE)/(IF($G31="",0,VLOOKUP($G31,'⚪设计'!$B$85:$H$104,5,FALSE)*$H31)+IF($L31="",0,VLOOKUP($L31,'⚪设计'!$B$85:$H$104,5,FALSE)*$M31)+IF($Q31="",0,VLOOKUP($Q31,'⚪设计'!$B$85:$H$104,5,FALSE)*$R31)+IF($V31="",0,VLOOKUP($V31,'⚪设计'!$B$85:$H$104,5,FALSE)*$W31))*IF(V31="",0,VLOOKUP(V31,'⚪设计'!$B$85:$H$104,5,FALSE)),0))</f>
        <v/>
      </c>
    </row>
    <row r="32" spans="1:26" x14ac:dyDescent="0.2">
      <c r="A32" s="2" t="str">
        <f t="shared" si="0"/>
        <v>6_5</v>
      </c>
      <c r="B32" s="2">
        <v>6</v>
      </c>
      <c r="C32" s="2">
        <v>5</v>
      </c>
      <c r="D32" s="97">
        <f>VLOOKUP(C32,无限模式!$A$3:$B$22,2,FALSE)</f>
        <v>5400</v>
      </c>
      <c r="E32" s="98">
        <v>1</v>
      </c>
      <c r="F32" s="97">
        <f>'⚪设计'!F164</f>
        <v>20</v>
      </c>
      <c r="G32" s="97" t="str">
        <f>IF(VLOOKUP($A32,'⚪设计'!$A$135:$N$184,7,FALSE)="","",VLOOKUP($A32,'⚪设计'!$A$135:$N$184,7,FALSE))</f>
        <v>蜜蜂1</v>
      </c>
      <c r="H32" s="97">
        <f t="shared" si="1"/>
        <v>67</v>
      </c>
      <c r="I32" s="97">
        <f>IF(VLOOKUP($A32,'⚪设计'!$A$135:$N$184,11,FALSE)="","",VLOOKUP($A32,'⚪设计'!$A$135:$N$184,11,FALSE))</f>
        <v>0.3</v>
      </c>
      <c r="J32" s="97">
        <f>IF(G32="","",ROUND($D32*'⚪设计'!$D164/(IF($G32="",0,VLOOKUP($G32,'⚪设计'!$B$85:$H$104,4,FALSE)*$H32)+IF($L32="",0,VLOOKUP($L32,'⚪设计'!$B$85:$H$104,4,FALSE)*$M32)+IF($Q32="",0,VLOOKUP($Q32,'⚪设计'!$B$85:$H$104,4,FALSE)*$R32)+IF($V32="",0,VLOOKUP($V32,'⚪设计'!$B$85:$H$104,4,FALSE)*$W32))*IF(G32="",0,VLOOKUP(G32,'⚪设计'!$B$85:$H$104,4,FALSE)),0))</f>
        <v>75</v>
      </c>
      <c r="K32" s="97">
        <f>IF(G32="","",ROUND(VLOOKUP($B32,战斗节奏!$A$4:$F$13,2,FALSE)/(IF($G32="",0,VLOOKUP($G32,'⚪设计'!$B$85:$H$104,5,FALSE)*$H32)+IF($L32="",0,VLOOKUP($L32,'⚪设计'!$B$85:$H$104,5,FALSE)*$M32)+IF($Q32="",0,VLOOKUP($Q32,'⚪设计'!$B$85:$H$104,5,FALSE)*$R32)+IF($V32="",0,VLOOKUP($V32,'⚪设计'!$B$85:$H$104,5,FALSE)*$W32))*IF(G32="",0,VLOOKUP(G32,'⚪设计'!$B$85:$H$104,5,FALSE)),0))</f>
        <v>3</v>
      </c>
      <c r="L32" s="97" t="str">
        <f>IF(VLOOKUP($A32,'⚪设计'!$A$135:$N$184,8,FALSE)="","",VLOOKUP($A32,'⚪设计'!$A$135:$N$184,8,FALSE))</f>
        <v>蜜蜂2</v>
      </c>
      <c r="M32" s="97">
        <f t="shared" si="2"/>
        <v>27</v>
      </c>
      <c r="N32" s="97">
        <f>IF(VLOOKUP($A32,'⚪设计'!$A$135:$N$184,12,FALSE)="","",VLOOKUP($A32,'⚪设计'!$A$135:$N$184,12,FALSE))</f>
        <v>0.75</v>
      </c>
      <c r="O32" s="97">
        <f>IF(L32="","",ROUND($D32*'⚪设计'!$D164/(IF($G32="",0,VLOOKUP($G32,'⚪设计'!$B$85:$H$104,4,FALSE)*$H32)+IF($L32="",0,VLOOKUP($L32,'⚪设计'!$B$85:$H$104,4,FALSE)*$M32)+IF($Q32="",0,VLOOKUP($Q32,'⚪设计'!$B$85:$H$104,4,FALSE)*$R32)+IF($V32="",0,VLOOKUP($V32,'⚪设计'!$B$85:$H$104,4,FALSE)*$W32))*IF(L32="",0,VLOOKUP(L32,'⚪设计'!$B$85:$H$104,4,FALSE)),0))</f>
        <v>301</v>
      </c>
      <c r="P32" s="97">
        <f>IF(L32="","",ROUND(VLOOKUP($B32,战斗节奏!$A$4:$F$13,2,FALSE)/(IF($G32="",0,VLOOKUP($G32,'⚪设计'!$B$85:$H$104,5,FALSE)*$H32)+IF($L32="",0,VLOOKUP($L32,'⚪设计'!$B$85:$H$104,5,FALSE)*$M32)+IF($Q32="",0,VLOOKUP($Q32,'⚪设计'!$B$85:$H$104,5,FALSE)*$R32)+IF($V32="",0,VLOOKUP($V32,'⚪设计'!$B$85:$H$104,5,FALSE)*$W32))*IF(L32="",0,VLOOKUP(L32,'⚪设计'!$B$85:$H$104,5,FALSE)),0))</f>
        <v>13</v>
      </c>
      <c r="Q32" s="97" t="str">
        <f>IF(VLOOKUP($A32,'⚪设计'!$A$135:$N$184,9,FALSE)="","",VLOOKUP($A32,'⚪设计'!$A$135:$N$184,9,FALSE))</f>
        <v>鸟1</v>
      </c>
      <c r="R32" s="97">
        <f t="shared" si="3"/>
        <v>10</v>
      </c>
      <c r="S32" s="97">
        <f>IF(VLOOKUP($A32,'⚪设计'!$A$135:$N$184,13,FALSE)="","",VLOOKUP($A32,'⚪设计'!$A$135:$N$184,13,FALSE))</f>
        <v>2</v>
      </c>
      <c r="T32" s="97">
        <f>IF(Q32="","",ROUND($D32*'⚪设计'!$D164/(IF($G32="",0,VLOOKUP($G32,'⚪设计'!$B$85:$H$104,4,FALSE)*$H32)+IF($L32="",0,VLOOKUP($L32,'⚪设计'!$B$85:$H$104,4,FALSE)*$M32)+IF($Q32="",0,VLOOKUP($Q32,'⚪设计'!$B$85:$H$104,4,FALSE)*$R32)+IF($V32="",0,VLOOKUP($V32,'⚪设计'!$B$85:$H$104,4,FALSE)*$W32))*IF(Q32="",0,VLOOKUP(Q32,'⚪设计'!$B$85:$H$104,4,FALSE)),0))</f>
        <v>301</v>
      </c>
      <c r="U32" s="97">
        <f>IF(Q32="","",ROUND(VLOOKUP($B32,战斗节奏!$A$4:$F$13,2,FALSE)/(IF($G32="",0,VLOOKUP($G32,'⚪设计'!$B$85:$H$104,5,FALSE)*$H32)+IF($L32="",0,VLOOKUP($L32,'⚪设计'!$B$85:$H$104,5,FALSE)*$M32)+IF($Q32="",0,VLOOKUP($Q32,'⚪设计'!$B$85:$H$104,5,FALSE)*$R32)+IF($V32="",0,VLOOKUP($V32,'⚪设计'!$B$85:$H$104,5,FALSE)*$W32))*IF(Q32="",0,VLOOKUP(Q32,'⚪设计'!$B$85:$H$104,5,FALSE)),0))</f>
        <v>13</v>
      </c>
      <c r="V32" s="97" t="str">
        <f>IF(VLOOKUP($A32,'⚪设计'!$A$135:$N$184,10,FALSE)="","",VLOOKUP($A32,'⚪设计'!$A$135:$N$184,10,FALSE))</f>
        <v/>
      </c>
      <c r="W32" s="97" t="str">
        <f t="shared" si="4"/>
        <v/>
      </c>
      <c r="X32" s="97" t="str">
        <f>IF(VLOOKUP($A32,'⚪设计'!$A$135:$N$184,14,FALSE)="","",VLOOKUP($A32,'⚪设计'!$A$135:$N$184,14,FALSE))</f>
        <v/>
      </c>
      <c r="Y32" s="97" t="str">
        <f>IF(V32="","",ROUND($D32*'⚪设计'!$D164/(IF($G32="",0,VLOOKUP($G32,'⚪设计'!$B$85:$H$104,4,FALSE)*$H32)+IF($L32="",0,VLOOKUP($L32,'⚪设计'!$B$85:$H$104,4,FALSE)*$M32)+IF($Q32="",0,VLOOKUP($Q32,'⚪设计'!$B$85:$H$104,4,FALSE)*$R32)+IF($V32="",0,VLOOKUP($V32,'⚪设计'!$B$85:$H$104,4,FALSE)*$W32))*IF(V32="",0,VLOOKUP(V32,'⚪设计'!$B$85:$H$104,4,FALSE)),0))</f>
        <v/>
      </c>
      <c r="Z32" s="97" t="str">
        <f>IF(V32="","",ROUND(VLOOKUP($B32,战斗节奏!$A$4:$F$13,2,FALSE)/(IF($G32="",0,VLOOKUP($G32,'⚪设计'!$B$85:$H$104,5,FALSE)*$H32)+IF($L32="",0,VLOOKUP($L32,'⚪设计'!$B$85:$H$104,5,FALSE)*$M32)+IF($Q32="",0,VLOOKUP($Q32,'⚪设计'!$B$85:$H$104,5,FALSE)*$R32)+IF($V32="",0,VLOOKUP($V32,'⚪设计'!$B$85:$H$104,5,FALSE)*$W32))*IF(V32="",0,VLOOKUP(V32,'⚪设计'!$B$85:$H$104,5,FALSE)),0))</f>
        <v/>
      </c>
    </row>
    <row r="33" spans="1:26" x14ac:dyDescent="0.2">
      <c r="A33" s="2" t="str">
        <f t="shared" si="0"/>
        <v>7_1</v>
      </c>
      <c r="B33" s="2">
        <v>7</v>
      </c>
      <c r="C33" s="2">
        <v>1</v>
      </c>
      <c r="D33" s="97">
        <f>VLOOKUP(C33,无限模式!$A$3:$B$22,2,FALSE)</f>
        <v>900</v>
      </c>
      <c r="E33" s="98">
        <v>1</v>
      </c>
      <c r="F33" s="97">
        <f>'⚪设计'!F165</f>
        <v>10</v>
      </c>
      <c r="G33" s="97" t="str">
        <f>IF(VLOOKUP($A33,'⚪设计'!$A$135:$N$184,7,FALSE)="","",VLOOKUP($A33,'⚪设计'!$A$135:$N$184,7,FALSE))</f>
        <v>蜘蛛1</v>
      </c>
      <c r="H33" s="97">
        <f t="shared" si="1"/>
        <v>10</v>
      </c>
      <c r="I33" s="97">
        <f>IF(VLOOKUP($A33,'⚪设计'!$A$135:$N$184,11,FALSE)="","",VLOOKUP($A33,'⚪设计'!$A$135:$N$184,11,FALSE))</f>
        <v>1</v>
      </c>
      <c r="J33" s="97">
        <f>IF(G33="","",ROUND($D33*'⚪设计'!$D165/(IF($G33="",0,VLOOKUP($G33,'⚪设计'!$B$85:$H$104,4,FALSE)*$H33)+IF($L33="",0,VLOOKUP($L33,'⚪设计'!$B$85:$H$104,4,FALSE)*$M33)+IF($Q33="",0,VLOOKUP($Q33,'⚪设计'!$B$85:$H$104,4,FALSE)*$R33)+IF($V33="",0,VLOOKUP($V33,'⚪设计'!$B$85:$H$104,4,FALSE)*$W33))*IF(G33="",0,VLOOKUP(G33,'⚪设计'!$B$85:$H$104,4,FALSE)),0))</f>
        <v>101</v>
      </c>
      <c r="K33" s="97">
        <f>IF(G33="","",ROUND(VLOOKUP($B33,战斗节奏!$A$4:$F$13,2,FALSE)/(IF($G33="",0,VLOOKUP($G33,'⚪设计'!$B$85:$H$104,5,FALSE)*$H33)+IF($L33="",0,VLOOKUP($L33,'⚪设计'!$B$85:$H$104,5,FALSE)*$M33)+IF($Q33="",0,VLOOKUP($Q33,'⚪设计'!$B$85:$H$104,5,FALSE)*$R33)+IF($V33="",0,VLOOKUP($V33,'⚪设计'!$B$85:$H$104,5,FALSE)*$W33))*IF(G33="",0,VLOOKUP(G33,'⚪设计'!$B$85:$H$104,5,FALSE)),0))</f>
        <v>60</v>
      </c>
      <c r="L33" s="97" t="str">
        <f>IF(VLOOKUP($A33,'⚪设计'!$A$135:$N$184,8,FALSE)="","",VLOOKUP($A33,'⚪设计'!$A$135:$N$184,8,FALSE))</f>
        <v>鸟1</v>
      </c>
      <c r="M33" s="97">
        <f t="shared" si="2"/>
        <v>1</v>
      </c>
      <c r="N33" s="97">
        <f>IF(VLOOKUP($A33,'⚪设计'!$A$135:$N$184,12,FALSE)="","",VLOOKUP($A33,'⚪设计'!$A$135:$N$184,12,FALSE))</f>
        <v>0</v>
      </c>
      <c r="O33" s="97">
        <f>IF(L33="","",ROUND($D33*'⚪设计'!$D165/(IF($G33="",0,VLOOKUP($G33,'⚪设计'!$B$85:$H$104,4,FALSE)*$H33)+IF($L33="",0,VLOOKUP($L33,'⚪设计'!$B$85:$H$104,4,FALSE)*$M33)+IF($Q33="",0,VLOOKUP($Q33,'⚪设计'!$B$85:$H$104,4,FALSE)*$R33)+IF($V33="",0,VLOOKUP($V33,'⚪设计'!$B$85:$H$104,4,FALSE)*$W33))*IF(L33="",0,VLOOKUP(L33,'⚪设计'!$B$85:$H$104,4,FALSE)),0))</f>
        <v>201</v>
      </c>
      <c r="P33" s="97">
        <f>IF(L33="","",ROUND(VLOOKUP($B33,战斗节奏!$A$4:$F$13,2,FALSE)/(IF($G33="",0,VLOOKUP($G33,'⚪设计'!$B$85:$H$104,5,FALSE)*$H33)+IF($L33="",0,VLOOKUP($L33,'⚪设计'!$B$85:$H$104,5,FALSE)*$M33)+IF($Q33="",0,VLOOKUP($Q33,'⚪设计'!$B$85:$H$104,5,FALSE)*$R33)+IF($V33="",0,VLOOKUP($V33,'⚪设计'!$B$85:$H$104,5,FALSE)*$W33))*IF(L33="",0,VLOOKUP(L33,'⚪设计'!$B$85:$H$104,5,FALSE)),0))</f>
        <v>120</v>
      </c>
      <c r="Q33" s="97" t="str">
        <f>IF(VLOOKUP($A33,'⚪设计'!$A$135:$N$184,9,FALSE)="","",VLOOKUP($A33,'⚪设计'!$A$135:$N$184,9,FALSE))</f>
        <v/>
      </c>
      <c r="R33" s="97" t="str">
        <f t="shared" si="3"/>
        <v/>
      </c>
      <c r="S33" s="97" t="str">
        <f>IF(VLOOKUP($A33,'⚪设计'!$A$135:$N$184,13,FALSE)="","",VLOOKUP($A33,'⚪设计'!$A$135:$N$184,13,FALSE))</f>
        <v/>
      </c>
      <c r="T33" s="97" t="str">
        <f>IF(Q33="","",ROUND($D33*'⚪设计'!$D165/(IF($G33="",0,VLOOKUP($G33,'⚪设计'!$B$85:$H$104,4,FALSE)*$H33)+IF($L33="",0,VLOOKUP($L33,'⚪设计'!$B$85:$H$104,4,FALSE)*$M33)+IF($Q33="",0,VLOOKUP($Q33,'⚪设计'!$B$85:$H$104,4,FALSE)*$R33)+IF($V33="",0,VLOOKUP($V33,'⚪设计'!$B$85:$H$104,4,FALSE)*$W33))*IF(Q33="",0,VLOOKUP(Q33,'⚪设计'!$B$85:$H$104,4,FALSE)),0))</f>
        <v/>
      </c>
      <c r="U33" s="97" t="str">
        <f>IF(Q33="","",ROUND(VLOOKUP($B33,战斗节奏!$A$4:$F$13,2,FALSE)/(IF($G33="",0,VLOOKUP($G33,'⚪设计'!$B$85:$H$104,5,FALSE)*$H33)+IF($L33="",0,VLOOKUP($L33,'⚪设计'!$B$85:$H$104,5,FALSE)*$M33)+IF($Q33="",0,VLOOKUP($Q33,'⚪设计'!$B$85:$H$104,5,FALSE)*$R33)+IF($V33="",0,VLOOKUP($V33,'⚪设计'!$B$85:$H$104,5,FALSE)*$W33))*IF(Q33="",0,VLOOKUP(Q33,'⚪设计'!$B$85:$H$104,5,FALSE)),0))</f>
        <v/>
      </c>
      <c r="V33" s="97" t="str">
        <f>IF(VLOOKUP($A33,'⚪设计'!$A$135:$N$184,10,FALSE)="","",VLOOKUP($A33,'⚪设计'!$A$135:$N$184,10,FALSE))</f>
        <v/>
      </c>
      <c r="W33" s="97" t="str">
        <f t="shared" si="4"/>
        <v/>
      </c>
      <c r="X33" s="97" t="str">
        <f>IF(VLOOKUP($A33,'⚪设计'!$A$135:$N$184,14,FALSE)="","",VLOOKUP($A33,'⚪设计'!$A$135:$N$184,14,FALSE))</f>
        <v/>
      </c>
      <c r="Y33" s="97" t="str">
        <f>IF(V33="","",ROUND($D33*'⚪设计'!$D165/(IF($G33="",0,VLOOKUP($G33,'⚪设计'!$B$85:$H$104,4,FALSE)*$H33)+IF($L33="",0,VLOOKUP($L33,'⚪设计'!$B$85:$H$104,4,FALSE)*$M33)+IF($Q33="",0,VLOOKUP($Q33,'⚪设计'!$B$85:$H$104,4,FALSE)*$R33)+IF($V33="",0,VLOOKUP($V33,'⚪设计'!$B$85:$H$104,4,FALSE)*$W33))*IF(V33="",0,VLOOKUP(V33,'⚪设计'!$B$85:$H$104,4,FALSE)),0))</f>
        <v/>
      </c>
      <c r="Z33" s="97" t="str">
        <f>IF(V33="","",ROUND(VLOOKUP($B33,战斗节奏!$A$4:$F$13,2,FALSE)/(IF($G33="",0,VLOOKUP($G33,'⚪设计'!$B$85:$H$104,5,FALSE)*$H33)+IF($L33="",0,VLOOKUP($L33,'⚪设计'!$B$85:$H$104,5,FALSE)*$M33)+IF($Q33="",0,VLOOKUP($Q33,'⚪设计'!$B$85:$H$104,5,FALSE)*$R33)+IF($V33="",0,VLOOKUP($V33,'⚪设计'!$B$85:$H$104,5,FALSE)*$W33))*IF(V33="",0,VLOOKUP(V33,'⚪设计'!$B$85:$H$104,5,FALSE)),0))</f>
        <v/>
      </c>
    </row>
    <row r="34" spans="1:26" x14ac:dyDescent="0.2">
      <c r="A34" s="2" t="str">
        <f t="shared" si="0"/>
        <v>7_2</v>
      </c>
      <c r="B34" s="2">
        <v>7</v>
      </c>
      <c r="C34" s="2">
        <v>2</v>
      </c>
      <c r="D34" s="97">
        <f>VLOOKUP(C34,无限模式!$A$3:$B$22,2,FALSE)</f>
        <v>1800</v>
      </c>
      <c r="E34" s="98">
        <v>1</v>
      </c>
      <c r="F34" s="97">
        <f>'⚪设计'!F166</f>
        <v>12.5</v>
      </c>
      <c r="G34" s="97" t="str">
        <f>IF(VLOOKUP($A34,'⚪设计'!$A$135:$N$184,7,FALSE)="","",VLOOKUP($A34,'⚪设计'!$A$135:$N$184,7,FALSE))</f>
        <v>蜘蛛1</v>
      </c>
      <c r="H34" s="97">
        <f t="shared" si="1"/>
        <v>13</v>
      </c>
      <c r="I34" s="97">
        <f>IF(VLOOKUP($A34,'⚪设计'!$A$135:$N$184,11,FALSE)="","",VLOOKUP($A34,'⚪设计'!$A$135:$N$184,11,FALSE))</f>
        <v>1</v>
      </c>
      <c r="J34" s="97">
        <f>IF(G34="","",ROUND($D34*'⚪设计'!$D166/(IF($G34="",0,VLOOKUP($G34,'⚪设计'!$B$85:$H$104,4,FALSE)*$H34)+IF($L34="",0,VLOOKUP($L34,'⚪设计'!$B$85:$H$104,4,FALSE)*$M34)+IF($Q34="",0,VLOOKUP($Q34,'⚪设计'!$B$85:$H$104,4,FALSE)*$R34)+IF($V34="",0,VLOOKUP($V34,'⚪设计'!$B$85:$H$104,4,FALSE)*$W34))*IF(G34="",0,VLOOKUP(G34,'⚪设计'!$B$85:$H$104,4,FALSE)),0))</f>
        <v>70</v>
      </c>
      <c r="K34" s="97">
        <f>IF(G34="","",ROUND(VLOOKUP($B34,战斗节奏!$A$4:$F$13,2,FALSE)/(IF($G34="",0,VLOOKUP($G34,'⚪设计'!$B$85:$H$104,5,FALSE)*$H34)+IF($L34="",0,VLOOKUP($L34,'⚪设计'!$B$85:$H$104,5,FALSE)*$M34)+IF($Q34="",0,VLOOKUP($Q34,'⚪设计'!$B$85:$H$104,5,FALSE)*$R34)+IF($V34="",0,VLOOKUP($V34,'⚪设计'!$B$85:$H$104,5,FALSE)*$W34))*IF(G34="",0,VLOOKUP(G34,'⚪设计'!$B$85:$H$104,5,FALSE)),0))</f>
        <v>10</v>
      </c>
      <c r="L34" s="97" t="str">
        <f>IF(VLOOKUP($A34,'⚪设计'!$A$135:$N$184,8,FALSE)="","",VLOOKUP($A34,'⚪设计'!$A$135:$N$184,8,FALSE))</f>
        <v>蜜蜂2</v>
      </c>
      <c r="M34" s="97">
        <f t="shared" si="2"/>
        <v>25</v>
      </c>
      <c r="N34" s="97">
        <f>IF(VLOOKUP($A34,'⚪设计'!$A$135:$N$184,12,FALSE)="","",VLOOKUP($A34,'⚪设计'!$A$135:$N$184,12,FALSE))</f>
        <v>0.5</v>
      </c>
      <c r="O34" s="97">
        <f>IF(L34="","",ROUND($D34*'⚪设计'!$D166/(IF($G34="",0,VLOOKUP($G34,'⚪设计'!$B$85:$H$104,4,FALSE)*$H34)+IF($L34="",0,VLOOKUP($L34,'⚪设计'!$B$85:$H$104,4,FALSE)*$M34)+IF($Q34="",0,VLOOKUP($Q34,'⚪设计'!$B$85:$H$104,4,FALSE)*$R34)+IF($V34="",0,VLOOKUP($V34,'⚪设计'!$B$85:$H$104,4,FALSE)*$W34))*IF(L34="",0,VLOOKUP(L34,'⚪设计'!$B$85:$H$104,4,FALSE)),0))</f>
        <v>140</v>
      </c>
      <c r="P34" s="97">
        <f>IF(L34="","",ROUND(VLOOKUP($B34,战斗节奏!$A$4:$F$13,2,FALSE)/(IF($G34="",0,VLOOKUP($G34,'⚪设计'!$B$85:$H$104,5,FALSE)*$H34)+IF($L34="",0,VLOOKUP($L34,'⚪设计'!$B$85:$H$104,5,FALSE)*$M34)+IF($Q34="",0,VLOOKUP($Q34,'⚪设计'!$B$85:$H$104,5,FALSE)*$R34)+IF($V34="",0,VLOOKUP($V34,'⚪设计'!$B$85:$H$104,5,FALSE)*$W34))*IF(L34="",0,VLOOKUP(L34,'⚪设计'!$B$85:$H$104,5,FALSE)),0))</f>
        <v>21</v>
      </c>
      <c r="Q34" s="97" t="str">
        <f>IF(VLOOKUP($A34,'⚪设计'!$A$135:$N$184,9,FALSE)="","",VLOOKUP($A34,'⚪设计'!$A$135:$N$184,9,FALSE))</f>
        <v>鸟1</v>
      </c>
      <c r="R34" s="97">
        <f t="shared" si="3"/>
        <v>3</v>
      </c>
      <c r="S34" s="97">
        <f>IF(VLOOKUP($A34,'⚪设计'!$A$135:$N$184,13,FALSE)="","",VLOOKUP($A34,'⚪设计'!$A$135:$N$184,13,FALSE))</f>
        <v>4</v>
      </c>
      <c r="T34" s="97">
        <f>IF(Q34="","",ROUND($D34*'⚪设计'!$D166/(IF($G34="",0,VLOOKUP($G34,'⚪设计'!$B$85:$H$104,4,FALSE)*$H34)+IF($L34="",0,VLOOKUP($L34,'⚪设计'!$B$85:$H$104,4,FALSE)*$M34)+IF($Q34="",0,VLOOKUP($Q34,'⚪设计'!$B$85:$H$104,4,FALSE)*$R34)+IF($V34="",0,VLOOKUP($V34,'⚪设计'!$B$85:$H$104,4,FALSE)*$W34))*IF(Q34="",0,VLOOKUP(Q34,'⚪设计'!$B$85:$H$104,4,FALSE)),0))</f>
        <v>140</v>
      </c>
      <c r="U34" s="97">
        <f>IF(Q34="","",ROUND(VLOOKUP($B34,战斗节奏!$A$4:$F$13,2,FALSE)/(IF($G34="",0,VLOOKUP($G34,'⚪设计'!$B$85:$H$104,5,FALSE)*$H34)+IF($L34="",0,VLOOKUP($L34,'⚪设计'!$B$85:$H$104,5,FALSE)*$M34)+IF($Q34="",0,VLOOKUP($Q34,'⚪设计'!$B$85:$H$104,5,FALSE)*$R34)+IF($V34="",0,VLOOKUP($V34,'⚪设计'!$B$85:$H$104,5,FALSE)*$W34))*IF(Q34="",0,VLOOKUP(Q34,'⚪设计'!$B$85:$H$104,5,FALSE)),0))</f>
        <v>21</v>
      </c>
      <c r="V34" s="97" t="str">
        <f>IF(VLOOKUP($A34,'⚪设计'!$A$135:$N$184,10,FALSE)="","",VLOOKUP($A34,'⚪设计'!$A$135:$N$184,10,FALSE))</f>
        <v/>
      </c>
      <c r="W34" s="97" t="str">
        <f t="shared" si="4"/>
        <v/>
      </c>
      <c r="X34" s="97" t="str">
        <f>IF(VLOOKUP($A34,'⚪设计'!$A$135:$N$184,14,FALSE)="","",VLOOKUP($A34,'⚪设计'!$A$135:$N$184,14,FALSE))</f>
        <v/>
      </c>
      <c r="Y34" s="97" t="str">
        <f>IF(V34="","",ROUND($D34*'⚪设计'!$D166/(IF($G34="",0,VLOOKUP($G34,'⚪设计'!$B$85:$H$104,4,FALSE)*$H34)+IF($L34="",0,VLOOKUP($L34,'⚪设计'!$B$85:$H$104,4,FALSE)*$M34)+IF($Q34="",0,VLOOKUP($Q34,'⚪设计'!$B$85:$H$104,4,FALSE)*$R34)+IF($V34="",0,VLOOKUP($V34,'⚪设计'!$B$85:$H$104,4,FALSE)*$W34))*IF(V34="",0,VLOOKUP(V34,'⚪设计'!$B$85:$H$104,4,FALSE)),0))</f>
        <v/>
      </c>
      <c r="Z34" s="97" t="str">
        <f>IF(V34="","",ROUND(VLOOKUP($B34,战斗节奏!$A$4:$F$13,2,FALSE)/(IF($G34="",0,VLOOKUP($G34,'⚪设计'!$B$85:$H$104,5,FALSE)*$H34)+IF($L34="",0,VLOOKUP($L34,'⚪设计'!$B$85:$H$104,5,FALSE)*$M34)+IF($Q34="",0,VLOOKUP($Q34,'⚪设计'!$B$85:$H$104,5,FALSE)*$R34)+IF($V34="",0,VLOOKUP($V34,'⚪设计'!$B$85:$H$104,5,FALSE)*$W34))*IF(V34="",0,VLOOKUP(V34,'⚪设计'!$B$85:$H$104,5,FALSE)),0))</f>
        <v/>
      </c>
    </row>
    <row r="35" spans="1:26" x14ac:dyDescent="0.2">
      <c r="A35" s="2" t="str">
        <f t="shared" si="0"/>
        <v>7_3</v>
      </c>
      <c r="B35" s="2">
        <v>7</v>
      </c>
      <c r="C35" s="2">
        <v>3</v>
      </c>
      <c r="D35" s="97">
        <f>VLOOKUP(C35,无限模式!$A$3:$B$22,2,FALSE)</f>
        <v>3600</v>
      </c>
      <c r="E35" s="98">
        <v>1</v>
      </c>
      <c r="F35" s="97">
        <f>'⚪设计'!F167</f>
        <v>15</v>
      </c>
      <c r="G35" s="97" t="str">
        <f>IF(VLOOKUP($A35,'⚪设计'!$A$135:$N$184,7,FALSE)="","",VLOOKUP($A35,'⚪设计'!$A$135:$N$184,7,FALSE))</f>
        <v>蜘蛛1</v>
      </c>
      <c r="H35" s="97">
        <f t="shared" si="1"/>
        <v>15</v>
      </c>
      <c r="I35" s="97">
        <f>IF(VLOOKUP($A35,'⚪设计'!$A$135:$N$184,11,FALSE)="","",VLOOKUP($A35,'⚪设计'!$A$135:$N$184,11,FALSE))</f>
        <v>1</v>
      </c>
      <c r="J35" s="97">
        <f>IF(G35="","",ROUND($D35*'⚪设计'!$D167/(IF($G35="",0,VLOOKUP($G35,'⚪设计'!$B$85:$H$104,4,FALSE)*$H35)+IF($L35="",0,VLOOKUP($L35,'⚪设计'!$B$85:$H$104,4,FALSE)*$M35)+IF($Q35="",0,VLOOKUP($Q35,'⚪设计'!$B$85:$H$104,4,FALSE)*$R35)+IF($V35="",0,VLOOKUP($V35,'⚪设计'!$B$85:$H$104,4,FALSE)*$W35))*IF(G35="",0,VLOOKUP(G35,'⚪设计'!$B$85:$H$104,4,FALSE)),0))</f>
        <v>196</v>
      </c>
      <c r="K35" s="97">
        <f>IF(G35="","",ROUND(VLOOKUP($B35,战斗节奏!$A$4:$F$13,2,FALSE)/(IF($G35="",0,VLOOKUP($G35,'⚪设计'!$B$85:$H$104,5,FALSE)*$H35)+IF($L35="",0,VLOOKUP($L35,'⚪设计'!$B$85:$H$104,5,FALSE)*$M35)+IF($Q35="",0,VLOOKUP($Q35,'⚪设计'!$B$85:$H$104,5,FALSE)*$R35)+IF($V35="",0,VLOOKUP($V35,'⚪设计'!$B$85:$H$104,5,FALSE)*$W35))*IF(G35="",0,VLOOKUP(G35,'⚪设计'!$B$85:$H$104,5,FALSE)),0))</f>
        <v>12</v>
      </c>
      <c r="L35" s="97" t="str">
        <f>IF(VLOOKUP($A35,'⚪设计'!$A$135:$N$184,8,FALSE)="","",VLOOKUP($A35,'⚪设计'!$A$135:$N$184,8,FALSE))</f>
        <v>蝙蝠1</v>
      </c>
      <c r="M35" s="97">
        <f t="shared" si="2"/>
        <v>75</v>
      </c>
      <c r="N35" s="97">
        <f>IF(VLOOKUP($A35,'⚪设计'!$A$135:$N$184,12,FALSE)="","",VLOOKUP($A35,'⚪设计'!$A$135:$N$184,12,FALSE))</f>
        <v>0.2</v>
      </c>
      <c r="O35" s="97">
        <f>IF(L35="","",ROUND($D35*'⚪设计'!$D167/(IF($G35="",0,VLOOKUP($G35,'⚪设计'!$B$85:$H$104,4,FALSE)*$H35)+IF($L35="",0,VLOOKUP($L35,'⚪设计'!$B$85:$H$104,4,FALSE)*$M35)+IF($Q35="",0,VLOOKUP($Q35,'⚪设计'!$B$85:$H$104,4,FALSE)*$R35)+IF($V35="",0,VLOOKUP($V35,'⚪设计'!$B$85:$H$104,4,FALSE)*$W35))*IF(L35="",0,VLOOKUP(L35,'⚪设计'!$B$85:$H$104,4,FALSE)),0))</f>
        <v>98</v>
      </c>
      <c r="P35" s="97">
        <f>IF(L35="","",ROUND(VLOOKUP($B35,战斗节奏!$A$4:$F$13,2,FALSE)/(IF($G35="",0,VLOOKUP($G35,'⚪设计'!$B$85:$H$104,5,FALSE)*$H35)+IF($L35="",0,VLOOKUP($L35,'⚪设计'!$B$85:$H$104,5,FALSE)*$M35)+IF($Q35="",0,VLOOKUP($Q35,'⚪设计'!$B$85:$H$104,5,FALSE)*$R35)+IF($V35="",0,VLOOKUP($V35,'⚪设计'!$B$85:$H$104,5,FALSE)*$W35))*IF(L35="",0,VLOOKUP(L35,'⚪设计'!$B$85:$H$104,5,FALSE)),0))</f>
        <v>6</v>
      </c>
      <c r="Q35" s="97" t="str">
        <f>IF(VLOOKUP($A35,'⚪设计'!$A$135:$N$184,9,FALSE)="","",VLOOKUP($A35,'⚪设计'!$A$135:$N$184,9,FALSE))</f>
        <v>鸟1</v>
      </c>
      <c r="R35" s="97">
        <f t="shared" si="3"/>
        <v>4</v>
      </c>
      <c r="S35" s="97">
        <f>IF(VLOOKUP($A35,'⚪设计'!$A$135:$N$184,13,FALSE)="","",VLOOKUP($A35,'⚪设计'!$A$135:$N$184,13,FALSE))</f>
        <v>4</v>
      </c>
      <c r="T35" s="97">
        <f>IF(Q35="","",ROUND($D35*'⚪设计'!$D167/(IF($G35="",0,VLOOKUP($G35,'⚪设计'!$B$85:$H$104,4,FALSE)*$H35)+IF($L35="",0,VLOOKUP($L35,'⚪设计'!$B$85:$H$104,4,FALSE)*$M35)+IF($Q35="",0,VLOOKUP($Q35,'⚪设计'!$B$85:$H$104,4,FALSE)*$R35)+IF($V35="",0,VLOOKUP($V35,'⚪设计'!$B$85:$H$104,4,FALSE)*$W35))*IF(Q35="",0,VLOOKUP(Q35,'⚪设计'!$B$85:$H$104,4,FALSE)),0))</f>
        <v>393</v>
      </c>
      <c r="U35" s="97">
        <f>IF(Q35="","",ROUND(VLOOKUP($B35,战斗节奏!$A$4:$F$13,2,FALSE)/(IF($G35="",0,VLOOKUP($G35,'⚪设计'!$B$85:$H$104,5,FALSE)*$H35)+IF($L35="",0,VLOOKUP($L35,'⚪设计'!$B$85:$H$104,5,FALSE)*$M35)+IF($Q35="",0,VLOOKUP($Q35,'⚪设计'!$B$85:$H$104,5,FALSE)*$R35)+IF($V35="",0,VLOOKUP($V35,'⚪设计'!$B$85:$H$104,5,FALSE)*$W35))*IF(Q35="",0,VLOOKUP(Q35,'⚪设计'!$B$85:$H$104,5,FALSE)),0))</f>
        <v>24</v>
      </c>
      <c r="V35" s="97" t="str">
        <f>IF(VLOOKUP($A35,'⚪设计'!$A$135:$N$184,10,FALSE)="","",VLOOKUP($A35,'⚪设计'!$A$135:$N$184,10,FALSE))</f>
        <v/>
      </c>
      <c r="W35" s="97" t="str">
        <f t="shared" si="4"/>
        <v/>
      </c>
      <c r="X35" s="97" t="str">
        <f>IF(VLOOKUP($A35,'⚪设计'!$A$135:$N$184,14,FALSE)="","",VLOOKUP($A35,'⚪设计'!$A$135:$N$184,14,FALSE))</f>
        <v/>
      </c>
      <c r="Y35" s="97" t="str">
        <f>IF(V35="","",ROUND($D35*'⚪设计'!$D167/(IF($G35="",0,VLOOKUP($G35,'⚪设计'!$B$85:$H$104,4,FALSE)*$H35)+IF($L35="",0,VLOOKUP($L35,'⚪设计'!$B$85:$H$104,4,FALSE)*$M35)+IF($Q35="",0,VLOOKUP($Q35,'⚪设计'!$B$85:$H$104,4,FALSE)*$R35)+IF($V35="",0,VLOOKUP($V35,'⚪设计'!$B$85:$H$104,4,FALSE)*$W35))*IF(V35="",0,VLOOKUP(V35,'⚪设计'!$B$85:$H$104,4,FALSE)),0))</f>
        <v/>
      </c>
      <c r="Z35" s="97" t="str">
        <f>IF(V35="","",ROUND(VLOOKUP($B35,战斗节奏!$A$4:$F$13,2,FALSE)/(IF($G35="",0,VLOOKUP($G35,'⚪设计'!$B$85:$H$104,5,FALSE)*$H35)+IF($L35="",0,VLOOKUP($L35,'⚪设计'!$B$85:$H$104,5,FALSE)*$M35)+IF($Q35="",0,VLOOKUP($Q35,'⚪设计'!$B$85:$H$104,5,FALSE)*$R35)+IF($V35="",0,VLOOKUP($V35,'⚪设计'!$B$85:$H$104,5,FALSE)*$W35))*IF(V35="",0,VLOOKUP(V35,'⚪设计'!$B$85:$H$104,5,FALSE)),0))</f>
        <v/>
      </c>
    </row>
    <row r="36" spans="1:26" x14ac:dyDescent="0.2">
      <c r="A36" s="2" t="str">
        <f t="shared" si="0"/>
        <v>7_4</v>
      </c>
      <c r="B36" s="2">
        <v>7</v>
      </c>
      <c r="C36" s="2">
        <v>4</v>
      </c>
      <c r="D36" s="97">
        <f>VLOOKUP(C36,无限模式!$A$3:$B$22,2,FALSE)</f>
        <v>4500</v>
      </c>
      <c r="E36" s="98">
        <v>1</v>
      </c>
      <c r="F36" s="97">
        <f>'⚪设计'!F168</f>
        <v>17.5</v>
      </c>
      <c r="G36" s="97" t="str">
        <f>IF(VLOOKUP($A36,'⚪设计'!$A$135:$N$184,7,FALSE)="","",VLOOKUP($A36,'⚪设计'!$A$135:$N$184,7,FALSE))</f>
        <v>蜘蛛1</v>
      </c>
      <c r="H36" s="97">
        <f t="shared" si="1"/>
        <v>18</v>
      </c>
      <c r="I36" s="97">
        <f>IF(VLOOKUP($A36,'⚪设计'!$A$135:$N$184,11,FALSE)="","",VLOOKUP($A36,'⚪设计'!$A$135:$N$184,11,FALSE))</f>
        <v>1</v>
      </c>
      <c r="J36" s="97">
        <f>IF(G36="","",ROUND($D36*'⚪设计'!$D168/(IF($G36="",0,VLOOKUP($G36,'⚪设计'!$B$85:$H$104,4,FALSE)*$H36)+IF($L36="",0,VLOOKUP($L36,'⚪设计'!$B$85:$H$104,4,FALSE)*$M36)+IF($Q36="",0,VLOOKUP($Q36,'⚪设计'!$B$85:$H$104,4,FALSE)*$R36)+IF($V36="",0,VLOOKUP($V36,'⚪设计'!$B$85:$H$104,4,FALSE)*$W36))*IF(G36="",0,VLOOKUP(G36,'⚪设计'!$B$85:$H$104,4,FALSE)),0))</f>
        <v>126</v>
      </c>
      <c r="K36" s="97">
        <f>IF(G36="","",ROUND(VLOOKUP($B36,战斗节奏!$A$4:$F$13,2,FALSE)/(IF($G36="",0,VLOOKUP($G36,'⚪设计'!$B$85:$H$104,5,FALSE)*$H36)+IF($L36="",0,VLOOKUP($L36,'⚪设计'!$B$85:$H$104,5,FALSE)*$M36)+IF($Q36="",0,VLOOKUP($Q36,'⚪设计'!$B$85:$H$104,5,FALSE)*$R36)+IF($V36="",0,VLOOKUP($V36,'⚪设计'!$B$85:$H$104,5,FALSE)*$W36))*IF(G36="",0,VLOOKUP(G36,'⚪设计'!$B$85:$H$104,5,FALSE)),0))</f>
        <v>6</v>
      </c>
      <c r="L36" s="97" t="str">
        <f>IF(VLOOKUP($A36,'⚪设计'!$A$135:$N$184,8,FALSE)="","",VLOOKUP($A36,'⚪设计'!$A$135:$N$184,8,FALSE))</f>
        <v>蝙蝠1</v>
      </c>
      <c r="M36" s="97">
        <f t="shared" si="2"/>
        <v>44</v>
      </c>
      <c r="N36" s="97">
        <f>IF(VLOOKUP($A36,'⚪设计'!$A$135:$N$184,12,FALSE)="","",VLOOKUP($A36,'⚪设计'!$A$135:$N$184,12,FALSE))</f>
        <v>0.4</v>
      </c>
      <c r="O36" s="97">
        <f>IF(L36="","",ROUND($D36*'⚪设计'!$D168/(IF($G36="",0,VLOOKUP($G36,'⚪设计'!$B$85:$H$104,4,FALSE)*$H36)+IF($L36="",0,VLOOKUP($L36,'⚪设计'!$B$85:$H$104,4,FALSE)*$M36)+IF($Q36="",0,VLOOKUP($Q36,'⚪设计'!$B$85:$H$104,4,FALSE)*$R36)+IF($V36="",0,VLOOKUP($V36,'⚪设计'!$B$85:$H$104,4,FALSE)*$W36))*IF(L36="",0,VLOOKUP(L36,'⚪设计'!$B$85:$H$104,4,FALSE)),0))</f>
        <v>63</v>
      </c>
      <c r="P36" s="97">
        <f>IF(L36="","",ROUND(VLOOKUP($B36,战斗节奏!$A$4:$F$13,2,FALSE)/(IF($G36="",0,VLOOKUP($G36,'⚪设计'!$B$85:$H$104,5,FALSE)*$H36)+IF($L36="",0,VLOOKUP($L36,'⚪设计'!$B$85:$H$104,5,FALSE)*$M36)+IF($Q36="",0,VLOOKUP($Q36,'⚪设计'!$B$85:$H$104,5,FALSE)*$R36)+IF($V36="",0,VLOOKUP($V36,'⚪设计'!$B$85:$H$104,5,FALSE)*$W36))*IF(L36="",0,VLOOKUP(L36,'⚪设计'!$B$85:$H$104,5,FALSE)),0))</f>
        <v>3</v>
      </c>
      <c r="Q36" s="97" t="str">
        <f>IF(VLOOKUP($A36,'⚪设计'!$A$135:$N$184,9,FALSE)="","",VLOOKUP($A36,'⚪设计'!$A$135:$N$184,9,FALSE))</f>
        <v>蜜蜂2</v>
      </c>
      <c r="R36" s="97">
        <f t="shared" si="3"/>
        <v>35</v>
      </c>
      <c r="S36" s="97">
        <f>IF(VLOOKUP($A36,'⚪设计'!$A$135:$N$184,13,FALSE)="","",VLOOKUP($A36,'⚪设计'!$A$135:$N$184,13,FALSE))</f>
        <v>0.5</v>
      </c>
      <c r="T36" s="97">
        <f>IF(Q36="","",ROUND($D36*'⚪设计'!$D168/(IF($G36="",0,VLOOKUP($G36,'⚪设计'!$B$85:$H$104,4,FALSE)*$H36)+IF($L36="",0,VLOOKUP($L36,'⚪设计'!$B$85:$H$104,4,FALSE)*$M36)+IF($Q36="",0,VLOOKUP($Q36,'⚪设计'!$B$85:$H$104,4,FALSE)*$R36)+IF($V36="",0,VLOOKUP($V36,'⚪设计'!$B$85:$H$104,4,FALSE)*$W36))*IF(Q36="",0,VLOOKUP(Q36,'⚪设计'!$B$85:$H$104,4,FALSE)),0))</f>
        <v>252</v>
      </c>
      <c r="U36" s="97">
        <f>IF(Q36="","",ROUND(VLOOKUP($B36,战斗节奏!$A$4:$F$13,2,FALSE)/(IF($G36="",0,VLOOKUP($G36,'⚪设计'!$B$85:$H$104,5,FALSE)*$H36)+IF($L36="",0,VLOOKUP($L36,'⚪设计'!$B$85:$H$104,5,FALSE)*$M36)+IF($Q36="",0,VLOOKUP($Q36,'⚪设计'!$B$85:$H$104,5,FALSE)*$R36)+IF($V36="",0,VLOOKUP($V36,'⚪设计'!$B$85:$H$104,5,FALSE)*$W36))*IF(Q36="",0,VLOOKUP(Q36,'⚪设计'!$B$85:$H$104,5,FALSE)),0))</f>
        <v>12</v>
      </c>
      <c r="V36" s="97" t="str">
        <f>IF(VLOOKUP($A36,'⚪设计'!$A$135:$N$184,10,FALSE)="","",VLOOKUP($A36,'⚪设计'!$A$135:$N$184,10,FALSE))</f>
        <v>鸟1</v>
      </c>
      <c r="W36" s="97">
        <f t="shared" si="4"/>
        <v>4</v>
      </c>
      <c r="X36" s="97">
        <f>IF(VLOOKUP($A36,'⚪设计'!$A$135:$N$184,14,FALSE)="","",VLOOKUP($A36,'⚪设计'!$A$135:$N$184,14,FALSE))</f>
        <v>4</v>
      </c>
      <c r="Y36" s="97">
        <f>IF(V36="","",ROUND($D36*'⚪设计'!$D168/(IF($G36="",0,VLOOKUP($G36,'⚪设计'!$B$85:$H$104,4,FALSE)*$H36)+IF($L36="",0,VLOOKUP($L36,'⚪设计'!$B$85:$H$104,4,FALSE)*$M36)+IF($Q36="",0,VLOOKUP($Q36,'⚪设计'!$B$85:$H$104,4,FALSE)*$R36)+IF($V36="",0,VLOOKUP($V36,'⚪设计'!$B$85:$H$104,4,FALSE)*$W36))*IF(V36="",0,VLOOKUP(V36,'⚪设计'!$B$85:$H$104,4,FALSE)),0))</f>
        <v>252</v>
      </c>
      <c r="Z36" s="97">
        <f>IF(V36="","",ROUND(VLOOKUP($B36,战斗节奏!$A$4:$F$13,2,FALSE)/(IF($G36="",0,VLOOKUP($G36,'⚪设计'!$B$85:$H$104,5,FALSE)*$H36)+IF($L36="",0,VLOOKUP($L36,'⚪设计'!$B$85:$H$104,5,FALSE)*$M36)+IF($Q36="",0,VLOOKUP($Q36,'⚪设计'!$B$85:$H$104,5,FALSE)*$R36)+IF($V36="",0,VLOOKUP($V36,'⚪设计'!$B$85:$H$104,5,FALSE)*$W36))*IF(V36="",0,VLOOKUP(V36,'⚪设计'!$B$85:$H$104,5,FALSE)),0))</f>
        <v>12</v>
      </c>
    </row>
    <row r="37" spans="1:26" x14ac:dyDescent="0.2">
      <c r="A37" s="2" t="str">
        <f t="shared" si="0"/>
        <v>7_5</v>
      </c>
      <c r="B37" s="2">
        <v>7</v>
      </c>
      <c r="C37" s="2">
        <v>5</v>
      </c>
      <c r="D37" s="97">
        <f>VLOOKUP(C37,无限模式!$A$3:$B$22,2,FALSE)</f>
        <v>5400</v>
      </c>
      <c r="E37" s="98">
        <v>1</v>
      </c>
      <c r="F37" s="97">
        <f>'⚪设计'!F169</f>
        <v>20</v>
      </c>
      <c r="G37" s="97" t="str">
        <f>IF(VLOOKUP($A37,'⚪设计'!$A$135:$N$184,7,FALSE)="","",VLOOKUP($A37,'⚪设计'!$A$135:$N$184,7,FALSE))</f>
        <v>蜘蛛1</v>
      </c>
      <c r="H37" s="97">
        <f t="shared" si="1"/>
        <v>67</v>
      </c>
      <c r="I37" s="97">
        <f>IF(VLOOKUP($A37,'⚪设计'!$A$135:$N$184,11,FALSE)="","",VLOOKUP($A37,'⚪设计'!$A$135:$N$184,11,FALSE))</f>
        <v>0.3</v>
      </c>
      <c r="J37" s="97">
        <f>IF(G37="","",ROUND($D37*'⚪设计'!$D169/(IF($G37="",0,VLOOKUP($G37,'⚪设计'!$B$85:$H$104,4,FALSE)*$H37)+IF($L37="",0,VLOOKUP($L37,'⚪设计'!$B$85:$H$104,4,FALSE)*$M37)+IF($Q37="",0,VLOOKUP($Q37,'⚪设计'!$B$85:$H$104,4,FALSE)*$R37)+IF($V37="",0,VLOOKUP($V37,'⚪设计'!$B$85:$H$104,4,FALSE)*$W37))*IF(G37="",0,VLOOKUP(G37,'⚪设计'!$B$85:$H$104,4,FALSE)),0))</f>
        <v>82</v>
      </c>
      <c r="K37" s="97">
        <f>IF(G37="","",ROUND(VLOOKUP($B37,战斗节奏!$A$4:$F$13,2,FALSE)/(IF($G37="",0,VLOOKUP($G37,'⚪设计'!$B$85:$H$104,5,FALSE)*$H37)+IF($L37="",0,VLOOKUP($L37,'⚪设计'!$B$85:$H$104,5,FALSE)*$M37)+IF($Q37="",0,VLOOKUP($Q37,'⚪设计'!$B$85:$H$104,5,FALSE)*$R37)+IF($V37="",0,VLOOKUP($V37,'⚪设计'!$B$85:$H$104,5,FALSE)*$W37))*IF(G37="",0,VLOOKUP(G37,'⚪设计'!$B$85:$H$104,5,FALSE)),0))</f>
        <v>3</v>
      </c>
      <c r="L37" s="97" t="str">
        <f>IF(VLOOKUP($A37,'⚪设计'!$A$135:$N$184,8,FALSE)="","",VLOOKUP($A37,'⚪设计'!$A$135:$N$184,8,FALSE))</f>
        <v>蝙蝠1</v>
      </c>
      <c r="M37" s="97">
        <f t="shared" si="2"/>
        <v>100</v>
      </c>
      <c r="N37" s="97">
        <f>IF(VLOOKUP($A37,'⚪设计'!$A$135:$N$184,12,FALSE)="","",VLOOKUP($A37,'⚪设计'!$A$135:$N$184,12,FALSE))</f>
        <v>0.2</v>
      </c>
      <c r="O37" s="97">
        <f>IF(L37="","",ROUND($D37*'⚪设计'!$D169/(IF($G37="",0,VLOOKUP($G37,'⚪设计'!$B$85:$H$104,4,FALSE)*$H37)+IF($L37="",0,VLOOKUP($L37,'⚪设计'!$B$85:$H$104,4,FALSE)*$M37)+IF($Q37="",0,VLOOKUP($Q37,'⚪设计'!$B$85:$H$104,4,FALSE)*$R37)+IF($V37="",0,VLOOKUP($V37,'⚪设计'!$B$85:$H$104,4,FALSE)*$W37))*IF(L37="",0,VLOOKUP(L37,'⚪设计'!$B$85:$H$104,4,FALSE)),0))</f>
        <v>41</v>
      </c>
      <c r="P37" s="97">
        <f>IF(L37="","",ROUND(VLOOKUP($B37,战斗节奏!$A$4:$F$13,2,FALSE)/(IF($G37="",0,VLOOKUP($G37,'⚪设计'!$B$85:$H$104,5,FALSE)*$H37)+IF($L37="",0,VLOOKUP($L37,'⚪设计'!$B$85:$H$104,5,FALSE)*$M37)+IF($Q37="",0,VLOOKUP($Q37,'⚪设计'!$B$85:$H$104,5,FALSE)*$R37)+IF($V37="",0,VLOOKUP($V37,'⚪设计'!$B$85:$H$104,5,FALSE)*$W37))*IF(L37="",0,VLOOKUP(L37,'⚪设计'!$B$85:$H$104,5,FALSE)),0))</f>
        <v>2</v>
      </c>
      <c r="Q37" s="97" t="str">
        <f>IF(VLOOKUP($A37,'⚪设计'!$A$135:$N$184,9,FALSE)="","",VLOOKUP($A37,'⚪设计'!$A$135:$N$184,9,FALSE))</f>
        <v>蜜蜂2</v>
      </c>
      <c r="R37" s="97">
        <f t="shared" si="3"/>
        <v>40</v>
      </c>
      <c r="S37" s="97">
        <f>IF(VLOOKUP($A37,'⚪设计'!$A$135:$N$184,13,FALSE)="","",VLOOKUP($A37,'⚪设计'!$A$135:$N$184,13,FALSE))</f>
        <v>0.5</v>
      </c>
      <c r="T37" s="97">
        <f>IF(Q37="","",ROUND($D37*'⚪设计'!$D169/(IF($G37="",0,VLOOKUP($G37,'⚪设计'!$B$85:$H$104,4,FALSE)*$H37)+IF($L37="",0,VLOOKUP($L37,'⚪设计'!$B$85:$H$104,4,FALSE)*$M37)+IF($Q37="",0,VLOOKUP($Q37,'⚪设计'!$B$85:$H$104,4,FALSE)*$R37)+IF($V37="",0,VLOOKUP($V37,'⚪设计'!$B$85:$H$104,4,FALSE)*$W37))*IF(Q37="",0,VLOOKUP(Q37,'⚪设计'!$B$85:$H$104,4,FALSE)),0))</f>
        <v>164</v>
      </c>
      <c r="U37" s="97">
        <f>IF(Q37="","",ROUND(VLOOKUP($B37,战斗节奏!$A$4:$F$13,2,FALSE)/(IF($G37="",0,VLOOKUP($G37,'⚪设计'!$B$85:$H$104,5,FALSE)*$H37)+IF($L37="",0,VLOOKUP($L37,'⚪设计'!$B$85:$H$104,5,FALSE)*$M37)+IF($Q37="",0,VLOOKUP($Q37,'⚪设计'!$B$85:$H$104,5,FALSE)*$R37)+IF($V37="",0,VLOOKUP($V37,'⚪设计'!$B$85:$H$104,5,FALSE)*$W37))*IF(Q37="",0,VLOOKUP(Q37,'⚪设计'!$B$85:$H$104,5,FALSE)),0))</f>
        <v>7</v>
      </c>
      <c r="V37" s="97" t="str">
        <f>IF(VLOOKUP($A37,'⚪设计'!$A$135:$N$184,10,FALSE)="","",VLOOKUP($A37,'⚪设计'!$A$135:$N$184,10,FALSE))</f>
        <v>鸟1</v>
      </c>
      <c r="W37" s="97">
        <f t="shared" si="4"/>
        <v>10</v>
      </c>
      <c r="X37" s="97">
        <f>IF(VLOOKUP($A37,'⚪设计'!$A$135:$N$184,14,FALSE)="","",VLOOKUP($A37,'⚪设计'!$A$135:$N$184,14,FALSE))</f>
        <v>2</v>
      </c>
      <c r="Y37" s="97">
        <f>IF(V37="","",ROUND($D37*'⚪设计'!$D169/(IF($G37="",0,VLOOKUP($G37,'⚪设计'!$B$85:$H$104,4,FALSE)*$H37)+IF($L37="",0,VLOOKUP($L37,'⚪设计'!$B$85:$H$104,4,FALSE)*$M37)+IF($Q37="",0,VLOOKUP($Q37,'⚪设计'!$B$85:$H$104,4,FALSE)*$R37)+IF($V37="",0,VLOOKUP($V37,'⚪设计'!$B$85:$H$104,4,FALSE)*$W37))*IF(V37="",0,VLOOKUP(V37,'⚪设计'!$B$85:$H$104,4,FALSE)),0))</f>
        <v>164</v>
      </c>
      <c r="Z37" s="97">
        <f>IF(V37="","",ROUND(VLOOKUP($B37,战斗节奏!$A$4:$F$13,2,FALSE)/(IF($G37="",0,VLOOKUP($G37,'⚪设计'!$B$85:$H$104,5,FALSE)*$H37)+IF($L37="",0,VLOOKUP($L37,'⚪设计'!$B$85:$H$104,5,FALSE)*$M37)+IF($Q37="",0,VLOOKUP($Q37,'⚪设计'!$B$85:$H$104,5,FALSE)*$R37)+IF($V37="",0,VLOOKUP($V37,'⚪设计'!$B$85:$H$104,5,FALSE)*$W37))*IF(V37="",0,VLOOKUP(V37,'⚪设计'!$B$85:$H$104,5,FALSE)),0))</f>
        <v>7</v>
      </c>
    </row>
    <row r="38" spans="1:26" x14ac:dyDescent="0.2">
      <c r="A38" s="2" t="str">
        <f t="shared" si="0"/>
        <v>8_1</v>
      </c>
      <c r="B38" s="2">
        <v>8</v>
      </c>
      <c r="C38" s="2">
        <v>1</v>
      </c>
      <c r="D38" s="97">
        <f>VLOOKUP(C38,无限模式!$A$3:$B$22,2,FALSE)</f>
        <v>900</v>
      </c>
      <c r="E38" s="98">
        <v>1</v>
      </c>
      <c r="F38" s="97">
        <f>'⚪设计'!F170</f>
        <v>10</v>
      </c>
      <c r="G38" s="97" t="str">
        <f>IF(VLOOKUP($A38,'⚪设计'!$A$135:$N$184,7,FALSE)="","",VLOOKUP($A38,'⚪设计'!$A$135:$N$184,7,FALSE))</f>
        <v>种子1</v>
      </c>
      <c r="H38" s="97">
        <f t="shared" si="1"/>
        <v>5</v>
      </c>
      <c r="I38" s="97">
        <f>IF(VLOOKUP($A38,'⚪设计'!$A$135:$N$184,11,FALSE)="","",VLOOKUP($A38,'⚪设计'!$A$135:$N$184,11,FALSE))</f>
        <v>2</v>
      </c>
      <c r="J38" s="97">
        <f>IF(G38="","",ROUND($D38*'⚪设计'!$D170/(IF($G38="",0,VLOOKUP($G38,'⚪设计'!$B$85:$H$104,4,FALSE)*$H38)+IF($L38="",0,VLOOKUP($L38,'⚪设计'!$B$85:$H$104,4,FALSE)*$M38)+IF($Q38="",0,VLOOKUP($Q38,'⚪设计'!$B$85:$H$104,4,FALSE)*$R38)+IF($V38="",0,VLOOKUP($V38,'⚪设计'!$B$85:$H$104,4,FALSE)*$W38))*IF(G38="",0,VLOOKUP(G38,'⚪设计'!$B$85:$H$104,4,FALSE)),0))</f>
        <v>210</v>
      </c>
      <c r="K38" s="97">
        <f>IF(G38="","",ROUND(VLOOKUP($B38,战斗节奏!$A$4:$F$13,2,FALSE)/(IF($G38="",0,VLOOKUP($G38,'⚪设计'!$B$85:$H$104,5,FALSE)*$H38)+IF($L38="",0,VLOOKUP($L38,'⚪设计'!$B$85:$H$104,5,FALSE)*$M38)+IF($Q38="",0,VLOOKUP($Q38,'⚪设计'!$B$85:$H$104,5,FALSE)*$R38)+IF($V38="",0,VLOOKUP($V38,'⚪设计'!$B$85:$H$104,5,FALSE)*$W38))*IF(G38="",0,VLOOKUP(G38,'⚪设计'!$B$85:$H$104,5,FALSE)),0))</f>
        <v>120</v>
      </c>
      <c r="L38" s="97" t="str">
        <f>IF(VLOOKUP($A38,'⚪设计'!$A$135:$N$184,8,FALSE)="","",VLOOKUP($A38,'⚪设计'!$A$135:$N$184,8,FALSE))</f>
        <v>鸟2</v>
      </c>
      <c r="M38" s="97">
        <f t="shared" si="2"/>
        <v>1</v>
      </c>
      <c r="N38" s="97">
        <f>IF(VLOOKUP($A38,'⚪设计'!$A$135:$N$184,12,FALSE)="","",VLOOKUP($A38,'⚪设计'!$A$135:$N$184,12,FALSE))</f>
        <v>0</v>
      </c>
      <c r="O38" s="97">
        <f>IF(L38="","",ROUND($D38*'⚪设计'!$D170/(IF($G38="",0,VLOOKUP($G38,'⚪设计'!$B$85:$H$104,4,FALSE)*$H38)+IF($L38="",0,VLOOKUP($L38,'⚪设计'!$B$85:$H$104,4,FALSE)*$M38)+IF($Q38="",0,VLOOKUP($Q38,'⚪设计'!$B$85:$H$104,4,FALSE)*$R38)+IF($V38="",0,VLOOKUP($V38,'⚪设计'!$B$85:$H$104,4,FALSE)*$W38))*IF(L38="",0,VLOOKUP(L38,'⚪设计'!$B$85:$H$104,4,FALSE)),0))</f>
        <v>279</v>
      </c>
      <c r="P38" s="97">
        <f>IF(L38="","",ROUND(VLOOKUP($B38,战斗节奏!$A$4:$F$13,2,FALSE)/(IF($G38="",0,VLOOKUP($G38,'⚪设计'!$B$85:$H$104,5,FALSE)*$H38)+IF($L38="",0,VLOOKUP($L38,'⚪设计'!$B$85:$H$104,5,FALSE)*$M38)+IF($Q38="",0,VLOOKUP($Q38,'⚪设计'!$B$85:$H$104,5,FALSE)*$R38)+IF($V38="",0,VLOOKUP($V38,'⚪设计'!$B$85:$H$104,5,FALSE)*$W38))*IF(L38="",0,VLOOKUP(L38,'⚪设计'!$B$85:$H$104,5,FALSE)),0))</f>
        <v>120</v>
      </c>
      <c r="Q38" s="97" t="str">
        <f>IF(VLOOKUP($A38,'⚪设计'!$A$135:$N$184,9,FALSE)="","",VLOOKUP($A38,'⚪设计'!$A$135:$N$184,9,FALSE))</f>
        <v/>
      </c>
      <c r="R38" s="97" t="str">
        <f t="shared" si="3"/>
        <v/>
      </c>
      <c r="S38" s="97" t="str">
        <f>IF(VLOOKUP($A38,'⚪设计'!$A$135:$N$184,13,FALSE)="","",VLOOKUP($A38,'⚪设计'!$A$135:$N$184,13,FALSE))</f>
        <v/>
      </c>
      <c r="T38" s="97" t="str">
        <f>IF(Q38="","",ROUND($D38*'⚪设计'!$D170/(IF($G38="",0,VLOOKUP($G38,'⚪设计'!$B$85:$H$104,4,FALSE)*$H38)+IF($L38="",0,VLOOKUP($L38,'⚪设计'!$B$85:$H$104,4,FALSE)*$M38)+IF($Q38="",0,VLOOKUP($Q38,'⚪设计'!$B$85:$H$104,4,FALSE)*$R38)+IF($V38="",0,VLOOKUP($V38,'⚪设计'!$B$85:$H$104,4,FALSE)*$W38))*IF(Q38="",0,VLOOKUP(Q38,'⚪设计'!$B$85:$H$104,4,FALSE)),0))</f>
        <v/>
      </c>
      <c r="U38" s="97" t="str">
        <f>IF(Q38="","",ROUND(VLOOKUP($B38,战斗节奏!$A$4:$F$13,2,FALSE)/(IF($G38="",0,VLOOKUP($G38,'⚪设计'!$B$85:$H$104,5,FALSE)*$H38)+IF($L38="",0,VLOOKUP($L38,'⚪设计'!$B$85:$H$104,5,FALSE)*$M38)+IF($Q38="",0,VLOOKUP($Q38,'⚪设计'!$B$85:$H$104,5,FALSE)*$R38)+IF($V38="",0,VLOOKUP($V38,'⚪设计'!$B$85:$H$104,5,FALSE)*$W38))*IF(Q38="",0,VLOOKUP(Q38,'⚪设计'!$B$85:$H$104,5,FALSE)),0))</f>
        <v/>
      </c>
      <c r="V38" s="97" t="str">
        <f>IF(VLOOKUP($A38,'⚪设计'!$A$135:$N$184,10,FALSE)="","",VLOOKUP($A38,'⚪设计'!$A$135:$N$184,10,FALSE))</f>
        <v/>
      </c>
      <c r="W38" s="97" t="str">
        <f t="shared" si="4"/>
        <v/>
      </c>
      <c r="X38" s="97" t="str">
        <f>IF(VLOOKUP($A38,'⚪设计'!$A$135:$N$184,14,FALSE)="","",VLOOKUP($A38,'⚪设计'!$A$135:$N$184,14,FALSE))</f>
        <v/>
      </c>
      <c r="Y38" s="97" t="str">
        <f>IF(V38="","",ROUND($D38*'⚪设计'!$D170/(IF($G38="",0,VLOOKUP($G38,'⚪设计'!$B$85:$H$104,4,FALSE)*$H38)+IF($L38="",0,VLOOKUP($L38,'⚪设计'!$B$85:$H$104,4,FALSE)*$M38)+IF($Q38="",0,VLOOKUP($Q38,'⚪设计'!$B$85:$H$104,4,FALSE)*$R38)+IF($V38="",0,VLOOKUP($V38,'⚪设计'!$B$85:$H$104,4,FALSE)*$W38))*IF(V38="",0,VLOOKUP(V38,'⚪设计'!$B$85:$H$104,4,FALSE)),0))</f>
        <v/>
      </c>
      <c r="Z38" s="97" t="str">
        <f>IF(V38="","",ROUND(VLOOKUP($B38,战斗节奏!$A$4:$F$13,2,FALSE)/(IF($G38="",0,VLOOKUP($G38,'⚪设计'!$B$85:$H$104,5,FALSE)*$H38)+IF($L38="",0,VLOOKUP($L38,'⚪设计'!$B$85:$H$104,5,FALSE)*$M38)+IF($Q38="",0,VLOOKUP($Q38,'⚪设计'!$B$85:$H$104,5,FALSE)*$R38)+IF($V38="",0,VLOOKUP($V38,'⚪设计'!$B$85:$H$104,5,FALSE)*$W38))*IF(V38="",0,VLOOKUP(V38,'⚪设计'!$B$85:$H$104,5,FALSE)),0))</f>
        <v/>
      </c>
    </row>
    <row r="39" spans="1:26" x14ac:dyDescent="0.2">
      <c r="A39" s="2" t="str">
        <f t="shared" si="0"/>
        <v>8_2</v>
      </c>
      <c r="B39" s="2">
        <v>8</v>
      </c>
      <c r="C39" s="2">
        <v>2</v>
      </c>
      <c r="D39" s="97">
        <f>VLOOKUP(C39,无限模式!$A$3:$B$22,2,FALSE)</f>
        <v>1800</v>
      </c>
      <c r="E39" s="98">
        <v>1</v>
      </c>
      <c r="F39" s="97">
        <f>'⚪设计'!F171</f>
        <v>12.5</v>
      </c>
      <c r="G39" s="97" t="str">
        <f>IF(VLOOKUP($A39,'⚪设计'!$A$135:$N$184,7,FALSE)="","",VLOOKUP($A39,'⚪设计'!$A$135:$N$184,7,FALSE))</f>
        <v>种子1</v>
      </c>
      <c r="H39" s="97">
        <f t="shared" si="1"/>
        <v>6</v>
      </c>
      <c r="I39" s="97">
        <f>IF(VLOOKUP($A39,'⚪设计'!$A$135:$N$184,11,FALSE)="","",VLOOKUP($A39,'⚪设计'!$A$135:$N$184,11,FALSE))</f>
        <v>2</v>
      </c>
      <c r="J39" s="97">
        <f>IF(G39="","",ROUND($D39*'⚪设计'!$D171/(IF($G39="",0,VLOOKUP($G39,'⚪设计'!$B$85:$H$104,4,FALSE)*$H39)+IF($L39="",0,VLOOKUP($L39,'⚪设计'!$B$85:$H$104,4,FALSE)*$M39)+IF($Q39="",0,VLOOKUP($Q39,'⚪设计'!$B$85:$H$104,4,FALSE)*$R39)+IF($V39="",0,VLOOKUP($V39,'⚪设计'!$B$85:$H$104,4,FALSE)*$W39))*IF(G39="",0,VLOOKUP(G39,'⚪设计'!$B$85:$H$104,4,FALSE)),0))</f>
        <v>284</v>
      </c>
      <c r="K39" s="97">
        <f>IF(G39="","",ROUND(VLOOKUP($B39,战斗节奏!$A$4:$F$13,2,FALSE)/(IF($G39="",0,VLOOKUP($G39,'⚪设计'!$B$85:$H$104,5,FALSE)*$H39)+IF($L39="",0,VLOOKUP($L39,'⚪设计'!$B$85:$H$104,5,FALSE)*$M39)+IF($Q39="",0,VLOOKUP($Q39,'⚪设计'!$B$85:$H$104,5,FALSE)*$R39)+IF($V39="",0,VLOOKUP($V39,'⚪设计'!$B$85:$H$104,5,FALSE)*$W39))*IF(G39="",0,VLOOKUP(G39,'⚪设计'!$B$85:$H$104,5,FALSE)),0))</f>
        <v>33</v>
      </c>
      <c r="L39" s="97" t="str">
        <f>IF(VLOOKUP($A39,'⚪设计'!$A$135:$N$184,8,FALSE)="","",VLOOKUP($A39,'⚪设计'!$A$135:$N$184,8,FALSE))</f>
        <v>蜜蜂2</v>
      </c>
      <c r="M39" s="97">
        <f t="shared" si="2"/>
        <v>13</v>
      </c>
      <c r="N39" s="97">
        <f>IF(VLOOKUP($A39,'⚪设计'!$A$135:$N$184,12,FALSE)="","",VLOOKUP($A39,'⚪设计'!$A$135:$N$184,12,FALSE))</f>
        <v>1</v>
      </c>
      <c r="O39" s="97">
        <f>IF(L39="","",ROUND($D39*'⚪设计'!$D171/(IF($G39="",0,VLOOKUP($G39,'⚪设计'!$B$85:$H$104,4,FALSE)*$H39)+IF($L39="",0,VLOOKUP($L39,'⚪设计'!$B$85:$H$104,4,FALSE)*$M39)+IF($Q39="",0,VLOOKUP($Q39,'⚪设计'!$B$85:$H$104,4,FALSE)*$R39)+IF($V39="",0,VLOOKUP($V39,'⚪设计'!$B$85:$H$104,4,FALSE)*$W39))*IF(L39="",0,VLOOKUP(L39,'⚪设计'!$B$85:$H$104,4,FALSE)),0))</f>
        <v>190</v>
      </c>
      <c r="P39" s="97">
        <f>IF(L39="","",ROUND(VLOOKUP($B39,战斗节奏!$A$4:$F$13,2,FALSE)/(IF($G39="",0,VLOOKUP($G39,'⚪设计'!$B$85:$H$104,5,FALSE)*$H39)+IF($L39="",0,VLOOKUP($L39,'⚪设计'!$B$85:$H$104,5,FALSE)*$M39)+IF($Q39="",0,VLOOKUP($Q39,'⚪设计'!$B$85:$H$104,5,FALSE)*$R39)+IF($V39="",0,VLOOKUP($V39,'⚪设计'!$B$85:$H$104,5,FALSE)*$W39))*IF(L39="",0,VLOOKUP(L39,'⚪设计'!$B$85:$H$104,5,FALSE)),0))</f>
        <v>33</v>
      </c>
      <c r="Q39" s="97" t="str">
        <f>IF(VLOOKUP($A39,'⚪设计'!$A$135:$N$184,9,FALSE)="","",VLOOKUP($A39,'⚪设计'!$A$135:$N$184,9,FALSE))</f>
        <v>鸟2</v>
      </c>
      <c r="R39" s="97">
        <f t="shared" si="3"/>
        <v>3</v>
      </c>
      <c r="S39" s="97">
        <f>IF(VLOOKUP($A39,'⚪设计'!$A$135:$N$184,13,FALSE)="","",VLOOKUP($A39,'⚪设计'!$A$135:$N$184,13,FALSE))</f>
        <v>4</v>
      </c>
      <c r="T39" s="97">
        <f>IF(Q39="","",ROUND($D39*'⚪设计'!$D171/(IF($G39="",0,VLOOKUP($G39,'⚪设计'!$B$85:$H$104,4,FALSE)*$H39)+IF($L39="",0,VLOOKUP($L39,'⚪设计'!$B$85:$H$104,4,FALSE)*$M39)+IF($Q39="",0,VLOOKUP($Q39,'⚪设计'!$B$85:$H$104,4,FALSE)*$R39)+IF($V39="",0,VLOOKUP($V39,'⚪设计'!$B$85:$H$104,4,FALSE)*$W39))*IF(Q39="",0,VLOOKUP(Q39,'⚪设计'!$B$85:$H$104,4,FALSE)),0))</f>
        <v>379</v>
      </c>
      <c r="U39" s="97">
        <f>IF(Q39="","",ROUND(VLOOKUP($B39,战斗节奏!$A$4:$F$13,2,FALSE)/(IF($G39="",0,VLOOKUP($G39,'⚪设计'!$B$85:$H$104,5,FALSE)*$H39)+IF($L39="",0,VLOOKUP($L39,'⚪设计'!$B$85:$H$104,5,FALSE)*$M39)+IF($Q39="",0,VLOOKUP($Q39,'⚪设计'!$B$85:$H$104,5,FALSE)*$R39)+IF($V39="",0,VLOOKUP($V39,'⚪设计'!$B$85:$H$104,5,FALSE)*$W39))*IF(Q39="",0,VLOOKUP(Q39,'⚪设计'!$B$85:$H$104,5,FALSE)),0))</f>
        <v>33</v>
      </c>
      <c r="V39" s="97" t="str">
        <f>IF(VLOOKUP($A39,'⚪设计'!$A$135:$N$184,10,FALSE)="","",VLOOKUP($A39,'⚪设计'!$A$135:$N$184,10,FALSE))</f>
        <v/>
      </c>
      <c r="W39" s="97" t="str">
        <f t="shared" si="4"/>
        <v/>
      </c>
      <c r="X39" s="97" t="str">
        <f>IF(VLOOKUP($A39,'⚪设计'!$A$135:$N$184,14,FALSE)="","",VLOOKUP($A39,'⚪设计'!$A$135:$N$184,14,FALSE))</f>
        <v/>
      </c>
      <c r="Y39" s="97" t="str">
        <f>IF(V39="","",ROUND($D39*'⚪设计'!$D171/(IF($G39="",0,VLOOKUP($G39,'⚪设计'!$B$85:$H$104,4,FALSE)*$H39)+IF($L39="",0,VLOOKUP($L39,'⚪设计'!$B$85:$H$104,4,FALSE)*$M39)+IF($Q39="",0,VLOOKUP($Q39,'⚪设计'!$B$85:$H$104,4,FALSE)*$R39)+IF($V39="",0,VLOOKUP($V39,'⚪设计'!$B$85:$H$104,4,FALSE)*$W39))*IF(V39="",0,VLOOKUP(V39,'⚪设计'!$B$85:$H$104,4,FALSE)),0))</f>
        <v/>
      </c>
      <c r="Z39" s="97" t="str">
        <f>IF(V39="","",ROUND(VLOOKUP($B39,战斗节奏!$A$4:$F$13,2,FALSE)/(IF($G39="",0,VLOOKUP($G39,'⚪设计'!$B$85:$H$104,5,FALSE)*$H39)+IF($L39="",0,VLOOKUP($L39,'⚪设计'!$B$85:$H$104,5,FALSE)*$M39)+IF($Q39="",0,VLOOKUP($Q39,'⚪设计'!$B$85:$H$104,5,FALSE)*$R39)+IF($V39="",0,VLOOKUP($V39,'⚪设计'!$B$85:$H$104,5,FALSE)*$W39))*IF(V39="",0,VLOOKUP(V39,'⚪设计'!$B$85:$H$104,5,FALSE)),0))</f>
        <v/>
      </c>
    </row>
    <row r="40" spans="1:26" x14ac:dyDescent="0.2">
      <c r="A40" s="2" t="str">
        <f t="shared" si="0"/>
        <v>8_3</v>
      </c>
      <c r="B40" s="2">
        <v>8</v>
      </c>
      <c r="C40" s="2">
        <v>3</v>
      </c>
      <c r="D40" s="97">
        <f>VLOOKUP(C40,无限模式!$A$3:$B$22,2,FALSE)</f>
        <v>3600</v>
      </c>
      <c r="E40" s="98">
        <v>1</v>
      </c>
      <c r="F40" s="97">
        <f>'⚪设计'!F172</f>
        <v>15</v>
      </c>
      <c r="G40" s="97" t="str">
        <f>IF(VLOOKUP($A40,'⚪设计'!$A$135:$N$184,7,FALSE)="","",VLOOKUP($A40,'⚪设计'!$A$135:$N$184,7,FALSE))</f>
        <v>种子1</v>
      </c>
      <c r="H40" s="97">
        <f t="shared" si="1"/>
        <v>8</v>
      </c>
      <c r="I40" s="97">
        <f>IF(VLOOKUP($A40,'⚪设计'!$A$135:$N$184,11,FALSE)="","",VLOOKUP($A40,'⚪设计'!$A$135:$N$184,11,FALSE))</f>
        <v>2</v>
      </c>
      <c r="J40" s="97">
        <f>IF(G40="","",ROUND($D40*'⚪设计'!$D172/(IF($G40="",0,VLOOKUP($G40,'⚪设计'!$B$85:$H$104,4,FALSE)*$H40)+IF($L40="",0,VLOOKUP($L40,'⚪设计'!$B$85:$H$104,4,FALSE)*$M40)+IF($Q40="",0,VLOOKUP($Q40,'⚪设计'!$B$85:$H$104,4,FALSE)*$R40)+IF($V40="",0,VLOOKUP($V40,'⚪设计'!$B$85:$H$104,4,FALSE)*$W40))*IF(G40="",0,VLOOKUP(G40,'⚪设计'!$B$85:$H$104,4,FALSE)),0))</f>
        <v>603</v>
      </c>
      <c r="K40" s="97">
        <f>IF(G40="","",ROUND(VLOOKUP($B40,战斗节奏!$A$4:$F$13,2,FALSE)/(IF($G40="",0,VLOOKUP($G40,'⚪设计'!$B$85:$H$104,5,FALSE)*$H40)+IF($L40="",0,VLOOKUP($L40,'⚪设计'!$B$85:$H$104,5,FALSE)*$M40)+IF($Q40="",0,VLOOKUP($Q40,'⚪设计'!$B$85:$H$104,5,FALSE)*$R40)+IF($V40="",0,VLOOKUP($V40,'⚪设计'!$B$85:$H$104,5,FALSE)*$W40))*IF(G40="",0,VLOOKUP(G40,'⚪设计'!$B$85:$H$104,5,FALSE)),0))</f>
        <v>29</v>
      </c>
      <c r="L40" s="97" t="str">
        <f>IF(VLOOKUP($A40,'⚪设计'!$A$135:$N$184,8,FALSE)="","",VLOOKUP($A40,'⚪设计'!$A$135:$N$184,8,FALSE))</f>
        <v>蝙蝠1</v>
      </c>
      <c r="M40" s="97">
        <f t="shared" si="2"/>
        <v>50</v>
      </c>
      <c r="N40" s="97">
        <f>IF(VLOOKUP($A40,'⚪设计'!$A$135:$N$184,12,FALSE)="","",VLOOKUP($A40,'⚪设计'!$A$135:$N$184,12,FALSE))</f>
        <v>0.3</v>
      </c>
      <c r="O40" s="97">
        <f>IF(L40="","",ROUND($D40*'⚪设计'!$D172/(IF($G40="",0,VLOOKUP($G40,'⚪设计'!$B$85:$H$104,4,FALSE)*$H40)+IF($L40="",0,VLOOKUP($L40,'⚪设计'!$B$85:$H$104,4,FALSE)*$M40)+IF($Q40="",0,VLOOKUP($Q40,'⚪设计'!$B$85:$H$104,4,FALSE)*$R40)+IF($V40="",0,VLOOKUP($V40,'⚪设计'!$B$85:$H$104,4,FALSE)*$W40))*IF(L40="",0,VLOOKUP(L40,'⚪设计'!$B$85:$H$104,4,FALSE)),0))</f>
        <v>101</v>
      </c>
      <c r="P40" s="97">
        <f>IF(L40="","",ROUND(VLOOKUP($B40,战斗节奏!$A$4:$F$13,2,FALSE)/(IF($G40="",0,VLOOKUP($G40,'⚪设计'!$B$85:$H$104,5,FALSE)*$H40)+IF($L40="",0,VLOOKUP($L40,'⚪设计'!$B$85:$H$104,5,FALSE)*$M40)+IF($Q40="",0,VLOOKUP($Q40,'⚪设计'!$B$85:$H$104,5,FALSE)*$R40)+IF($V40="",0,VLOOKUP($V40,'⚪设计'!$B$85:$H$104,5,FALSE)*$W40))*IF(L40="",0,VLOOKUP(L40,'⚪设计'!$B$85:$H$104,5,FALSE)),0))</f>
        <v>7</v>
      </c>
      <c r="Q40" s="97" t="str">
        <f>IF(VLOOKUP($A40,'⚪设计'!$A$135:$N$184,9,FALSE)="","",VLOOKUP($A40,'⚪设计'!$A$135:$N$184,9,FALSE))</f>
        <v>鸟2</v>
      </c>
      <c r="R40" s="97">
        <f t="shared" si="3"/>
        <v>4</v>
      </c>
      <c r="S40" s="97">
        <f>IF(VLOOKUP($A40,'⚪设计'!$A$135:$N$184,13,FALSE)="","",VLOOKUP($A40,'⚪设计'!$A$135:$N$184,13,FALSE))</f>
        <v>4</v>
      </c>
      <c r="T40" s="97">
        <f>IF(Q40="","",ROUND($D40*'⚪设计'!$D172/(IF($G40="",0,VLOOKUP($G40,'⚪设计'!$B$85:$H$104,4,FALSE)*$H40)+IF($L40="",0,VLOOKUP($L40,'⚪设计'!$B$85:$H$104,4,FALSE)*$M40)+IF($Q40="",0,VLOOKUP($Q40,'⚪设计'!$B$85:$H$104,4,FALSE)*$R40)+IF($V40="",0,VLOOKUP($V40,'⚪设计'!$B$85:$H$104,4,FALSE)*$W40))*IF(Q40="",0,VLOOKUP(Q40,'⚪设计'!$B$85:$H$104,4,FALSE)),0))</f>
        <v>804</v>
      </c>
      <c r="U40" s="97">
        <f>IF(Q40="","",ROUND(VLOOKUP($B40,战斗节奏!$A$4:$F$13,2,FALSE)/(IF($G40="",0,VLOOKUP($G40,'⚪设计'!$B$85:$H$104,5,FALSE)*$H40)+IF($L40="",0,VLOOKUP($L40,'⚪设计'!$B$85:$H$104,5,FALSE)*$M40)+IF($Q40="",0,VLOOKUP($Q40,'⚪设计'!$B$85:$H$104,5,FALSE)*$R40)+IF($V40="",0,VLOOKUP($V40,'⚪设计'!$B$85:$H$104,5,FALSE)*$W40))*IF(Q40="",0,VLOOKUP(Q40,'⚪设计'!$B$85:$H$104,5,FALSE)),0))</f>
        <v>29</v>
      </c>
      <c r="V40" s="97" t="str">
        <f>IF(VLOOKUP($A40,'⚪设计'!$A$135:$N$184,10,FALSE)="","",VLOOKUP($A40,'⚪设计'!$A$135:$N$184,10,FALSE))</f>
        <v/>
      </c>
      <c r="W40" s="97" t="str">
        <f t="shared" si="4"/>
        <v/>
      </c>
      <c r="X40" s="97" t="str">
        <f>IF(VLOOKUP($A40,'⚪设计'!$A$135:$N$184,14,FALSE)="","",VLOOKUP($A40,'⚪设计'!$A$135:$N$184,14,FALSE))</f>
        <v/>
      </c>
      <c r="Y40" s="97" t="str">
        <f>IF(V40="","",ROUND($D40*'⚪设计'!$D172/(IF($G40="",0,VLOOKUP($G40,'⚪设计'!$B$85:$H$104,4,FALSE)*$H40)+IF($L40="",0,VLOOKUP($L40,'⚪设计'!$B$85:$H$104,4,FALSE)*$M40)+IF($Q40="",0,VLOOKUP($Q40,'⚪设计'!$B$85:$H$104,4,FALSE)*$R40)+IF($V40="",0,VLOOKUP($V40,'⚪设计'!$B$85:$H$104,4,FALSE)*$W40))*IF(V40="",0,VLOOKUP(V40,'⚪设计'!$B$85:$H$104,4,FALSE)),0))</f>
        <v/>
      </c>
      <c r="Z40" s="97" t="str">
        <f>IF(V40="","",ROUND(VLOOKUP($B40,战斗节奏!$A$4:$F$13,2,FALSE)/(IF($G40="",0,VLOOKUP($G40,'⚪设计'!$B$85:$H$104,5,FALSE)*$H40)+IF($L40="",0,VLOOKUP($L40,'⚪设计'!$B$85:$H$104,5,FALSE)*$M40)+IF($Q40="",0,VLOOKUP($Q40,'⚪设计'!$B$85:$H$104,5,FALSE)*$R40)+IF($V40="",0,VLOOKUP($V40,'⚪设计'!$B$85:$H$104,5,FALSE)*$W40))*IF(V40="",0,VLOOKUP(V40,'⚪设计'!$B$85:$H$104,5,FALSE)),0))</f>
        <v/>
      </c>
    </row>
    <row r="41" spans="1:26" x14ac:dyDescent="0.2">
      <c r="A41" s="2" t="str">
        <f t="shared" si="0"/>
        <v>8_4</v>
      </c>
      <c r="B41" s="2">
        <v>8</v>
      </c>
      <c r="C41" s="2">
        <v>4</v>
      </c>
      <c r="D41" s="97">
        <f>VLOOKUP(C41,无限模式!$A$3:$B$22,2,FALSE)</f>
        <v>4500</v>
      </c>
      <c r="E41" s="98">
        <v>1</v>
      </c>
      <c r="F41" s="97">
        <f>'⚪设计'!F173</f>
        <v>17.5</v>
      </c>
      <c r="G41" s="97" t="str">
        <f>IF(VLOOKUP($A41,'⚪设计'!$A$135:$N$184,7,FALSE)="","",VLOOKUP($A41,'⚪设计'!$A$135:$N$184,7,FALSE))</f>
        <v>种子1</v>
      </c>
      <c r="H41" s="97">
        <f t="shared" si="1"/>
        <v>9</v>
      </c>
      <c r="I41" s="97">
        <f>IF(VLOOKUP($A41,'⚪设计'!$A$135:$N$184,11,FALSE)="","",VLOOKUP($A41,'⚪设计'!$A$135:$N$184,11,FALSE))</f>
        <v>2</v>
      </c>
      <c r="J41" s="97">
        <f>IF(G41="","",ROUND($D41*'⚪设计'!$D173/(IF($G41="",0,VLOOKUP($G41,'⚪设计'!$B$85:$H$104,4,FALSE)*$H41)+IF($L41="",0,VLOOKUP($L41,'⚪设计'!$B$85:$H$104,4,FALSE)*$M41)+IF($Q41="",0,VLOOKUP($Q41,'⚪设计'!$B$85:$H$104,4,FALSE)*$R41)+IF($V41="",0,VLOOKUP($V41,'⚪设计'!$B$85:$H$104,4,FALSE)*$W41))*IF(G41="",0,VLOOKUP(G41,'⚪设计'!$B$85:$H$104,4,FALSE)),0))</f>
        <v>545</v>
      </c>
      <c r="K41" s="97">
        <f>IF(G41="","",ROUND(VLOOKUP($B41,战斗节奏!$A$4:$F$13,2,FALSE)/(IF($G41="",0,VLOOKUP($G41,'⚪设计'!$B$85:$H$104,5,FALSE)*$H41)+IF($L41="",0,VLOOKUP($L41,'⚪设计'!$B$85:$H$104,5,FALSE)*$M41)+IF($Q41="",0,VLOOKUP($Q41,'⚪设计'!$B$85:$H$104,5,FALSE)*$R41)+IF($V41="",0,VLOOKUP($V41,'⚪设计'!$B$85:$H$104,5,FALSE)*$W41))*IF(G41="",0,VLOOKUP(G41,'⚪设计'!$B$85:$H$104,5,FALSE)),0))</f>
        <v>20</v>
      </c>
      <c r="L41" s="97" t="str">
        <f>IF(VLOOKUP($A41,'⚪设计'!$A$135:$N$184,8,FALSE)="","",VLOOKUP($A41,'⚪设计'!$A$135:$N$184,8,FALSE))</f>
        <v>蝙蝠1</v>
      </c>
      <c r="M41" s="97">
        <f t="shared" si="2"/>
        <v>58</v>
      </c>
      <c r="N41" s="97">
        <f>IF(VLOOKUP($A41,'⚪设计'!$A$135:$N$184,12,FALSE)="","",VLOOKUP($A41,'⚪设计'!$A$135:$N$184,12,FALSE))</f>
        <v>0.3</v>
      </c>
      <c r="O41" s="97">
        <f>IF(L41="","",ROUND($D41*'⚪设计'!$D173/(IF($G41="",0,VLOOKUP($G41,'⚪设计'!$B$85:$H$104,4,FALSE)*$H41)+IF($L41="",0,VLOOKUP($L41,'⚪设计'!$B$85:$H$104,4,FALSE)*$M41)+IF($Q41="",0,VLOOKUP($Q41,'⚪设计'!$B$85:$H$104,4,FALSE)*$R41)+IF($V41="",0,VLOOKUP($V41,'⚪设计'!$B$85:$H$104,4,FALSE)*$W41))*IF(L41="",0,VLOOKUP(L41,'⚪设计'!$B$85:$H$104,4,FALSE)),0))</f>
        <v>91</v>
      </c>
      <c r="P41" s="97">
        <f>IF(L41="","",ROUND(VLOOKUP($B41,战斗节奏!$A$4:$F$13,2,FALSE)/(IF($G41="",0,VLOOKUP($G41,'⚪设计'!$B$85:$H$104,5,FALSE)*$H41)+IF($L41="",0,VLOOKUP($L41,'⚪设计'!$B$85:$H$104,5,FALSE)*$M41)+IF($Q41="",0,VLOOKUP($Q41,'⚪设计'!$B$85:$H$104,5,FALSE)*$R41)+IF($V41="",0,VLOOKUP($V41,'⚪设计'!$B$85:$H$104,5,FALSE)*$W41))*IF(L41="",0,VLOOKUP(L41,'⚪设计'!$B$85:$H$104,5,FALSE)),0))</f>
        <v>5</v>
      </c>
      <c r="Q41" s="97" t="str">
        <f>IF(VLOOKUP($A41,'⚪设计'!$A$135:$N$184,9,FALSE)="","",VLOOKUP($A41,'⚪设计'!$A$135:$N$184,9,FALSE))</f>
        <v>蜘蛛1</v>
      </c>
      <c r="R41" s="97">
        <f t="shared" si="3"/>
        <v>18</v>
      </c>
      <c r="S41" s="97">
        <f>IF(VLOOKUP($A41,'⚪设计'!$A$135:$N$184,13,FALSE)="","",VLOOKUP($A41,'⚪设计'!$A$135:$N$184,13,FALSE))</f>
        <v>1</v>
      </c>
      <c r="T41" s="97">
        <f>IF(Q41="","",ROUND($D41*'⚪设计'!$D173/(IF($G41="",0,VLOOKUP($G41,'⚪设计'!$B$85:$H$104,4,FALSE)*$H41)+IF($L41="",0,VLOOKUP($L41,'⚪设计'!$B$85:$H$104,4,FALSE)*$M41)+IF($Q41="",0,VLOOKUP($Q41,'⚪设计'!$B$85:$H$104,4,FALSE)*$R41)+IF($V41="",0,VLOOKUP($V41,'⚪设计'!$B$85:$H$104,4,FALSE)*$W41))*IF(Q41="",0,VLOOKUP(Q41,'⚪设计'!$B$85:$H$104,4,FALSE)),0))</f>
        <v>182</v>
      </c>
      <c r="U41" s="97">
        <f>IF(Q41="","",ROUND(VLOOKUP($B41,战斗节奏!$A$4:$F$13,2,FALSE)/(IF($G41="",0,VLOOKUP($G41,'⚪设计'!$B$85:$H$104,5,FALSE)*$H41)+IF($L41="",0,VLOOKUP($L41,'⚪设计'!$B$85:$H$104,5,FALSE)*$M41)+IF($Q41="",0,VLOOKUP($Q41,'⚪设计'!$B$85:$H$104,5,FALSE)*$R41)+IF($V41="",0,VLOOKUP($V41,'⚪设计'!$B$85:$H$104,5,FALSE)*$W41))*IF(Q41="",0,VLOOKUP(Q41,'⚪设计'!$B$85:$H$104,5,FALSE)),0))</f>
        <v>10</v>
      </c>
      <c r="V41" s="97" t="str">
        <f>IF(VLOOKUP($A41,'⚪设计'!$A$135:$N$184,10,FALSE)="","",VLOOKUP($A41,'⚪设计'!$A$135:$N$184,10,FALSE))</f>
        <v>鸟2</v>
      </c>
      <c r="W41" s="97">
        <f t="shared" si="4"/>
        <v>4</v>
      </c>
      <c r="X41" s="97">
        <f>IF(VLOOKUP($A41,'⚪设计'!$A$135:$N$184,14,FALSE)="","",VLOOKUP($A41,'⚪设计'!$A$135:$N$184,14,FALSE))</f>
        <v>4</v>
      </c>
      <c r="Y41" s="97">
        <f>IF(V41="","",ROUND($D41*'⚪设计'!$D173/(IF($G41="",0,VLOOKUP($G41,'⚪设计'!$B$85:$H$104,4,FALSE)*$H41)+IF($L41="",0,VLOOKUP($L41,'⚪设计'!$B$85:$H$104,4,FALSE)*$M41)+IF($Q41="",0,VLOOKUP($Q41,'⚪设计'!$B$85:$H$104,4,FALSE)*$R41)+IF($V41="",0,VLOOKUP($V41,'⚪设计'!$B$85:$H$104,4,FALSE)*$W41))*IF(V41="",0,VLOOKUP(V41,'⚪设计'!$B$85:$H$104,4,FALSE)),0))</f>
        <v>726</v>
      </c>
      <c r="Z41" s="97">
        <f>IF(V41="","",ROUND(VLOOKUP($B41,战斗节奏!$A$4:$F$13,2,FALSE)/(IF($G41="",0,VLOOKUP($G41,'⚪设计'!$B$85:$H$104,5,FALSE)*$H41)+IF($L41="",0,VLOOKUP($L41,'⚪设计'!$B$85:$H$104,5,FALSE)*$M41)+IF($Q41="",0,VLOOKUP($Q41,'⚪设计'!$B$85:$H$104,5,FALSE)*$R41)+IF($V41="",0,VLOOKUP($V41,'⚪设计'!$B$85:$H$104,5,FALSE)*$W41))*IF(V41="",0,VLOOKUP(V41,'⚪设计'!$B$85:$H$104,5,FALSE)),0))</f>
        <v>20</v>
      </c>
    </row>
    <row r="42" spans="1:26" x14ac:dyDescent="0.2">
      <c r="A42" s="2" t="str">
        <f t="shared" si="0"/>
        <v>8_5</v>
      </c>
      <c r="B42" s="2">
        <v>8</v>
      </c>
      <c r="C42" s="2">
        <v>5</v>
      </c>
      <c r="D42" s="97">
        <f>VLOOKUP(C42,无限模式!$A$3:$B$22,2,FALSE)</f>
        <v>5400</v>
      </c>
      <c r="E42" s="98">
        <v>1</v>
      </c>
      <c r="F42" s="97">
        <f>'⚪设计'!F174</f>
        <v>20</v>
      </c>
      <c r="G42" s="97" t="str">
        <f>IF(VLOOKUP($A42,'⚪设计'!$A$135:$N$184,7,FALSE)="","",VLOOKUP($A42,'⚪设计'!$A$135:$N$184,7,FALSE))</f>
        <v>种子1</v>
      </c>
      <c r="H42" s="97">
        <f t="shared" si="1"/>
        <v>20</v>
      </c>
      <c r="I42" s="97">
        <f>IF(VLOOKUP($A42,'⚪设计'!$A$135:$N$184,11,FALSE)="","",VLOOKUP($A42,'⚪设计'!$A$135:$N$184,11,FALSE))</f>
        <v>1</v>
      </c>
      <c r="J42" s="97">
        <f>IF(G42="","",ROUND($D42*'⚪设计'!$D174/(IF($G42="",0,VLOOKUP($G42,'⚪设计'!$B$85:$H$104,4,FALSE)*$H42)+IF($L42="",0,VLOOKUP($L42,'⚪设计'!$B$85:$H$104,4,FALSE)*$M42)+IF($Q42="",0,VLOOKUP($Q42,'⚪设计'!$B$85:$H$104,4,FALSE)*$R42)+IF($V42="",0,VLOOKUP($V42,'⚪设计'!$B$85:$H$104,4,FALSE)*$W42))*IF(G42="",0,VLOOKUP(G42,'⚪设计'!$B$85:$H$104,4,FALSE)),0))</f>
        <v>284</v>
      </c>
      <c r="K42" s="97">
        <f>IF(G42="","",ROUND(VLOOKUP($B42,战斗节奏!$A$4:$F$13,2,FALSE)/(IF($G42="",0,VLOOKUP($G42,'⚪设计'!$B$85:$H$104,5,FALSE)*$H42)+IF($L42="",0,VLOOKUP($L42,'⚪设计'!$B$85:$H$104,5,FALSE)*$M42)+IF($Q42="",0,VLOOKUP($Q42,'⚪设计'!$B$85:$H$104,5,FALSE)*$R42)+IF($V42="",0,VLOOKUP($V42,'⚪设计'!$B$85:$H$104,5,FALSE)*$W42))*IF(G42="",0,VLOOKUP(G42,'⚪设计'!$B$85:$H$104,5,FALSE)),0))</f>
        <v>9</v>
      </c>
      <c r="L42" s="97" t="str">
        <f>IF(VLOOKUP($A42,'⚪设计'!$A$135:$N$184,8,FALSE)="","",VLOOKUP($A42,'⚪设计'!$A$135:$N$184,8,FALSE))</f>
        <v>蜜蜂2</v>
      </c>
      <c r="M42" s="97">
        <f t="shared" si="2"/>
        <v>20</v>
      </c>
      <c r="N42" s="97">
        <f>IF(VLOOKUP($A42,'⚪设计'!$A$135:$N$184,12,FALSE)="","",VLOOKUP($A42,'⚪设计'!$A$135:$N$184,12,FALSE))</f>
        <v>1</v>
      </c>
      <c r="O42" s="97">
        <f>IF(L42="","",ROUND($D42*'⚪设计'!$D174/(IF($G42="",0,VLOOKUP($G42,'⚪设计'!$B$85:$H$104,4,FALSE)*$H42)+IF($L42="",0,VLOOKUP($L42,'⚪设计'!$B$85:$H$104,4,FALSE)*$M42)+IF($Q42="",0,VLOOKUP($Q42,'⚪设计'!$B$85:$H$104,4,FALSE)*$R42)+IF($V42="",0,VLOOKUP($V42,'⚪设计'!$B$85:$H$104,4,FALSE)*$W42))*IF(L42="",0,VLOOKUP(L42,'⚪设计'!$B$85:$H$104,4,FALSE)),0))</f>
        <v>189</v>
      </c>
      <c r="P42" s="97">
        <f>IF(L42="","",ROUND(VLOOKUP($B42,战斗节奏!$A$4:$F$13,2,FALSE)/(IF($G42="",0,VLOOKUP($G42,'⚪设计'!$B$85:$H$104,5,FALSE)*$H42)+IF($L42="",0,VLOOKUP($L42,'⚪设计'!$B$85:$H$104,5,FALSE)*$M42)+IF($Q42="",0,VLOOKUP($Q42,'⚪设计'!$B$85:$H$104,5,FALSE)*$R42)+IF($V42="",0,VLOOKUP($V42,'⚪设计'!$B$85:$H$104,5,FALSE)*$W42))*IF(L42="",0,VLOOKUP(L42,'⚪设计'!$B$85:$H$104,5,FALSE)),0))</f>
        <v>9</v>
      </c>
      <c r="Q42" s="97" t="str">
        <f>IF(VLOOKUP($A42,'⚪设计'!$A$135:$N$184,9,FALSE)="","",VLOOKUP($A42,'⚪设计'!$A$135:$N$184,9,FALSE))</f>
        <v>蜘蛛1</v>
      </c>
      <c r="R42" s="97">
        <f t="shared" si="3"/>
        <v>67</v>
      </c>
      <c r="S42" s="97">
        <f>IF(VLOOKUP($A42,'⚪设计'!$A$135:$N$184,13,FALSE)="","",VLOOKUP($A42,'⚪设计'!$A$135:$N$184,13,FALSE))</f>
        <v>0.3</v>
      </c>
      <c r="T42" s="97">
        <f>IF(Q42="","",ROUND($D42*'⚪设计'!$D174/(IF($G42="",0,VLOOKUP($G42,'⚪设计'!$B$85:$H$104,4,FALSE)*$H42)+IF($L42="",0,VLOOKUP($L42,'⚪设计'!$B$85:$H$104,4,FALSE)*$M42)+IF($Q42="",0,VLOOKUP($Q42,'⚪设计'!$B$85:$H$104,4,FALSE)*$R42)+IF($V42="",0,VLOOKUP($V42,'⚪设计'!$B$85:$H$104,4,FALSE)*$W42))*IF(Q42="",0,VLOOKUP(Q42,'⚪设计'!$B$85:$H$104,4,FALSE)),0))</f>
        <v>95</v>
      </c>
      <c r="U42" s="97">
        <f>IF(Q42="","",ROUND(VLOOKUP($B42,战斗节奏!$A$4:$F$13,2,FALSE)/(IF($G42="",0,VLOOKUP($G42,'⚪设计'!$B$85:$H$104,5,FALSE)*$H42)+IF($L42="",0,VLOOKUP($L42,'⚪设计'!$B$85:$H$104,5,FALSE)*$M42)+IF($Q42="",0,VLOOKUP($Q42,'⚪设计'!$B$85:$H$104,5,FALSE)*$R42)+IF($V42="",0,VLOOKUP($V42,'⚪设计'!$B$85:$H$104,5,FALSE)*$W42))*IF(Q42="",0,VLOOKUP(Q42,'⚪设计'!$B$85:$H$104,5,FALSE)),0))</f>
        <v>4</v>
      </c>
      <c r="V42" s="97" t="str">
        <f>IF(VLOOKUP($A42,'⚪设计'!$A$135:$N$184,10,FALSE)="","",VLOOKUP($A42,'⚪设计'!$A$135:$N$184,10,FALSE))</f>
        <v>鸟2</v>
      </c>
      <c r="W42" s="97">
        <f t="shared" si="4"/>
        <v>10</v>
      </c>
      <c r="X42" s="97">
        <f>IF(VLOOKUP($A42,'⚪设计'!$A$135:$N$184,14,FALSE)="","",VLOOKUP($A42,'⚪设计'!$A$135:$N$184,14,FALSE))</f>
        <v>2</v>
      </c>
      <c r="Y42" s="97">
        <f>IF(V42="","",ROUND($D42*'⚪设计'!$D174/(IF($G42="",0,VLOOKUP($G42,'⚪设计'!$B$85:$H$104,4,FALSE)*$H42)+IF($L42="",0,VLOOKUP($L42,'⚪设计'!$B$85:$H$104,4,FALSE)*$M42)+IF($Q42="",0,VLOOKUP($Q42,'⚪设计'!$B$85:$H$104,4,FALSE)*$R42)+IF($V42="",0,VLOOKUP($V42,'⚪设计'!$B$85:$H$104,4,FALSE)*$W42))*IF(V42="",0,VLOOKUP(V42,'⚪设计'!$B$85:$H$104,4,FALSE)),0))</f>
        <v>379</v>
      </c>
      <c r="Z42" s="97">
        <f>IF(V42="","",ROUND(VLOOKUP($B42,战斗节奏!$A$4:$F$13,2,FALSE)/(IF($G42="",0,VLOOKUP($G42,'⚪设计'!$B$85:$H$104,5,FALSE)*$H42)+IF($L42="",0,VLOOKUP($L42,'⚪设计'!$B$85:$H$104,5,FALSE)*$M42)+IF($Q42="",0,VLOOKUP($Q42,'⚪设计'!$B$85:$H$104,5,FALSE)*$R42)+IF($V42="",0,VLOOKUP($V42,'⚪设计'!$B$85:$H$104,5,FALSE)*$W42))*IF(V42="",0,VLOOKUP(V42,'⚪设计'!$B$85:$H$104,5,FALSE)),0))</f>
        <v>9</v>
      </c>
    </row>
    <row r="43" spans="1:26" x14ac:dyDescent="0.2">
      <c r="A43" s="2" t="str">
        <f t="shared" si="0"/>
        <v>9_1</v>
      </c>
      <c r="B43" s="2">
        <v>9</v>
      </c>
      <c r="C43" s="2">
        <v>1</v>
      </c>
      <c r="D43" s="97">
        <f>VLOOKUP(C43,无限模式!$A$3:$B$22,2,FALSE)</f>
        <v>900</v>
      </c>
      <c r="E43" s="98">
        <v>1</v>
      </c>
      <c r="F43" s="97">
        <f>'⚪设计'!F175</f>
        <v>10</v>
      </c>
      <c r="G43" s="97" t="str">
        <f>IF(VLOOKUP($A43,'⚪设计'!$A$135:$N$184,7,FALSE)="","",VLOOKUP($A43,'⚪设计'!$A$135:$N$184,7,FALSE))</f>
        <v>鬼1</v>
      </c>
      <c r="H43" s="97">
        <f t="shared" si="1"/>
        <v>7</v>
      </c>
      <c r="I43" s="97">
        <f>IF(VLOOKUP($A43,'⚪设计'!$A$135:$N$184,11,FALSE)="","",VLOOKUP($A43,'⚪设计'!$A$135:$N$184,11,FALSE))</f>
        <v>1.5</v>
      </c>
      <c r="J43" s="97">
        <f>IF(G43="","",ROUND($D43*'⚪设计'!$D175/(IF($G43="",0,VLOOKUP($G43,'⚪设计'!$B$85:$H$104,4,FALSE)*$H43)+IF($L43="",0,VLOOKUP($L43,'⚪设计'!$B$85:$H$104,4,FALSE)*$M43)+IF($Q43="",0,VLOOKUP($Q43,'⚪设计'!$B$85:$H$104,4,FALSE)*$R43)+IF($V43="",0,VLOOKUP($V43,'⚪设计'!$B$85:$H$104,4,FALSE)*$W43))*IF(G43="",0,VLOOKUP(G43,'⚪设计'!$B$85:$H$104,4,FALSE)),0))</f>
        <v>133</v>
      </c>
      <c r="K43" s="97">
        <f>IF(G43="","",ROUND(VLOOKUP($B43,战斗节奏!$A$4:$F$13,2,FALSE)/(IF($G43="",0,VLOOKUP($G43,'⚪设计'!$B$85:$H$104,5,FALSE)*$H43)+IF($L43="",0,VLOOKUP($L43,'⚪设计'!$B$85:$H$104,5,FALSE)*$M43)+IF($Q43="",0,VLOOKUP($Q43,'⚪设计'!$B$85:$H$104,5,FALSE)*$R43)+IF($V43="",0,VLOOKUP($V43,'⚪设计'!$B$85:$H$104,5,FALSE)*$W43))*IF(G43="",0,VLOOKUP(G43,'⚪设计'!$B$85:$H$104,5,FALSE)),0))</f>
        <v>80</v>
      </c>
      <c r="L43" s="97" t="str">
        <f>IF(VLOOKUP($A43,'⚪设计'!$A$135:$N$184,8,FALSE)="","",VLOOKUP($A43,'⚪设计'!$A$135:$N$184,8,FALSE))</f>
        <v>鸟2</v>
      </c>
      <c r="M43" s="97">
        <f t="shared" si="2"/>
        <v>1</v>
      </c>
      <c r="N43" s="97">
        <f>IF(VLOOKUP($A43,'⚪设计'!$A$135:$N$184,12,FALSE)="","",VLOOKUP($A43,'⚪设计'!$A$135:$N$184,12,FALSE))</f>
        <v>0</v>
      </c>
      <c r="O43" s="97">
        <f>IF(L43="","",ROUND($D43*'⚪设计'!$D175/(IF($G43="",0,VLOOKUP($G43,'⚪设计'!$B$85:$H$104,4,FALSE)*$H43)+IF($L43="",0,VLOOKUP($L43,'⚪设计'!$B$85:$H$104,4,FALSE)*$M43)+IF($Q43="",0,VLOOKUP($Q43,'⚪设计'!$B$85:$H$104,4,FALSE)*$R43)+IF($V43="",0,VLOOKUP($V43,'⚪设计'!$B$85:$H$104,4,FALSE)*$W43))*IF(L43="",0,VLOOKUP(L43,'⚪设计'!$B$85:$H$104,4,FALSE)),0))</f>
        <v>531</v>
      </c>
      <c r="P43" s="97">
        <f>IF(L43="","",ROUND(VLOOKUP($B43,战斗节奏!$A$4:$F$13,2,FALSE)/(IF($G43="",0,VLOOKUP($G43,'⚪设计'!$B$85:$H$104,5,FALSE)*$H43)+IF($L43="",0,VLOOKUP($L43,'⚪设计'!$B$85:$H$104,5,FALSE)*$M43)+IF($Q43="",0,VLOOKUP($Q43,'⚪设计'!$B$85:$H$104,5,FALSE)*$R43)+IF($V43="",0,VLOOKUP($V43,'⚪设计'!$B$85:$H$104,5,FALSE)*$W43))*IF(L43="",0,VLOOKUP(L43,'⚪设计'!$B$85:$H$104,5,FALSE)),0))</f>
        <v>160</v>
      </c>
      <c r="Q43" s="97" t="str">
        <f>IF(VLOOKUP($A43,'⚪设计'!$A$135:$N$184,9,FALSE)="","",VLOOKUP($A43,'⚪设计'!$A$135:$N$184,9,FALSE))</f>
        <v/>
      </c>
      <c r="R43" s="97" t="str">
        <f t="shared" si="3"/>
        <v/>
      </c>
      <c r="S43" s="97" t="str">
        <f>IF(VLOOKUP($A43,'⚪设计'!$A$135:$N$184,13,FALSE)="","",VLOOKUP($A43,'⚪设计'!$A$135:$N$184,13,FALSE))</f>
        <v/>
      </c>
      <c r="T43" s="97" t="str">
        <f>IF(Q43="","",ROUND($D43*'⚪设计'!$D175/(IF($G43="",0,VLOOKUP($G43,'⚪设计'!$B$85:$H$104,4,FALSE)*$H43)+IF($L43="",0,VLOOKUP($L43,'⚪设计'!$B$85:$H$104,4,FALSE)*$M43)+IF($Q43="",0,VLOOKUP($Q43,'⚪设计'!$B$85:$H$104,4,FALSE)*$R43)+IF($V43="",0,VLOOKUP($V43,'⚪设计'!$B$85:$H$104,4,FALSE)*$W43))*IF(Q43="",0,VLOOKUP(Q43,'⚪设计'!$B$85:$H$104,4,FALSE)),0))</f>
        <v/>
      </c>
      <c r="U43" s="97" t="str">
        <f>IF(Q43="","",ROUND(VLOOKUP($B43,战斗节奏!$A$4:$F$13,2,FALSE)/(IF($G43="",0,VLOOKUP($G43,'⚪设计'!$B$85:$H$104,5,FALSE)*$H43)+IF($L43="",0,VLOOKUP($L43,'⚪设计'!$B$85:$H$104,5,FALSE)*$M43)+IF($Q43="",0,VLOOKUP($Q43,'⚪设计'!$B$85:$H$104,5,FALSE)*$R43)+IF($V43="",0,VLOOKUP($V43,'⚪设计'!$B$85:$H$104,5,FALSE)*$W43))*IF(Q43="",0,VLOOKUP(Q43,'⚪设计'!$B$85:$H$104,5,FALSE)),0))</f>
        <v/>
      </c>
      <c r="V43" s="97" t="str">
        <f>IF(VLOOKUP($A43,'⚪设计'!$A$135:$N$184,10,FALSE)="","",VLOOKUP($A43,'⚪设计'!$A$135:$N$184,10,FALSE))</f>
        <v/>
      </c>
      <c r="W43" s="97" t="str">
        <f t="shared" si="4"/>
        <v/>
      </c>
      <c r="X43" s="97" t="str">
        <f>IF(VLOOKUP($A43,'⚪设计'!$A$135:$N$184,14,FALSE)="","",VLOOKUP($A43,'⚪设计'!$A$135:$N$184,14,FALSE))</f>
        <v/>
      </c>
      <c r="Y43" s="97" t="str">
        <f>IF(V43="","",ROUND($D43*'⚪设计'!$D175/(IF($G43="",0,VLOOKUP($G43,'⚪设计'!$B$85:$H$104,4,FALSE)*$H43)+IF($L43="",0,VLOOKUP($L43,'⚪设计'!$B$85:$H$104,4,FALSE)*$M43)+IF($Q43="",0,VLOOKUP($Q43,'⚪设计'!$B$85:$H$104,4,FALSE)*$R43)+IF($V43="",0,VLOOKUP($V43,'⚪设计'!$B$85:$H$104,4,FALSE)*$W43))*IF(V43="",0,VLOOKUP(V43,'⚪设计'!$B$85:$H$104,4,FALSE)),0))</f>
        <v/>
      </c>
      <c r="Z43" s="97" t="str">
        <f>IF(V43="","",ROUND(VLOOKUP($B43,战斗节奏!$A$4:$F$13,2,FALSE)/(IF($G43="",0,VLOOKUP($G43,'⚪设计'!$B$85:$H$104,5,FALSE)*$H43)+IF($L43="",0,VLOOKUP($L43,'⚪设计'!$B$85:$H$104,5,FALSE)*$M43)+IF($Q43="",0,VLOOKUP($Q43,'⚪设计'!$B$85:$H$104,5,FALSE)*$R43)+IF($V43="",0,VLOOKUP($V43,'⚪设计'!$B$85:$H$104,5,FALSE)*$W43))*IF(V43="",0,VLOOKUP(V43,'⚪设计'!$B$85:$H$104,5,FALSE)),0))</f>
        <v/>
      </c>
    </row>
    <row r="44" spans="1:26" x14ac:dyDescent="0.2">
      <c r="A44" s="2" t="str">
        <f t="shared" si="0"/>
        <v>9_2</v>
      </c>
      <c r="B44" s="2">
        <v>9</v>
      </c>
      <c r="C44" s="2">
        <v>2</v>
      </c>
      <c r="D44" s="97">
        <f>VLOOKUP(C44,无限模式!$A$3:$B$22,2,FALSE)</f>
        <v>1800</v>
      </c>
      <c r="E44" s="98">
        <v>1</v>
      </c>
      <c r="F44" s="97">
        <f>'⚪设计'!F176</f>
        <v>12.5</v>
      </c>
      <c r="G44" s="97" t="str">
        <f>IF(VLOOKUP($A44,'⚪设计'!$A$135:$N$184,7,FALSE)="","",VLOOKUP($A44,'⚪设计'!$A$135:$N$184,7,FALSE))</f>
        <v>鬼1</v>
      </c>
      <c r="H44" s="97">
        <f t="shared" si="1"/>
        <v>8</v>
      </c>
      <c r="I44" s="97">
        <f>IF(VLOOKUP($A44,'⚪设计'!$A$135:$N$184,11,FALSE)="","",VLOOKUP($A44,'⚪设计'!$A$135:$N$184,11,FALSE))</f>
        <v>1.5</v>
      </c>
      <c r="J44" s="97">
        <f>IF(G44="","",ROUND($D44*'⚪设计'!$D176/(IF($G44="",0,VLOOKUP($G44,'⚪设计'!$B$85:$H$104,4,FALSE)*$H44)+IF($L44="",0,VLOOKUP($L44,'⚪设计'!$B$85:$H$104,4,FALSE)*$M44)+IF($Q44="",0,VLOOKUP($Q44,'⚪设计'!$B$85:$H$104,4,FALSE)*$R44)+IF($V44="",0,VLOOKUP($V44,'⚪设计'!$B$85:$H$104,4,FALSE)*$W44))*IF(G44="",0,VLOOKUP(G44,'⚪设计'!$B$85:$H$104,4,FALSE)),0))</f>
        <v>83</v>
      </c>
      <c r="K44" s="97">
        <f>IF(G44="","",ROUND(VLOOKUP($B44,战斗节奏!$A$4:$F$13,2,FALSE)/(IF($G44="",0,VLOOKUP($G44,'⚪设计'!$B$85:$H$104,5,FALSE)*$H44)+IF($L44="",0,VLOOKUP($L44,'⚪设计'!$B$85:$H$104,5,FALSE)*$M44)+IF($Q44="",0,VLOOKUP($Q44,'⚪设计'!$B$85:$H$104,5,FALSE)*$R44)+IF($V44="",0,VLOOKUP($V44,'⚪设计'!$B$85:$H$104,5,FALSE)*$W44))*IF(G44="",0,VLOOKUP(G44,'⚪设计'!$B$85:$H$104,5,FALSE)),0))</f>
        <v>11</v>
      </c>
      <c r="L44" s="97" t="str">
        <f>IF(VLOOKUP($A44,'⚪设计'!$A$135:$N$184,8,FALSE)="","",VLOOKUP($A44,'⚪设计'!$A$135:$N$184,8,FALSE))</f>
        <v>蜜蜂2</v>
      </c>
      <c r="M44" s="97">
        <f t="shared" si="2"/>
        <v>25</v>
      </c>
      <c r="N44" s="97">
        <f>IF(VLOOKUP($A44,'⚪设计'!$A$135:$N$184,12,FALSE)="","",VLOOKUP($A44,'⚪设计'!$A$135:$N$184,12,FALSE))</f>
        <v>0.5</v>
      </c>
      <c r="O44" s="97">
        <f>IF(L44="","",ROUND($D44*'⚪设计'!$D176/(IF($G44="",0,VLOOKUP($G44,'⚪设计'!$B$85:$H$104,4,FALSE)*$H44)+IF($L44="",0,VLOOKUP($L44,'⚪设计'!$B$85:$H$104,4,FALSE)*$M44)+IF($Q44="",0,VLOOKUP($Q44,'⚪设计'!$B$85:$H$104,4,FALSE)*$R44)+IF($V44="",0,VLOOKUP($V44,'⚪设计'!$B$85:$H$104,4,FALSE)*$W44))*IF(L44="",0,VLOOKUP(L44,'⚪设计'!$B$85:$H$104,4,FALSE)),0))</f>
        <v>167</v>
      </c>
      <c r="P44" s="97">
        <f>IF(L44="","",ROUND(VLOOKUP($B44,战斗节奏!$A$4:$F$13,2,FALSE)/(IF($G44="",0,VLOOKUP($G44,'⚪设计'!$B$85:$H$104,5,FALSE)*$H44)+IF($L44="",0,VLOOKUP($L44,'⚪设计'!$B$85:$H$104,5,FALSE)*$M44)+IF($Q44="",0,VLOOKUP($Q44,'⚪设计'!$B$85:$H$104,5,FALSE)*$R44)+IF($V44="",0,VLOOKUP($V44,'⚪设计'!$B$85:$H$104,5,FALSE)*$W44))*IF(L44="",0,VLOOKUP(L44,'⚪设计'!$B$85:$H$104,5,FALSE)),0))</f>
        <v>23</v>
      </c>
      <c r="Q44" s="97" t="str">
        <f>IF(VLOOKUP($A44,'⚪设计'!$A$135:$N$184,9,FALSE)="","",VLOOKUP($A44,'⚪设计'!$A$135:$N$184,9,FALSE))</f>
        <v>鸟2</v>
      </c>
      <c r="R44" s="97">
        <f t="shared" si="3"/>
        <v>3</v>
      </c>
      <c r="S44" s="97">
        <f>IF(VLOOKUP($A44,'⚪设计'!$A$135:$N$184,13,FALSE)="","",VLOOKUP($A44,'⚪设计'!$A$135:$N$184,13,FALSE))</f>
        <v>4</v>
      </c>
      <c r="T44" s="97">
        <f>IF(Q44="","",ROUND($D44*'⚪设计'!$D176/(IF($G44="",0,VLOOKUP($G44,'⚪设计'!$B$85:$H$104,4,FALSE)*$H44)+IF($L44="",0,VLOOKUP($L44,'⚪设计'!$B$85:$H$104,4,FALSE)*$M44)+IF($Q44="",0,VLOOKUP($Q44,'⚪设计'!$B$85:$H$104,4,FALSE)*$R44)+IF($V44="",0,VLOOKUP($V44,'⚪设计'!$B$85:$H$104,4,FALSE)*$W44))*IF(Q44="",0,VLOOKUP(Q44,'⚪设计'!$B$85:$H$104,4,FALSE)),0))</f>
        <v>334</v>
      </c>
      <c r="U44" s="97">
        <f>IF(Q44="","",ROUND(VLOOKUP($B44,战斗节奏!$A$4:$F$13,2,FALSE)/(IF($G44="",0,VLOOKUP($G44,'⚪设计'!$B$85:$H$104,5,FALSE)*$H44)+IF($L44="",0,VLOOKUP($L44,'⚪设计'!$B$85:$H$104,5,FALSE)*$M44)+IF($Q44="",0,VLOOKUP($Q44,'⚪设计'!$B$85:$H$104,5,FALSE)*$R44)+IF($V44="",0,VLOOKUP($V44,'⚪设计'!$B$85:$H$104,5,FALSE)*$W44))*IF(Q44="",0,VLOOKUP(Q44,'⚪设计'!$B$85:$H$104,5,FALSE)),0))</f>
        <v>23</v>
      </c>
      <c r="V44" s="97" t="str">
        <f>IF(VLOOKUP($A44,'⚪设计'!$A$135:$N$184,10,FALSE)="","",VLOOKUP($A44,'⚪设计'!$A$135:$N$184,10,FALSE))</f>
        <v/>
      </c>
      <c r="W44" s="97" t="str">
        <f t="shared" si="4"/>
        <v/>
      </c>
      <c r="X44" s="97" t="str">
        <f>IF(VLOOKUP($A44,'⚪设计'!$A$135:$N$184,14,FALSE)="","",VLOOKUP($A44,'⚪设计'!$A$135:$N$184,14,FALSE))</f>
        <v/>
      </c>
      <c r="Y44" s="97" t="str">
        <f>IF(V44="","",ROUND($D44*'⚪设计'!$D176/(IF($G44="",0,VLOOKUP($G44,'⚪设计'!$B$85:$H$104,4,FALSE)*$H44)+IF($L44="",0,VLOOKUP($L44,'⚪设计'!$B$85:$H$104,4,FALSE)*$M44)+IF($Q44="",0,VLOOKUP($Q44,'⚪设计'!$B$85:$H$104,4,FALSE)*$R44)+IF($V44="",0,VLOOKUP($V44,'⚪设计'!$B$85:$H$104,4,FALSE)*$W44))*IF(V44="",0,VLOOKUP(V44,'⚪设计'!$B$85:$H$104,4,FALSE)),0))</f>
        <v/>
      </c>
      <c r="Z44" s="97" t="str">
        <f>IF(V44="","",ROUND(VLOOKUP($B44,战斗节奏!$A$4:$F$13,2,FALSE)/(IF($G44="",0,VLOOKUP($G44,'⚪设计'!$B$85:$H$104,5,FALSE)*$H44)+IF($L44="",0,VLOOKUP($L44,'⚪设计'!$B$85:$H$104,5,FALSE)*$M44)+IF($Q44="",0,VLOOKUP($Q44,'⚪设计'!$B$85:$H$104,5,FALSE)*$R44)+IF($V44="",0,VLOOKUP($V44,'⚪设计'!$B$85:$H$104,5,FALSE)*$W44))*IF(V44="",0,VLOOKUP(V44,'⚪设计'!$B$85:$H$104,5,FALSE)),0))</f>
        <v/>
      </c>
    </row>
    <row r="45" spans="1:26" x14ac:dyDescent="0.2">
      <c r="A45" s="2" t="str">
        <f t="shared" si="0"/>
        <v>9_3</v>
      </c>
      <c r="B45" s="2">
        <v>9</v>
      </c>
      <c r="C45" s="2">
        <v>3</v>
      </c>
      <c r="D45" s="97">
        <f>VLOOKUP(C45,无限模式!$A$3:$B$22,2,FALSE)</f>
        <v>3600</v>
      </c>
      <c r="E45" s="98">
        <v>1</v>
      </c>
      <c r="F45" s="97">
        <f>'⚪设计'!F177</f>
        <v>15</v>
      </c>
      <c r="G45" s="97" t="str">
        <f>IF(VLOOKUP($A45,'⚪设计'!$A$135:$N$184,7,FALSE)="","",VLOOKUP($A45,'⚪设计'!$A$135:$N$184,7,FALSE))</f>
        <v>鬼1</v>
      </c>
      <c r="H45" s="97">
        <f t="shared" si="1"/>
        <v>10</v>
      </c>
      <c r="I45" s="97">
        <f>IF(VLOOKUP($A45,'⚪设计'!$A$135:$N$184,11,FALSE)="","",VLOOKUP($A45,'⚪设计'!$A$135:$N$184,11,FALSE))</f>
        <v>1.5</v>
      </c>
      <c r="J45" s="97">
        <f>IF(G45="","",ROUND($D45*'⚪设计'!$D177/(IF($G45="",0,VLOOKUP($G45,'⚪设计'!$B$85:$H$104,4,FALSE)*$H45)+IF($L45="",0,VLOOKUP($L45,'⚪设计'!$B$85:$H$104,4,FALSE)*$M45)+IF($Q45="",0,VLOOKUP($Q45,'⚪设计'!$B$85:$H$104,4,FALSE)*$R45)+IF($V45="",0,VLOOKUP($V45,'⚪设计'!$B$85:$H$104,4,FALSE)*$W45))*IF(G45="",0,VLOOKUP(G45,'⚪设计'!$B$85:$H$104,4,FALSE)),0))</f>
        <v>226</v>
      </c>
      <c r="K45" s="97">
        <f>IF(G45="","",ROUND(VLOOKUP($B45,战斗节奏!$A$4:$F$13,2,FALSE)/(IF($G45="",0,VLOOKUP($G45,'⚪设计'!$B$85:$H$104,5,FALSE)*$H45)+IF($L45="",0,VLOOKUP($L45,'⚪设计'!$B$85:$H$104,5,FALSE)*$M45)+IF($Q45="",0,VLOOKUP($Q45,'⚪设计'!$B$85:$H$104,5,FALSE)*$R45)+IF($V45="",0,VLOOKUP($V45,'⚪设计'!$B$85:$H$104,5,FALSE)*$W45))*IF(G45="",0,VLOOKUP(G45,'⚪设计'!$B$85:$H$104,5,FALSE)),0))</f>
        <v>13</v>
      </c>
      <c r="L45" s="97" t="str">
        <f>IF(VLOOKUP($A45,'⚪设计'!$A$135:$N$184,8,FALSE)="","",VLOOKUP($A45,'⚪设计'!$A$135:$N$184,8,FALSE))</f>
        <v>蝙蝠1</v>
      </c>
      <c r="M45" s="97">
        <f t="shared" si="2"/>
        <v>75</v>
      </c>
      <c r="N45" s="97">
        <f>IF(VLOOKUP($A45,'⚪设计'!$A$135:$N$184,12,FALSE)="","",VLOOKUP($A45,'⚪设计'!$A$135:$N$184,12,FALSE))</f>
        <v>0.2</v>
      </c>
      <c r="O45" s="97">
        <f>IF(L45="","",ROUND($D45*'⚪设计'!$D177/(IF($G45="",0,VLOOKUP($G45,'⚪设计'!$B$85:$H$104,4,FALSE)*$H45)+IF($L45="",0,VLOOKUP($L45,'⚪设计'!$B$85:$H$104,4,FALSE)*$M45)+IF($Q45="",0,VLOOKUP($Q45,'⚪设计'!$B$85:$H$104,4,FALSE)*$R45)+IF($V45="",0,VLOOKUP($V45,'⚪设计'!$B$85:$H$104,4,FALSE)*$W45))*IF(L45="",0,VLOOKUP(L45,'⚪设计'!$B$85:$H$104,4,FALSE)),0))</f>
        <v>113</v>
      </c>
      <c r="P45" s="97">
        <f>IF(L45="","",ROUND(VLOOKUP($B45,战斗节奏!$A$4:$F$13,2,FALSE)/(IF($G45="",0,VLOOKUP($G45,'⚪设计'!$B$85:$H$104,5,FALSE)*$H45)+IF($L45="",0,VLOOKUP($L45,'⚪设计'!$B$85:$H$104,5,FALSE)*$M45)+IF($Q45="",0,VLOOKUP($Q45,'⚪设计'!$B$85:$H$104,5,FALSE)*$R45)+IF($V45="",0,VLOOKUP($V45,'⚪设计'!$B$85:$H$104,5,FALSE)*$W45))*IF(L45="",0,VLOOKUP(L45,'⚪设计'!$B$85:$H$104,5,FALSE)),0))</f>
        <v>6</v>
      </c>
      <c r="Q45" s="97" t="str">
        <f>IF(VLOOKUP($A45,'⚪设计'!$A$135:$N$184,9,FALSE)="","",VLOOKUP($A45,'⚪设计'!$A$135:$N$184,9,FALSE))</f>
        <v>鸟2</v>
      </c>
      <c r="R45" s="97">
        <f t="shared" si="3"/>
        <v>4</v>
      </c>
      <c r="S45" s="97">
        <f>IF(VLOOKUP($A45,'⚪设计'!$A$135:$N$184,13,FALSE)="","",VLOOKUP($A45,'⚪设计'!$A$135:$N$184,13,FALSE))</f>
        <v>4</v>
      </c>
      <c r="T45" s="97">
        <f>IF(Q45="","",ROUND($D45*'⚪设计'!$D177/(IF($G45="",0,VLOOKUP($G45,'⚪设计'!$B$85:$H$104,4,FALSE)*$H45)+IF($L45="",0,VLOOKUP($L45,'⚪设计'!$B$85:$H$104,4,FALSE)*$M45)+IF($Q45="",0,VLOOKUP($Q45,'⚪设计'!$B$85:$H$104,4,FALSE)*$R45)+IF($V45="",0,VLOOKUP($V45,'⚪设计'!$B$85:$H$104,4,FALSE)*$W45))*IF(Q45="",0,VLOOKUP(Q45,'⚪设计'!$B$85:$H$104,4,FALSE)),0))</f>
        <v>905</v>
      </c>
      <c r="U45" s="97">
        <f>IF(Q45="","",ROUND(VLOOKUP($B45,战斗节奏!$A$4:$F$13,2,FALSE)/(IF($G45="",0,VLOOKUP($G45,'⚪设计'!$B$85:$H$104,5,FALSE)*$H45)+IF($L45="",0,VLOOKUP($L45,'⚪设计'!$B$85:$H$104,5,FALSE)*$M45)+IF($Q45="",0,VLOOKUP($Q45,'⚪设计'!$B$85:$H$104,5,FALSE)*$R45)+IF($V45="",0,VLOOKUP($V45,'⚪设计'!$B$85:$H$104,5,FALSE)*$W45))*IF(Q45="",0,VLOOKUP(Q45,'⚪设计'!$B$85:$H$104,5,FALSE)),0))</f>
        <v>26</v>
      </c>
      <c r="V45" s="97" t="str">
        <f>IF(VLOOKUP($A45,'⚪设计'!$A$135:$N$184,10,FALSE)="","",VLOOKUP($A45,'⚪设计'!$A$135:$N$184,10,FALSE))</f>
        <v/>
      </c>
      <c r="W45" s="97" t="str">
        <f t="shared" si="4"/>
        <v/>
      </c>
      <c r="X45" s="97" t="str">
        <f>IF(VLOOKUP($A45,'⚪设计'!$A$135:$N$184,14,FALSE)="","",VLOOKUP($A45,'⚪设计'!$A$135:$N$184,14,FALSE))</f>
        <v/>
      </c>
      <c r="Y45" s="97" t="str">
        <f>IF(V45="","",ROUND($D45*'⚪设计'!$D177/(IF($G45="",0,VLOOKUP($G45,'⚪设计'!$B$85:$H$104,4,FALSE)*$H45)+IF($L45="",0,VLOOKUP($L45,'⚪设计'!$B$85:$H$104,4,FALSE)*$M45)+IF($Q45="",0,VLOOKUP($Q45,'⚪设计'!$B$85:$H$104,4,FALSE)*$R45)+IF($V45="",0,VLOOKUP($V45,'⚪设计'!$B$85:$H$104,4,FALSE)*$W45))*IF(V45="",0,VLOOKUP(V45,'⚪设计'!$B$85:$H$104,4,FALSE)),0))</f>
        <v/>
      </c>
      <c r="Z45" s="97" t="str">
        <f>IF(V45="","",ROUND(VLOOKUP($B45,战斗节奏!$A$4:$F$13,2,FALSE)/(IF($G45="",0,VLOOKUP($G45,'⚪设计'!$B$85:$H$104,5,FALSE)*$H45)+IF($L45="",0,VLOOKUP($L45,'⚪设计'!$B$85:$H$104,5,FALSE)*$M45)+IF($Q45="",0,VLOOKUP($Q45,'⚪设计'!$B$85:$H$104,5,FALSE)*$R45)+IF($V45="",0,VLOOKUP($V45,'⚪设计'!$B$85:$H$104,5,FALSE)*$W45))*IF(V45="",0,VLOOKUP(V45,'⚪设计'!$B$85:$H$104,5,FALSE)),0))</f>
        <v/>
      </c>
    </row>
    <row r="46" spans="1:26" x14ac:dyDescent="0.2">
      <c r="A46" s="2" t="str">
        <f t="shared" si="0"/>
        <v>9_4</v>
      </c>
      <c r="B46" s="2">
        <v>9</v>
      </c>
      <c r="C46" s="2">
        <v>4</v>
      </c>
      <c r="D46" s="97">
        <f>VLOOKUP(C46,无限模式!$A$3:$B$22,2,FALSE)</f>
        <v>4500</v>
      </c>
      <c r="E46" s="98">
        <v>1</v>
      </c>
      <c r="F46" s="97">
        <f>'⚪设计'!F178</f>
        <v>17.5</v>
      </c>
      <c r="G46" s="97" t="str">
        <f>IF(VLOOKUP($A46,'⚪设计'!$A$135:$N$184,7,FALSE)="","",VLOOKUP($A46,'⚪设计'!$A$135:$N$184,7,FALSE))</f>
        <v>鬼1</v>
      </c>
      <c r="H46" s="97">
        <f t="shared" si="1"/>
        <v>12</v>
      </c>
      <c r="I46" s="97">
        <f>IF(VLOOKUP($A46,'⚪设计'!$A$135:$N$184,11,FALSE)="","",VLOOKUP($A46,'⚪设计'!$A$135:$N$184,11,FALSE))</f>
        <v>1.5</v>
      </c>
      <c r="J46" s="97">
        <f>IF(G46="","",ROUND($D46*'⚪设计'!$D178/(IF($G46="",0,VLOOKUP($G46,'⚪设计'!$B$85:$H$104,4,FALSE)*$H46)+IF($L46="",0,VLOOKUP($L46,'⚪设计'!$B$85:$H$104,4,FALSE)*$M46)+IF($Q46="",0,VLOOKUP($Q46,'⚪设计'!$B$85:$H$104,4,FALSE)*$R46)+IF($V46="",0,VLOOKUP($V46,'⚪设计'!$B$85:$H$104,4,FALSE)*$W46))*IF(G46="",0,VLOOKUP(G46,'⚪设计'!$B$85:$H$104,4,FALSE)),0))</f>
        <v>250</v>
      </c>
      <c r="K46" s="97">
        <f>IF(G46="","",ROUND(VLOOKUP($B46,战斗节奏!$A$4:$F$13,2,FALSE)/(IF($G46="",0,VLOOKUP($G46,'⚪设计'!$B$85:$H$104,5,FALSE)*$H46)+IF($L46="",0,VLOOKUP($L46,'⚪设计'!$B$85:$H$104,5,FALSE)*$M46)+IF($Q46="",0,VLOOKUP($Q46,'⚪设计'!$B$85:$H$104,5,FALSE)*$R46)+IF($V46="",0,VLOOKUP($V46,'⚪设计'!$B$85:$H$104,5,FALSE)*$W46))*IF(G46="",0,VLOOKUP(G46,'⚪设计'!$B$85:$H$104,5,FALSE)),0))</f>
        <v>11</v>
      </c>
      <c r="L46" s="97" t="str">
        <f>IF(VLOOKUP($A46,'⚪设计'!$A$135:$N$184,8,FALSE)="","",VLOOKUP($A46,'⚪设计'!$A$135:$N$184,8,FALSE))</f>
        <v>蜘蛛1</v>
      </c>
      <c r="M46" s="97">
        <f t="shared" si="2"/>
        <v>44</v>
      </c>
      <c r="N46" s="97">
        <f>IF(VLOOKUP($A46,'⚪设计'!$A$135:$N$184,12,FALSE)="","",VLOOKUP($A46,'⚪设计'!$A$135:$N$184,12,FALSE))</f>
        <v>0.4</v>
      </c>
      <c r="O46" s="97">
        <f>IF(L46="","",ROUND($D46*'⚪设计'!$D178/(IF($G46="",0,VLOOKUP($G46,'⚪设计'!$B$85:$H$104,4,FALSE)*$H46)+IF($L46="",0,VLOOKUP($L46,'⚪设计'!$B$85:$H$104,4,FALSE)*$M46)+IF($Q46="",0,VLOOKUP($Q46,'⚪设计'!$B$85:$H$104,4,FALSE)*$R46)+IF($V46="",0,VLOOKUP($V46,'⚪设计'!$B$85:$H$104,4,FALSE)*$W46))*IF(L46="",0,VLOOKUP(L46,'⚪设计'!$B$85:$H$104,4,FALSE)),0))</f>
        <v>250</v>
      </c>
      <c r="P46" s="97">
        <f>IF(L46="","",ROUND(VLOOKUP($B46,战斗节奏!$A$4:$F$13,2,FALSE)/(IF($G46="",0,VLOOKUP($G46,'⚪设计'!$B$85:$H$104,5,FALSE)*$H46)+IF($L46="",0,VLOOKUP($L46,'⚪设计'!$B$85:$H$104,5,FALSE)*$M46)+IF($Q46="",0,VLOOKUP($Q46,'⚪设计'!$B$85:$H$104,5,FALSE)*$R46)+IF($V46="",0,VLOOKUP($V46,'⚪设计'!$B$85:$H$104,5,FALSE)*$W46))*IF(L46="",0,VLOOKUP(L46,'⚪设计'!$B$85:$H$104,5,FALSE)),0))</f>
        <v>11</v>
      </c>
      <c r="Q46" s="97" t="str">
        <f>IF(VLOOKUP($A46,'⚪设计'!$A$135:$N$184,9,FALSE)="","",VLOOKUP($A46,'⚪设计'!$A$135:$N$184,9,FALSE))</f>
        <v>鸟2</v>
      </c>
      <c r="R46" s="97">
        <f t="shared" si="3"/>
        <v>4</v>
      </c>
      <c r="S46" s="97">
        <f>IF(VLOOKUP($A46,'⚪设计'!$A$135:$N$184,13,FALSE)="","",VLOOKUP($A46,'⚪设计'!$A$135:$N$184,13,FALSE))</f>
        <v>4</v>
      </c>
      <c r="T46" s="97">
        <f>IF(Q46="","",ROUND($D46*'⚪设计'!$D178/(IF($G46="",0,VLOOKUP($G46,'⚪设计'!$B$85:$H$104,4,FALSE)*$H46)+IF($L46="",0,VLOOKUP($L46,'⚪设计'!$B$85:$H$104,4,FALSE)*$M46)+IF($Q46="",0,VLOOKUP($Q46,'⚪设计'!$B$85:$H$104,4,FALSE)*$R46)+IF($V46="",0,VLOOKUP($V46,'⚪设计'!$B$85:$H$104,4,FALSE)*$W46))*IF(Q46="",0,VLOOKUP(Q46,'⚪设计'!$B$85:$H$104,4,FALSE)),0))</f>
        <v>998</v>
      </c>
      <c r="U46" s="97">
        <f>IF(Q46="","",ROUND(VLOOKUP($B46,战斗节奏!$A$4:$F$13,2,FALSE)/(IF($G46="",0,VLOOKUP($G46,'⚪设计'!$B$85:$H$104,5,FALSE)*$H46)+IF($L46="",0,VLOOKUP($L46,'⚪设计'!$B$85:$H$104,5,FALSE)*$M46)+IF($Q46="",0,VLOOKUP($Q46,'⚪设计'!$B$85:$H$104,5,FALSE)*$R46)+IF($V46="",0,VLOOKUP($V46,'⚪设计'!$B$85:$H$104,5,FALSE)*$W46))*IF(Q46="",0,VLOOKUP(Q46,'⚪设计'!$B$85:$H$104,5,FALSE)),0))</f>
        <v>23</v>
      </c>
      <c r="V46" s="97" t="str">
        <f>IF(VLOOKUP($A46,'⚪设计'!$A$135:$N$184,10,FALSE)="","",VLOOKUP($A46,'⚪设计'!$A$135:$N$184,10,FALSE))</f>
        <v/>
      </c>
      <c r="W46" s="97" t="str">
        <f t="shared" si="4"/>
        <v/>
      </c>
      <c r="X46" s="97" t="str">
        <f>IF(VLOOKUP($A46,'⚪设计'!$A$135:$N$184,14,FALSE)="","",VLOOKUP($A46,'⚪设计'!$A$135:$N$184,14,FALSE))</f>
        <v/>
      </c>
      <c r="Y46" s="97" t="str">
        <f>IF(V46="","",ROUND($D46*'⚪设计'!$D178/(IF($G46="",0,VLOOKUP($G46,'⚪设计'!$B$85:$H$104,4,FALSE)*$H46)+IF($L46="",0,VLOOKUP($L46,'⚪设计'!$B$85:$H$104,4,FALSE)*$M46)+IF($Q46="",0,VLOOKUP($Q46,'⚪设计'!$B$85:$H$104,4,FALSE)*$R46)+IF($V46="",0,VLOOKUP($V46,'⚪设计'!$B$85:$H$104,4,FALSE)*$W46))*IF(V46="",0,VLOOKUP(V46,'⚪设计'!$B$85:$H$104,4,FALSE)),0))</f>
        <v/>
      </c>
      <c r="Z46" s="97" t="str">
        <f>IF(V46="","",ROUND(VLOOKUP($B46,战斗节奏!$A$4:$F$13,2,FALSE)/(IF($G46="",0,VLOOKUP($G46,'⚪设计'!$B$85:$H$104,5,FALSE)*$H46)+IF($L46="",0,VLOOKUP($L46,'⚪设计'!$B$85:$H$104,5,FALSE)*$M46)+IF($Q46="",0,VLOOKUP($Q46,'⚪设计'!$B$85:$H$104,5,FALSE)*$R46)+IF($V46="",0,VLOOKUP($V46,'⚪设计'!$B$85:$H$104,5,FALSE)*$W46))*IF(V46="",0,VLOOKUP(V46,'⚪设计'!$B$85:$H$104,5,FALSE)),0))</f>
        <v/>
      </c>
    </row>
    <row r="47" spans="1:26" x14ac:dyDescent="0.2">
      <c r="A47" s="2" t="str">
        <f t="shared" si="0"/>
        <v>9_5</v>
      </c>
      <c r="B47" s="2">
        <v>9</v>
      </c>
      <c r="C47" s="2">
        <v>5</v>
      </c>
      <c r="D47" s="97">
        <f>VLOOKUP(C47,无限模式!$A$3:$B$22,2,FALSE)</f>
        <v>5400</v>
      </c>
      <c r="E47" s="98">
        <v>1</v>
      </c>
      <c r="F47" s="97">
        <f>'⚪设计'!F179</f>
        <v>20</v>
      </c>
      <c r="G47" s="97" t="str">
        <f>IF(VLOOKUP($A47,'⚪设计'!$A$135:$N$184,7,FALSE)="","",VLOOKUP($A47,'⚪设计'!$A$135:$N$184,7,FALSE))</f>
        <v>鬼1</v>
      </c>
      <c r="H47" s="97">
        <f t="shared" si="1"/>
        <v>40</v>
      </c>
      <c r="I47" s="97">
        <f>IF(VLOOKUP($A47,'⚪设计'!$A$135:$N$184,11,FALSE)="","",VLOOKUP($A47,'⚪设计'!$A$135:$N$184,11,FALSE))</f>
        <v>0.5</v>
      </c>
      <c r="J47" s="97">
        <f>IF(G47="","",ROUND($D47*'⚪设计'!$D179/(IF($G47="",0,VLOOKUP($G47,'⚪设计'!$B$85:$H$104,4,FALSE)*$H47)+IF($L47="",0,VLOOKUP($L47,'⚪设计'!$B$85:$H$104,4,FALSE)*$M47)+IF($Q47="",0,VLOOKUP($Q47,'⚪设计'!$B$85:$H$104,4,FALSE)*$R47)+IF($V47="",0,VLOOKUP($V47,'⚪设计'!$B$85:$H$104,4,FALSE)*$W47))*IF(G47="",0,VLOOKUP(G47,'⚪设计'!$B$85:$H$104,4,FALSE)),0))</f>
        <v>196</v>
      </c>
      <c r="K47" s="97">
        <f>IF(G47="","",ROUND(VLOOKUP($B47,战斗节奏!$A$4:$F$13,2,FALSE)/(IF($G47="",0,VLOOKUP($G47,'⚪设计'!$B$85:$H$104,5,FALSE)*$H47)+IF($L47="",0,VLOOKUP($L47,'⚪设计'!$B$85:$H$104,5,FALSE)*$M47)+IF($Q47="",0,VLOOKUP($Q47,'⚪设计'!$B$85:$H$104,5,FALSE)*$R47)+IF($V47="",0,VLOOKUP($V47,'⚪设计'!$B$85:$H$104,5,FALSE)*$W47))*IF(G47="",0,VLOOKUP(G47,'⚪设计'!$B$85:$H$104,5,FALSE)),0))</f>
        <v>9</v>
      </c>
      <c r="L47" s="97" t="str">
        <f>IF(VLOOKUP($A47,'⚪设计'!$A$135:$N$184,8,FALSE)="","",VLOOKUP($A47,'⚪设计'!$A$135:$N$184,8,FALSE))</f>
        <v>种子1</v>
      </c>
      <c r="M47" s="97">
        <f t="shared" si="2"/>
        <v>10</v>
      </c>
      <c r="N47" s="97">
        <f>IF(VLOOKUP($A47,'⚪设计'!$A$135:$N$184,12,FALSE)="","",VLOOKUP($A47,'⚪设计'!$A$135:$N$184,12,FALSE))</f>
        <v>2</v>
      </c>
      <c r="O47" s="97">
        <f>IF(L47="","",ROUND($D47*'⚪设计'!$D179/(IF($G47="",0,VLOOKUP($G47,'⚪设计'!$B$85:$H$104,4,FALSE)*$H47)+IF($L47="",0,VLOOKUP($L47,'⚪设计'!$B$85:$H$104,4,FALSE)*$M47)+IF($Q47="",0,VLOOKUP($Q47,'⚪设计'!$B$85:$H$104,4,FALSE)*$R47)+IF($V47="",0,VLOOKUP($V47,'⚪设计'!$B$85:$H$104,4,FALSE)*$W47))*IF(L47="",0,VLOOKUP(L47,'⚪设计'!$B$85:$H$104,4,FALSE)),0))</f>
        <v>588</v>
      </c>
      <c r="P47" s="97">
        <f>IF(L47="","",ROUND(VLOOKUP($B47,战斗节奏!$A$4:$F$13,2,FALSE)/(IF($G47="",0,VLOOKUP($G47,'⚪设计'!$B$85:$H$104,5,FALSE)*$H47)+IF($L47="",0,VLOOKUP($L47,'⚪设计'!$B$85:$H$104,5,FALSE)*$M47)+IF($Q47="",0,VLOOKUP($Q47,'⚪设计'!$B$85:$H$104,5,FALSE)*$R47)+IF($V47="",0,VLOOKUP($V47,'⚪设计'!$B$85:$H$104,5,FALSE)*$W47))*IF(L47="",0,VLOOKUP(L47,'⚪设计'!$B$85:$H$104,5,FALSE)),0))</f>
        <v>18</v>
      </c>
      <c r="Q47" s="97" t="str">
        <f>IF(VLOOKUP($A47,'⚪设计'!$A$135:$N$184,9,FALSE)="","",VLOOKUP($A47,'⚪设计'!$A$135:$N$184,9,FALSE))</f>
        <v>鸟2</v>
      </c>
      <c r="R47" s="97">
        <f t="shared" si="3"/>
        <v>10</v>
      </c>
      <c r="S47" s="97">
        <f>IF(VLOOKUP($A47,'⚪设计'!$A$135:$N$184,13,FALSE)="","",VLOOKUP($A47,'⚪设计'!$A$135:$N$184,13,FALSE))</f>
        <v>2</v>
      </c>
      <c r="T47" s="97">
        <f>IF(Q47="","",ROUND($D47*'⚪设计'!$D179/(IF($G47="",0,VLOOKUP($G47,'⚪设计'!$B$85:$H$104,4,FALSE)*$H47)+IF($L47="",0,VLOOKUP($L47,'⚪设计'!$B$85:$H$104,4,FALSE)*$M47)+IF($Q47="",0,VLOOKUP($Q47,'⚪设计'!$B$85:$H$104,4,FALSE)*$R47)+IF($V47="",0,VLOOKUP($V47,'⚪设计'!$B$85:$H$104,4,FALSE)*$W47))*IF(Q47="",0,VLOOKUP(Q47,'⚪设计'!$B$85:$H$104,4,FALSE)),0))</f>
        <v>784</v>
      </c>
      <c r="U47" s="97">
        <f>IF(Q47="","",ROUND(VLOOKUP($B47,战斗节奏!$A$4:$F$13,2,FALSE)/(IF($G47="",0,VLOOKUP($G47,'⚪设计'!$B$85:$H$104,5,FALSE)*$H47)+IF($L47="",0,VLOOKUP($L47,'⚪设计'!$B$85:$H$104,5,FALSE)*$M47)+IF($Q47="",0,VLOOKUP($Q47,'⚪设计'!$B$85:$H$104,5,FALSE)*$R47)+IF($V47="",0,VLOOKUP($V47,'⚪设计'!$B$85:$H$104,5,FALSE)*$W47))*IF(Q47="",0,VLOOKUP(Q47,'⚪设计'!$B$85:$H$104,5,FALSE)),0))</f>
        <v>18</v>
      </c>
      <c r="V47" s="97" t="str">
        <f>IF(VLOOKUP($A47,'⚪设计'!$A$135:$N$184,10,FALSE)="","",VLOOKUP($A47,'⚪设计'!$A$135:$N$184,10,FALSE))</f>
        <v/>
      </c>
      <c r="W47" s="97" t="str">
        <f t="shared" si="4"/>
        <v/>
      </c>
      <c r="X47" s="97" t="str">
        <f>IF(VLOOKUP($A47,'⚪设计'!$A$135:$N$184,14,FALSE)="","",VLOOKUP($A47,'⚪设计'!$A$135:$N$184,14,FALSE))</f>
        <v/>
      </c>
      <c r="Y47" s="97" t="str">
        <f>IF(V47="","",ROUND($D47*'⚪设计'!$D179/(IF($G47="",0,VLOOKUP($G47,'⚪设计'!$B$85:$H$104,4,FALSE)*$H47)+IF($L47="",0,VLOOKUP($L47,'⚪设计'!$B$85:$H$104,4,FALSE)*$M47)+IF($Q47="",0,VLOOKUP($Q47,'⚪设计'!$B$85:$H$104,4,FALSE)*$R47)+IF($V47="",0,VLOOKUP($V47,'⚪设计'!$B$85:$H$104,4,FALSE)*$W47))*IF(V47="",0,VLOOKUP(V47,'⚪设计'!$B$85:$H$104,4,FALSE)),0))</f>
        <v/>
      </c>
      <c r="Z47" s="97" t="str">
        <f>IF(V47="","",ROUND(VLOOKUP($B47,战斗节奏!$A$4:$F$13,2,FALSE)/(IF($G47="",0,VLOOKUP($G47,'⚪设计'!$B$85:$H$104,5,FALSE)*$H47)+IF($L47="",0,VLOOKUP($L47,'⚪设计'!$B$85:$H$104,5,FALSE)*$M47)+IF($Q47="",0,VLOOKUP($Q47,'⚪设计'!$B$85:$H$104,5,FALSE)*$R47)+IF($V47="",0,VLOOKUP($V47,'⚪设计'!$B$85:$H$104,5,FALSE)*$W47))*IF(V47="",0,VLOOKUP(V47,'⚪设计'!$B$85:$H$104,5,FALSE)),0))</f>
        <v/>
      </c>
    </row>
    <row r="48" spans="1:26" x14ac:dyDescent="0.2">
      <c r="A48" s="2" t="str">
        <f t="shared" si="0"/>
        <v>10_1</v>
      </c>
      <c r="B48" s="2">
        <v>10</v>
      </c>
      <c r="C48" s="2">
        <v>1</v>
      </c>
      <c r="D48" s="97">
        <f>VLOOKUP(C48,无限模式!$A$3:$B$22,2,FALSE)</f>
        <v>900</v>
      </c>
      <c r="E48" s="98">
        <v>1</v>
      </c>
      <c r="F48" s="97">
        <f>'⚪设计'!F180</f>
        <v>10</v>
      </c>
      <c r="G48" s="97" t="str">
        <f>IF(VLOOKUP($A48,'⚪设计'!$A$135:$N$184,7,FALSE)="","",VLOOKUP($A48,'⚪设计'!$A$135:$N$184,7,FALSE))</f>
        <v>蛋2</v>
      </c>
      <c r="H48" s="97">
        <f t="shared" si="1"/>
        <v>7</v>
      </c>
      <c r="I48" s="97">
        <f>IF(VLOOKUP($A48,'⚪设计'!$A$135:$N$184,11,FALSE)="","",VLOOKUP($A48,'⚪设计'!$A$135:$N$184,11,FALSE))</f>
        <v>1.5</v>
      </c>
      <c r="J48" s="97">
        <f>IF(G48="","",ROUND($D48*'⚪设计'!$D180/(IF($G48="",0,VLOOKUP($G48,'⚪设计'!$B$85:$H$104,4,FALSE)*$H48)+IF($L48="",0,VLOOKUP($L48,'⚪设计'!$B$85:$H$104,4,FALSE)*$M48)+IF($Q48="",0,VLOOKUP($Q48,'⚪设计'!$B$85:$H$104,4,FALSE)*$R48)+IF($V48="",0,VLOOKUP($V48,'⚪设计'!$B$85:$H$104,4,FALSE)*$W48))*IF(G48="",0,VLOOKUP(G48,'⚪设计'!$B$85:$H$104,4,FALSE)),0))</f>
        <v>178</v>
      </c>
      <c r="K48" s="97">
        <f>IF(G48="","",ROUND(VLOOKUP($B48,战斗节奏!$A$4:$F$13,2,FALSE)/(IF($G48="",0,VLOOKUP($G48,'⚪设计'!$B$85:$H$104,5,FALSE)*$H48)+IF($L48="",0,VLOOKUP($L48,'⚪设计'!$B$85:$H$104,5,FALSE)*$M48)+IF($Q48="",0,VLOOKUP($Q48,'⚪设计'!$B$85:$H$104,5,FALSE)*$R48)+IF($V48="",0,VLOOKUP($V48,'⚪设计'!$B$85:$H$104,5,FALSE)*$W48))*IF(G48="",0,VLOOKUP(G48,'⚪设计'!$B$85:$H$104,5,FALSE)),0))</f>
        <v>90</v>
      </c>
      <c r="L48" s="97" t="str">
        <f>IF(VLOOKUP($A48,'⚪设计'!$A$135:$N$184,8,FALSE)="","",VLOOKUP($A48,'⚪设计'!$A$135:$N$184,8,FALSE))</f>
        <v>鸟3</v>
      </c>
      <c r="M48" s="97">
        <f t="shared" si="2"/>
        <v>1</v>
      </c>
      <c r="N48" s="97">
        <f>IF(VLOOKUP($A48,'⚪设计'!$A$135:$N$184,12,FALSE)="","",VLOOKUP($A48,'⚪设计'!$A$135:$N$184,12,FALSE))</f>
        <v>0</v>
      </c>
      <c r="O48" s="97">
        <f>IF(L48="","",ROUND($D48*'⚪设计'!$D180/(IF($G48="",0,VLOOKUP($G48,'⚪设计'!$B$85:$H$104,4,FALSE)*$H48)+IF($L48="",0,VLOOKUP($L48,'⚪设计'!$B$85:$H$104,4,FALSE)*$M48)+IF($Q48="",0,VLOOKUP($Q48,'⚪设计'!$B$85:$H$104,4,FALSE)*$R48)+IF($V48="",0,VLOOKUP($V48,'⚪设计'!$B$85:$H$104,4,FALSE)*$W48))*IF(L48="",0,VLOOKUP(L48,'⚪设计'!$B$85:$H$104,4,FALSE)),0))</f>
        <v>357</v>
      </c>
      <c r="P48" s="97">
        <f>IF(L48="","",ROUND(VLOOKUP($B48,战斗节奏!$A$4:$F$13,2,FALSE)/(IF($G48="",0,VLOOKUP($G48,'⚪设计'!$B$85:$H$104,5,FALSE)*$H48)+IF($L48="",0,VLOOKUP($L48,'⚪设计'!$B$85:$H$104,5,FALSE)*$M48)+IF($Q48="",0,VLOOKUP($Q48,'⚪设计'!$B$85:$H$104,5,FALSE)*$R48)+IF($V48="",0,VLOOKUP($V48,'⚪设计'!$B$85:$H$104,5,FALSE)*$W48))*IF(L48="",0,VLOOKUP(L48,'⚪设计'!$B$85:$H$104,5,FALSE)),0))</f>
        <v>90</v>
      </c>
      <c r="Q48" s="97" t="str">
        <f>IF(VLOOKUP($A48,'⚪设计'!$A$135:$N$184,9,FALSE)="","",VLOOKUP($A48,'⚪设计'!$A$135:$N$184,9,FALSE))</f>
        <v/>
      </c>
      <c r="R48" s="97" t="str">
        <f t="shared" si="3"/>
        <v/>
      </c>
      <c r="S48" s="97" t="str">
        <f>IF(VLOOKUP($A48,'⚪设计'!$A$135:$N$184,13,FALSE)="","",VLOOKUP($A48,'⚪设计'!$A$135:$N$184,13,FALSE))</f>
        <v/>
      </c>
      <c r="T48" s="97" t="str">
        <f>IF(Q48="","",ROUND($D48*'⚪设计'!$D180/(IF($G48="",0,VLOOKUP($G48,'⚪设计'!$B$85:$H$104,4,FALSE)*$H48)+IF($L48="",0,VLOOKUP($L48,'⚪设计'!$B$85:$H$104,4,FALSE)*$M48)+IF($Q48="",0,VLOOKUP($Q48,'⚪设计'!$B$85:$H$104,4,FALSE)*$R48)+IF($V48="",0,VLOOKUP($V48,'⚪设计'!$B$85:$H$104,4,FALSE)*$W48))*IF(Q48="",0,VLOOKUP(Q48,'⚪设计'!$B$85:$H$104,4,FALSE)),0))</f>
        <v/>
      </c>
      <c r="U48" s="97" t="str">
        <f>IF(Q48="","",ROUND(VLOOKUP($B48,战斗节奏!$A$4:$F$13,2,FALSE)/(IF($G48="",0,VLOOKUP($G48,'⚪设计'!$B$85:$H$104,5,FALSE)*$H48)+IF($L48="",0,VLOOKUP($L48,'⚪设计'!$B$85:$H$104,5,FALSE)*$M48)+IF($Q48="",0,VLOOKUP($Q48,'⚪设计'!$B$85:$H$104,5,FALSE)*$R48)+IF($V48="",0,VLOOKUP($V48,'⚪设计'!$B$85:$H$104,5,FALSE)*$W48))*IF(Q48="",0,VLOOKUP(Q48,'⚪设计'!$B$85:$H$104,5,FALSE)),0))</f>
        <v/>
      </c>
      <c r="V48" s="97" t="str">
        <f>IF(VLOOKUP($A48,'⚪设计'!$A$135:$N$184,10,FALSE)="","",VLOOKUP($A48,'⚪设计'!$A$135:$N$184,10,FALSE))</f>
        <v/>
      </c>
      <c r="W48" s="97" t="str">
        <f t="shared" si="4"/>
        <v/>
      </c>
      <c r="X48" s="97" t="str">
        <f>IF(VLOOKUP($A48,'⚪设计'!$A$135:$N$184,14,FALSE)="","",VLOOKUP($A48,'⚪设计'!$A$135:$N$184,14,FALSE))</f>
        <v/>
      </c>
      <c r="Y48" s="97" t="str">
        <f>IF(V48="","",ROUND($D48*'⚪设计'!$D180/(IF($G48="",0,VLOOKUP($G48,'⚪设计'!$B$85:$H$104,4,FALSE)*$H48)+IF($L48="",0,VLOOKUP($L48,'⚪设计'!$B$85:$H$104,4,FALSE)*$M48)+IF($Q48="",0,VLOOKUP($Q48,'⚪设计'!$B$85:$H$104,4,FALSE)*$R48)+IF($V48="",0,VLOOKUP($V48,'⚪设计'!$B$85:$H$104,4,FALSE)*$W48))*IF(V48="",0,VLOOKUP(V48,'⚪设计'!$B$85:$H$104,4,FALSE)),0))</f>
        <v/>
      </c>
      <c r="Z48" s="97" t="str">
        <f>IF(V48="","",ROUND(VLOOKUP($B48,战斗节奏!$A$4:$F$13,2,FALSE)/(IF($G48="",0,VLOOKUP($G48,'⚪设计'!$B$85:$H$104,5,FALSE)*$H48)+IF($L48="",0,VLOOKUP($L48,'⚪设计'!$B$85:$H$104,5,FALSE)*$M48)+IF($Q48="",0,VLOOKUP($Q48,'⚪设计'!$B$85:$H$104,5,FALSE)*$R48)+IF($V48="",0,VLOOKUP($V48,'⚪设计'!$B$85:$H$104,5,FALSE)*$W48))*IF(V48="",0,VLOOKUP(V48,'⚪设计'!$B$85:$H$104,5,FALSE)),0))</f>
        <v/>
      </c>
    </row>
    <row r="49" spans="1:26" x14ac:dyDescent="0.2">
      <c r="A49" s="2" t="str">
        <f t="shared" si="0"/>
        <v>10_2</v>
      </c>
      <c r="B49" s="2">
        <v>10</v>
      </c>
      <c r="C49" s="2">
        <v>2</v>
      </c>
      <c r="D49" s="97">
        <f>VLOOKUP(C49,无限模式!$A$3:$B$22,2,FALSE)</f>
        <v>1800</v>
      </c>
      <c r="E49" s="98">
        <v>1</v>
      </c>
      <c r="F49" s="97">
        <f>'⚪设计'!F181</f>
        <v>12.5</v>
      </c>
      <c r="G49" s="97" t="str">
        <f>IF(VLOOKUP($A49,'⚪设计'!$A$135:$N$184,7,FALSE)="","",VLOOKUP($A49,'⚪设计'!$A$135:$N$184,7,FALSE))</f>
        <v>蛋2</v>
      </c>
      <c r="H49" s="97">
        <f t="shared" si="1"/>
        <v>8</v>
      </c>
      <c r="I49" s="97">
        <f>IF(VLOOKUP($A49,'⚪设计'!$A$135:$N$184,11,FALSE)="","",VLOOKUP($A49,'⚪设计'!$A$135:$N$184,11,FALSE))</f>
        <v>1.5</v>
      </c>
      <c r="J49" s="97">
        <f>IF(G49="","",ROUND($D49*'⚪设计'!$D181/(IF($G49="",0,VLOOKUP($G49,'⚪设计'!$B$85:$H$104,4,FALSE)*$H49)+IF($L49="",0,VLOOKUP($L49,'⚪设计'!$B$85:$H$104,4,FALSE)*$M49)+IF($Q49="",0,VLOOKUP($Q49,'⚪设计'!$B$85:$H$104,4,FALSE)*$R49)+IF($V49="",0,VLOOKUP($V49,'⚪设计'!$B$85:$H$104,4,FALSE)*$W49))*IF(G49="",0,VLOOKUP(G49,'⚪设计'!$B$85:$H$104,4,FALSE)),0))</f>
        <v>294</v>
      </c>
      <c r="K49" s="97">
        <f>IF(G49="","",ROUND(VLOOKUP($B49,战斗节奏!$A$4:$F$13,2,FALSE)/(IF($G49="",0,VLOOKUP($G49,'⚪设计'!$B$85:$H$104,5,FALSE)*$H49)+IF($L49="",0,VLOOKUP($L49,'⚪设计'!$B$85:$H$104,5,FALSE)*$M49)+IF($Q49="",0,VLOOKUP($Q49,'⚪设计'!$B$85:$H$104,5,FALSE)*$R49)+IF($V49="",0,VLOOKUP($V49,'⚪设计'!$B$85:$H$104,5,FALSE)*$W49))*IF(G49="",0,VLOOKUP(G49,'⚪设计'!$B$85:$H$104,5,FALSE)),0))</f>
        <v>27</v>
      </c>
      <c r="L49" s="97" t="str">
        <f>IF(VLOOKUP($A49,'⚪设计'!$A$135:$N$184,8,FALSE)="","",VLOOKUP($A49,'⚪设计'!$A$135:$N$184,8,FALSE))</f>
        <v>蝙蝠1</v>
      </c>
      <c r="M49" s="97">
        <f t="shared" si="2"/>
        <v>63</v>
      </c>
      <c r="N49" s="97">
        <f>IF(VLOOKUP($A49,'⚪设计'!$A$135:$N$184,12,FALSE)="","",VLOOKUP($A49,'⚪设计'!$A$135:$N$184,12,FALSE))</f>
        <v>0.2</v>
      </c>
      <c r="O49" s="97">
        <f>IF(L49="","",ROUND($D49*'⚪设计'!$D181/(IF($G49="",0,VLOOKUP($G49,'⚪设计'!$B$85:$H$104,4,FALSE)*$H49)+IF($L49="",0,VLOOKUP($L49,'⚪设计'!$B$85:$H$104,4,FALSE)*$M49)+IF($Q49="",0,VLOOKUP($Q49,'⚪设计'!$B$85:$H$104,4,FALSE)*$R49)+IF($V49="",0,VLOOKUP($V49,'⚪设计'!$B$85:$H$104,4,FALSE)*$W49))*IF(L49="",0,VLOOKUP(L49,'⚪设计'!$B$85:$H$104,4,FALSE)),0))</f>
        <v>37</v>
      </c>
      <c r="P49" s="97">
        <f>IF(L49="","",ROUND(VLOOKUP($B49,战斗节奏!$A$4:$F$13,2,FALSE)/(IF($G49="",0,VLOOKUP($G49,'⚪设计'!$B$85:$H$104,5,FALSE)*$H49)+IF($L49="",0,VLOOKUP($L49,'⚪设计'!$B$85:$H$104,5,FALSE)*$M49)+IF($Q49="",0,VLOOKUP($Q49,'⚪设计'!$B$85:$H$104,5,FALSE)*$R49)+IF($V49="",0,VLOOKUP($V49,'⚪设计'!$B$85:$H$104,5,FALSE)*$W49))*IF(L49="",0,VLOOKUP(L49,'⚪设计'!$B$85:$H$104,5,FALSE)),0))</f>
        <v>7</v>
      </c>
      <c r="Q49" s="97" t="str">
        <f>IF(VLOOKUP($A49,'⚪设计'!$A$135:$N$184,9,FALSE)="","",VLOOKUP($A49,'⚪设计'!$A$135:$N$184,9,FALSE))</f>
        <v>鸟3</v>
      </c>
      <c r="R49" s="97">
        <f t="shared" si="3"/>
        <v>3</v>
      </c>
      <c r="S49" s="97">
        <f>IF(VLOOKUP($A49,'⚪设计'!$A$135:$N$184,13,FALSE)="","",VLOOKUP($A49,'⚪设计'!$A$135:$N$184,13,FALSE))</f>
        <v>4</v>
      </c>
      <c r="T49" s="97">
        <f>IF(Q49="","",ROUND($D49*'⚪设计'!$D181/(IF($G49="",0,VLOOKUP($G49,'⚪设计'!$B$85:$H$104,4,FALSE)*$H49)+IF($L49="",0,VLOOKUP($L49,'⚪设计'!$B$85:$H$104,4,FALSE)*$M49)+IF($Q49="",0,VLOOKUP($Q49,'⚪设计'!$B$85:$H$104,4,FALSE)*$R49)+IF($V49="",0,VLOOKUP($V49,'⚪设计'!$B$85:$H$104,4,FALSE)*$W49))*IF(Q49="",0,VLOOKUP(Q49,'⚪设计'!$B$85:$H$104,4,FALSE)),0))</f>
        <v>587</v>
      </c>
      <c r="U49" s="97">
        <f>IF(Q49="","",ROUND(VLOOKUP($B49,战斗节奏!$A$4:$F$13,2,FALSE)/(IF($G49="",0,VLOOKUP($G49,'⚪设计'!$B$85:$H$104,5,FALSE)*$H49)+IF($L49="",0,VLOOKUP($L49,'⚪设计'!$B$85:$H$104,5,FALSE)*$M49)+IF($Q49="",0,VLOOKUP($Q49,'⚪设计'!$B$85:$H$104,5,FALSE)*$R49)+IF($V49="",0,VLOOKUP($V49,'⚪设计'!$B$85:$H$104,5,FALSE)*$W49))*IF(Q49="",0,VLOOKUP(Q49,'⚪设计'!$B$85:$H$104,5,FALSE)),0))</f>
        <v>27</v>
      </c>
      <c r="V49" s="97" t="str">
        <f>IF(VLOOKUP($A49,'⚪设计'!$A$135:$N$184,10,FALSE)="","",VLOOKUP($A49,'⚪设计'!$A$135:$N$184,10,FALSE))</f>
        <v/>
      </c>
      <c r="W49" s="97" t="str">
        <f t="shared" si="4"/>
        <v/>
      </c>
      <c r="X49" s="97" t="str">
        <f>IF(VLOOKUP($A49,'⚪设计'!$A$135:$N$184,14,FALSE)="","",VLOOKUP($A49,'⚪设计'!$A$135:$N$184,14,FALSE))</f>
        <v/>
      </c>
      <c r="Y49" s="97" t="str">
        <f>IF(V49="","",ROUND($D49*'⚪设计'!$D181/(IF($G49="",0,VLOOKUP($G49,'⚪设计'!$B$85:$H$104,4,FALSE)*$H49)+IF($L49="",0,VLOOKUP($L49,'⚪设计'!$B$85:$H$104,4,FALSE)*$M49)+IF($Q49="",0,VLOOKUP($Q49,'⚪设计'!$B$85:$H$104,4,FALSE)*$R49)+IF($V49="",0,VLOOKUP($V49,'⚪设计'!$B$85:$H$104,4,FALSE)*$W49))*IF(V49="",0,VLOOKUP(V49,'⚪设计'!$B$85:$H$104,4,FALSE)),0))</f>
        <v/>
      </c>
      <c r="Z49" s="97" t="str">
        <f>IF(V49="","",ROUND(VLOOKUP($B49,战斗节奏!$A$4:$F$13,2,FALSE)/(IF($G49="",0,VLOOKUP($G49,'⚪设计'!$B$85:$H$104,5,FALSE)*$H49)+IF($L49="",0,VLOOKUP($L49,'⚪设计'!$B$85:$H$104,5,FALSE)*$M49)+IF($Q49="",0,VLOOKUP($Q49,'⚪设计'!$B$85:$H$104,5,FALSE)*$R49)+IF($V49="",0,VLOOKUP($V49,'⚪设计'!$B$85:$H$104,5,FALSE)*$W49))*IF(V49="",0,VLOOKUP(V49,'⚪设计'!$B$85:$H$104,5,FALSE)),0))</f>
        <v/>
      </c>
    </row>
    <row r="50" spans="1:26" x14ac:dyDescent="0.2">
      <c r="A50" s="2" t="str">
        <f t="shared" si="0"/>
        <v>10_3</v>
      </c>
      <c r="B50" s="2">
        <v>10</v>
      </c>
      <c r="C50" s="2">
        <v>3</v>
      </c>
      <c r="D50" s="97">
        <f>VLOOKUP(C50,无限模式!$A$3:$B$22,2,FALSE)</f>
        <v>3600</v>
      </c>
      <c r="E50" s="98">
        <v>1</v>
      </c>
      <c r="F50" s="97">
        <f>'⚪设计'!F182</f>
        <v>15</v>
      </c>
      <c r="G50" s="97" t="str">
        <f>IF(VLOOKUP($A50,'⚪设计'!$A$135:$N$184,7,FALSE)="","",VLOOKUP($A50,'⚪设计'!$A$135:$N$184,7,FALSE))</f>
        <v>蛋2</v>
      </c>
      <c r="H50" s="97">
        <f t="shared" si="1"/>
        <v>10</v>
      </c>
      <c r="I50" s="97">
        <f>IF(VLOOKUP($A50,'⚪设计'!$A$135:$N$184,11,FALSE)="","",VLOOKUP($A50,'⚪设计'!$A$135:$N$184,11,FALSE))</f>
        <v>1.5</v>
      </c>
      <c r="J50" s="97">
        <f>IF(G50="","",ROUND($D50*'⚪设计'!$D182/(IF($G50="",0,VLOOKUP($G50,'⚪设计'!$B$85:$H$104,4,FALSE)*$H50)+IF($L50="",0,VLOOKUP($L50,'⚪设计'!$B$85:$H$104,4,FALSE)*$M50)+IF($Q50="",0,VLOOKUP($Q50,'⚪设计'!$B$85:$H$104,4,FALSE)*$R50)+IF($V50="",0,VLOOKUP($V50,'⚪设计'!$B$85:$H$104,4,FALSE)*$W50))*IF(G50="",0,VLOOKUP(G50,'⚪设计'!$B$85:$H$104,4,FALSE)),0))</f>
        <v>527</v>
      </c>
      <c r="K50" s="97">
        <f>IF(G50="","",ROUND(VLOOKUP($B50,战斗节奏!$A$4:$F$13,2,FALSE)/(IF($G50="",0,VLOOKUP($G50,'⚪设计'!$B$85:$H$104,5,FALSE)*$H50)+IF($L50="",0,VLOOKUP($L50,'⚪设计'!$B$85:$H$104,5,FALSE)*$M50)+IF($Q50="",0,VLOOKUP($Q50,'⚪设计'!$B$85:$H$104,5,FALSE)*$R50)+IF($V50="",0,VLOOKUP($V50,'⚪设计'!$B$85:$H$104,5,FALSE)*$W50))*IF(G50="",0,VLOOKUP(G50,'⚪设计'!$B$85:$H$104,5,FALSE)),0))</f>
        <v>19</v>
      </c>
      <c r="L50" s="97" t="str">
        <f>IF(VLOOKUP($A50,'⚪设计'!$A$135:$N$184,8,FALSE)="","",VLOOKUP($A50,'⚪设计'!$A$135:$N$184,8,FALSE))</f>
        <v>蜘蛛1</v>
      </c>
      <c r="M50" s="97">
        <f t="shared" si="2"/>
        <v>38</v>
      </c>
      <c r="N50" s="97">
        <f>IF(VLOOKUP($A50,'⚪设计'!$A$135:$N$184,12,FALSE)="","",VLOOKUP($A50,'⚪设计'!$A$135:$N$184,12,FALSE))</f>
        <v>0.4</v>
      </c>
      <c r="O50" s="97">
        <f>IF(L50="","",ROUND($D50*'⚪设计'!$D182/(IF($G50="",0,VLOOKUP($G50,'⚪设计'!$B$85:$H$104,4,FALSE)*$H50)+IF($L50="",0,VLOOKUP($L50,'⚪设计'!$B$85:$H$104,4,FALSE)*$M50)+IF($Q50="",0,VLOOKUP($Q50,'⚪设计'!$B$85:$H$104,4,FALSE)*$R50)+IF($V50="",0,VLOOKUP($V50,'⚪设计'!$B$85:$H$104,4,FALSE)*$W50))*IF(L50="",0,VLOOKUP(L50,'⚪设计'!$B$85:$H$104,4,FALSE)),0))</f>
        <v>132</v>
      </c>
      <c r="P50" s="97">
        <f>IF(L50="","",ROUND(VLOOKUP($B50,战斗节奏!$A$4:$F$13,2,FALSE)/(IF($G50="",0,VLOOKUP($G50,'⚪设计'!$B$85:$H$104,5,FALSE)*$H50)+IF($L50="",0,VLOOKUP($L50,'⚪设计'!$B$85:$H$104,5,FALSE)*$M50)+IF($Q50="",0,VLOOKUP($Q50,'⚪设计'!$B$85:$H$104,5,FALSE)*$R50)+IF($V50="",0,VLOOKUP($V50,'⚪设计'!$B$85:$H$104,5,FALSE)*$W50))*IF(L50="",0,VLOOKUP(L50,'⚪设计'!$B$85:$H$104,5,FALSE)),0))</f>
        <v>9</v>
      </c>
      <c r="Q50" s="97" t="str">
        <f>IF(VLOOKUP($A50,'⚪设计'!$A$135:$N$184,9,FALSE)="","",VLOOKUP($A50,'⚪设计'!$A$135:$N$184,9,FALSE))</f>
        <v>鬼1</v>
      </c>
      <c r="R50" s="97">
        <f t="shared" si="3"/>
        <v>10</v>
      </c>
      <c r="S50" s="97">
        <f>IF(VLOOKUP($A50,'⚪设计'!$A$135:$N$184,13,FALSE)="","",VLOOKUP($A50,'⚪设计'!$A$135:$N$184,13,FALSE))</f>
        <v>1.5</v>
      </c>
      <c r="T50" s="97">
        <f>IF(Q50="","",ROUND($D50*'⚪设计'!$D182/(IF($G50="",0,VLOOKUP($G50,'⚪设计'!$B$85:$H$104,4,FALSE)*$H50)+IF($L50="",0,VLOOKUP($L50,'⚪设计'!$B$85:$H$104,4,FALSE)*$M50)+IF($Q50="",0,VLOOKUP($Q50,'⚪设计'!$B$85:$H$104,4,FALSE)*$R50)+IF($V50="",0,VLOOKUP($V50,'⚪设计'!$B$85:$H$104,4,FALSE)*$W50))*IF(Q50="",0,VLOOKUP(Q50,'⚪设计'!$B$85:$H$104,4,FALSE)),0))</f>
        <v>132</v>
      </c>
      <c r="U50" s="97">
        <f>IF(Q50="","",ROUND(VLOOKUP($B50,战斗节奏!$A$4:$F$13,2,FALSE)/(IF($G50="",0,VLOOKUP($G50,'⚪设计'!$B$85:$H$104,5,FALSE)*$H50)+IF($L50="",0,VLOOKUP($L50,'⚪设计'!$B$85:$H$104,5,FALSE)*$M50)+IF($Q50="",0,VLOOKUP($Q50,'⚪设计'!$B$85:$H$104,5,FALSE)*$R50)+IF($V50="",0,VLOOKUP($V50,'⚪设计'!$B$85:$H$104,5,FALSE)*$W50))*IF(Q50="",0,VLOOKUP(Q50,'⚪设计'!$B$85:$H$104,5,FALSE)),0))</f>
        <v>9</v>
      </c>
      <c r="V50" s="97" t="str">
        <f>IF(VLOOKUP($A50,'⚪设计'!$A$135:$N$184,10,FALSE)="","",VLOOKUP($A50,'⚪设计'!$A$135:$N$184,10,FALSE))</f>
        <v>鸟3</v>
      </c>
      <c r="W50" s="97">
        <f t="shared" si="4"/>
        <v>4</v>
      </c>
      <c r="X50" s="97">
        <f>IF(VLOOKUP($A50,'⚪设计'!$A$135:$N$184,14,FALSE)="","",VLOOKUP($A50,'⚪设计'!$A$135:$N$184,14,FALSE))</f>
        <v>4</v>
      </c>
      <c r="Y50" s="97">
        <f>IF(V50="","",ROUND($D50*'⚪设计'!$D182/(IF($G50="",0,VLOOKUP($G50,'⚪设计'!$B$85:$H$104,4,FALSE)*$H50)+IF($L50="",0,VLOOKUP($L50,'⚪设计'!$B$85:$H$104,4,FALSE)*$M50)+IF($Q50="",0,VLOOKUP($Q50,'⚪设计'!$B$85:$H$104,4,FALSE)*$R50)+IF($V50="",0,VLOOKUP($V50,'⚪设计'!$B$85:$H$104,4,FALSE)*$W50))*IF(V50="",0,VLOOKUP(V50,'⚪设计'!$B$85:$H$104,4,FALSE)),0))</f>
        <v>1054</v>
      </c>
      <c r="Z50" s="97">
        <f>IF(V50="","",ROUND(VLOOKUP($B50,战斗节奏!$A$4:$F$13,2,FALSE)/(IF($G50="",0,VLOOKUP($G50,'⚪设计'!$B$85:$H$104,5,FALSE)*$H50)+IF($L50="",0,VLOOKUP($L50,'⚪设计'!$B$85:$H$104,5,FALSE)*$M50)+IF($Q50="",0,VLOOKUP($Q50,'⚪设计'!$B$85:$H$104,5,FALSE)*$R50)+IF($V50="",0,VLOOKUP($V50,'⚪设计'!$B$85:$H$104,5,FALSE)*$W50))*IF(V50="",0,VLOOKUP(V50,'⚪设计'!$B$85:$H$104,5,FALSE)),0))</f>
        <v>19</v>
      </c>
    </row>
    <row r="51" spans="1:26" x14ac:dyDescent="0.2">
      <c r="A51" s="2" t="str">
        <f t="shared" si="0"/>
        <v>10_4</v>
      </c>
      <c r="B51" s="2">
        <v>10</v>
      </c>
      <c r="C51" s="2">
        <v>4</v>
      </c>
      <c r="D51" s="97">
        <f>VLOOKUP(C51,无限模式!$A$3:$B$22,2,FALSE)</f>
        <v>4500</v>
      </c>
      <c r="E51" s="98">
        <v>1</v>
      </c>
      <c r="F51" s="97">
        <f>'⚪设计'!F183</f>
        <v>17.5</v>
      </c>
      <c r="G51" s="97" t="str">
        <f>IF(VLOOKUP($A51,'⚪设计'!$A$135:$N$184,7,FALSE)="","",VLOOKUP($A51,'⚪设计'!$A$135:$N$184,7,FALSE))</f>
        <v>蛋2</v>
      </c>
      <c r="H51" s="97">
        <f t="shared" si="1"/>
        <v>12</v>
      </c>
      <c r="I51" s="97">
        <f>IF(VLOOKUP($A51,'⚪设计'!$A$135:$N$184,11,FALSE)="","",VLOOKUP($A51,'⚪设计'!$A$135:$N$184,11,FALSE))</f>
        <v>1.5</v>
      </c>
      <c r="J51" s="97">
        <f>IF(G51="","",ROUND($D51*'⚪设计'!$D183/(IF($G51="",0,VLOOKUP($G51,'⚪设计'!$B$85:$H$104,4,FALSE)*$H51)+IF($L51="",0,VLOOKUP($L51,'⚪设计'!$B$85:$H$104,4,FALSE)*$M51)+IF($Q51="",0,VLOOKUP($Q51,'⚪设计'!$B$85:$H$104,4,FALSE)*$R51)+IF($V51="",0,VLOOKUP($V51,'⚪设计'!$B$85:$H$104,4,FALSE)*$W51))*IF(G51="",0,VLOOKUP(G51,'⚪设计'!$B$85:$H$104,4,FALSE)),0))</f>
        <v>687</v>
      </c>
      <c r="K51" s="97">
        <f>IF(G51="","",ROUND(VLOOKUP($B51,战斗节奏!$A$4:$F$13,2,FALSE)/(IF($G51="",0,VLOOKUP($G51,'⚪设计'!$B$85:$H$104,5,FALSE)*$H51)+IF($L51="",0,VLOOKUP($L51,'⚪设计'!$B$85:$H$104,5,FALSE)*$M51)+IF($Q51="",0,VLOOKUP($Q51,'⚪设计'!$B$85:$H$104,5,FALSE)*$R51)+IF($V51="",0,VLOOKUP($V51,'⚪设计'!$B$85:$H$104,5,FALSE)*$W51))*IF(G51="",0,VLOOKUP(G51,'⚪设计'!$B$85:$H$104,5,FALSE)),0))</f>
        <v>21</v>
      </c>
      <c r="L51" s="97" t="str">
        <f>IF(VLOOKUP($A51,'⚪设计'!$A$135:$N$184,8,FALSE)="","",VLOOKUP($A51,'⚪设计'!$A$135:$N$184,8,FALSE))</f>
        <v>鬼1</v>
      </c>
      <c r="M51" s="97">
        <f t="shared" si="2"/>
        <v>35</v>
      </c>
      <c r="N51" s="97">
        <f>IF(VLOOKUP($A51,'⚪设计'!$A$135:$N$184,12,FALSE)="","",VLOOKUP($A51,'⚪设计'!$A$135:$N$184,12,FALSE))</f>
        <v>0.5</v>
      </c>
      <c r="O51" s="97">
        <f>IF(L51="","",ROUND($D51*'⚪设计'!$D183/(IF($G51="",0,VLOOKUP($G51,'⚪设计'!$B$85:$H$104,4,FALSE)*$H51)+IF($L51="",0,VLOOKUP($L51,'⚪设计'!$B$85:$H$104,4,FALSE)*$M51)+IF($Q51="",0,VLOOKUP($Q51,'⚪设计'!$B$85:$H$104,4,FALSE)*$R51)+IF($V51="",0,VLOOKUP($V51,'⚪设计'!$B$85:$H$104,4,FALSE)*$W51))*IF(L51="",0,VLOOKUP(L51,'⚪设计'!$B$85:$H$104,4,FALSE)),0))</f>
        <v>172</v>
      </c>
      <c r="P51" s="97">
        <f>IF(L51="","",ROUND(VLOOKUP($B51,战斗节奏!$A$4:$F$13,2,FALSE)/(IF($G51="",0,VLOOKUP($G51,'⚪设计'!$B$85:$H$104,5,FALSE)*$H51)+IF($L51="",0,VLOOKUP($L51,'⚪设计'!$B$85:$H$104,5,FALSE)*$M51)+IF($Q51="",0,VLOOKUP($Q51,'⚪设计'!$B$85:$H$104,5,FALSE)*$R51)+IF($V51="",0,VLOOKUP($V51,'⚪设计'!$B$85:$H$104,5,FALSE)*$W51))*IF(L51="",0,VLOOKUP(L51,'⚪设计'!$B$85:$H$104,5,FALSE)),0))</f>
        <v>11</v>
      </c>
      <c r="Q51" s="97" t="str">
        <f>IF(VLOOKUP($A51,'⚪设计'!$A$135:$N$184,9,FALSE)="","",VLOOKUP($A51,'⚪设计'!$A$135:$N$184,9,FALSE))</f>
        <v>鸟3</v>
      </c>
      <c r="R51" s="97">
        <f t="shared" si="3"/>
        <v>4</v>
      </c>
      <c r="S51" s="97">
        <f>IF(VLOOKUP($A51,'⚪设计'!$A$135:$N$184,13,FALSE)="","",VLOOKUP($A51,'⚪设计'!$A$135:$N$184,13,FALSE))</f>
        <v>4</v>
      </c>
      <c r="T51" s="97">
        <f>IF(Q51="","",ROUND($D51*'⚪设计'!$D183/(IF($G51="",0,VLOOKUP($G51,'⚪设计'!$B$85:$H$104,4,FALSE)*$H51)+IF($L51="",0,VLOOKUP($L51,'⚪设计'!$B$85:$H$104,4,FALSE)*$M51)+IF($Q51="",0,VLOOKUP($Q51,'⚪设计'!$B$85:$H$104,4,FALSE)*$R51)+IF($V51="",0,VLOOKUP($V51,'⚪设计'!$B$85:$H$104,4,FALSE)*$W51))*IF(Q51="",0,VLOOKUP(Q51,'⚪设计'!$B$85:$H$104,4,FALSE)),0))</f>
        <v>1375</v>
      </c>
      <c r="U51" s="97">
        <f>IF(Q51="","",ROUND(VLOOKUP($B51,战斗节奏!$A$4:$F$13,2,FALSE)/(IF($G51="",0,VLOOKUP($G51,'⚪设计'!$B$85:$H$104,5,FALSE)*$H51)+IF($L51="",0,VLOOKUP($L51,'⚪设计'!$B$85:$H$104,5,FALSE)*$M51)+IF($Q51="",0,VLOOKUP($Q51,'⚪设计'!$B$85:$H$104,5,FALSE)*$R51)+IF($V51="",0,VLOOKUP($V51,'⚪设计'!$B$85:$H$104,5,FALSE)*$W51))*IF(Q51="",0,VLOOKUP(Q51,'⚪设计'!$B$85:$H$104,5,FALSE)),0))</f>
        <v>21</v>
      </c>
      <c r="V51" s="97" t="str">
        <f>IF(VLOOKUP($A51,'⚪设计'!$A$135:$N$184,10,FALSE)="","",VLOOKUP($A51,'⚪设计'!$A$135:$N$184,10,FALSE))</f>
        <v/>
      </c>
      <c r="W51" s="97" t="str">
        <f t="shared" si="4"/>
        <v/>
      </c>
      <c r="X51" s="97" t="str">
        <f>IF(VLOOKUP($A51,'⚪设计'!$A$135:$N$184,14,FALSE)="","",VLOOKUP($A51,'⚪设计'!$A$135:$N$184,14,FALSE))</f>
        <v/>
      </c>
      <c r="Y51" s="97" t="str">
        <f>IF(V51="","",ROUND($D51*'⚪设计'!$D183/(IF($G51="",0,VLOOKUP($G51,'⚪设计'!$B$85:$H$104,4,FALSE)*$H51)+IF($L51="",0,VLOOKUP($L51,'⚪设计'!$B$85:$H$104,4,FALSE)*$M51)+IF($Q51="",0,VLOOKUP($Q51,'⚪设计'!$B$85:$H$104,4,FALSE)*$R51)+IF($V51="",0,VLOOKUP($V51,'⚪设计'!$B$85:$H$104,4,FALSE)*$W51))*IF(V51="",0,VLOOKUP(V51,'⚪设计'!$B$85:$H$104,4,FALSE)),0))</f>
        <v/>
      </c>
      <c r="Z51" s="97" t="str">
        <f>IF(V51="","",ROUND(VLOOKUP($B51,战斗节奏!$A$4:$F$13,2,FALSE)/(IF($G51="",0,VLOOKUP($G51,'⚪设计'!$B$85:$H$104,5,FALSE)*$H51)+IF($L51="",0,VLOOKUP($L51,'⚪设计'!$B$85:$H$104,5,FALSE)*$M51)+IF($Q51="",0,VLOOKUP($Q51,'⚪设计'!$B$85:$H$104,5,FALSE)*$R51)+IF($V51="",0,VLOOKUP($V51,'⚪设计'!$B$85:$H$104,5,FALSE)*$W51))*IF(V51="",0,VLOOKUP(V51,'⚪设计'!$B$85:$H$104,5,FALSE)),0))</f>
        <v/>
      </c>
    </row>
    <row r="52" spans="1:26" x14ac:dyDescent="0.2">
      <c r="A52" s="2" t="str">
        <f t="shared" si="0"/>
        <v>10_5</v>
      </c>
      <c r="B52" s="2">
        <v>10</v>
      </c>
      <c r="C52" s="2">
        <v>5</v>
      </c>
      <c r="D52" s="97">
        <f>VLOOKUP(C52,无限模式!$A$3:$B$22,2,FALSE)</f>
        <v>5400</v>
      </c>
      <c r="E52" s="98">
        <v>1</v>
      </c>
      <c r="F52" s="97">
        <f>'⚪设计'!F184</f>
        <v>20</v>
      </c>
      <c r="G52" s="97" t="str">
        <f>IF(VLOOKUP($A52,'⚪设计'!$A$135:$N$184,7,FALSE)="","",VLOOKUP($A52,'⚪设计'!$A$135:$N$184,7,FALSE))</f>
        <v>蛋2</v>
      </c>
      <c r="H52" s="97">
        <f t="shared" si="1"/>
        <v>13</v>
      </c>
      <c r="I52" s="97">
        <f>IF(VLOOKUP($A52,'⚪设计'!$A$135:$N$184,11,FALSE)="","",VLOOKUP($A52,'⚪设计'!$A$135:$N$184,11,FALSE))</f>
        <v>1.5</v>
      </c>
      <c r="J52" s="97">
        <f>IF(G52="","",ROUND($D52*'⚪设计'!$D184/(IF($G52="",0,VLOOKUP($G52,'⚪设计'!$B$85:$H$104,4,FALSE)*$H52)+IF($L52="",0,VLOOKUP($L52,'⚪设计'!$B$85:$H$104,4,FALSE)*$M52)+IF($Q52="",0,VLOOKUP($Q52,'⚪设计'!$B$85:$H$104,4,FALSE)*$R52)+IF($V52="",0,VLOOKUP($V52,'⚪设计'!$B$85:$H$104,4,FALSE)*$W52))*IF(G52="",0,VLOOKUP(G52,'⚪设计'!$B$85:$H$104,4,FALSE)),0))</f>
        <v>470</v>
      </c>
      <c r="K52" s="97">
        <f>IF(G52="","",ROUND(VLOOKUP($B52,战斗节奏!$A$4:$F$13,2,FALSE)/(IF($G52="",0,VLOOKUP($G52,'⚪设计'!$B$85:$H$104,5,FALSE)*$H52)+IF($L52="",0,VLOOKUP($L52,'⚪设计'!$B$85:$H$104,5,FALSE)*$M52)+IF($Q52="",0,VLOOKUP($Q52,'⚪设计'!$B$85:$H$104,5,FALSE)*$R52)+IF($V52="",0,VLOOKUP($V52,'⚪设计'!$B$85:$H$104,5,FALSE)*$W52))*IF(G52="",0,VLOOKUP(G52,'⚪设计'!$B$85:$H$104,5,FALSE)),0))</f>
        <v>14</v>
      </c>
      <c r="L52" s="97" t="str">
        <f>IF(VLOOKUP($A52,'⚪设计'!$A$135:$N$184,8,FALSE)="","",VLOOKUP($A52,'⚪设计'!$A$135:$N$184,8,FALSE))</f>
        <v>鬼1</v>
      </c>
      <c r="M52" s="97">
        <f t="shared" si="2"/>
        <v>40</v>
      </c>
      <c r="N52" s="97">
        <f>IF(VLOOKUP($A52,'⚪设计'!$A$135:$N$184,12,FALSE)="","",VLOOKUP($A52,'⚪设计'!$A$135:$N$184,12,FALSE))</f>
        <v>0.5</v>
      </c>
      <c r="O52" s="97">
        <f>IF(L52="","",ROUND($D52*'⚪设计'!$D184/(IF($G52="",0,VLOOKUP($G52,'⚪设计'!$B$85:$H$104,4,FALSE)*$H52)+IF($L52="",0,VLOOKUP($L52,'⚪设计'!$B$85:$H$104,4,FALSE)*$M52)+IF($Q52="",0,VLOOKUP($Q52,'⚪设计'!$B$85:$H$104,4,FALSE)*$R52)+IF($V52="",0,VLOOKUP($V52,'⚪设计'!$B$85:$H$104,4,FALSE)*$W52))*IF(L52="",0,VLOOKUP(L52,'⚪设计'!$B$85:$H$104,4,FALSE)),0))</f>
        <v>117</v>
      </c>
      <c r="P52" s="97">
        <f>IF(L52="","",ROUND(VLOOKUP($B52,战斗节奏!$A$4:$F$13,2,FALSE)/(IF($G52="",0,VLOOKUP($G52,'⚪设计'!$B$85:$H$104,5,FALSE)*$H52)+IF($L52="",0,VLOOKUP($L52,'⚪设计'!$B$85:$H$104,5,FALSE)*$M52)+IF($Q52="",0,VLOOKUP($Q52,'⚪设计'!$B$85:$H$104,5,FALSE)*$R52)+IF($V52="",0,VLOOKUP($V52,'⚪设计'!$B$85:$H$104,5,FALSE)*$W52))*IF(L52="",0,VLOOKUP(L52,'⚪设计'!$B$85:$H$104,5,FALSE)),0))</f>
        <v>7</v>
      </c>
      <c r="Q52" s="97" t="str">
        <f>IF(VLOOKUP($A52,'⚪设计'!$A$135:$N$184,9,FALSE)="","",VLOOKUP($A52,'⚪设计'!$A$135:$N$184,9,FALSE))</f>
        <v>种子1</v>
      </c>
      <c r="R52" s="97">
        <f t="shared" si="3"/>
        <v>10</v>
      </c>
      <c r="S52" s="97">
        <f>IF(VLOOKUP($A52,'⚪设计'!$A$135:$N$184,13,FALSE)="","",VLOOKUP($A52,'⚪设计'!$A$135:$N$184,13,FALSE))</f>
        <v>2</v>
      </c>
      <c r="T52" s="97">
        <f>IF(Q52="","",ROUND($D52*'⚪设计'!$D184/(IF($G52="",0,VLOOKUP($G52,'⚪设计'!$B$85:$H$104,4,FALSE)*$H52)+IF($L52="",0,VLOOKUP($L52,'⚪设计'!$B$85:$H$104,4,FALSE)*$M52)+IF($Q52="",0,VLOOKUP($Q52,'⚪设计'!$B$85:$H$104,4,FALSE)*$R52)+IF($V52="",0,VLOOKUP($V52,'⚪设计'!$B$85:$H$104,4,FALSE)*$W52))*IF(Q52="",0,VLOOKUP(Q52,'⚪设计'!$B$85:$H$104,4,FALSE)),0))</f>
        <v>352</v>
      </c>
      <c r="U52" s="97">
        <f>IF(Q52="","",ROUND(VLOOKUP($B52,战斗节奏!$A$4:$F$13,2,FALSE)/(IF($G52="",0,VLOOKUP($G52,'⚪设计'!$B$85:$H$104,5,FALSE)*$H52)+IF($L52="",0,VLOOKUP($L52,'⚪设计'!$B$85:$H$104,5,FALSE)*$M52)+IF($Q52="",0,VLOOKUP($Q52,'⚪设计'!$B$85:$H$104,5,FALSE)*$R52)+IF($V52="",0,VLOOKUP($V52,'⚪设计'!$B$85:$H$104,5,FALSE)*$W52))*IF(Q52="",0,VLOOKUP(Q52,'⚪设计'!$B$85:$H$104,5,FALSE)),0))</f>
        <v>14</v>
      </c>
      <c r="V52" s="97" t="str">
        <f>IF(VLOOKUP($A52,'⚪设计'!$A$135:$N$184,10,FALSE)="","",VLOOKUP($A52,'⚪设计'!$A$135:$N$184,10,FALSE))</f>
        <v>鸟3</v>
      </c>
      <c r="W52" s="97">
        <f t="shared" si="4"/>
        <v>10</v>
      </c>
      <c r="X52" s="97">
        <f>IF(VLOOKUP($A52,'⚪设计'!$A$135:$N$184,14,FALSE)="","",VLOOKUP($A52,'⚪设计'!$A$135:$N$184,14,FALSE))</f>
        <v>2</v>
      </c>
      <c r="Y52" s="97">
        <f>IF(V52="","",ROUND($D52*'⚪设计'!$D184/(IF($G52="",0,VLOOKUP($G52,'⚪设计'!$B$85:$H$104,4,FALSE)*$H52)+IF($L52="",0,VLOOKUP($L52,'⚪设计'!$B$85:$H$104,4,FALSE)*$M52)+IF($Q52="",0,VLOOKUP($Q52,'⚪设计'!$B$85:$H$104,4,FALSE)*$R52)+IF($V52="",0,VLOOKUP($V52,'⚪设计'!$B$85:$H$104,4,FALSE)*$W52))*IF(V52="",0,VLOOKUP(V52,'⚪设计'!$B$85:$H$104,4,FALSE)),0))</f>
        <v>939</v>
      </c>
      <c r="Z52" s="97">
        <f>IF(V52="","",ROUND(VLOOKUP($B52,战斗节奏!$A$4:$F$13,2,FALSE)/(IF($G52="",0,VLOOKUP($G52,'⚪设计'!$B$85:$H$104,5,FALSE)*$H52)+IF($L52="",0,VLOOKUP($L52,'⚪设计'!$B$85:$H$104,5,FALSE)*$M52)+IF($Q52="",0,VLOOKUP($Q52,'⚪设计'!$B$85:$H$104,5,FALSE)*$R52)+IF($V52="",0,VLOOKUP($V52,'⚪设计'!$B$85:$H$104,5,FALSE)*$W52))*IF(V52="",0,VLOOKUP(V52,'⚪设计'!$B$85:$H$104,5,FALSE)),0))</f>
        <v>14</v>
      </c>
    </row>
  </sheetData>
  <mergeCells count="10">
    <mergeCell ref="G1:K1"/>
    <mergeCell ref="L1:P1"/>
    <mergeCell ref="Q1:U1"/>
    <mergeCell ref="V1:Z1"/>
    <mergeCell ref="A1:A2"/>
    <mergeCell ref="C1:C2"/>
    <mergeCell ref="D1:D2"/>
    <mergeCell ref="E1:E2"/>
    <mergeCell ref="F1:F2"/>
    <mergeCell ref="B1:B2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14EF-F6E7-4A75-AA2C-606EA1B75FD1}">
  <dimension ref="A1:X22"/>
  <sheetViews>
    <sheetView zoomScale="85" zoomScaleNormal="85" workbookViewId="0">
      <selection activeCell="L15" sqref="L15"/>
    </sheetView>
  </sheetViews>
  <sheetFormatPr defaultColWidth="9" defaultRowHeight="14.25" x14ac:dyDescent="0.2"/>
  <cols>
    <col min="1" max="4" width="9" style="66"/>
    <col min="5" max="5" width="17.75" style="94" bestFit="1" customWidth="1"/>
    <col min="6" max="9" width="9" style="66"/>
    <col min="10" max="10" width="17.75" style="66" bestFit="1" customWidth="1"/>
    <col min="11" max="14" width="9" style="66"/>
    <col min="15" max="15" width="17.75" style="94" bestFit="1" customWidth="1"/>
    <col min="16" max="16384" width="9" style="66"/>
  </cols>
  <sheetData>
    <row r="1" spans="1:24" x14ac:dyDescent="0.2">
      <c r="A1" s="165" t="s">
        <v>380</v>
      </c>
      <c r="B1" s="165" t="s">
        <v>428</v>
      </c>
      <c r="C1" s="167" t="s">
        <v>431</v>
      </c>
      <c r="D1" s="167" t="s">
        <v>396</v>
      </c>
      <c r="E1" s="165" t="s">
        <v>400</v>
      </c>
      <c r="F1" s="166"/>
      <c r="G1" s="166"/>
      <c r="H1" s="166"/>
      <c r="I1" s="166"/>
      <c r="J1" s="165" t="s">
        <v>401</v>
      </c>
      <c r="K1" s="166"/>
      <c r="L1" s="166"/>
      <c r="M1" s="166"/>
      <c r="N1" s="166"/>
      <c r="O1" s="165" t="s">
        <v>402</v>
      </c>
      <c r="P1" s="166"/>
      <c r="Q1" s="166"/>
      <c r="R1" s="166"/>
      <c r="S1" s="166"/>
      <c r="T1" s="165" t="s">
        <v>403</v>
      </c>
      <c r="U1" s="166"/>
      <c r="V1" s="166"/>
      <c r="W1" s="166"/>
      <c r="X1" s="167"/>
    </row>
    <row r="2" spans="1:24" x14ac:dyDescent="0.2">
      <c r="A2" s="168"/>
      <c r="B2" s="168"/>
      <c r="C2" s="169"/>
      <c r="D2" s="169"/>
      <c r="E2" s="93" t="s">
        <v>397</v>
      </c>
      <c r="F2" s="87" t="s">
        <v>283</v>
      </c>
      <c r="G2" s="87" t="s">
        <v>404</v>
      </c>
      <c r="H2" s="87" t="s">
        <v>398</v>
      </c>
      <c r="I2" s="87" t="s">
        <v>399</v>
      </c>
      <c r="J2" s="85" t="s">
        <v>397</v>
      </c>
      <c r="K2" s="87" t="s">
        <v>283</v>
      </c>
      <c r="L2" s="87" t="s">
        <v>404</v>
      </c>
      <c r="M2" s="87" t="s">
        <v>398</v>
      </c>
      <c r="N2" s="87" t="s">
        <v>399</v>
      </c>
      <c r="O2" s="93" t="s">
        <v>397</v>
      </c>
      <c r="P2" s="87" t="s">
        <v>283</v>
      </c>
      <c r="Q2" s="87" t="s">
        <v>404</v>
      </c>
      <c r="R2" s="87" t="s">
        <v>398</v>
      </c>
      <c r="S2" s="87" t="s">
        <v>399</v>
      </c>
      <c r="T2" s="85" t="s">
        <v>397</v>
      </c>
      <c r="U2" s="87" t="s">
        <v>283</v>
      </c>
      <c r="V2" s="87" t="s">
        <v>404</v>
      </c>
      <c r="W2" s="87" t="s">
        <v>398</v>
      </c>
      <c r="X2" s="86" t="s">
        <v>399</v>
      </c>
    </row>
    <row r="3" spans="1:24" x14ac:dyDescent="0.2">
      <c r="A3" s="84">
        <v>1</v>
      </c>
      <c r="B3" s="88">
        <f>MAX(MIN(战斗节奏!$C$3-INT(A3/'⚪设计'!$C$55),MOD(A3,'⚪设计'!$C$55)),0)*'⚪设计'!$C$79*防御塔!$C$2+MIN(INT(A3/'⚪设计'!$C$55),战斗节奏!$C$3)*'⚪设计'!$C$80*防御塔!$C$2</f>
        <v>900</v>
      </c>
      <c r="C3" s="7">
        <v>1</v>
      </c>
      <c r="D3" s="7">
        <v>10</v>
      </c>
      <c r="E3" s="71" t="str">
        <f>IF(VLOOKUP(A3,'⚪设计'!$A$193:$G$212,4,FALSE)="","",VLOOKUP(VLOOKUP(A3,'⚪设计'!$A$193:$G$212,4,FALSE),'⚪设计'!$B$85:$D$101,2,FALSE))</f>
        <v>ResUnit_MiFeng1</v>
      </c>
      <c r="F3" s="88">
        <f>IF(E3="",0,IF(G3=0,1,ROUND($D3/G3,0)))</f>
        <v>13</v>
      </c>
      <c r="G3" s="7">
        <v>0.75</v>
      </c>
      <c r="H3" s="88">
        <f>IF(E3="",0,ROUND(VLOOKUP($A3,'⚪设计'!$A$193:$B$212,2,FALSE)*$B3/SUM(IF($E3="",0,VLOOKUP($E3,'⚪设计'!$C$85:$E$101,3,FALSE))*$F3,IF($J3="",0,VLOOKUP($J3,'⚪设计'!$C$85:$E$101,3,FALSE))*$K3,IF($O3="",0,VLOOKUP($O3,'⚪设计'!$C$85:$E$101,3,FALSE))*$P3,IF($T3="",0,VLOOKUP($T3,'⚪设计'!$C$85:$E$101,3,FALSE))*$U3)*VLOOKUP(E3,'⚪设计'!$C$85:$E$101,3,FALSE),0))</f>
        <v>346</v>
      </c>
      <c r="I3" s="88">
        <f>ROUND(战斗节奏!$B$3/SUM(IF(无限模式!$E3="",0,VLOOKUP(无限模式!$E3,'⚪设计'!$C$85:$G$101,4,FALSE)*无限模式!$F3),IF(无限模式!$J3="",0,VLOOKUP(无限模式!$J3,'⚪设计'!$C$85:$G$101,4,FALSE)*无限模式!$K3),IF(无限模式!$O3="",0,VLOOKUP(无限模式!$O3,'⚪设计'!$C$85:$G$101,4,FALSE)*无限模式!$P3),IF(无限模式!$T3="",0,VLOOKUP(无限模式!$T3,'⚪设计'!$C$85:$G$101,4,FALSE)*无限模式!$U3))*IF(E3="",0,VLOOKUP(E3,'⚪设计'!$C$85:$G$101,4,FALSE)),0)</f>
        <v>55</v>
      </c>
      <c r="J3" s="88" t="str">
        <f>IF(VLOOKUP(A3,'⚪设计'!$A$193:$G$212,5,FALSE)="","",VLOOKUP(VLOOKUP(A3,'⚪设计'!$A$193:$G$212,5,FALSE),'⚪设计'!$B$85:$D$101,2,FALSE))</f>
        <v/>
      </c>
      <c r="K3" s="88">
        <f>IF(J3="",0,IF(L3=0,1,ROUND($D3/L3,0)))</f>
        <v>0</v>
      </c>
      <c r="L3" s="7"/>
      <c r="M3" s="88">
        <f>IF(J3="",0,ROUND(VLOOKUP($A3,'⚪设计'!$A$193:$B$212,2,FALSE)*$B3/SUM(IF($E3="",0,VLOOKUP($E3,'⚪设计'!$C$85:$E$101,3,FALSE))*$F3,IF($J3="",0,VLOOKUP($J3,'⚪设计'!$C$85:$E$101,3,FALSE))*$K3,IF($O3="",0,VLOOKUP($O3,'⚪设计'!$C$85:$E$101,3,FALSE))*$P3,IF($T3="",0,VLOOKUP($T3,'⚪设计'!$C$85:$E$101,3,FALSE))*$U3)*VLOOKUP(J3,'⚪设计'!$C$85:$E$101,3,FALSE),0))</f>
        <v>0</v>
      </c>
      <c r="N3" s="88">
        <f>ROUND(战斗节奏!$B$3/SUM(IF(无限模式!$E3="",0,VLOOKUP(无限模式!$E3,'⚪设计'!$C$85:$G$101,4,FALSE)*无限模式!$F3),IF(无限模式!$J3="",0,VLOOKUP(无限模式!$J3,'⚪设计'!$C$85:$G$101,4,FALSE)*无限模式!$K3),IF(无限模式!$O3="",0,VLOOKUP(无限模式!$O3,'⚪设计'!$C$85:$G$101,4,FALSE)*无限模式!$P3),IF(无限模式!$T3="",0,VLOOKUP(无限模式!$T3,'⚪设计'!$C$85:$G$101,4,FALSE)*无限模式!$U3))*IF(J3="",0,VLOOKUP(J3,'⚪设计'!$C$85:$G$101,4,FALSE)),0)</f>
        <v>0</v>
      </c>
      <c r="O3" s="71" t="str">
        <f>IF(VLOOKUP(A3,'⚪设计'!$A$193:$G$212,6,FALSE)="","",VLOOKUP(VLOOKUP(A3,'⚪设计'!$A$193:$G$212,6,FALSE),'⚪设计'!$B$85:$D$101,2,FALSE))</f>
        <v/>
      </c>
      <c r="P3" s="88">
        <f>IF(O3="",0,IF(Q3=0,1,ROUND($D3/Q3,0)))</f>
        <v>0</v>
      </c>
      <c r="Q3" s="7"/>
      <c r="R3" s="88">
        <f>IF(O3="",0,ROUND(VLOOKUP($A3,'⚪设计'!$A$193:$B$212,2,FALSE)*$B3/SUM(IF($E3="",0,VLOOKUP($E3,'⚪设计'!$C$85:$E$101,3,FALSE))*$F3,IF($J3="",0,VLOOKUP($J3,'⚪设计'!$C$85:$E$101,3,FALSE))*$K3,IF($O3="",0,VLOOKUP($O3,'⚪设计'!$C$85:$E$101,3,FALSE))*$P3,IF($T3="",0,VLOOKUP($T3,'⚪设计'!$C$85:$E$101,3,FALSE))*$U3)*VLOOKUP(O3,'⚪设计'!$C$85:$E$101,3,FALSE),0))</f>
        <v>0</v>
      </c>
      <c r="S3" s="88">
        <f>ROUND(战斗节奏!$B$3/SUM(IF(无限模式!$E3="",0,VLOOKUP(无限模式!$E3,'⚪设计'!$C$85:$G$101,4,FALSE)*无限模式!$F3),IF(无限模式!$J3="",0,VLOOKUP(无限模式!$J3,'⚪设计'!$C$85:$G$101,4,FALSE)*无限模式!$K3),IF(无限模式!$O3="",0,VLOOKUP(无限模式!$O3,'⚪设计'!$C$85:$G$101,4,FALSE)*无限模式!$P3),IF(无限模式!$T3="",0,VLOOKUP(无限模式!$T3,'⚪设计'!$C$85:$G$101,4,FALSE)*无限模式!$U3))*IF(O3="",0,VLOOKUP(O3,'⚪设计'!$C$85:$G$101,4,FALSE)),0)</f>
        <v>0</v>
      </c>
      <c r="T3" s="88" t="str">
        <f>IF(VLOOKUP(A3,'⚪设计'!$A$193:$G$212,7,FALSE)="","",VLOOKUP(VLOOKUP(A3,'⚪设计'!$A$193:$G$212,7,FALSE),'⚪设计'!$B$85:$D$101,2,FALSE))</f>
        <v/>
      </c>
      <c r="U3" s="88">
        <f>IF(T3="",0,IF(V3=0,1,ROUND($D3/V3,0)))</f>
        <v>0</v>
      </c>
      <c r="V3" s="7"/>
      <c r="W3" s="88">
        <f>IF(T3="",0,ROUND(VLOOKUP($A3,'⚪设计'!$A$193:$B$212,2,FALSE)*$B3/SUM(IF($E3="",0,VLOOKUP($E3,'⚪设计'!$C$85:$E$101,3,FALSE))*$F3,IF($J3="",0,VLOOKUP($J3,'⚪设计'!$C$85:$E$101,3,FALSE))*$K3,IF($O3="",0,VLOOKUP($O3,'⚪设计'!$C$85:$E$101,3,FALSE))*$P3,IF($T3="",0,VLOOKUP($T3,'⚪设计'!$C$85:$E$101,3,FALSE))*$U3)*VLOOKUP(T3,'⚪设计'!$C$85:$E$101,3,FALSE),0))</f>
        <v>0</v>
      </c>
      <c r="X3" s="88">
        <f>ROUND(战斗节奏!$B$3/SUM(IF(无限模式!$E3="",0,VLOOKUP(无限模式!$E3,'⚪设计'!$C$85:$G$101,4,FALSE)*无限模式!$F3),IF(无限模式!$J3="",0,VLOOKUP(无限模式!$J3,'⚪设计'!$C$85:$G$101,4,FALSE)*无限模式!$K3),IF(无限模式!$O3="",0,VLOOKUP(无限模式!$O3,'⚪设计'!$C$85:$G$101,4,FALSE)*无限模式!$P3),IF(无限模式!$T3="",0,VLOOKUP(无限模式!$T3,'⚪设计'!$C$85:$G$101,4,FALSE)*无限模式!$U3))*IF(T3="",0,VLOOKUP(T3,'⚪设计'!$C$85:$G$101,4,FALSE)),0)</f>
        <v>0</v>
      </c>
    </row>
    <row r="4" spans="1:24" x14ac:dyDescent="0.2">
      <c r="A4" s="84">
        <v>2</v>
      </c>
      <c r="B4" s="88">
        <f>MAX(MIN(战斗节奏!$C$3-INT(A4/'⚪设计'!$C$55),MOD(A4,'⚪设计'!$C$55)),0)*'⚪设计'!$C$79*防御塔!$C$2+MIN(INT(A4/'⚪设计'!$C$55),战斗节奏!$C$3)*'⚪设计'!$C$80*防御塔!$C$2</f>
        <v>1800</v>
      </c>
      <c r="C4" s="7">
        <v>1.05</v>
      </c>
      <c r="D4" s="7">
        <v>11</v>
      </c>
      <c r="E4" s="71" t="str">
        <f>IF(VLOOKUP(A4,'⚪设计'!$A$193:$G$212,4,FALSE)="","",VLOOKUP(VLOOKUP(A4,'⚪设计'!$A$193:$G$212,4,FALSE),'⚪设计'!$B$85:$D$101,2,FALSE))</f>
        <v>ResUnit_MiFeng1</v>
      </c>
      <c r="F4" s="88">
        <f t="shared" ref="F4:F22" si="0">IF(E4="",0,IF(G4=0,1,ROUND($D4/G4,0)))</f>
        <v>15</v>
      </c>
      <c r="G4" s="7">
        <v>0.75</v>
      </c>
      <c r="H4" s="88">
        <f>IF(E4="",0,ROUND(VLOOKUP($A4,'⚪设计'!$A$193:$B$212,2,FALSE)*$B4/SUM(IF($E4="",0,VLOOKUP($E4,'⚪设计'!$C$85:$E$101,3,FALSE))*$F4,IF($J4="",0,VLOOKUP($J4,'⚪设计'!$C$85:$E$101,3,FALSE))*$K4,IF($O4="",0,VLOOKUP($O4,'⚪设计'!$C$85:$E$101,3,FALSE))*$P4,IF($T4="",0,VLOOKUP($T4,'⚪设计'!$C$85:$E$101,3,FALSE))*$U4)*VLOOKUP(E4,'⚪设计'!$C$85:$E$101,3,FALSE),0))</f>
        <v>322</v>
      </c>
      <c r="I4" s="88">
        <f>ROUND(战斗节奏!$B$3/SUM(IF(无限模式!$E4="",0,VLOOKUP(无限模式!$E4,'⚪设计'!$C$85:$G$101,4,FALSE)*无限模式!$F4),IF(无限模式!$J4="",0,VLOOKUP(无限模式!$J4,'⚪设计'!$C$85:$G$101,4,FALSE)*无限模式!$K4),IF(无限模式!$O4="",0,VLOOKUP(无限模式!$O4,'⚪设计'!$C$85:$G$101,4,FALSE)*无限模式!$P4),IF(无限模式!$T4="",0,VLOOKUP(无限模式!$T4,'⚪设计'!$C$85:$G$101,4,FALSE)*无限模式!$U4))*IF(E4="",0,VLOOKUP(E4,'⚪设计'!$C$85:$G$101,4,FALSE)),0)</f>
        <v>17</v>
      </c>
      <c r="J4" s="88" t="str">
        <f>IF(VLOOKUP(A4,'⚪设计'!$A$193:$G$212,5,FALSE)="","",VLOOKUP(VLOOKUP(A4,'⚪设计'!$A$193:$G$212,5,FALSE),'⚪设计'!$B$85:$D$101,2,FALSE))</f>
        <v>ResUnit_MiFeng2</v>
      </c>
      <c r="K4" s="88">
        <f t="shared" ref="K4:K22" si="1">IF(J4="",0,IF(L4=0,1,ROUND($D4/L4,0)))</f>
        <v>7</v>
      </c>
      <c r="L4" s="7">
        <v>1.5</v>
      </c>
      <c r="M4" s="88">
        <f>IF(J4="",0,ROUND(VLOOKUP($A4,'⚪设计'!$A$193:$B$212,2,FALSE)*$B4/SUM(IF($E4="",0,VLOOKUP($E4,'⚪设计'!$C$85:$E$101,3,FALSE))*$F4,IF($J4="",0,VLOOKUP($J4,'⚪设计'!$C$85:$E$101,3,FALSE))*$K4,IF($O4="",0,VLOOKUP($O4,'⚪设计'!$C$85:$E$101,3,FALSE))*$P4,IF($T4="",0,VLOOKUP($T4,'⚪设计'!$C$85:$E$101,3,FALSE))*$U4)*VLOOKUP(J4,'⚪设计'!$C$85:$E$101,3,FALSE),0))</f>
        <v>1289</v>
      </c>
      <c r="N4" s="88">
        <f>ROUND(战斗节奏!$B$3/SUM(IF(无限模式!$E4="",0,VLOOKUP(无限模式!$E4,'⚪设计'!$C$85:$G$101,4,FALSE)*无限模式!$F4),IF(无限模式!$J4="",0,VLOOKUP(无限模式!$J4,'⚪设计'!$C$85:$G$101,4,FALSE)*无限模式!$K4),IF(无限模式!$O4="",0,VLOOKUP(无限模式!$O4,'⚪设计'!$C$85:$G$101,4,FALSE)*无限模式!$P4),IF(无限模式!$T4="",0,VLOOKUP(无限模式!$T4,'⚪设计'!$C$85:$G$101,4,FALSE)*无限模式!$U4))*IF(J4="",0,VLOOKUP(J4,'⚪设计'!$C$85:$G$101,4,FALSE)),0)</f>
        <v>67</v>
      </c>
      <c r="O4" s="71" t="str">
        <f>IF(VLOOKUP(A4,'⚪设计'!$A$193:$G$212,6,FALSE)="","",VLOOKUP(VLOOKUP(A4,'⚪设计'!$A$193:$G$212,6,FALSE),'⚪设计'!$B$85:$D$101,2,FALSE))</f>
        <v/>
      </c>
      <c r="P4" s="88">
        <f t="shared" ref="P4:P22" si="2">IF(O4="",0,IF(Q4=0,1,ROUND($D4/Q4,0)))</f>
        <v>0</v>
      </c>
      <c r="Q4" s="7"/>
      <c r="R4" s="88">
        <f>IF(O4="",0,ROUND(VLOOKUP($A4,'⚪设计'!$A$193:$B$212,2,FALSE)*$B4/SUM(IF($E4="",0,VLOOKUP($E4,'⚪设计'!$C$85:$E$101,3,FALSE))*$F4,IF($J4="",0,VLOOKUP($J4,'⚪设计'!$C$85:$E$101,3,FALSE))*$K4,IF($O4="",0,VLOOKUP($O4,'⚪设计'!$C$85:$E$101,3,FALSE))*$P4,IF($T4="",0,VLOOKUP($T4,'⚪设计'!$C$85:$E$101,3,FALSE))*$U4)*VLOOKUP(O4,'⚪设计'!$C$85:$E$101,3,FALSE),0))</f>
        <v>0</v>
      </c>
      <c r="S4" s="88">
        <f>ROUND(战斗节奏!$B$3/SUM(IF(无限模式!$E4="",0,VLOOKUP(无限模式!$E4,'⚪设计'!$C$85:$G$101,4,FALSE)*无限模式!$F4),IF(无限模式!$J4="",0,VLOOKUP(无限模式!$J4,'⚪设计'!$C$85:$G$101,4,FALSE)*无限模式!$K4),IF(无限模式!$O4="",0,VLOOKUP(无限模式!$O4,'⚪设计'!$C$85:$G$101,4,FALSE)*无限模式!$P4),IF(无限模式!$T4="",0,VLOOKUP(无限模式!$T4,'⚪设计'!$C$85:$G$101,4,FALSE)*无限模式!$U4))*IF(O4="",0,VLOOKUP(O4,'⚪设计'!$C$85:$G$101,4,FALSE)),0)</f>
        <v>0</v>
      </c>
      <c r="T4" s="88" t="str">
        <f>IF(VLOOKUP(A4,'⚪设计'!$A$193:$G$212,7,FALSE)="","",VLOOKUP(VLOOKUP(A4,'⚪设计'!$A$193:$G$212,7,FALSE),'⚪设计'!$B$85:$D$101,2,FALSE))</f>
        <v/>
      </c>
      <c r="U4" s="88">
        <f t="shared" ref="U4:U22" si="3">IF(T4="",0,IF(V4=0,1,ROUND($D4/V4,0)))</f>
        <v>0</v>
      </c>
      <c r="V4" s="7"/>
      <c r="W4" s="88">
        <f>IF(T4="",0,ROUND(VLOOKUP($A4,'⚪设计'!$A$193:$B$212,2,FALSE)*$B4/SUM(IF($E4="",0,VLOOKUP($E4,'⚪设计'!$C$85:$E$101,3,FALSE))*$F4,IF($J4="",0,VLOOKUP($J4,'⚪设计'!$C$85:$E$101,3,FALSE))*$K4,IF($O4="",0,VLOOKUP($O4,'⚪设计'!$C$85:$E$101,3,FALSE))*$P4,IF($T4="",0,VLOOKUP($T4,'⚪设计'!$C$85:$E$101,3,FALSE))*$U4)*VLOOKUP(T4,'⚪设计'!$C$85:$E$101,3,FALSE),0))</f>
        <v>0</v>
      </c>
      <c r="X4" s="88">
        <f>ROUND(战斗节奏!$B$3/SUM(IF(无限模式!$E4="",0,VLOOKUP(无限模式!$E4,'⚪设计'!$C$85:$G$101,4,FALSE)*无限模式!$F4),IF(无限模式!$J4="",0,VLOOKUP(无限模式!$J4,'⚪设计'!$C$85:$G$101,4,FALSE)*无限模式!$K4),IF(无限模式!$O4="",0,VLOOKUP(无限模式!$O4,'⚪设计'!$C$85:$G$101,4,FALSE)*无限模式!$P4),IF(无限模式!$T4="",0,VLOOKUP(无限模式!$T4,'⚪设计'!$C$85:$G$101,4,FALSE)*无限模式!$U4))*IF(T4="",0,VLOOKUP(T4,'⚪设计'!$C$85:$G$101,4,FALSE)),0)</f>
        <v>0</v>
      </c>
    </row>
    <row r="5" spans="1:24" x14ac:dyDescent="0.2">
      <c r="A5" s="84">
        <v>3</v>
      </c>
      <c r="B5" s="88">
        <f>MAX(MIN(战斗节奏!$C$3-INT(A5/'⚪设计'!$C$55),MOD(A5,'⚪设计'!$C$55)),0)*'⚪设计'!$C$79*防御塔!$C$2+MIN(INT(A5/'⚪设计'!$C$55),战斗节奏!$C$3)*'⚪设计'!$C$80*防御塔!$C$2</f>
        <v>3600</v>
      </c>
      <c r="C5" s="7">
        <v>1.1000000000000001</v>
      </c>
      <c r="D5" s="7">
        <v>12</v>
      </c>
      <c r="E5" s="71" t="str">
        <f>IF(VLOOKUP(A5,'⚪设计'!$A$193:$G$212,4,FALSE)="","",VLOOKUP(VLOOKUP(A5,'⚪设计'!$A$193:$G$212,4,FALSE),'⚪设计'!$B$85:$D$101,2,FALSE))</f>
        <v>ResUnit_MiFeng2</v>
      </c>
      <c r="F5" s="88">
        <f t="shared" si="0"/>
        <v>8</v>
      </c>
      <c r="G5" s="7">
        <v>1.5</v>
      </c>
      <c r="H5" s="88">
        <f>IF(E5="",0,ROUND(VLOOKUP($A5,'⚪设计'!$A$193:$B$212,2,FALSE)*$B5/SUM(IF($E5="",0,VLOOKUP($E5,'⚪设计'!$C$85:$E$101,3,FALSE))*$F5,IF($J5="",0,VLOOKUP($J5,'⚪设计'!$C$85:$E$101,3,FALSE))*$K5,IF($O5="",0,VLOOKUP($O5,'⚪设计'!$C$85:$E$101,3,FALSE))*$P5,IF($T5="",0,VLOOKUP($T5,'⚪设计'!$C$85:$E$101,3,FALSE))*$U5)*VLOOKUP(E5,'⚪设计'!$C$85:$E$101,3,FALSE),0))</f>
        <v>1628</v>
      </c>
      <c r="I5" s="88">
        <f>ROUND(战斗节奏!$B$3/SUM(IF(无限模式!$E5="",0,VLOOKUP(无限模式!$E5,'⚪设计'!$C$85:$G$101,4,FALSE)*无限模式!$F5),IF(无限模式!$J5="",0,VLOOKUP(无限模式!$J5,'⚪设计'!$C$85:$G$101,4,FALSE)*无限模式!$K5),IF(无限模式!$O5="",0,VLOOKUP(无限模式!$O5,'⚪设计'!$C$85:$G$101,4,FALSE)*无限模式!$P5),IF(无限模式!$T5="",0,VLOOKUP(无限模式!$T5,'⚪设计'!$C$85:$G$101,4,FALSE)*无限模式!$U5))*IF(E5="",0,VLOOKUP(E5,'⚪设计'!$C$85:$G$101,4,FALSE)),0)</f>
        <v>31</v>
      </c>
      <c r="J5" s="88" t="str">
        <f>IF(VLOOKUP(A5,'⚪设计'!$A$193:$G$212,5,FALSE)="","",VLOOKUP(VLOOKUP(A5,'⚪设计'!$A$193:$G$212,5,FALSE),'⚪设计'!$B$85:$D$101,2,FALSE))</f>
        <v>ResUnit_BianFu1</v>
      </c>
      <c r="K5" s="88">
        <f t="shared" si="1"/>
        <v>60</v>
      </c>
      <c r="L5" s="7">
        <v>0.2</v>
      </c>
      <c r="M5" s="88">
        <f>IF(J5="",0,ROUND(VLOOKUP($A5,'⚪设计'!$A$193:$B$212,2,FALSE)*$B5/SUM(IF($E5="",0,VLOOKUP($E5,'⚪设计'!$C$85:$E$101,3,FALSE))*$F5,IF($J5="",0,VLOOKUP($J5,'⚪设计'!$C$85:$E$101,3,FALSE))*$K5,IF($O5="",0,VLOOKUP($O5,'⚪设计'!$C$85:$E$101,3,FALSE))*$P5,IF($T5="",0,VLOOKUP($T5,'⚪设计'!$C$85:$E$101,3,FALSE))*$U5)*VLOOKUP(J5,'⚪设计'!$C$85:$E$101,3,FALSE),0))</f>
        <v>407</v>
      </c>
      <c r="N5" s="88">
        <f>ROUND(战斗节奏!$B$3/SUM(IF(无限模式!$E5="",0,VLOOKUP(无限模式!$E5,'⚪设计'!$C$85:$G$101,4,FALSE)*无限模式!$F5),IF(无限模式!$J5="",0,VLOOKUP(无限模式!$J5,'⚪设计'!$C$85:$G$101,4,FALSE)*无限模式!$K5),IF(无限模式!$O5="",0,VLOOKUP(无限模式!$O5,'⚪设计'!$C$85:$G$101,4,FALSE)*无限模式!$P5),IF(无限模式!$T5="",0,VLOOKUP(无限模式!$T5,'⚪设计'!$C$85:$G$101,4,FALSE)*无限模式!$U5))*IF(J5="",0,VLOOKUP(J5,'⚪设计'!$C$85:$G$101,4,FALSE)),0)</f>
        <v>8</v>
      </c>
      <c r="O5" s="71" t="str">
        <f>IF(VLOOKUP(A5,'⚪设计'!$A$193:$G$212,6,FALSE)="","",VLOOKUP(VLOOKUP(A5,'⚪设计'!$A$193:$G$212,6,FALSE),'⚪设计'!$B$85:$D$101,2,FALSE))</f>
        <v/>
      </c>
      <c r="P5" s="88">
        <f t="shared" si="2"/>
        <v>0</v>
      </c>
      <c r="Q5" s="7"/>
      <c r="R5" s="88">
        <f>IF(O5="",0,ROUND(VLOOKUP($A5,'⚪设计'!$A$193:$B$212,2,FALSE)*$B5/SUM(IF($E5="",0,VLOOKUP($E5,'⚪设计'!$C$85:$E$101,3,FALSE))*$F5,IF($J5="",0,VLOOKUP($J5,'⚪设计'!$C$85:$E$101,3,FALSE))*$K5,IF($O5="",0,VLOOKUP($O5,'⚪设计'!$C$85:$E$101,3,FALSE))*$P5,IF($T5="",0,VLOOKUP($T5,'⚪设计'!$C$85:$E$101,3,FALSE))*$U5)*VLOOKUP(O5,'⚪设计'!$C$85:$E$101,3,FALSE),0))</f>
        <v>0</v>
      </c>
      <c r="S5" s="88">
        <f>ROUND(战斗节奏!$B$3/SUM(IF(无限模式!$E5="",0,VLOOKUP(无限模式!$E5,'⚪设计'!$C$85:$G$101,4,FALSE)*无限模式!$F5),IF(无限模式!$J5="",0,VLOOKUP(无限模式!$J5,'⚪设计'!$C$85:$G$101,4,FALSE)*无限模式!$K5),IF(无限模式!$O5="",0,VLOOKUP(无限模式!$O5,'⚪设计'!$C$85:$G$101,4,FALSE)*无限模式!$P5),IF(无限模式!$T5="",0,VLOOKUP(无限模式!$T5,'⚪设计'!$C$85:$G$101,4,FALSE)*无限模式!$U5))*IF(O5="",0,VLOOKUP(O5,'⚪设计'!$C$85:$G$101,4,FALSE)),0)</f>
        <v>0</v>
      </c>
      <c r="T5" s="88" t="str">
        <f>IF(VLOOKUP(A5,'⚪设计'!$A$193:$G$212,7,FALSE)="","",VLOOKUP(VLOOKUP(A5,'⚪设计'!$A$193:$G$212,7,FALSE),'⚪设计'!$B$85:$D$101,2,FALSE))</f>
        <v/>
      </c>
      <c r="U5" s="88">
        <f t="shared" si="3"/>
        <v>0</v>
      </c>
      <c r="V5" s="7"/>
      <c r="W5" s="88">
        <f>IF(T5="",0,ROUND(VLOOKUP($A5,'⚪设计'!$A$193:$B$212,2,FALSE)*$B5/SUM(IF($E5="",0,VLOOKUP($E5,'⚪设计'!$C$85:$E$101,3,FALSE))*$F5,IF($J5="",0,VLOOKUP($J5,'⚪设计'!$C$85:$E$101,3,FALSE))*$K5,IF($O5="",0,VLOOKUP($O5,'⚪设计'!$C$85:$E$101,3,FALSE))*$P5,IF($T5="",0,VLOOKUP($T5,'⚪设计'!$C$85:$E$101,3,FALSE))*$U5)*VLOOKUP(T5,'⚪设计'!$C$85:$E$101,3,FALSE),0))</f>
        <v>0</v>
      </c>
      <c r="X5" s="88">
        <f>ROUND(战斗节奏!$B$3/SUM(IF(无限模式!$E5="",0,VLOOKUP(无限模式!$E5,'⚪设计'!$C$85:$G$101,4,FALSE)*无限模式!$F5),IF(无限模式!$J5="",0,VLOOKUP(无限模式!$J5,'⚪设计'!$C$85:$G$101,4,FALSE)*无限模式!$K5),IF(无限模式!$O5="",0,VLOOKUP(无限模式!$O5,'⚪设计'!$C$85:$G$101,4,FALSE)*无限模式!$P5),IF(无限模式!$T5="",0,VLOOKUP(无限模式!$T5,'⚪设计'!$C$85:$G$101,4,FALSE)*无限模式!$U5))*IF(T5="",0,VLOOKUP(T5,'⚪设计'!$C$85:$G$101,4,FALSE)),0)</f>
        <v>0</v>
      </c>
    </row>
    <row r="6" spans="1:24" x14ac:dyDescent="0.2">
      <c r="A6" s="84">
        <v>4</v>
      </c>
      <c r="B6" s="88">
        <f>MAX(MIN(战斗节奏!$C$3-INT(A6/'⚪设计'!$C$55),MOD(A6,'⚪设计'!$C$55)),0)*'⚪设计'!$C$79*防御塔!$C$2+MIN(INT(A6/'⚪设计'!$C$55),战斗节奏!$C$3)*'⚪设计'!$C$80*防御塔!$C$2</f>
        <v>4500</v>
      </c>
      <c r="C6" s="7">
        <v>1.1499999999999999</v>
      </c>
      <c r="D6" s="7">
        <v>13</v>
      </c>
      <c r="E6" s="71" t="str">
        <f>IF(VLOOKUP(A6,'⚪设计'!$A$193:$G$212,4,FALSE)="","",VLOOKUP(VLOOKUP(A6,'⚪设计'!$A$193:$G$212,4,FALSE),'⚪设计'!$B$85:$D$101,2,FALSE))</f>
        <v>ResUnit_MiFeng3</v>
      </c>
      <c r="F6" s="88">
        <f t="shared" si="0"/>
        <v>1</v>
      </c>
      <c r="G6" s="7">
        <v>0</v>
      </c>
      <c r="H6" s="88">
        <f>IF(E6="",0,ROUND(VLOOKUP($A6,'⚪设计'!$A$193:$B$212,2,FALSE)*$B6/SUM(IF($E6="",0,VLOOKUP($E6,'⚪设计'!$C$85:$E$101,3,FALSE))*$F6,IF($J6="",0,VLOOKUP($J6,'⚪设计'!$C$85:$E$101,3,FALSE))*$K6,IF($O6="",0,VLOOKUP($O6,'⚪设计'!$C$85:$E$101,3,FALSE))*$P6,IF($T6="",0,VLOOKUP($T6,'⚪设计'!$C$85:$E$101,3,FALSE))*$U6)*VLOOKUP(E6,'⚪设计'!$C$85:$E$101,3,FALSE),0))</f>
        <v>100303</v>
      </c>
      <c r="I6" s="88">
        <f>ROUND(战斗节奏!$B$3/SUM(IF(无限模式!$E6="",0,VLOOKUP(无限模式!$E6,'⚪设计'!$C$85:$G$101,4,FALSE)*无限模式!$F6),IF(无限模式!$J6="",0,VLOOKUP(无限模式!$J6,'⚪设计'!$C$85:$G$101,4,FALSE)*无限模式!$K6),IF(无限模式!$O6="",0,VLOOKUP(无限模式!$O6,'⚪设计'!$C$85:$G$101,4,FALSE)*无限模式!$P6),IF(无限模式!$T6="",0,VLOOKUP(无限模式!$T6,'⚪设计'!$C$85:$G$101,4,FALSE)*无限模式!$U6))*IF(E6="",0,VLOOKUP(E6,'⚪设计'!$C$85:$G$101,4,FALSE)),0)</f>
        <v>397</v>
      </c>
      <c r="J6" s="88" t="str">
        <f>IF(VLOOKUP(A6,'⚪设计'!$A$193:$G$212,5,FALSE)="","",VLOOKUP(VLOOKUP(A6,'⚪设计'!$A$193:$G$212,5,FALSE),'⚪设计'!$B$85:$D$101,2,FALSE))</f>
        <v>ResUnit_BianFu1</v>
      </c>
      <c r="K6" s="88">
        <f t="shared" si="1"/>
        <v>65</v>
      </c>
      <c r="L6" s="7">
        <v>0.2</v>
      </c>
      <c r="M6" s="88">
        <f>IF(J6="",0,ROUND(VLOOKUP($A6,'⚪设计'!$A$193:$B$212,2,FALSE)*$B6/SUM(IF($E6="",0,VLOOKUP($E6,'⚪设计'!$C$85:$E$101,3,FALSE))*$F6,IF($J6="",0,VLOOKUP($J6,'⚪设计'!$C$85:$E$101,3,FALSE))*$K6,IF($O6="",0,VLOOKUP($O6,'⚪设计'!$C$85:$E$101,3,FALSE))*$P6,IF($T6="",0,VLOOKUP($T6,'⚪设计'!$C$85:$E$101,3,FALSE))*$U6)*VLOOKUP(J6,'⚪设计'!$C$85:$E$101,3,FALSE),0))</f>
        <v>1254</v>
      </c>
      <c r="N6" s="88">
        <f>ROUND(战斗节奏!$B$3/SUM(IF(无限模式!$E6="",0,VLOOKUP(无限模式!$E6,'⚪设计'!$C$85:$G$101,4,FALSE)*无限模式!$F6),IF(无限模式!$J6="",0,VLOOKUP(无限模式!$J6,'⚪设计'!$C$85:$G$101,4,FALSE)*无限模式!$K6),IF(无限模式!$O6="",0,VLOOKUP(无限模式!$O6,'⚪设计'!$C$85:$G$101,4,FALSE)*无限模式!$P6),IF(无限模式!$T6="",0,VLOOKUP(无限模式!$T6,'⚪设计'!$C$85:$G$101,4,FALSE)*无限模式!$U6))*IF(J6="",0,VLOOKUP(J6,'⚪设计'!$C$85:$G$101,4,FALSE)),0)</f>
        <v>5</v>
      </c>
      <c r="O6" s="71" t="str">
        <f>IF(VLOOKUP(A6,'⚪设计'!$A$193:$G$212,6,FALSE)="","",VLOOKUP(VLOOKUP(A6,'⚪设计'!$A$193:$G$212,6,FALSE),'⚪设计'!$B$85:$D$101,2,FALSE))</f>
        <v/>
      </c>
      <c r="P6" s="88">
        <f t="shared" si="2"/>
        <v>0</v>
      </c>
      <c r="Q6" s="7"/>
      <c r="R6" s="88">
        <f>IF(O6="",0,ROUND(VLOOKUP($A6,'⚪设计'!$A$193:$B$212,2,FALSE)*$B6/SUM(IF($E6="",0,VLOOKUP($E6,'⚪设计'!$C$85:$E$101,3,FALSE))*$F6,IF($J6="",0,VLOOKUP($J6,'⚪设计'!$C$85:$E$101,3,FALSE))*$K6,IF($O6="",0,VLOOKUP($O6,'⚪设计'!$C$85:$E$101,3,FALSE))*$P6,IF($T6="",0,VLOOKUP($T6,'⚪设计'!$C$85:$E$101,3,FALSE))*$U6)*VLOOKUP(O6,'⚪设计'!$C$85:$E$101,3,FALSE),0))</f>
        <v>0</v>
      </c>
      <c r="S6" s="88">
        <f>ROUND(战斗节奏!$B$3/SUM(IF(无限模式!$E6="",0,VLOOKUP(无限模式!$E6,'⚪设计'!$C$85:$G$101,4,FALSE)*无限模式!$F6),IF(无限模式!$J6="",0,VLOOKUP(无限模式!$J6,'⚪设计'!$C$85:$G$101,4,FALSE)*无限模式!$K6),IF(无限模式!$O6="",0,VLOOKUP(无限模式!$O6,'⚪设计'!$C$85:$G$101,4,FALSE)*无限模式!$P6),IF(无限模式!$T6="",0,VLOOKUP(无限模式!$T6,'⚪设计'!$C$85:$G$101,4,FALSE)*无限模式!$U6))*IF(O6="",0,VLOOKUP(O6,'⚪设计'!$C$85:$G$101,4,FALSE)),0)</f>
        <v>0</v>
      </c>
      <c r="T6" s="88" t="str">
        <f>IF(VLOOKUP(A6,'⚪设计'!$A$193:$G$212,7,FALSE)="","",VLOOKUP(VLOOKUP(A6,'⚪设计'!$A$193:$G$212,7,FALSE),'⚪设计'!$B$85:$D$101,2,FALSE))</f>
        <v/>
      </c>
      <c r="U6" s="88">
        <f t="shared" si="3"/>
        <v>0</v>
      </c>
      <c r="V6" s="7"/>
      <c r="W6" s="88">
        <f>IF(T6="",0,ROUND(VLOOKUP($A6,'⚪设计'!$A$193:$B$212,2,FALSE)*$B6/SUM(IF($E6="",0,VLOOKUP($E6,'⚪设计'!$C$85:$E$101,3,FALSE))*$F6,IF($J6="",0,VLOOKUP($J6,'⚪设计'!$C$85:$E$101,3,FALSE))*$K6,IF($O6="",0,VLOOKUP($O6,'⚪设计'!$C$85:$E$101,3,FALSE))*$P6,IF($T6="",0,VLOOKUP($T6,'⚪设计'!$C$85:$E$101,3,FALSE))*$U6)*VLOOKUP(T6,'⚪设计'!$C$85:$E$101,3,FALSE),0))</f>
        <v>0</v>
      </c>
      <c r="X6" s="88">
        <f>ROUND(战斗节奏!$B$3/SUM(IF(无限模式!$E6="",0,VLOOKUP(无限模式!$E6,'⚪设计'!$C$85:$G$101,4,FALSE)*无限模式!$F6),IF(无限模式!$J6="",0,VLOOKUP(无限模式!$J6,'⚪设计'!$C$85:$G$101,4,FALSE)*无限模式!$K6),IF(无限模式!$O6="",0,VLOOKUP(无限模式!$O6,'⚪设计'!$C$85:$G$101,4,FALSE)*无限模式!$P6),IF(无限模式!$T6="",0,VLOOKUP(无限模式!$T6,'⚪设计'!$C$85:$G$101,4,FALSE)*无限模式!$U6))*IF(T6="",0,VLOOKUP(T6,'⚪设计'!$C$85:$G$101,4,FALSE)),0)</f>
        <v>0</v>
      </c>
    </row>
    <row r="7" spans="1:24" x14ac:dyDescent="0.2">
      <c r="A7" s="84">
        <v>5</v>
      </c>
      <c r="B7" s="88">
        <f>MAX(MIN(战斗节奏!$C$3-INT(A7/'⚪设计'!$C$55),MOD(A7,'⚪设计'!$C$55)),0)*'⚪设计'!$C$79*防御塔!$C$2+MIN(INT(A7/'⚪设计'!$C$55),战斗节奏!$C$3)*'⚪设计'!$C$80*防御塔!$C$2</f>
        <v>5400</v>
      </c>
      <c r="C7" s="7">
        <v>1.2</v>
      </c>
      <c r="D7" s="7">
        <v>14</v>
      </c>
      <c r="E7" s="71" t="str">
        <f>IF(VLOOKUP(A7,'⚪设计'!$A$193:$G$212,4,FALSE)="","",VLOOKUP(VLOOKUP(A7,'⚪设计'!$A$193:$G$212,4,FALSE),'⚪设计'!$B$85:$D$101,2,FALSE))</f>
        <v>ResUnit_MiFeng2</v>
      </c>
      <c r="F7" s="88">
        <f t="shared" si="0"/>
        <v>19</v>
      </c>
      <c r="G7" s="7">
        <v>0.75</v>
      </c>
      <c r="H7" s="88">
        <f>IF(E7="",0,ROUND(VLOOKUP($A7,'⚪设计'!$A$193:$B$212,2,FALSE)*$B7/SUM(IF($E7="",0,VLOOKUP($E7,'⚪设计'!$C$85:$E$101,3,FALSE))*$F7,IF($J7="",0,VLOOKUP($J7,'⚪设计'!$C$85:$E$101,3,FALSE))*$K7,IF($O7="",0,VLOOKUP($O7,'⚪设计'!$C$85:$E$101,3,FALSE))*$P7,IF($T7="",0,VLOOKUP($T7,'⚪设计'!$C$85:$E$101,3,FALSE))*$U7)*VLOOKUP(E7,'⚪设计'!$C$85:$E$101,3,FALSE),0))</f>
        <v>3767</v>
      </c>
      <c r="I7" s="88">
        <f>ROUND(战斗节奏!$B$3/SUM(IF(无限模式!$E7="",0,VLOOKUP(无限模式!$E7,'⚪设计'!$C$85:$G$101,4,FALSE)*无限模式!$F7),IF(无限模式!$J7="",0,VLOOKUP(无限模式!$J7,'⚪设计'!$C$85:$G$101,4,FALSE)*无限模式!$K7),IF(无限模式!$O7="",0,VLOOKUP(无限模式!$O7,'⚪设计'!$C$85:$G$101,4,FALSE)*无限模式!$P7),IF(无限模式!$T7="",0,VLOOKUP(无限模式!$T7,'⚪设计'!$C$85:$G$101,4,FALSE)*无限模式!$U7))*IF(E7="",0,VLOOKUP(E7,'⚪设计'!$C$85:$G$101,4,FALSE)),0)</f>
        <v>33</v>
      </c>
      <c r="J7" s="88" t="str">
        <f>IF(VLOOKUP(A7,'⚪设计'!$A$193:$G$212,5,FALSE)="","",VLOOKUP(VLOOKUP(A7,'⚪设计'!$A$193:$G$212,5,FALSE),'⚪设计'!$B$85:$D$101,2,FALSE))</f>
        <v>ResUnit_ZhiZhu1</v>
      </c>
      <c r="K7" s="88">
        <f t="shared" si="1"/>
        <v>5</v>
      </c>
      <c r="L7" s="7">
        <v>3</v>
      </c>
      <c r="M7" s="88">
        <f>IF(J7="",0,ROUND(VLOOKUP($A7,'⚪设计'!$A$193:$B$212,2,FALSE)*$B7/SUM(IF($E7="",0,VLOOKUP($E7,'⚪设计'!$C$85:$E$101,3,FALSE))*$F7,IF($J7="",0,VLOOKUP($J7,'⚪设计'!$C$85:$E$101,3,FALSE))*$K7,IF($O7="",0,VLOOKUP($O7,'⚪设计'!$C$85:$E$101,3,FALSE))*$P7,IF($T7="",0,VLOOKUP($T7,'⚪设计'!$C$85:$E$101,3,FALSE))*$U7)*VLOOKUP(J7,'⚪设计'!$C$85:$E$101,3,FALSE),0))</f>
        <v>1884</v>
      </c>
      <c r="N7" s="88">
        <f>ROUND(战斗节奏!$B$3/SUM(IF(无限模式!$E7="",0,VLOOKUP(无限模式!$E7,'⚪设计'!$C$85:$G$101,4,FALSE)*无限模式!$F7),IF(无限模式!$J7="",0,VLOOKUP(无限模式!$J7,'⚪设计'!$C$85:$G$101,4,FALSE)*无限模式!$K7),IF(无限模式!$O7="",0,VLOOKUP(无限模式!$O7,'⚪设计'!$C$85:$G$101,4,FALSE)*无限模式!$P7),IF(无限模式!$T7="",0,VLOOKUP(无限模式!$T7,'⚪设计'!$C$85:$G$101,4,FALSE)*无限模式!$U7))*IF(J7="",0,VLOOKUP(J7,'⚪设计'!$C$85:$G$101,4,FALSE)),0)</f>
        <v>17</v>
      </c>
      <c r="O7" s="71" t="str">
        <f>IF(VLOOKUP(A7,'⚪设计'!$A$193:$G$212,6,FALSE)="","",VLOOKUP(VLOOKUP(A7,'⚪设计'!$A$193:$G$212,6,FALSE),'⚪设计'!$B$85:$D$101,2,FALSE))</f>
        <v/>
      </c>
      <c r="P7" s="88">
        <f t="shared" si="2"/>
        <v>0</v>
      </c>
      <c r="Q7" s="7"/>
      <c r="R7" s="88">
        <f>IF(O7="",0,ROUND(VLOOKUP($A7,'⚪设计'!$A$193:$B$212,2,FALSE)*$B7/SUM(IF($E7="",0,VLOOKUP($E7,'⚪设计'!$C$85:$E$101,3,FALSE))*$F7,IF($J7="",0,VLOOKUP($J7,'⚪设计'!$C$85:$E$101,3,FALSE))*$K7,IF($O7="",0,VLOOKUP($O7,'⚪设计'!$C$85:$E$101,3,FALSE))*$P7,IF($T7="",0,VLOOKUP($T7,'⚪设计'!$C$85:$E$101,3,FALSE))*$U7)*VLOOKUP(O7,'⚪设计'!$C$85:$E$101,3,FALSE),0))</f>
        <v>0</v>
      </c>
      <c r="S7" s="88">
        <f>ROUND(战斗节奏!$B$3/SUM(IF(无限模式!$E7="",0,VLOOKUP(无限模式!$E7,'⚪设计'!$C$85:$G$101,4,FALSE)*无限模式!$F7),IF(无限模式!$J7="",0,VLOOKUP(无限模式!$J7,'⚪设计'!$C$85:$G$101,4,FALSE)*无限模式!$K7),IF(无限模式!$O7="",0,VLOOKUP(无限模式!$O7,'⚪设计'!$C$85:$G$101,4,FALSE)*无限模式!$P7),IF(无限模式!$T7="",0,VLOOKUP(无限模式!$T7,'⚪设计'!$C$85:$G$101,4,FALSE)*无限模式!$U7))*IF(O7="",0,VLOOKUP(O7,'⚪设计'!$C$85:$G$101,4,FALSE)),0)</f>
        <v>0</v>
      </c>
      <c r="T7" s="88" t="str">
        <f>IF(VLOOKUP(A7,'⚪设计'!$A$193:$G$212,7,FALSE)="","",VLOOKUP(VLOOKUP(A7,'⚪设计'!$A$193:$G$212,7,FALSE),'⚪设计'!$B$85:$D$101,2,FALSE))</f>
        <v/>
      </c>
      <c r="U7" s="88">
        <f t="shared" si="3"/>
        <v>0</v>
      </c>
      <c r="V7" s="7"/>
      <c r="W7" s="88">
        <f>IF(T7="",0,ROUND(VLOOKUP($A7,'⚪设计'!$A$193:$B$212,2,FALSE)*$B7/SUM(IF($E7="",0,VLOOKUP($E7,'⚪设计'!$C$85:$E$101,3,FALSE))*$F7,IF($J7="",0,VLOOKUP($J7,'⚪设计'!$C$85:$E$101,3,FALSE))*$K7,IF($O7="",0,VLOOKUP($O7,'⚪设计'!$C$85:$E$101,3,FALSE))*$P7,IF($T7="",0,VLOOKUP($T7,'⚪设计'!$C$85:$E$101,3,FALSE))*$U7)*VLOOKUP(T7,'⚪设计'!$C$85:$E$101,3,FALSE),0))</f>
        <v>0</v>
      </c>
      <c r="X7" s="88">
        <f>ROUND(战斗节奏!$B$3/SUM(IF(无限模式!$E7="",0,VLOOKUP(无限模式!$E7,'⚪设计'!$C$85:$G$101,4,FALSE)*无限模式!$F7),IF(无限模式!$J7="",0,VLOOKUP(无限模式!$J7,'⚪设计'!$C$85:$G$101,4,FALSE)*无限模式!$K7),IF(无限模式!$O7="",0,VLOOKUP(无限模式!$O7,'⚪设计'!$C$85:$G$101,4,FALSE)*无限模式!$P7),IF(无限模式!$T7="",0,VLOOKUP(无限模式!$T7,'⚪设计'!$C$85:$G$101,4,FALSE)*无限模式!$U7))*IF(T7="",0,VLOOKUP(T7,'⚪设计'!$C$85:$G$101,4,FALSE)),0)</f>
        <v>0</v>
      </c>
    </row>
    <row r="8" spans="1:24" x14ac:dyDescent="0.2">
      <c r="A8" s="84">
        <v>6</v>
      </c>
      <c r="B8" s="88">
        <f>MAX(MIN(战斗节奏!$C$3-INT(A8/'⚪设计'!$C$55),MOD(A8,'⚪设计'!$C$55)),0)*'⚪设计'!$C$79*防御塔!$C$2+MIN(INT(A8/'⚪设计'!$C$55),战斗节奏!$C$3)*'⚪设计'!$C$80*防御塔!$C$2</f>
        <v>7200</v>
      </c>
      <c r="C8" s="7">
        <v>1.25</v>
      </c>
      <c r="D8" s="7">
        <v>15</v>
      </c>
      <c r="E8" s="71" t="str">
        <f>IF(VLOOKUP(A8,'⚪设计'!$A$193:$G$212,4,FALSE)="","",VLOOKUP(VLOOKUP(A8,'⚪设计'!$A$193:$G$212,4,FALSE),'⚪设计'!$B$85:$D$101,2,FALSE))</f>
        <v>ResUnit_MiFeng2</v>
      </c>
      <c r="F8" s="88">
        <f t="shared" si="0"/>
        <v>20</v>
      </c>
      <c r="G8" s="7">
        <v>0.75</v>
      </c>
      <c r="H8" s="88">
        <f>IF(E8="",0,ROUND(VLOOKUP($A8,'⚪设计'!$A$193:$B$212,2,FALSE)*$B8/SUM(IF($E8="",0,VLOOKUP($E8,'⚪设计'!$C$85:$E$101,3,FALSE))*$F8,IF($J8="",0,VLOOKUP($J8,'⚪设计'!$C$85:$E$101,3,FALSE))*$K8,IF($O8="",0,VLOOKUP($O8,'⚪设计'!$C$85:$E$101,3,FALSE))*$P8,IF($T8="",0,VLOOKUP($T8,'⚪设计'!$C$85:$E$101,3,FALSE))*$U8)*VLOOKUP(E8,'⚪设计'!$C$85:$E$101,3,FALSE),0))</f>
        <v>4200</v>
      </c>
      <c r="I8" s="88">
        <f>ROUND(战斗节奏!$B$3/SUM(IF(无限模式!$E8="",0,VLOOKUP(无限模式!$E8,'⚪设计'!$C$85:$G$101,4,FALSE)*无限模式!$F8),IF(无限模式!$J8="",0,VLOOKUP(无限模式!$J8,'⚪设计'!$C$85:$G$101,4,FALSE)*无限模式!$K8),IF(无限模式!$O8="",0,VLOOKUP(无限模式!$O8,'⚪设计'!$C$85:$G$101,4,FALSE)*无限模式!$P8),IF(无限模式!$T8="",0,VLOOKUP(无限模式!$T8,'⚪设计'!$C$85:$G$101,4,FALSE)*无限模式!$U8))*IF(E8="",0,VLOOKUP(E8,'⚪设计'!$C$85:$G$101,4,FALSE)),0)</f>
        <v>24</v>
      </c>
      <c r="J8" s="88" t="str">
        <f>IF(VLOOKUP(A8,'⚪设计'!$A$193:$G$212,5,FALSE)="","",VLOOKUP(VLOOKUP(A8,'⚪设计'!$A$193:$G$212,5,FALSE),'⚪设计'!$B$85:$D$101,2,FALSE))</f>
        <v>ResUnit_ZhiZhu1</v>
      </c>
      <c r="K8" s="88">
        <f t="shared" si="1"/>
        <v>20</v>
      </c>
      <c r="L8" s="7">
        <v>0.75</v>
      </c>
      <c r="M8" s="88">
        <f>IF(J8="",0,ROUND(VLOOKUP($A8,'⚪设计'!$A$193:$B$212,2,FALSE)*$B8/SUM(IF($E8="",0,VLOOKUP($E8,'⚪设计'!$C$85:$E$101,3,FALSE))*$F8,IF($J8="",0,VLOOKUP($J8,'⚪设计'!$C$85:$E$101,3,FALSE))*$K8,IF($O8="",0,VLOOKUP($O8,'⚪设计'!$C$85:$E$101,3,FALSE))*$P8,IF($T8="",0,VLOOKUP($T8,'⚪设计'!$C$85:$E$101,3,FALSE))*$U8)*VLOOKUP(J8,'⚪设计'!$C$85:$E$101,3,FALSE),0))</f>
        <v>2100</v>
      </c>
      <c r="N8" s="88">
        <f>ROUND(战斗节奏!$B$3/SUM(IF(无限模式!$E8="",0,VLOOKUP(无限模式!$E8,'⚪设计'!$C$85:$G$101,4,FALSE)*无限模式!$F8),IF(无限模式!$J8="",0,VLOOKUP(无限模式!$J8,'⚪设计'!$C$85:$G$101,4,FALSE)*无限模式!$K8),IF(无限模式!$O8="",0,VLOOKUP(无限模式!$O8,'⚪设计'!$C$85:$G$101,4,FALSE)*无限模式!$P8),IF(无限模式!$T8="",0,VLOOKUP(无限模式!$T8,'⚪设计'!$C$85:$G$101,4,FALSE)*无限模式!$U8))*IF(J8="",0,VLOOKUP(J8,'⚪设计'!$C$85:$G$101,4,FALSE)),0)</f>
        <v>12</v>
      </c>
      <c r="O8" s="71" t="str">
        <f>IF(VLOOKUP(A8,'⚪设计'!$A$193:$G$212,6,FALSE)="","",VLOOKUP(VLOOKUP(A8,'⚪设计'!$A$193:$G$212,6,FALSE),'⚪设计'!$B$85:$D$101,2,FALSE))</f>
        <v/>
      </c>
      <c r="P8" s="88">
        <f t="shared" si="2"/>
        <v>0</v>
      </c>
      <c r="Q8" s="7"/>
      <c r="R8" s="88">
        <f>IF(O8="",0,ROUND(VLOOKUP($A8,'⚪设计'!$A$193:$B$212,2,FALSE)*$B8/SUM(IF($E8="",0,VLOOKUP($E8,'⚪设计'!$C$85:$E$101,3,FALSE))*$F8,IF($J8="",0,VLOOKUP($J8,'⚪设计'!$C$85:$E$101,3,FALSE))*$K8,IF($O8="",0,VLOOKUP($O8,'⚪设计'!$C$85:$E$101,3,FALSE))*$P8,IF($T8="",0,VLOOKUP($T8,'⚪设计'!$C$85:$E$101,3,FALSE))*$U8)*VLOOKUP(O8,'⚪设计'!$C$85:$E$101,3,FALSE),0))</f>
        <v>0</v>
      </c>
      <c r="S8" s="88">
        <f>ROUND(战斗节奏!$B$3/SUM(IF(无限模式!$E8="",0,VLOOKUP(无限模式!$E8,'⚪设计'!$C$85:$G$101,4,FALSE)*无限模式!$F8),IF(无限模式!$J8="",0,VLOOKUP(无限模式!$J8,'⚪设计'!$C$85:$G$101,4,FALSE)*无限模式!$K8),IF(无限模式!$O8="",0,VLOOKUP(无限模式!$O8,'⚪设计'!$C$85:$G$101,4,FALSE)*无限模式!$P8),IF(无限模式!$T8="",0,VLOOKUP(无限模式!$T8,'⚪设计'!$C$85:$G$101,4,FALSE)*无限模式!$U8))*IF(O8="",0,VLOOKUP(O8,'⚪设计'!$C$85:$G$101,4,FALSE)),0)</f>
        <v>0</v>
      </c>
      <c r="T8" s="88" t="str">
        <f>IF(VLOOKUP(A8,'⚪设计'!$A$193:$G$212,7,FALSE)="","",VLOOKUP(VLOOKUP(A8,'⚪设计'!$A$193:$G$212,7,FALSE),'⚪设计'!$B$85:$D$101,2,FALSE))</f>
        <v/>
      </c>
      <c r="U8" s="88">
        <f t="shared" si="3"/>
        <v>0</v>
      </c>
      <c r="V8" s="7"/>
      <c r="W8" s="88">
        <f>IF(T8="",0,ROUND(VLOOKUP($A8,'⚪设计'!$A$193:$B$212,2,FALSE)*$B8/SUM(IF($E8="",0,VLOOKUP($E8,'⚪设计'!$C$85:$E$101,3,FALSE))*$F8,IF($J8="",0,VLOOKUP($J8,'⚪设计'!$C$85:$E$101,3,FALSE))*$K8,IF($O8="",0,VLOOKUP($O8,'⚪设计'!$C$85:$E$101,3,FALSE))*$P8,IF($T8="",0,VLOOKUP($T8,'⚪设计'!$C$85:$E$101,3,FALSE))*$U8)*VLOOKUP(T8,'⚪设计'!$C$85:$E$101,3,FALSE),0))</f>
        <v>0</v>
      </c>
      <c r="X8" s="88">
        <f>ROUND(战斗节奏!$B$3/SUM(IF(无限模式!$E8="",0,VLOOKUP(无限模式!$E8,'⚪设计'!$C$85:$G$101,4,FALSE)*无限模式!$F8),IF(无限模式!$J8="",0,VLOOKUP(无限模式!$J8,'⚪设计'!$C$85:$G$101,4,FALSE)*无限模式!$K8),IF(无限模式!$O8="",0,VLOOKUP(无限模式!$O8,'⚪设计'!$C$85:$G$101,4,FALSE)*无限模式!$P8),IF(无限模式!$T8="",0,VLOOKUP(无限模式!$T8,'⚪设计'!$C$85:$G$101,4,FALSE)*无限模式!$U8))*IF(T8="",0,VLOOKUP(T8,'⚪设计'!$C$85:$G$101,4,FALSE)),0)</f>
        <v>0</v>
      </c>
    </row>
    <row r="9" spans="1:24" x14ac:dyDescent="0.2">
      <c r="A9" s="84">
        <v>7</v>
      </c>
      <c r="B9" s="88">
        <f>MAX(MIN(战斗节奏!$C$3-INT(A9/'⚪设计'!$C$55),MOD(A9,'⚪设计'!$C$55)),0)*'⚪设计'!$C$79*防御塔!$C$2+MIN(INT(A9/'⚪设计'!$C$55),战斗节奏!$C$3)*'⚪设计'!$C$80*防御塔!$C$2</f>
        <v>8100</v>
      </c>
      <c r="C9" s="7">
        <v>1.3</v>
      </c>
      <c r="D9" s="7">
        <v>16</v>
      </c>
      <c r="E9" s="71" t="str">
        <f>IF(VLOOKUP(A9,'⚪设计'!$A$193:$G$212,4,FALSE)="","",VLOOKUP(VLOOKUP(A9,'⚪设计'!$A$193:$G$212,4,FALSE),'⚪设计'!$B$85:$D$101,2,FALSE))</f>
        <v>ResUnit_MiFeng1</v>
      </c>
      <c r="F9" s="88">
        <f t="shared" si="0"/>
        <v>80</v>
      </c>
      <c r="G9" s="7">
        <v>0.2</v>
      </c>
      <c r="H9" s="88">
        <f>IF(E9="",0,ROUND(VLOOKUP($A9,'⚪设计'!$A$193:$B$212,2,FALSE)*$B9/SUM(IF($E9="",0,VLOOKUP($E9,'⚪设计'!$C$85:$E$101,3,FALSE))*$F9,IF($J9="",0,VLOOKUP($J9,'⚪设计'!$C$85:$E$101,3,FALSE))*$K9,IF($O9="",0,VLOOKUP($O9,'⚪设计'!$C$85:$E$101,3,FALSE))*$P9,IF($T9="",0,VLOOKUP($T9,'⚪设计'!$C$85:$E$101,3,FALSE))*$U9)*VLOOKUP(E9,'⚪设计'!$C$85:$E$101,3,FALSE),0))</f>
        <v>1328</v>
      </c>
      <c r="I9" s="88">
        <f>ROUND(战斗节奏!$B$3/SUM(IF(无限模式!$E9="",0,VLOOKUP(无限模式!$E9,'⚪设计'!$C$85:$G$101,4,FALSE)*无限模式!$F9),IF(无限模式!$J9="",0,VLOOKUP(无限模式!$J9,'⚪设计'!$C$85:$G$101,4,FALSE)*无限模式!$K9),IF(无限模式!$O9="",0,VLOOKUP(无限模式!$O9,'⚪设计'!$C$85:$G$101,4,FALSE)*无限模式!$P9),IF(无限模式!$T9="",0,VLOOKUP(无限模式!$T9,'⚪设计'!$C$85:$G$101,4,FALSE)*无限模式!$U9))*IF(E9="",0,VLOOKUP(E9,'⚪设计'!$C$85:$G$101,4,FALSE)),0)</f>
        <v>6</v>
      </c>
      <c r="J9" s="88" t="str">
        <f>IF(VLOOKUP(A9,'⚪设计'!$A$193:$G$212,5,FALSE)="","",VLOOKUP(VLOOKUP(A9,'⚪设计'!$A$193:$G$212,5,FALSE),'⚪设计'!$B$85:$D$101,2,FALSE))</f>
        <v>ResUnit_ZhiZhu1</v>
      </c>
      <c r="K9" s="88">
        <f t="shared" si="1"/>
        <v>21</v>
      </c>
      <c r="L9" s="7">
        <v>0.75</v>
      </c>
      <c r="M9" s="88">
        <f>IF(J9="",0,ROUND(VLOOKUP($A9,'⚪设计'!$A$193:$B$212,2,FALSE)*$B9/SUM(IF($E9="",0,VLOOKUP($E9,'⚪设计'!$C$85:$E$101,3,FALSE))*$F9,IF($J9="",0,VLOOKUP($J9,'⚪设计'!$C$85:$E$101,3,FALSE))*$K9,IF($O9="",0,VLOOKUP($O9,'⚪设计'!$C$85:$E$101,3,FALSE))*$P9,IF($T9="",0,VLOOKUP($T9,'⚪设计'!$C$85:$E$101,3,FALSE))*$U9)*VLOOKUP(J9,'⚪设计'!$C$85:$E$101,3,FALSE),0))</f>
        <v>2656</v>
      </c>
      <c r="N9" s="88">
        <f>ROUND(战斗节奏!$B$3/SUM(IF(无限模式!$E9="",0,VLOOKUP(无限模式!$E9,'⚪设计'!$C$85:$G$101,4,FALSE)*无限模式!$F9),IF(无限模式!$J9="",0,VLOOKUP(无限模式!$J9,'⚪设计'!$C$85:$G$101,4,FALSE)*无限模式!$K9),IF(无限模式!$O9="",0,VLOOKUP(无限模式!$O9,'⚪设计'!$C$85:$G$101,4,FALSE)*无限模式!$P9),IF(无限模式!$T9="",0,VLOOKUP(无限模式!$T9,'⚪设计'!$C$85:$G$101,4,FALSE)*无限模式!$U9))*IF(J9="",0,VLOOKUP(J9,'⚪设计'!$C$85:$G$101,4,FALSE)),0)</f>
        <v>12</v>
      </c>
      <c r="O9" s="71" t="str">
        <f>IF(VLOOKUP(A9,'⚪设计'!$A$193:$G$212,6,FALSE)="","",VLOOKUP(VLOOKUP(A9,'⚪设计'!$A$193:$G$212,6,FALSE),'⚪设计'!$B$85:$D$101,2,FALSE))</f>
        <v/>
      </c>
      <c r="P9" s="88">
        <f t="shared" si="2"/>
        <v>0</v>
      </c>
      <c r="Q9" s="7"/>
      <c r="R9" s="88">
        <f>IF(O9="",0,ROUND(VLOOKUP($A9,'⚪设计'!$A$193:$B$212,2,FALSE)*$B9/SUM(IF($E9="",0,VLOOKUP($E9,'⚪设计'!$C$85:$E$101,3,FALSE))*$F9,IF($J9="",0,VLOOKUP($J9,'⚪设计'!$C$85:$E$101,3,FALSE))*$K9,IF($O9="",0,VLOOKUP($O9,'⚪设计'!$C$85:$E$101,3,FALSE))*$P9,IF($T9="",0,VLOOKUP($T9,'⚪设计'!$C$85:$E$101,3,FALSE))*$U9)*VLOOKUP(O9,'⚪设计'!$C$85:$E$101,3,FALSE),0))</f>
        <v>0</v>
      </c>
      <c r="S9" s="88">
        <f>ROUND(战斗节奏!$B$3/SUM(IF(无限模式!$E9="",0,VLOOKUP(无限模式!$E9,'⚪设计'!$C$85:$G$101,4,FALSE)*无限模式!$F9),IF(无限模式!$J9="",0,VLOOKUP(无限模式!$J9,'⚪设计'!$C$85:$G$101,4,FALSE)*无限模式!$K9),IF(无限模式!$O9="",0,VLOOKUP(无限模式!$O9,'⚪设计'!$C$85:$G$101,4,FALSE)*无限模式!$P9),IF(无限模式!$T9="",0,VLOOKUP(无限模式!$T9,'⚪设计'!$C$85:$G$101,4,FALSE)*无限模式!$U9))*IF(O9="",0,VLOOKUP(O9,'⚪设计'!$C$85:$G$101,4,FALSE)),0)</f>
        <v>0</v>
      </c>
      <c r="T9" s="88" t="str">
        <f>IF(VLOOKUP(A9,'⚪设计'!$A$193:$G$212,7,FALSE)="","",VLOOKUP(VLOOKUP(A9,'⚪设计'!$A$193:$G$212,7,FALSE),'⚪设计'!$B$85:$D$101,2,FALSE))</f>
        <v/>
      </c>
      <c r="U9" s="88">
        <f t="shared" si="3"/>
        <v>0</v>
      </c>
      <c r="V9" s="7"/>
      <c r="W9" s="88">
        <f>IF(T9="",0,ROUND(VLOOKUP($A9,'⚪设计'!$A$193:$B$212,2,FALSE)*$B9/SUM(IF($E9="",0,VLOOKUP($E9,'⚪设计'!$C$85:$E$101,3,FALSE))*$F9,IF($J9="",0,VLOOKUP($J9,'⚪设计'!$C$85:$E$101,3,FALSE))*$K9,IF($O9="",0,VLOOKUP($O9,'⚪设计'!$C$85:$E$101,3,FALSE))*$P9,IF($T9="",0,VLOOKUP($T9,'⚪设计'!$C$85:$E$101,3,FALSE))*$U9)*VLOOKUP(T9,'⚪设计'!$C$85:$E$101,3,FALSE),0))</f>
        <v>0</v>
      </c>
      <c r="X9" s="88">
        <f>ROUND(战斗节奏!$B$3/SUM(IF(无限模式!$E9="",0,VLOOKUP(无限模式!$E9,'⚪设计'!$C$85:$G$101,4,FALSE)*无限模式!$F9),IF(无限模式!$J9="",0,VLOOKUP(无限模式!$J9,'⚪设计'!$C$85:$G$101,4,FALSE)*无限模式!$K9),IF(无限模式!$O9="",0,VLOOKUP(无限模式!$O9,'⚪设计'!$C$85:$G$101,4,FALSE)*无限模式!$P9),IF(无限模式!$T9="",0,VLOOKUP(无限模式!$T9,'⚪设计'!$C$85:$G$101,4,FALSE)*无限模式!$U9))*IF(T9="",0,VLOOKUP(T9,'⚪设计'!$C$85:$G$101,4,FALSE)),0)</f>
        <v>0</v>
      </c>
    </row>
    <row r="10" spans="1:24" x14ac:dyDescent="0.2">
      <c r="A10" s="84">
        <v>8</v>
      </c>
      <c r="B10" s="88">
        <f>MAX(MIN(战斗节奏!$C$3-INT(A10/'⚪设计'!$C$55),MOD(A10,'⚪设计'!$C$55)),0)*'⚪设计'!$C$79*防御塔!$C$2+MIN(INT(A10/'⚪设计'!$C$55),战斗节奏!$C$3)*'⚪设计'!$C$80*防御塔!$C$2</f>
        <v>9000</v>
      </c>
      <c r="C10" s="7">
        <v>1.35</v>
      </c>
      <c r="D10" s="7">
        <v>17</v>
      </c>
      <c r="E10" s="71" t="str">
        <f>IF(VLOOKUP(A10,'⚪设计'!$A$193:$G$212,4,FALSE)="","",VLOOKUP(VLOOKUP(A10,'⚪设计'!$A$193:$G$212,4,FALSE),'⚪设计'!$B$85:$D$101,2,FALSE))</f>
        <v>ResUnit_BianFu2</v>
      </c>
      <c r="F10" s="88">
        <f t="shared" si="0"/>
        <v>85</v>
      </c>
      <c r="G10" s="7">
        <v>0.2</v>
      </c>
      <c r="H10" s="88">
        <f>IF(E10="",0,ROUND(VLOOKUP($A10,'⚪设计'!$A$193:$B$212,2,FALSE)*$B10/SUM(IF($E10="",0,VLOOKUP($E10,'⚪设计'!$C$85:$E$101,3,FALSE))*$F10,IF($J10="",0,VLOOKUP($J10,'⚪设计'!$C$85:$E$101,3,FALSE))*$K10,IF($O10="",0,VLOOKUP($O10,'⚪设计'!$C$85:$E$101,3,FALSE))*$P10,IF($T10="",0,VLOOKUP($T10,'⚪设计'!$C$85:$E$101,3,FALSE))*$U10)*VLOOKUP(E10,'⚪设计'!$C$85:$E$101,3,FALSE),0))</f>
        <v>2483</v>
      </c>
      <c r="I10" s="88">
        <f>ROUND(战斗节奏!$B$3/SUM(IF(无限模式!$E10="",0,VLOOKUP(无限模式!$E10,'⚪设计'!$C$85:$G$101,4,FALSE)*无限模式!$F10),IF(无限模式!$J10="",0,VLOOKUP(无限模式!$J10,'⚪设计'!$C$85:$G$101,4,FALSE)*无限模式!$K10),IF(无限模式!$O10="",0,VLOOKUP(无限模式!$O10,'⚪设计'!$C$85:$G$101,4,FALSE)*无限模式!$P10),IF(无限模式!$T10="",0,VLOOKUP(无限模式!$T10,'⚪设计'!$C$85:$G$101,4,FALSE)*无限模式!$U10))*IF(E10="",0,VLOOKUP(E10,'⚪设计'!$C$85:$G$101,4,FALSE)),0)</f>
        <v>4</v>
      </c>
      <c r="J10" s="88" t="str">
        <f>IF(VLOOKUP(A10,'⚪设计'!$A$193:$G$212,5,FALSE)="","",VLOOKUP(VLOOKUP(A10,'⚪设计'!$A$193:$G$212,5,FALSE),'⚪设计'!$B$85:$D$101,2,FALSE))</f>
        <v>ResUnit_ZhiZhu3</v>
      </c>
      <c r="K10" s="88">
        <f t="shared" si="1"/>
        <v>3</v>
      </c>
      <c r="L10" s="7">
        <v>5</v>
      </c>
      <c r="M10" s="88">
        <f>IF(J10="",0,ROUND(VLOOKUP($A10,'⚪设计'!$A$193:$B$212,2,FALSE)*$B10/SUM(IF($E10="",0,VLOOKUP($E10,'⚪设计'!$C$85:$E$101,3,FALSE))*$F10,IF($J10="",0,VLOOKUP($J10,'⚪设计'!$C$85:$E$101,3,FALSE))*$K10,IF($O10="",0,VLOOKUP($O10,'⚪设计'!$C$85:$E$101,3,FALSE))*$P10,IF($T10="",0,VLOOKUP($T10,'⚪设计'!$C$85:$E$101,3,FALSE))*$U10)*VLOOKUP(J10,'⚪设计'!$C$85:$E$101,3,FALSE),0))</f>
        <v>49655</v>
      </c>
      <c r="N10" s="88">
        <f>ROUND(战斗节奏!$B$3/SUM(IF(无限模式!$E10="",0,VLOOKUP(无限模式!$E10,'⚪设计'!$C$85:$G$101,4,FALSE)*无限模式!$F10),IF(无限模式!$J10="",0,VLOOKUP(无限模式!$J10,'⚪设计'!$C$85:$G$101,4,FALSE)*无限模式!$K10),IF(无限模式!$O10="",0,VLOOKUP(无限模式!$O10,'⚪设计'!$C$85:$G$101,4,FALSE)*无限模式!$P10),IF(无限模式!$T10="",0,VLOOKUP(无限模式!$T10,'⚪设计'!$C$85:$G$101,4,FALSE)*无限模式!$U10))*IF(J10="",0,VLOOKUP(J10,'⚪设计'!$C$85:$G$101,4,FALSE)),0)</f>
        <v>140</v>
      </c>
      <c r="O10" s="71" t="str">
        <f>IF(VLOOKUP(A10,'⚪设计'!$A$193:$G$212,6,FALSE)="","",VLOOKUP(VLOOKUP(A10,'⚪设计'!$A$193:$G$212,6,FALSE),'⚪设计'!$B$85:$D$101,2,FALSE))</f>
        <v/>
      </c>
      <c r="P10" s="88">
        <f t="shared" si="2"/>
        <v>0</v>
      </c>
      <c r="Q10" s="7"/>
      <c r="R10" s="88">
        <f>IF(O10="",0,ROUND(VLOOKUP($A10,'⚪设计'!$A$193:$B$212,2,FALSE)*$B10/SUM(IF($E10="",0,VLOOKUP($E10,'⚪设计'!$C$85:$E$101,3,FALSE))*$F10,IF($J10="",0,VLOOKUP($J10,'⚪设计'!$C$85:$E$101,3,FALSE))*$K10,IF($O10="",0,VLOOKUP($O10,'⚪设计'!$C$85:$E$101,3,FALSE))*$P10,IF($T10="",0,VLOOKUP($T10,'⚪设计'!$C$85:$E$101,3,FALSE))*$U10)*VLOOKUP(O10,'⚪设计'!$C$85:$E$101,3,FALSE),0))</f>
        <v>0</v>
      </c>
      <c r="S10" s="88">
        <f>ROUND(战斗节奏!$B$3/SUM(IF(无限模式!$E10="",0,VLOOKUP(无限模式!$E10,'⚪设计'!$C$85:$G$101,4,FALSE)*无限模式!$F10),IF(无限模式!$J10="",0,VLOOKUP(无限模式!$J10,'⚪设计'!$C$85:$G$101,4,FALSE)*无限模式!$K10),IF(无限模式!$O10="",0,VLOOKUP(无限模式!$O10,'⚪设计'!$C$85:$G$101,4,FALSE)*无限模式!$P10),IF(无限模式!$T10="",0,VLOOKUP(无限模式!$T10,'⚪设计'!$C$85:$G$101,4,FALSE)*无限模式!$U10))*IF(O10="",0,VLOOKUP(O10,'⚪设计'!$C$85:$G$101,4,FALSE)),0)</f>
        <v>0</v>
      </c>
      <c r="T10" s="88" t="str">
        <f>IF(VLOOKUP(A10,'⚪设计'!$A$193:$G$212,7,FALSE)="","",VLOOKUP(VLOOKUP(A10,'⚪设计'!$A$193:$G$212,7,FALSE),'⚪设计'!$B$85:$D$101,2,FALSE))</f>
        <v/>
      </c>
      <c r="U10" s="88">
        <f t="shared" si="3"/>
        <v>0</v>
      </c>
      <c r="V10" s="7"/>
      <c r="W10" s="88">
        <f>IF(T10="",0,ROUND(VLOOKUP($A10,'⚪设计'!$A$193:$B$212,2,FALSE)*$B10/SUM(IF($E10="",0,VLOOKUP($E10,'⚪设计'!$C$85:$E$101,3,FALSE))*$F10,IF($J10="",0,VLOOKUP($J10,'⚪设计'!$C$85:$E$101,3,FALSE))*$K10,IF($O10="",0,VLOOKUP($O10,'⚪设计'!$C$85:$E$101,3,FALSE))*$P10,IF($T10="",0,VLOOKUP($T10,'⚪设计'!$C$85:$E$101,3,FALSE))*$U10)*VLOOKUP(T10,'⚪设计'!$C$85:$E$101,3,FALSE),0))</f>
        <v>0</v>
      </c>
      <c r="X10" s="88">
        <f>ROUND(战斗节奏!$B$3/SUM(IF(无限模式!$E10="",0,VLOOKUP(无限模式!$E10,'⚪设计'!$C$85:$G$101,4,FALSE)*无限模式!$F10),IF(无限模式!$J10="",0,VLOOKUP(无限模式!$J10,'⚪设计'!$C$85:$G$101,4,FALSE)*无限模式!$K10),IF(无限模式!$O10="",0,VLOOKUP(无限模式!$O10,'⚪设计'!$C$85:$G$101,4,FALSE)*无限模式!$P10),IF(无限模式!$T10="",0,VLOOKUP(无限模式!$T10,'⚪设计'!$C$85:$G$101,4,FALSE)*无限模式!$U10))*IF(T10="",0,VLOOKUP(T10,'⚪设计'!$C$85:$G$101,4,FALSE)),0)</f>
        <v>0</v>
      </c>
    </row>
    <row r="11" spans="1:24" x14ac:dyDescent="0.2">
      <c r="A11" s="84">
        <v>9</v>
      </c>
      <c r="B11" s="88">
        <f>MAX(MIN(战斗节奏!$C$3-INT(A11/'⚪设计'!$C$55),MOD(A11,'⚪设计'!$C$55)),0)*'⚪设计'!$C$79*防御塔!$C$2+MIN(INT(A11/'⚪设计'!$C$55),战斗节奏!$C$3)*'⚪设计'!$C$80*防御塔!$C$2</f>
        <v>10800</v>
      </c>
      <c r="C11" s="7">
        <v>1.4</v>
      </c>
      <c r="D11" s="7">
        <v>18</v>
      </c>
      <c r="E11" s="71" t="str">
        <f>IF(VLOOKUP(A11,'⚪设计'!$A$193:$G$212,4,FALSE)="","",VLOOKUP(VLOOKUP(A11,'⚪设计'!$A$193:$G$212,4,FALSE),'⚪设计'!$B$85:$D$101,2,FALSE))</f>
        <v>ResUnit_MiFeng2</v>
      </c>
      <c r="F11" s="88">
        <f t="shared" si="0"/>
        <v>12</v>
      </c>
      <c r="G11" s="7">
        <v>1.5</v>
      </c>
      <c r="H11" s="88">
        <f>IF(E11="",0,ROUND(VLOOKUP($A11,'⚪设计'!$A$193:$B$212,2,FALSE)*$B11/SUM(IF($E11="",0,VLOOKUP($E11,'⚪设计'!$C$85:$E$101,3,FALSE))*$F11,IF($J11="",0,VLOOKUP($J11,'⚪设计'!$C$85:$E$101,3,FALSE))*$K11,IF($O11="",0,VLOOKUP($O11,'⚪设计'!$C$85:$E$101,3,FALSE))*$P11,IF($T11="",0,VLOOKUP($T11,'⚪设计'!$C$85:$E$101,3,FALSE))*$U11)*VLOOKUP(E11,'⚪设计'!$C$85:$E$101,3,FALSE),0))</f>
        <v>15429</v>
      </c>
      <c r="I11" s="88">
        <f>ROUND(战斗节奏!$B$3/SUM(IF(无限模式!$E11="",0,VLOOKUP(无限模式!$E11,'⚪设计'!$C$85:$G$101,4,FALSE)*无限模式!$F11),IF(无限模式!$J11="",0,VLOOKUP(无限模式!$J11,'⚪设计'!$C$85:$G$101,4,FALSE)*无限模式!$K11),IF(无限模式!$O11="",0,VLOOKUP(无限模式!$O11,'⚪设计'!$C$85:$G$101,4,FALSE)*无限模式!$P11),IF(无限模式!$T11="",0,VLOOKUP(无限模式!$T11,'⚪设计'!$C$85:$G$101,4,FALSE)*无限模式!$U11))*IF(E11="",0,VLOOKUP(E11,'⚪设计'!$C$85:$G$101,4,FALSE)),0)</f>
        <v>40</v>
      </c>
      <c r="J11" s="88" t="str">
        <f>IF(VLOOKUP(A11,'⚪设计'!$A$193:$G$212,5,FALSE)="","",VLOOKUP(VLOOKUP(A11,'⚪设计'!$A$193:$G$212,5,FALSE),'⚪设计'!$B$85:$D$101,2,FALSE))</f>
        <v>ResUnit_ZhongZi1</v>
      </c>
      <c r="K11" s="88">
        <f t="shared" si="1"/>
        <v>6</v>
      </c>
      <c r="L11" s="7">
        <v>3</v>
      </c>
      <c r="M11" s="88">
        <f>IF(J11="",0,ROUND(VLOOKUP($A11,'⚪设计'!$A$193:$B$212,2,FALSE)*$B11/SUM(IF($E11="",0,VLOOKUP($E11,'⚪设计'!$C$85:$E$101,3,FALSE))*$F11,IF($J11="",0,VLOOKUP($J11,'⚪设计'!$C$85:$E$101,3,FALSE))*$K11,IF($O11="",0,VLOOKUP($O11,'⚪设计'!$C$85:$E$101,3,FALSE))*$P11,IF($T11="",0,VLOOKUP($T11,'⚪设计'!$C$85:$E$101,3,FALSE))*$U11)*VLOOKUP(J11,'⚪设计'!$C$85:$E$101,3,FALSE),0))</f>
        <v>23143</v>
      </c>
      <c r="N11" s="88">
        <f>ROUND(战斗节奏!$B$3/SUM(IF(无限模式!$E11="",0,VLOOKUP(无限模式!$E11,'⚪设计'!$C$85:$G$101,4,FALSE)*无限模式!$F11),IF(无限模式!$J11="",0,VLOOKUP(无限模式!$J11,'⚪设计'!$C$85:$G$101,4,FALSE)*无限模式!$K11),IF(无限模式!$O11="",0,VLOOKUP(无限模式!$O11,'⚪设计'!$C$85:$G$101,4,FALSE)*无限模式!$P11),IF(无限模式!$T11="",0,VLOOKUP(无限模式!$T11,'⚪设计'!$C$85:$G$101,4,FALSE)*无限模式!$U11))*IF(J11="",0,VLOOKUP(J11,'⚪设计'!$C$85:$G$101,4,FALSE)),0)</f>
        <v>40</v>
      </c>
      <c r="O11" s="71" t="str">
        <f>IF(VLOOKUP(A11,'⚪设计'!$A$193:$G$212,6,FALSE)="","",VLOOKUP(VLOOKUP(A11,'⚪设计'!$A$193:$G$212,6,FALSE),'⚪设计'!$B$85:$D$101,2,FALSE))</f>
        <v/>
      </c>
      <c r="P11" s="88">
        <f t="shared" si="2"/>
        <v>0</v>
      </c>
      <c r="Q11" s="7"/>
      <c r="R11" s="88">
        <f>IF(O11="",0,ROUND(VLOOKUP($A11,'⚪设计'!$A$193:$B$212,2,FALSE)*$B11/SUM(IF($E11="",0,VLOOKUP($E11,'⚪设计'!$C$85:$E$101,3,FALSE))*$F11,IF($J11="",0,VLOOKUP($J11,'⚪设计'!$C$85:$E$101,3,FALSE))*$K11,IF($O11="",0,VLOOKUP($O11,'⚪设计'!$C$85:$E$101,3,FALSE))*$P11,IF($T11="",0,VLOOKUP($T11,'⚪设计'!$C$85:$E$101,3,FALSE))*$U11)*VLOOKUP(O11,'⚪设计'!$C$85:$E$101,3,FALSE),0))</f>
        <v>0</v>
      </c>
      <c r="S11" s="88">
        <f>ROUND(战斗节奏!$B$3/SUM(IF(无限模式!$E11="",0,VLOOKUP(无限模式!$E11,'⚪设计'!$C$85:$G$101,4,FALSE)*无限模式!$F11),IF(无限模式!$J11="",0,VLOOKUP(无限模式!$J11,'⚪设计'!$C$85:$G$101,4,FALSE)*无限模式!$K11),IF(无限模式!$O11="",0,VLOOKUP(无限模式!$O11,'⚪设计'!$C$85:$G$101,4,FALSE)*无限模式!$P11),IF(无限模式!$T11="",0,VLOOKUP(无限模式!$T11,'⚪设计'!$C$85:$G$101,4,FALSE)*无限模式!$U11))*IF(O11="",0,VLOOKUP(O11,'⚪设计'!$C$85:$G$101,4,FALSE)),0)</f>
        <v>0</v>
      </c>
      <c r="T11" s="88" t="str">
        <f>IF(VLOOKUP(A11,'⚪设计'!$A$193:$G$212,7,FALSE)="","",VLOOKUP(VLOOKUP(A11,'⚪设计'!$A$193:$G$212,7,FALSE),'⚪设计'!$B$85:$D$101,2,FALSE))</f>
        <v/>
      </c>
      <c r="U11" s="88">
        <f t="shared" si="3"/>
        <v>0</v>
      </c>
      <c r="V11" s="7"/>
      <c r="W11" s="88">
        <f>IF(T11="",0,ROUND(VLOOKUP($A11,'⚪设计'!$A$193:$B$212,2,FALSE)*$B11/SUM(IF($E11="",0,VLOOKUP($E11,'⚪设计'!$C$85:$E$101,3,FALSE))*$F11,IF($J11="",0,VLOOKUP($J11,'⚪设计'!$C$85:$E$101,3,FALSE))*$K11,IF($O11="",0,VLOOKUP($O11,'⚪设计'!$C$85:$E$101,3,FALSE))*$P11,IF($T11="",0,VLOOKUP($T11,'⚪设计'!$C$85:$E$101,3,FALSE))*$U11)*VLOOKUP(T11,'⚪设计'!$C$85:$E$101,3,FALSE),0))</f>
        <v>0</v>
      </c>
      <c r="X11" s="88">
        <f>ROUND(战斗节奏!$B$3/SUM(IF(无限模式!$E11="",0,VLOOKUP(无限模式!$E11,'⚪设计'!$C$85:$G$101,4,FALSE)*无限模式!$F11),IF(无限模式!$J11="",0,VLOOKUP(无限模式!$J11,'⚪设计'!$C$85:$G$101,4,FALSE)*无限模式!$K11),IF(无限模式!$O11="",0,VLOOKUP(无限模式!$O11,'⚪设计'!$C$85:$G$101,4,FALSE)*无限模式!$P11),IF(无限模式!$T11="",0,VLOOKUP(无限模式!$T11,'⚪设计'!$C$85:$G$101,4,FALSE)*无限模式!$U11))*IF(T11="",0,VLOOKUP(T11,'⚪设计'!$C$85:$G$101,4,FALSE)),0)</f>
        <v>0</v>
      </c>
    </row>
    <row r="12" spans="1:24" x14ac:dyDescent="0.2">
      <c r="A12" s="84">
        <v>10</v>
      </c>
      <c r="B12" s="88">
        <f>MAX(MIN(战斗节奏!$C$3-INT(A12/'⚪设计'!$C$55),MOD(A12,'⚪设计'!$C$55)),0)*'⚪设计'!$C$79*防御塔!$C$2+MIN(INT(A12/'⚪设计'!$C$55),战斗节奏!$C$3)*'⚪设计'!$C$80*防御塔!$C$2</f>
        <v>11700</v>
      </c>
      <c r="C12" s="7">
        <v>1.45</v>
      </c>
      <c r="D12" s="7">
        <v>19</v>
      </c>
      <c r="E12" s="71" t="str">
        <f>IF(VLOOKUP(A12,'⚪设计'!$A$193:$G$212,4,FALSE)="","",VLOOKUP(VLOOKUP(A12,'⚪设计'!$A$193:$G$212,4,FALSE),'⚪设计'!$B$85:$D$101,2,FALSE))</f>
        <v>ResUnit_MiFeng2</v>
      </c>
      <c r="F12" s="88">
        <f t="shared" si="0"/>
        <v>95</v>
      </c>
      <c r="G12" s="7">
        <v>0.2</v>
      </c>
      <c r="H12" s="88">
        <f>IF(E12="",0,ROUND(VLOOKUP($A12,'⚪设计'!$A$193:$B$212,2,FALSE)*$B12/SUM(IF($E12="",0,VLOOKUP($E12,'⚪设计'!$C$85:$E$101,3,FALSE))*$F12,IF($J12="",0,VLOOKUP($J12,'⚪设计'!$C$85:$E$101,3,FALSE))*$K12,IF($O12="",0,VLOOKUP($O12,'⚪设计'!$C$85:$E$101,3,FALSE))*$P12,IF($T12="",0,VLOOKUP($T12,'⚪设计'!$C$85:$E$101,3,FALSE))*$U12)*VLOOKUP(E12,'⚪设计'!$C$85:$E$101,3,FALSE),0))</f>
        <v>3938</v>
      </c>
      <c r="I12" s="88">
        <f>ROUND(战斗节奏!$B$3/SUM(IF(无限模式!$E12="",0,VLOOKUP(无限模式!$E12,'⚪设计'!$C$85:$G$101,4,FALSE)*无限模式!$F12),IF(无限模式!$J12="",0,VLOOKUP(无限模式!$J12,'⚪设计'!$C$85:$G$101,4,FALSE)*无限模式!$K12),IF(无限模式!$O12="",0,VLOOKUP(无限模式!$O12,'⚪设计'!$C$85:$G$101,4,FALSE)*无限模式!$P12),IF(无限模式!$T12="",0,VLOOKUP(无限模式!$T12,'⚪设计'!$C$85:$G$101,4,FALSE)*无限模式!$U12))*IF(E12="",0,VLOOKUP(E12,'⚪设计'!$C$85:$G$101,4,FALSE)),0)</f>
        <v>7</v>
      </c>
      <c r="J12" s="88" t="str">
        <f>IF(VLOOKUP(A12,'⚪设计'!$A$193:$G$212,5,FALSE)="","",VLOOKUP(VLOOKUP(A12,'⚪设计'!$A$193:$G$212,5,FALSE),'⚪设计'!$B$85:$D$101,2,FALSE))</f>
        <v>ResUnit_ZhongZi1</v>
      </c>
      <c r="K12" s="88">
        <f t="shared" si="1"/>
        <v>6</v>
      </c>
      <c r="L12" s="7">
        <v>3</v>
      </c>
      <c r="M12" s="88">
        <f>IF(J12="",0,ROUND(VLOOKUP($A12,'⚪设计'!$A$193:$B$212,2,FALSE)*$B12/SUM(IF($E12="",0,VLOOKUP($E12,'⚪设计'!$C$85:$E$101,3,FALSE))*$F12,IF($J12="",0,VLOOKUP($J12,'⚪设计'!$C$85:$E$101,3,FALSE))*$K12,IF($O12="",0,VLOOKUP($O12,'⚪设计'!$C$85:$E$101,3,FALSE))*$P12,IF($T12="",0,VLOOKUP($T12,'⚪设计'!$C$85:$E$101,3,FALSE))*$U12)*VLOOKUP(J12,'⚪设计'!$C$85:$E$101,3,FALSE),0))</f>
        <v>5906</v>
      </c>
      <c r="N12" s="88">
        <f>ROUND(战斗节奏!$B$3/SUM(IF(无限模式!$E12="",0,VLOOKUP(无限模式!$E12,'⚪设计'!$C$85:$G$101,4,FALSE)*无限模式!$F12),IF(无限模式!$J12="",0,VLOOKUP(无限模式!$J12,'⚪设计'!$C$85:$G$101,4,FALSE)*无限模式!$K12),IF(无限模式!$O12="",0,VLOOKUP(无限模式!$O12,'⚪设计'!$C$85:$G$101,4,FALSE)*无限模式!$P12),IF(无限模式!$T12="",0,VLOOKUP(无限模式!$T12,'⚪设计'!$C$85:$G$101,4,FALSE)*无限模式!$U12))*IF(J12="",0,VLOOKUP(J12,'⚪设计'!$C$85:$G$101,4,FALSE)),0)</f>
        <v>7</v>
      </c>
      <c r="O12" s="71" t="str">
        <f>IF(VLOOKUP(A12,'⚪设计'!$A$193:$G$212,6,FALSE)="","",VLOOKUP(VLOOKUP(A12,'⚪设计'!$A$193:$G$212,6,FALSE),'⚪设计'!$B$85:$D$101,2,FALSE))</f>
        <v/>
      </c>
      <c r="P12" s="88">
        <f t="shared" si="2"/>
        <v>0</v>
      </c>
      <c r="Q12" s="7"/>
      <c r="R12" s="88">
        <f>IF(O12="",0,ROUND(VLOOKUP($A12,'⚪设计'!$A$193:$B$212,2,FALSE)*$B12/SUM(IF($E12="",0,VLOOKUP($E12,'⚪设计'!$C$85:$E$101,3,FALSE))*$F12,IF($J12="",0,VLOOKUP($J12,'⚪设计'!$C$85:$E$101,3,FALSE))*$K12,IF($O12="",0,VLOOKUP($O12,'⚪设计'!$C$85:$E$101,3,FALSE))*$P12,IF($T12="",0,VLOOKUP($T12,'⚪设计'!$C$85:$E$101,3,FALSE))*$U12)*VLOOKUP(O12,'⚪设计'!$C$85:$E$101,3,FALSE),0))</f>
        <v>0</v>
      </c>
      <c r="S12" s="88">
        <f>ROUND(战斗节奏!$B$3/SUM(IF(无限模式!$E12="",0,VLOOKUP(无限模式!$E12,'⚪设计'!$C$85:$G$101,4,FALSE)*无限模式!$F12),IF(无限模式!$J12="",0,VLOOKUP(无限模式!$J12,'⚪设计'!$C$85:$G$101,4,FALSE)*无限模式!$K12),IF(无限模式!$O12="",0,VLOOKUP(无限模式!$O12,'⚪设计'!$C$85:$G$101,4,FALSE)*无限模式!$P12),IF(无限模式!$T12="",0,VLOOKUP(无限模式!$T12,'⚪设计'!$C$85:$G$101,4,FALSE)*无限模式!$U12))*IF(O12="",0,VLOOKUP(O12,'⚪设计'!$C$85:$G$101,4,FALSE)),0)</f>
        <v>0</v>
      </c>
      <c r="T12" s="88" t="str">
        <f>IF(VLOOKUP(A12,'⚪设计'!$A$193:$G$212,7,FALSE)="","",VLOOKUP(VLOOKUP(A12,'⚪设计'!$A$193:$G$212,7,FALSE),'⚪设计'!$B$85:$D$101,2,FALSE))</f>
        <v/>
      </c>
      <c r="U12" s="88">
        <f t="shared" si="3"/>
        <v>0</v>
      </c>
      <c r="V12" s="7"/>
      <c r="W12" s="88">
        <f>IF(T12="",0,ROUND(VLOOKUP($A12,'⚪设计'!$A$193:$B$212,2,FALSE)*$B12/SUM(IF($E12="",0,VLOOKUP($E12,'⚪设计'!$C$85:$E$101,3,FALSE))*$F12,IF($J12="",0,VLOOKUP($J12,'⚪设计'!$C$85:$E$101,3,FALSE))*$K12,IF($O12="",0,VLOOKUP($O12,'⚪设计'!$C$85:$E$101,3,FALSE))*$P12,IF($T12="",0,VLOOKUP($T12,'⚪设计'!$C$85:$E$101,3,FALSE))*$U12)*VLOOKUP(T12,'⚪设计'!$C$85:$E$101,3,FALSE),0))</f>
        <v>0</v>
      </c>
      <c r="X12" s="88">
        <f>ROUND(战斗节奏!$B$3/SUM(IF(无限模式!$E12="",0,VLOOKUP(无限模式!$E12,'⚪设计'!$C$85:$G$101,4,FALSE)*无限模式!$F12),IF(无限模式!$J12="",0,VLOOKUP(无限模式!$J12,'⚪设计'!$C$85:$G$101,4,FALSE)*无限模式!$K12),IF(无限模式!$O12="",0,VLOOKUP(无限模式!$O12,'⚪设计'!$C$85:$G$101,4,FALSE)*无限模式!$P12),IF(无限模式!$T12="",0,VLOOKUP(无限模式!$T12,'⚪设计'!$C$85:$G$101,4,FALSE)*无限模式!$U12))*IF(T12="",0,VLOOKUP(T12,'⚪设计'!$C$85:$G$101,4,FALSE)),0)</f>
        <v>0</v>
      </c>
    </row>
    <row r="13" spans="1:24" x14ac:dyDescent="0.2">
      <c r="A13" s="84">
        <v>11</v>
      </c>
      <c r="B13" s="88">
        <f>MAX(MIN(战斗节奏!$C$3-INT(A13/'⚪设计'!$C$55),MOD(A13,'⚪设计'!$C$55)),0)*'⚪设计'!$C$79*防御塔!$C$2+MIN(INT(A13/'⚪设计'!$C$55),战斗节奏!$C$3)*'⚪设计'!$C$80*防御塔!$C$2</f>
        <v>12600</v>
      </c>
      <c r="C13" s="7">
        <v>1.5</v>
      </c>
      <c r="D13" s="7">
        <v>20</v>
      </c>
      <c r="E13" s="71" t="str">
        <f>IF(VLOOKUP(A13,'⚪设计'!$A$193:$G$212,4,FALSE)="","",VLOOKUP(VLOOKUP(A13,'⚪设计'!$A$193:$G$212,4,FALSE),'⚪设计'!$B$85:$D$101,2,FALSE))</f>
        <v>ResUnit_ZhongZi1</v>
      </c>
      <c r="F13" s="88">
        <f t="shared" si="0"/>
        <v>20</v>
      </c>
      <c r="G13" s="7">
        <v>1</v>
      </c>
      <c r="H13" s="88">
        <f>IF(E13="",0,ROUND(VLOOKUP($A13,'⚪设计'!$A$193:$B$212,2,FALSE)*$B13/SUM(IF($E13="",0,VLOOKUP($E13,'⚪设计'!$C$85:$E$101,3,FALSE))*$F13,IF($J13="",0,VLOOKUP($J13,'⚪设计'!$C$85:$E$101,3,FALSE))*$K13,IF($O13="",0,VLOOKUP($O13,'⚪设计'!$C$85:$E$101,3,FALSE))*$P13,IF($T13="",0,VLOOKUP($T13,'⚪设计'!$C$85:$E$101,3,FALSE))*$U13)*VLOOKUP(E13,'⚪设计'!$C$85:$E$101,3,FALSE),0))</f>
        <v>18900</v>
      </c>
      <c r="I13" s="88">
        <f>ROUND(战斗节奏!$B$3/SUM(IF(无限模式!$E13="",0,VLOOKUP(无限模式!$E13,'⚪设计'!$C$85:$G$101,4,FALSE)*无限模式!$F13),IF(无限模式!$J13="",0,VLOOKUP(无限模式!$J13,'⚪设计'!$C$85:$G$101,4,FALSE)*无限模式!$K13),IF(无限模式!$O13="",0,VLOOKUP(无限模式!$O13,'⚪设计'!$C$85:$G$101,4,FALSE)*无限模式!$P13),IF(无限模式!$T13="",0,VLOOKUP(无限模式!$T13,'⚪设计'!$C$85:$G$101,4,FALSE)*无限模式!$U13))*IF(E13="",0,VLOOKUP(E13,'⚪设计'!$C$85:$G$101,4,FALSE)),0)</f>
        <v>29</v>
      </c>
      <c r="J13" s="88" t="str">
        <f>IF(VLOOKUP(A13,'⚪设计'!$A$193:$G$212,5,FALSE)="","",VLOOKUP(VLOOKUP(A13,'⚪设计'!$A$193:$G$212,5,FALSE),'⚪设计'!$B$85:$D$101,2,FALSE))</f>
        <v>ResUnit_ZhiZhu2</v>
      </c>
      <c r="K13" s="88">
        <f t="shared" si="1"/>
        <v>10</v>
      </c>
      <c r="L13" s="7">
        <v>2</v>
      </c>
      <c r="M13" s="88">
        <f>IF(J13="",0,ROUND(VLOOKUP($A13,'⚪设计'!$A$193:$B$212,2,FALSE)*$B13/SUM(IF($E13="",0,VLOOKUP($E13,'⚪设计'!$C$85:$E$101,3,FALSE))*$F13,IF($J13="",0,VLOOKUP($J13,'⚪设计'!$C$85:$E$101,3,FALSE))*$K13,IF($O13="",0,VLOOKUP($O13,'⚪设计'!$C$85:$E$101,3,FALSE))*$P13,IF($T13="",0,VLOOKUP($T13,'⚪设计'!$C$85:$E$101,3,FALSE))*$U13)*VLOOKUP(J13,'⚪设计'!$C$85:$E$101,3,FALSE),0))</f>
        <v>12600</v>
      </c>
      <c r="N13" s="88">
        <f>ROUND(战斗节奏!$B$3/SUM(IF(无限模式!$E13="",0,VLOOKUP(无限模式!$E13,'⚪设计'!$C$85:$G$101,4,FALSE)*无限模式!$F13),IF(无限模式!$J13="",0,VLOOKUP(无限模式!$J13,'⚪设计'!$C$85:$G$101,4,FALSE)*无限模式!$K13),IF(无限模式!$O13="",0,VLOOKUP(无限模式!$O13,'⚪设计'!$C$85:$G$101,4,FALSE)*无限模式!$P13),IF(无限模式!$T13="",0,VLOOKUP(无限模式!$T13,'⚪设计'!$C$85:$G$101,4,FALSE)*无限模式!$U13))*IF(J13="",0,VLOOKUP(J13,'⚪设计'!$C$85:$G$101,4,FALSE)),0)</f>
        <v>14</v>
      </c>
      <c r="O13" s="71" t="str">
        <f>IF(VLOOKUP(A13,'⚪设计'!$A$193:$G$212,6,FALSE)="","",VLOOKUP(VLOOKUP(A13,'⚪设计'!$A$193:$G$212,6,FALSE),'⚪设计'!$B$85:$D$101,2,FALSE))</f>
        <v/>
      </c>
      <c r="P13" s="88">
        <f t="shared" si="2"/>
        <v>0</v>
      </c>
      <c r="Q13" s="7"/>
      <c r="R13" s="88">
        <f>IF(O13="",0,ROUND(VLOOKUP($A13,'⚪设计'!$A$193:$B$212,2,FALSE)*$B13/SUM(IF($E13="",0,VLOOKUP($E13,'⚪设计'!$C$85:$E$101,3,FALSE))*$F13,IF($J13="",0,VLOOKUP($J13,'⚪设计'!$C$85:$E$101,3,FALSE))*$K13,IF($O13="",0,VLOOKUP($O13,'⚪设计'!$C$85:$E$101,3,FALSE))*$P13,IF($T13="",0,VLOOKUP($T13,'⚪设计'!$C$85:$E$101,3,FALSE))*$U13)*VLOOKUP(O13,'⚪设计'!$C$85:$E$101,3,FALSE),0))</f>
        <v>0</v>
      </c>
      <c r="S13" s="88">
        <f>ROUND(战斗节奏!$B$3/SUM(IF(无限模式!$E13="",0,VLOOKUP(无限模式!$E13,'⚪设计'!$C$85:$G$101,4,FALSE)*无限模式!$F13),IF(无限模式!$J13="",0,VLOOKUP(无限模式!$J13,'⚪设计'!$C$85:$G$101,4,FALSE)*无限模式!$K13),IF(无限模式!$O13="",0,VLOOKUP(无限模式!$O13,'⚪设计'!$C$85:$G$101,4,FALSE)*无限模式!$P13),IF(无限模式!$T13="",0,VLOOKUP(无限模式!$T13,'⚪设计'!$C$85:$G$101,4,FALSE)*无限模式!$U13))*IF(O13="",0,VLOOKUP(O13,'⚪设计'!$C$85:$G$101,4,FALSE)),0)</f>
        <v>0</v>
      </c>
      <c r="T13" s="88" t="str">
        <f>IF(VLOOKUP(A13,'⚪设计'!$A$193:$G$212,7,FALSE)="","",VLOOKUP(VLOOKUP(A13,'⚪设计'!$A$193:$G$212,7,FALSE),'⚪设计'!$B$85:$D$101,2,FALSE))</f>
        <v/>
      </c>
      <c r="U13" s="88">
        <f t="shared" si="3"/>
        <v>0</v>
      </c>
      <c r="V13" s="7"/>
      <c r="W13" s="88">
        <f>IF(T13="",0,ROUND(VLOOKUP($A13,'⚪设计'!$A$193:$B$212,2,FALSE)*$B13/SUM(IF($E13="",0,VLOOKUP($E13,'⚪设计'!$C$85:$E$101,3,FALSE))*$F13,IF($J13="",0,VLOOKUP($J13,'⚪设计'!$C$85:$E$101,3,FALSE))*$K13,IF($O13="",0,VLOOKUP($O13,'⚪设计'!$C$85:$E$101,3,FALSE))*$P13,IF($T13="",0,VLOOKUP($T13,'⚪设计'!$C$85:$E$101,3,FALSE))*$U13)*VLOOKUP(T13,'⚪设计'!$C$85:$E$101,3,FALSE),0))</f>
        <v>0</v>
      </c>
      <c r="X13" s="88">
        <f>ROUND(战斗节奏!$B$3/SUM(IF(无限模式!$E13="",0,VLOOKUP(无限模式!$E13,'⚪设计'!$C$85:$G$101,4,FALSE)*无限模式!$F13),IF(无限模式!$J13="",0,VLOOKUP(无限模式!$J13,'⚪设计'!$C$85:$G$101,4,FALSE)*无限模式!$K13),IF(无限模式!$O13="",0,VLOOKUP(无限模式!$O13,'⚪设计'!$C$85:$G$101,4,FALSE)*无限模式!$P13),IF(无限模式!$T13="",0,VLOOKUP(无限模式!$T13,'⚪设计'!$C$85:$G$101,4,FALSE)*无限模式!$U13))*IF(T13="",0,VLOOKUP(T13,'⚪设计'!$C$85:$G$101,4,FALSE)),0)</f>
        <v>0</v>
      </c>
    </row>
    <row r="14" spans="1:24" x14ac:dyDescent="0.2">
      <c r="A14" s="84">
        <v>12</v>
      </c>
      <c r="B14" s="88">
        <f>MAX(MIN(战斗节奏!$C$3-INT(A14/'⚪设计'!$C$55),MOD(A14,'⚪设计'!$C$55)),0)*'⚪设计'!$C$79*防御塔!$C$2+MIN(INT(A14/'⚪设计'!$C$55),战斗节奏!$C$3)*'⚪设计'!$C$80*防御塔!$C$2</f>
        <v>14400</v>
      </c>
      <c r="C14" s="7">
        <v>1.55</v>
      </c>
      <c r="D14" s="7">
        <v>21</v>
      </c>
      <c r="E14" s="71" t="str">
        <f>IF(VLOOKUP(A14,'⚪设计'!$A$193:$G$212,4,FALSE)="","",VLOOKUP(VLOOKUP(A14,'⚪设计'!$A$193:$G$212,4,FALSE),'⚪设计'!$B$85:$D$101,2,FALSE))</f>
        <v>ResUnit_MiFeng2</v>
      </c>
      <c r="F14" s="88">
        <f t="shared" si="0"/>
        <v>105</v>
      </c>
      <c r="G14" s="7">
        <v>0.2</v>
      </c>
      <c r="H14" s="88">
        <f>IF(E14="",0,ROUND(VLOOKUP($A14,'⚪设计'!$A$193:$B$212,2,FALSE)*$B14/SUM(IF($E14="",0,VLOOKUP($E14,'⚪设计'!$C$85:$E$101,3,FALSE))*$F14,IF($J14="",0,VLOOKUP($J14,'⚪设计'!$C$85:$E$101,3,FALSE))*$K14,IF($O14="",0,VLOOKUP($O14,'⚪设计'!$C$85:$E$101,3,FALSE))*$P14,IF($T14="",0,VLOOKUP($T14,'⚪设计'!$C$85:$E$101,3,FALSE))*$U14)*VLOOKUP(E14,'⚪设计'!$C$85:$E$101,3,FALSE),0))</f>
        <v>6376</v>
      </c>
      <c r="I14" s="88">
        <f>ROUND(战斗节奏!$B$3/SUM(IF(无限模式!$E14="",0,VLOOKUP(无限模式!$E14,'⚪设计'!$C$85:$G$101,4,FALSE)*无限模式!$F14),IF(无限模式!$J14="",0,VLOOKUP(无限模式!$J14,'⚪设计'!$C$85:$G$101,4,FALSE)*无限模式!$K14),IF(无限模式!$O14="",0,VLOOKUP(无限模式!$O14,'⚪设计'!$C$85:$G$101,4,FALSE)*无限模式!$P14),IF(无限模式!$T14="",0,VLOOKUP(无限模式!$T14,'⚪设计'!$C$85:$G$101,4,FALSE)*无限模式!$U14))*IF(E14="",0,VLOOKUP(E14,'⚪设计'!$C$85:$G$101,4,FALSE)),0)</f>
        <v>5</v>
      </c>
      <c r="J14" s="88" t="str">
        <f>IF(VLOOKUP(A14,'⚪设计'!$A$193:$G$212,5,FALSE)="","",VLOOKUP(VLOOKUP(A14,'⚪设计'!$A$193:$G$212,5,FALSE),'⚪设计'!$B$85:$D$101,2,FALSE))</f>
        <v>ResUnit_ZhongZi1</v>
      </c>
      <c r="K14" s="88">
        <f t="shared" si="1"/>
        <v>7</v>
      </c>
      <c r="L14" s="7">
        <v>3</v>
      </c>
      <c r="M14" s="88">
        <f>IF(J14="",0,ROUND(VLOOKUP($A14,'⚪设计'!$A$193:$B$212,2,FALSE)*$B14/SUM(IF($E14="",0,VLOOKUP($E14,'⚪设计'!$C$85:$E$101,3,FALSE))*$F14,IF($J14="",0,VLOOKUP($J14,'⚪设计'!$C$85:$E$101,3,FALSE))*$K14,IF($O14="",0,VLOOKUP($O14,'⚪设计'!$C$85:$E$101,3,FALSE))*$P14,IF($T14="",0,VLOOKUP($T14,'⚪设计'!$C$85:$E$101,3,FALSE))*$U14)*VLOOKUP(J14,'⚪设计'!$C$85:$E$101,3,FALSE),0))</f>
        <v>9565</v>
      </c>
      <c r="N14" s="88">
        <f>ROUND(战斗节奏!$B$3/SUM(IF(无限模式!$E14="",0,VLOOKUP(无限模式!$E14,'⚪设计'!$C$85:$G$101,4,FALSE)*无限模式!$F14),IF(无限模式!$J14="",0,VLOOKUP(无限模式!$J14,'⚪设计'!$C$85:$G$101,4,FALSE)*无限模式!$K14),IF(无限模式!$O14="",0,VLOOKUP(无限模式!$O14,'⚪设计'!$C$85:$G$101,4,FALSE)*无限模式!$P14),IF(无限模式!$T14="",0,VLOOKUP(无限模式!$T14,'⚪设计'!$C$85:$G$101,4,FALSE)*无限模式!$U14))*IF(J14="",0,VLOOKUP(J14,'⚪设计'!$C$85:$G$101,4,FALSE)),0)</f>
        <v>5</v>
      </c>
      <c r="O14" s="71" t="str">
        <f>IF(VLOOKUP(A14,'⚪设计'!$A$193:$G$212,6,FALSE)="","",VLOOKUP(VLOOKUP(A14,'⚪设计'!$A$193:$G$212,6,FALSE),'⚪设计'!$B$85:$D$101,2,FALSE))</f>
        <v>ResUnit_ZhongZi3</v>
      </c>
      <c r="P14" s="88">
        <f t="shared" si="2"/>
        <v>1</v>
      </c>
      <c r="Q14" s="7">
        <v>0</v>
      </c>
      <c r="R14" s="88">
        <f>IF(O14="",0,ROUND(VLOOKUP($A14,'⚪设计'!$A$193:$B$212,2,FALSE)*$B14/SUM(IF($E14="",0,VLOOKUP($E14,'⚪设计'!$C$85:$E$101,3,FALSE))*$F14,IF($J14="",0,VLOOKUP($J14,'⚪设计'!$C$85:$E$101,3,FALSE))*$K14,IF($O14="",0,VLOOKUP($O14,'⚪设计'!$C$85:$E$101,3,FALSE))*$P14,IF($T14="",0,VLOOKUP($T14,'⚪设计'!$C$85:$E$101,3,FALSE))*$U14)*VLOOKUP(O14,'⚪设计'!$C$85:$E$101,3,FALSE),0))</f>
        <v>127528</v>
      </c>
      <c r="S14" s="88">
        <f>ROUND(战斗节奏!$B$3/SUM(IF(无限模式!$E14="",0,VLOOKUP(无限模式!$E14,'⚪设计'!$C$85:$G$101,4,FALSE)*无限模式!$F14),IF(无限模式!$J14="",0,VLOOKUP(无限模式!$J14,'⚪设计'!$C$85:$G$101,4,FALSE)*无限模式!$K14),IF(无限模式!$O14="",0,VLOOKUP(无限模式!$O14,'⚪设计'!$C$85:$G$101,4,FALSE)*无限模式!$P14),IF(无限模式!$T14="",0,VLOOKUP(无限模式!$T14,'⚪设计'!$C$85:$G$101,4,FALSE)*无限模式!$U14))*IF(O14="",0,VLOOKUP(O14,'⚪设计'!$C$85:$G$101,4,FALSE)),0)</f>
        <v>109</v>
      </c>
      <c r="T14" s="88" t="str">
        <f>IF(VLOOKUP(A14,'⚪设计'!$A$193:$G$212,7,FALSE)="","",VLOOKUP(VLOOKUP(A14,'⚪设计'!$A$193:$G$212,7,FALSE),'⚪设计'!$B$85:$D$101,2,FALSE))</f>
        <v/>
      </c>
      <c r="U14" s="88">
        <f t="shared" si="3"/>
        <v>0</v>
      </c>
      <c r="V14" s="7"/>
      <c r="W14" s="88">
        <f>IF(T14="",0,ROUND(VLOOKUP($A14,'⚪设计'!$A$193:$B$212,2,FALSE)*$B14/SUM(IF($E14="",0,VLOOKUP($E14,'⚪设计'!$C$85:$E$101,3,FALSE))*$F14,IF($J14="",0,VLOOKUP($J14,'⚪设计'!$C$85:$E$101,3,FALSE))*$K14,IF($O14="",0,VLOOKUP($O14,'⚪设计'!$C$85:$E$101,3,FALSE))*$P14,IF($T14="",0,VLOOKUP($T14,'⚪设计'!$C$85:$E$101,3,FALSE))*$U14)*VLOOKUP(T14,'⚪设计'!$C$85:$E$101,3,FALSE),0))</f>
        <v>0</v>
      </c>
      <c r="X14" s="88">
        <f>ROUND(战斗节奏!$B$3/SUM(IF(无限模式!$E14="",0,VLOOKUP(无限模式!$E14,'⚪设计'!$C$85:$G$101,4,FALSE)*无限模式!$F14),IF(无限模式!$J14="",0,VLOOKUP(无限模式!$J14,'⚪设计'!$C$85:$G$101,4,FALSE)*无限模式!$K14),IF(无限模式!$O14="",0,VLOOKUP(无限模式!$O14,'⚪设计'!$C$85:$G$101,4,FALSE)*无限模式!$P14),IF(无限模式!$T14="",0,VLOOKUP(无限模式!$T14,'⚪设计'!$C$85:$G$101,4,FALSE)*无限模式!$U14))*IF(T14="",0,VLOOKUP(T14,'⚪设计'!$C$85:$G$101,4,FALSE)),0)</f>
        <v>0</v>
      </c>
    </row>
    <row r="15" spans="1:24" x14ac:dyDescent="0.2">
      <c r="A15" s="84">
        <v>13</v>
      </c>
      <c r="B15" s="88">
        <f>MAX(MIN(战斗节奏!$C$3-INT(A15/'⚪设计'!$C$55),MOD(A15,'⚪设计'!$C$55)),0)*'⚪设计'!$C$79*防御塔!$C$2+MIN(INT(A15/'⚪设计'!$C$55),战斗节奏!$C$3)*'⚪设计'!$C$80*防御塔!$C$2</f>
        <v>15300</v>
      </c>
      <c r="C15" s="7">
        <v>1.6</v>
      </c>
      <c r="D15" s="7">
        <v>22</v>
      </c>
      <c r="E15" s="71" t="str">
        <f>IF(VLOOKUP(A15,'⚪设计'!$A$193:$G$212,4,FALSE)="","",VLOOKUP(VLOOKUP(A15,'⚪设计'!$A$193:$G$212,4,FALSE),'⚪设计'!$B$85:$D$101,2,FALSE))</f>
        <v>ResUnit_Gui1</v>
      </c>
      <c r="F15" s="88">
        <f t="shared" si="0"/>
        <v>15</v>
      </c>
      <c r="G15" s="7">
        <v>1.5</v>
      </c>
      <c r="H15" s="88">
        <f>IF(E15="",0,ROUND(VLOOKUP($A15,'⚪设计'!$A$193:$B$212,2,FALSE)*$B15/SUM(IF($E15="",0,VLOOKUP($E15,'⚪设计'!$C$85:$E$101,3,FALSE))*$F15,IF($J15="",0,VLOOKUP($J15,'⚪设计'!$C$85:$E$101,3,FALSE))*$K15,IF($O15="",0,VLOOKUP($O15,'⚪设计'!$C$85:$E$101,3,FALSE))*$P15,IF($T15="",0,VLOOKUP($T15,'⚪设计'!$C$85:$E$101,3,FALSE))*$U15)*VLOOKUP(E15,'⚪设计'!$C$85:$E$101,3,FALSE),0))</f>
        <v>51000</v>
      </c>
      <c r="I15" s="88">
        <f>ROUND(战斗节奏!$B$3/SUM(IF(无限模式!$E15="",0,VLOOKUP(无限模式!$E15,'⚪设计'!$C$85:$G$101,4,FALSE)*无限模式!$F15),IF(无限模式!$J15="",0,VLOOKUP(无限模式!$J15,'⚪设计'!$C$85:$G$101,4,FALSE)*无限模式!$K15),IF(无限模式!$O15="",0,VLOOKUP(无限模式!$O15,'⚪设计'!$C$85:$G$101,4,FALSE)*无限模式!$P15),IF(无限模式!$T15="",0,VLOOKUP(无限模式!$T15,'⚪设计'!$C$85:$G$101,4,FALSE)*无限模式!$U15))*IF(E15="",0,VLOOKUP(E15,'⚪设计'!$C$85:$G$101,4,FALSE)),0)</f>
        <v>48</v>
      </c>
      <c r="J15" s="88" t="str">
        <f>IF(VLOOKUP(A15,'⚪设计'!$A$193:$G$212,5,FALSE)="","",VLOOKUP(VLOOKUP(A15,'⚪设计'!$A$193:$G$212,5,FALSE),'⚪设计'!$B$85:$D$101,2,FALSE))</f>
        <v/>
      </c>
      <c r="K15" s="88">
        <f t="shared" si="1"/>
        <v>0</v>
      </c>
      <c r="L15" s="7"/>
      <c r="M15" s="88">
        <f>IF(J15="",0,ROUND(VLOOKUP($A15,'⚪设计'!$A$193:$B$212,2,FALSE)*$B15/SUM(IF($E15="",0,VLOOKUP($E15,'⚪设计'!$C$85:$E$101,3,FALSE))*$F15,IF($J15="",0,VLOOKUP($J15,'⚪设计'!$C$85:$E$101,3,FALSE))*$K15,IF($O15="",0,VLOOKUP($O15,'⚪设计'!$C$85:$E$101,3,FALSE))*$P15,IF($T15="",0,VLOOKUP($T15,'⚪设计'!$C$85:$E$101,3,FALSE))*$U15)*VLOOKUP(J15,'⚪设计'!$C$85:$E$101,3,FALSE),0))</f>
        <v>0</v>
      </c>
      <c r="N15" s="88">
        <f>ROUND(战斗节奏!$B$3/SUM(IF(无限模式!$E15="",0,VLOOKUP(无限模式!$E15,'⚪设计'!$C$85:$G$101,4,FALSE)*无限模式!$F15),IF(无限模式!$J15="",0,VLOOKUP(无限模式!$J15,'⚪设计'!$C$85:$G$101,4,FALSE)*无限模式!$K15),IF(无限模式!$O15="",0,VLOOKUP(无限模式!$O15,'⚪设计'!$C$85:$G$101,4,FALSE)*无限模式!$P15),IF(无限模式!$T15="",0,VLOOKUP(无限模式!$T15,'⚪设计'!$C$85:$G$101,4,FALSE)*无限模式!$U15))*IF(J15="",0,VLOOKUP(J15,'⚪设计'!$C$85:$G$101,4,FALSE)),0)</f>
        <v>0</v>
      </c>
      <c r="O15" s="71" t="str">
        <f>IF(VLOOKUP(A15,'⚪设计'!$A$193:$G$212,6,FALSE)="","",VLOOKUP(VLOOKUP(A15,'⚪设计'!$A$193:$G$212,6,FALSE),'⚪设计'!$B$85:$D$101,2,FALSE))</f>
        <v/>
      </c>
      <c r="P15" s="88">
        <f t="shared" si="2"/>
        <v>0</v>
      </c>
      <c r="Q15" s="7"/>
      <c r="R15" s="88">
        <f>IF(O15="",0,ROUND(VLOOKUP($A15,'⚪设计'!$A$193:$B$212,2,FALSE)*$B15/SUM(IF($E15="",0,VLOOKUP($E15,'⚪设计'!$C$85:$E$101,3,FALSE))*$F15,IF($J15="",0,VLOOKUP($J15,'⚪设计'!$C$85:$E$101,3,FALSE))*$K15,IF($O15="",0,VLOOKUP($O15,'⚪设计'!$C$85:$E$101,3,FALSE))*$P15,IF($T15="",0,VLOOKUP($T15,'⚪设计'!$C$85:$E$101,3,FALSE))*$U15)*VLOOKUP(O15,'⚪设计'!$C$85:$E$101,3,FALSE),0))</f>
        <v>0</v>
      </c>
      <c r="S15" s="88">
        <f>ROUND(战斗节奏!$B$3/SUM(IF(无限模式!$E15="",0,VLOOKUP(无限模式!$E15,'⚪设计'!$C$85:$G$101,4,FALSE)*无限模式!$F15),IF(无限模式!$J15="",0,VLOOKUP(无限模式!$J15,'⚪设计'!$C$85:$G$101,4,FALSE)*无限模式!$K15),IF(无限模式!$O15="",0,VLOOKUP(无限模式!$O15,'⚪设计'!$C$85:$G$101,4,FALSE)*无限模式!$P15),IF(无限模式!$T15="",0,VLOOKUP(无限模式!$T15,'⚪设计'!$C$85:$G$101,4,FALSE)*无限模式!$U15))*IF(O15="",0,VLOOKUP(O15,'⚪设计'!$C$85:$G$101,4,FALSE)),0)</f>
        <v>0</v>
      </c>
      <c r="T15" s="88" t="str">
        <f>IF(VLOOKUP(A15,'⚪设计'!$A$193:$G$212,7,FALSE)="","",VLOOKUP(VLOOKUP(A15,'⚪设计'!$A$193:$G$212,7,FALSE),'⚪设计'!$B$85:$D$101,2,FALSE))</f>
        <v/>
      </c>
      <c r="U15" s="88">
        <f t="shared" si="3"/>
        <v>0</v>
      </c>
      <c r="V15" s="7"/>
      <c r="W15" s="88">
        <f>IF(T15="",0,ROUND(VLOOKUP($A15,'⚪设计'!$A$193:$B$212,2,FALSE)*$B15/SUM(IF($E15="",0,VLOOKUP($E15,'⚪设计'!$C$85:$E$101,3,FALSE))*$F15,IF($J15="",0,VLOOKUP($J15,'⚪设计'!$C$85:$E$101,3,FALSE))*$K15,IF($O15="",0,VLOOKUP($O15,'⚪设计'!$C$85:$E$101,3,FALSE))*$P15,IF($T15="",0,VLOOKUP($T15,'⚪设计'!$C$85:$E$101,3,FALSE))*$U15)*VLOOKUP(T15,'⚪设计'!$C$85:$E$101,3,FALSE),0))</f>
        <v>0</v>
      </c>
      <c r="X15" s="88">
        <f>ROUND(战斗节奏!$B$3/SUM(IF(无限模式!$E15="",0,VLOOKUP(无限模式!$E15,'⚪设计'!$C$85:$G$101,4,FALSE)*无限模式!$F15),IF(无限模式!$J15="",0,VLOOKUP(无限模式!$J15,'⚪设计'!$C$85:$G$101,4,FALSE)*无限模式!$K15),IF(无限模式!$O15="",0,VLOOKUP(无限模式!$O15,'⚪设计'!$C$85:$G$101,4,FALSE)*无限模式!$P15),IF(无限模式!$T15="",0,VLOOKUP(无限模式!$T15,'⚪设计'!$C$85:$G$101,4,FALSE)*无限模式!$U15))*IF(T15="",0,VLOOKUP(T15,'⚪设计'!$C$85:$G$101,4,FALSE)),0)</f>
        <v>0</v>
      </c>
    </row>
    <row r="16" spans="1:24" x14ac:dyDescent="0.2">
      <c r="A16" s="84">
        <v>14</v>
      </c>
      <c r="B16" s="88">
        <f>MAX(MIN(战斗节奏!$C$3-INT(A16/'⚪设计'!$C$55),MOD(A16,'⚪设计'!$C$55)),0)*'⚪设计'!$C$79*防御塔!$C$2+MIN(INT(A16/'⚪设计'!$C$55),战斗节奏!$C$3)*'⚪设计'!$C$80*防御塔!$C$2</f>
        <v>16200</v>
      </c>
      <c r="C16" s="7">
        <v>1.65</v>
      </c>
      <c r="D16" s="7">
        <v>23</v>
      </c>
      <c r="E16" s="71" t="str">
        <f>IF(VLOOKUP(A16,'⚪设计'!$A$193:$G$212,4,FALSE)="","",VLOOKUP(VLOOKUP(A16,'⚪设计'!$A$193:$G$212,4,FALSE),'⚪设计'!$B$85:$D$101,2,FALSE))</f>
        <v>ResUnit_Gui1</v>
      </c>
      <c r="F16" s="88">
        <f t="shared" si="0"/>
        <v>15</v>
      </c>
      <c r="G16" s="7">
        <v>1.5</v>
      </c>
      <c r="H16" s="88">
        <f>IF(E16="",0,ROUND(VLOOKUP($A16,'⚪设计'!$A$193:$B$212,2,FALSE)*$B16/SUM(IF($E16="",0,VLOOKUP($E16,'⚪设计'!$C$85:$E$101,3,FALSE))*$F16,IF($J16="",0,VLOOKUP($J16,'⚪设计'!$C$85:$E$101,3,FALSE))*$K16,IF($O16="",0,VLOOKUP($O16,'⚪设计'!$C$85:$E$101,3,FALSE))*$P16,IF($T16="",0,VLOOKUP($T16,'⚪设计'!$C$85:$E$101,3,FALSE))*$U16)*VLOOKUP(E16,'⚪设计'!$C$85:$E$101,3,FALSE),0))</f>
        <v>21600</v>
      </c>
      <c r="I16" s="88">
        <f>ROUND(战斗节奏!$B$3/SUM(IF(无限模式!$E16="",0,VLOOKUP(无限模式!$E16,'⚪设计'!$C$85:$G$101,4,FALSE)*无限模式!$F16),IF(无限模式!$J16="",0,VLOOKUP(无限模式!$J16,'⚪设计'!$C$85:$G$101,4,FALSE)*无限模式!$K16),IF(无限模式!$O16="",0,VLOOKUP(无限模式!$O16,'⚪设计'!$C$85:$G$101,4,FALSE)*无限模式!$P16),IF(无限模式!$T16="",0,VLOOKUP(无限模式!$T16,'⚪设计'!$C$85:$G$101,4,FALSE)*无限模式!$U16))*IF(E16="",0,VLOOKUP(E16,'⚪设计'!$C$85:$G$101,4,FALSE)),0)</f>
        <v>24</v>
      </c>
      <c r="J16" s="88" t="str">
        <f>IF(VLOOKUP(A16,'⚪设计'!$A$193:$G$212,5,FALSE)="","",VLOOKUP(VLOOKUP(A16,'⚪设计'!$A$193:$G$212,5,FALSE),'⚪设计'!$B$85:$D$101,2,FALSE))</f>
        <v>ResUnit_ZhiZhu2</v>
      </c>
      <c r="K16" s="88">
        <f t="shared" si="1"/>
        <v>15</v>
      </c>
      <c r="L16" s="7">
        <v>1.5</v>
      </c>
      <c r="M16" s="88">
        <f>IF(J16="",0,ROUND(VLOOKUP($A16,'⚪设计'!$A$193:$B$212,2,FALSE)*$B16/SUM(IF($E16="",0,VLOOKUP($E16,'⚪设计'!$C$85:$E$101,3,FALSE))*$F16,IF($J16="",0,VLOOKUP($J16,'⚪设计'!$C$85:$E$101,3,FALSE))*$K16,IF($O16="",0,VLOOKUP($O16,'⚪设计'!$C$85:$E$101,3,FALSE))*$P16,IF($T16="",0,VLOOKUP($T16,'⚪设计'!$C$85:$E$101,3,FALSE))*$U16)*VLOOKUP(J16,'⚪设计'!$C$85:$E$101,3,FALSE),0))</f>
        <v>43200</v>
      </c>
      <c r="N16" s="88">
        <f>ROUND(战斗节奏!$B$3/SUM(IF(无限模式!$E16="",0,VLOOKUP(无限模式!$E16,'⚪设计'!$C$85:$G$101,4,FALSE)*无限模式!$F16),IF(无限模式!$J16="",0,VLOOKUP(无限模式!$J16,'⚪设计'!$C$85:$G$101,4,FALSE)*无限模式!$K16),IF(无限模式!$O16="",0,VLOOKUP(无限模式!$O16,'⚪设计'!$C$85:$G$101,4,FALSE)*无限模式!$P16),IF(无限模式!$T16="",0,VLOOKUP(无限模式!$T16,'⚪设计'!$C$85:$G$101,4,FALSE)*无限模式!$U16))*IF(J16="",0,VLOOKUP(J16,'⚪设计'!$C$85:$G$101,4,FALSE)),0)</f>
        <v>24</v>
      </c>
      <c r="O16" s="71" t="str">
        <f>IF(VLOOKUP(A16,'⚪设计'!$A$193:$G$212,6,FALSE)="","",VLOOKUP(VLOOKUP(A16,'⚪设计'!$A$193:$G$212,6,FALSE),'⚪设计'!$B$85:$D$101,2,FALSE))</f>
        <v/>
      </c>
      <c r="P16" s="88">
        <f t="shared" si="2"/>
        <v>0</v>
      </c>
      <c r="Q16" s="7"/>
      <c r="R16" s="88">
        <f>IF(O16="",0,ROUND(VLOOKUP($A16,'⚪设计'!$A$193:$B$212,2,FALSE)*$B16/SUM(IF($E16="",0,VLOOKUP($E16,'⚪设计'!$C$85:$E$101,3,FALSE))*$F16,IF($J16="",0,VLOOKUP($J16,'⚪设计'!$C$85:$E$101,3,FALSE))*$K16,IF($O16="",0,VLOOKUP($O16,'⚪设计'!$C$85:$E$101,3,FALSE))*$P16,IF($T16="",0,VLOOKUP($T16,'⚪设计'!$C$85:$E$101,3,FALSE))*$U16)*VLOOKUP(O16,'⚪设计'!$C$85:$E$101,3,FALSE),0))</f>
        <v>0</v>
      </c>
      <c r="S16" s="88">
        <f>ROUND(战斗节奏!$B$3/SUM(IF(无限模式!$E16="",0,VLOOKUP(无限模式!$E16,'⚪设计'!$C$85:$G$101,4,FALSE)*无限模式!$F16),IF(无限模式!$J16="",0,VLOOKUP(无限模式!$J16,'⚪设计'!$C$85:$G$101,4,FALSE)*无限模式!$K16),IF(无限模式!$O16="",0,VLOOKUP(无限模式!$O16,'⚪设计'!$C$85:$G$101,4,FALSE)*无限模式!$P16),IF(无限模式!$T16="",0,VLOOKUP(无限模式!$T16,'⚪设计'!$C$85:$G$101,4,FALSE)*无限模式!$U16))*IF(O16="",0,VLOOKUP(O16,'⚪设计'!$C$85:$G$101,4,FALSE)),0)</f>
        <v>0</v>
      </c>
      <c r="T16" s="88" t="str">
        <f>IF(VLOOKUP(A16,'⚪设计'!$A$193:$G$212,7,FALSE)="","",VLOOKUP(VLOOKUP(A16,'⚪设计'!$A$193:$G$212,7,FALSE),'⚪设计'!$B$85:$D$101,2,FALSE))</f>
        <v/>
      </c>
      <c r="U16" s="88">
        <f t="shared" si="3"/>
        <v>0</v>
      </c>
      <c r="V16" s="7"/>
      <c r="W16" s="88">
        <f>IF(T16="",0,ROUND(VLOOKUP($A16,'⚪设计'!$A$193:$B$212,2,FALSE)*$B16/SUM(IF($E16="",0,VLOOKUP($E16,'⚪设计'!$C$85:$E$101,3,FALSE))*$F16,IF($J16="",0,VLOOKUP($J16,'⚪设计'!$C$85:$E$101,3,FALSE))*$K16,IF($O16="",0,VLOOKUP($O16,'⚪设计'!$C$85:$E$101,3,FALSE))*$P16,IF($T16="",0,VLOOKUP($T16,'⚪设计'!$C$85:$E$101,3,FALSE))*$U16)*VLOOKUP(T16,'⚪设计'!$C$85:$E$101,3,FALSE),0))</f>
        <v>0</v>
      </c>
      <c r="X16" s="88">
        <f>ROUND(战斗节奏!$B$3/SUM(IF(无限模式!$E16="",0,VLOOKUP(无限模式!$E16,'⚪设计'!$C$85:$G$101,4,FALSE)*无限模式!$F16),IF(无限模式!$J16="",0,VLOOKUP(无限模式!$J16,'⚪设计'!$C$85:$G$101,4,FALSE)*无限模式!$K16),IF(无限模式!$O16="",0,VLOOKUP(无限模式!$O16,'⚪设计'!$C$85:$G$101,4,FALSE)*无限模式!$P16),IF(无限模式!$T16="",0,VLOOKUP(无限模式!$T16,'⚪设计'!$C$85:$G$101,4,FALSE)*无限模式!$U16))*IF(T16="",0,VLOOKUP(T16,'⚪设计'!$C$85:$G$101,4,FALSE)),0)</f>
        <v>0</v>
      </c>
    </row>
    <row r="17" spans="1:24" x14ac:dyDescent="0.2">
      <c r="A17" s="84">
        <v>15</v>
      </c>
      <c r="B17" s="88">
        <f>MAX(MIN(战斗节奏!$C$3-INT(A17/'⚪设计'!$C$55),MOD(A17,'⚪设计'!$C$55)),0)*'⚪设计'!$C$79*防御塔!$C$2+MIN(INT(A17/'⚪设计'!$C$55),战斗节奏!$C$3)*'⚪设计'!$C$80*防御塔!$C$2</f>
        <v>18000</v>
      </c>
      <c r="C17" s="7">
        <v>1.7</v>
      </c>
      <c r="D17" s="7">
        <v>24</v>
      </c>
      <c r="E17" s="71" t="str">
        <f>IF(VLOOKUP(A17,'⚪设计'!$A$193:$G$212,4,FALSE)="","",VLOOKUP(VLOOKUP(A17,'⚪设计'!$A$193:$G$212,4,FALSE),'⚪设计'!$B$85:$D$101,2,FALSE))</f>
        <v>ResUnit_Gui1</v>
      </c>
      <c r="F17" s="88">
        <f t="shared" si="0"/>
        <v>32</v>
      </c>
      <c r="G17" s="7">
        <v>0.75</v>
      </c>
      <c r="H17" s="88">
        <f>IF(E17="",0,ROUND(VLOOKUP($A17,'⚪设计'!$A$193:$B$212,2,FALSE)*$B17/SUM(IF($E17="",0,VLOOKUP($E17,'⚪设计'!$C$85:$E$101,3,FALSE))*$F17,IF($J17="",0,VLOOKUP($J17,'⚪设计'!$C$85:$E$101,3,FALSE))*$K17,IF($O17="",0,VLOOKUP($O17,'⚪设计'!$C$85:$E$101,3,FALSE))*$P17,IF($T17="",0,VLOOKUP($T17,'⚪设计'!$C$85:$E$101,3,FALSE))*$U17)*VLOOKUP(E17,'⚪设计'!$C$85:$E$101,3,FALSE),0))</f>
        <v>15750</v>
      </c>
      <c r="I17" s="88">
        <f>ROUND(战斗节奏!$B$3/SUM(IF(无限模式!$E17="",0,VLOOKUP(无限模式!$E17,'⚪设计'!$C$85:$G$101,4,FALSE)*无限模式!$F17),IF(无限模式!$J17="",0,VLOOKUP(无限模式!$J17,'⚪设计'!$C$85:$G$101,4,FALSE)*无限模式!$K17),IF(无限模式!$O17="",0,VLOOKUP(无限模式!$O17,'⚪设计'!$C$85:$G$101,4,FALSE)*无限模式!$P17),IF(无限模式!$T17="",0,VLOOKUP(无限模式!$T17,'⚪设计'!$C$85:$G$101,4,FALSE)*无限模式!$U17))*IF(E17="",0,VLOOKUP(E17,'⚪设计'!$C$85:$G$101,4,FALSE)),0)</f>
        <v>15</v>
      </c>
      <c r="J17" s="88" t="str">
        <f>IF(VLOOKUP(A17,'⚪设计'!$A$193:$G$212,5,FALSE)="","",VLOOKUP(VLOOKUP(A17,'⚪设计'!$A$193:$G$212,5,FALSE),'⚪设计'!$B$85:$D$101,2,FALSE))</f>
        <v>ResUnit_ZhongZi2</v>
      </c>
      <c r="K17" s="88">
        <f t="shared" si="1"/>
        <v>8</v>
      </c>
      <c r="L17" s="7">
        <v>3</v>
      </c>
      <c r="M17" s="88">
        <f>IF(J17="",0,ROUND(VLOOKUP($A17,'⚪设计'!$A$193:$B$212,2,FALSE)*$B17/SUM(IF($E17="",0,VLOOKUP($E17,'⚪设计'!$C$85:$E$101,3,FALSE))*$F17,IF($J17="",0,VLOOKUP($J17,'⚪设计'!$C$85:$E$101,3,FALSE))*$K17,IF($O17="",0,VLOOKUP($O17,'⚪设计'!$C$85:$E$101,3,FALSE))*$P17,IF($T17="",0,VLOOKUP($T17,'⚪设计'!$C$85:$E$101,3,FALSE))*$U17)*VLOOKUP(J17,'⚪设计'!$C$85:$E$101,3,FALSE),0))</f>
        <v>94500</v>
      </c>
      <c r="N17" s="88">
        <f>ROUND(战斗节奏!$B$3/SUM(IF(无限模式!$E17="",0,VLOOKUP(无限模式!$E17,'⚪设计'!$C$85:$G$101,4,FALSE)*无限模式!$F17),IF(无限模式!$J17="",0,VLOOKUP(无限模式!$J17,'⚪设计'!$C$85:$G$101,4,FALSE)*无限模式!$K17),IF(无限模式!$O17="",0,VLOOKUP(无限模式!$O17,'⚪设计'!$C$85:$G$101,4,FALSE)*无限模式!$P17),IF(无限模式!$T17="",0,VLOOKUP(无限模式!$T17,'⚪设计'!$C$85:$G$101,4,FALSE)*无限模式!$U17))*IF(J17="",0,VLOOKUP(J17,'⚪设计'!$C$85:$G$101,4,FALSE)),0)</f>
        <v>30</v>
      </c>
      <c r="O17" s="71" t="str">
        <f>IF(VLOOKUP(A17,'⚪设计'!$A$193:$G$212,6,FALSE)="","",VLOOKUP(VLOOKUP(A17,'⚪设计'!$A$193:$G$212,6,FALSE),'⚪设计'!$B$85:$D$101,2,FALSE))</f>
        <v/>
      </c>
      <c r="P17" s="88">
        <f t="shared" si="2"/>
        <v>0</v>
      </c>
      <c r="Q17" s="7"/>
      <c r="R17" s="88">
        <f>IF(O17="",0,ROUND(VLOOKUP($A17,'⚪设计'!$A$193:$B$212,2,FALSE)*$B17/SUM(IF($E17="",0,VLOOKUP($E17,'⚪设计'!$C$85:$E$101,3,FALSE))*$F17,IF($J17="",0,VLOOKUP($J17,'⚪设计'!$C$85:$E$101,3,FALSE))*$K17,IF($O17="",0,VLOOKUP($O17,'⚪设计'!$C$85:$E$101,3,FALSE))*$P17,IF($T17="",0,VLOOKUP($T17,'⚪设计'!$C$85:$E$101,3,FALSE))*$U17)*VLOOKUP(O17,'⚪设计'!$C$85:$E$101,3,FALSE),0))</f>
        <v>0</v>
      </c>
      <c r="S17" s="88">
        <f>ROUND(战斗节奏!$B$3/SUM(IF(无限模式!$E17="",0,VLOOKUP(无限模式!$E17,'⚪设计'!$C$85:$G$101,4,FALSE)*无限模式!$F17),IF(无限模式!$J17="",0,VLOOKUP(无限模式!$J17,'⚪设计'!$C$85:$G$101,4,FALSE)*无限模式!$K17),IF(无限模式!$O17="",0,VLOOKUP(无限模式!$O17,'⚪设计'!$C$85:$G$101,4,FALSE)*无限模式!$P17),IF(无限模式!$T17="",0,VLOOKUP(无限模式!$T17,'⚪设计'!$C$85:$G$101,4,FALSE)*无限模式!$U17))*IF(O17="",0,VLOOKUP(O17,'⚪设计'!$C$85:$G$101,4,FALSE)),0)</f>
        <v>0</v>
      </c>
      <c r="T17" s="88" t="str">
        <f>IF(VLOOKUP(A17,'⚪设计'!$A$193:$G$212,7,FALSE)="","",VLOOKUP(VLOOKUP(A17,'⚪设计'!$A$193:$G$212,7,FALSE),'⚪设计'!$B$85:$D$101,2,FALSE))</f>
        <v/>
      </c>
      <c r="U17" s="88">
        <f t="shared" si="3"/>
        <v>0</v>
      </c>
      <c r="V17" s="7"/>
      <c r="W17" s="88">
        <f>IF(T17="",0,ROUND(VLOOKUP($A17,'⚪设计'!$A$193:$B$212,2,FALSE)*$B17/SUM(IF($E17="",0,VLOOKUP($E17,'⚪设计'!$C$85:$E$101,3,FALSE))*$F17,IF($J17="",0,VLOOKUP($J17,'⚪设计'!$C$85:$E$101,3,FALSE))*$K17,IF($O17="",0,VLOOKUP($O17,'⚪设计'!$C$85:$E$101,3,FALSE))*$P17,IF($T17="",0,VLOOKUP($T17,'⚪设计'!$C$85:$E$101,3,FALSE))*$U17)*VLOOKUP(T17,'⚪设计'!$C$85:$E$101,3,FALSE),0))</f>
        <v>0</v>
      </c>
      <c r="X17" s="88">
        <f>ROUND(战斗节奏!$B$3/SUM(IF(无限模式!$E17="",0,VLOOKUP(无限模式!$E17,'⚪设计'!$C$85:$G$101,4,FALSE)*无限模式!$F17),IF(无限模式!$J17="",0,VLOOKUP(无限模式!$J17,'⚪设计'!$C$85:$G$101,4,FALSE)*无限模式!$K17),IF(无限模式!$O17="",0,VLOOKUP(无限模式!$O17,'⚪设计'!$C$85:$G$101,4,FALSE)*无限模式!$P17),IF(无限模式!$T17="",0,VLOOKUP(无限模式!$T17,'⚪设计'!$C$85:$G$101,4,FALSE)*无限模式!$U17))*IF(T17="",0,VLOOKUP(T17,'⚪设计'!$C$85:$G$101,4,FALSE)),0)</f>
        <v>0</v>
      </c>
    </row>
    <row r="18" spans="1:24" x14ac:dyDescent="0.2">
      <c r="A18" s="84">
        <v>16</v>
      </c>
      <c r="B18" s="88">
        <f>MAX(MIN(战斗节奏!$C$3-INT(A18/'⚪设计'!$C$55),MOD(A18,'⚪设计'!$C$55)),0)*'⚪设计'!$C$79*防御塔!$C$2+MIN(INT(A18/'⚪设计'!$C$55),战斗节奏!$C$3)*'⚪设计'!$C$80*防御塔!$C$2</f>
        <v>18900</v>
      </c>
      <c r="C18" s="7">
        <v>1.75</v>
      </c>
      <c r="D18" s="7">
        <v>25</v>
      </c>
      <c r="E18" s="71" t="str">
        <f>IF(VLOOKUP(A18,'⚪设计'!$A$193:$G$212,4,FALSE)="","",VLOOKUP(VLOOKUP(A18,'⚪设计'!$A$193:$G$212,4,FALSE),'⚪设计'!$B$85:$D$101,2,FALSE))</f>
        <v>ResUnit_MiFeng2</v>
      </c>
      <c r="F18" s="88">
        <f t="shared" si="0"/>
        <v>125</v>
      </c>
      <c r="G18" s="7">
        <v>0.2</v>
      </c>
      <c r="H18" s="88">
        <f>IF(E18="",0,ROUND(VLOOKUP($A18,'⚪设计'!$A$193:$B$212,2,FALSE)*$B18/SUM(IF($E18="",0,VLOOKUP($E18,'⚪设计'!$C$85:$E$101,3,FALSE))*$F18,IF($J18="",0,VLOOKUP($J18,'⚪设计'!$C$85:$E$101,3,FALSE))*$K18,IF($O18="",0,VLOOKUP($O18,'⚪设计'!$C$85:$E$101,3,FALSE))*$P18,IF($T18="",0,VLOOKUP($T18,'⚪设计'!$C$85:$E$101,3,FALSE))*$U18)*VLOOKUP(E18,'⚪设计'!$C$85:$E$101,3,FALSE),0))</f>
        <v>11731</v>
      </c>
      <c r="I18" s="88">
        <f>ROUND(战斗节奏!$B$3/SUM(IF(无限模式!$E18="",0,VLOOKUP(无限模式!$E18,'⚪设计'!$C$85:$G$101,4,FALSE)*无限模式!$F18),IF(无限模式!$J18="",0,VLOOKUP(无限模式!$J18,'⚪设计'!$C$85:$G$101,4,FALSE)*无限模式!$K18),IF(无限模式!$O18="",0,VLOOKUP(无限模式!$O18,'⚪设计'!$C$85:$G$101,4,FALSE)*无限模式!$P18),IF(无限模式!$T18="",0,VLOOKUP(无限模式!$T18,'⚪设计'!$C$85:$G$101,4,FALSE)*无限模式!$U18))*IF(E18="",0,VLOOKUP(E18,'⚪设计'!$C$85:$G$101,4,FALSE)),0)</f>
        <v>5</v>
      </c>
      <c r="J18" s="88" t="str">
        <f>IF(VLOOKUP(A18,'⚪设计'!$A$193:$G$212,5,FALSE)="","",VLOOKUP(VLOOKUP(A18,'⚪设计'!$A$193:$G$212,5,FALSE),'⚪设计'!$B$85:$D$101,2,FALSE))</f>
        <v>ResUnit_Gui3</v>
      </c>
      <c r="K18" s="88">
        <f t="shared" si="1"/>
        <v>1</v>
      </c>
      <c r="L18" s="7">
        <v>0</v>
      </c>
      <c r="M18" s="88">
        <f>IF(J18="",0,ROUND(VLOOKUP($A18,'⚪设计'!$A$193:$B$212,2,FALSE)*$B18/SUM(IF($E18="",0,VLOOKUP($E18,'⚪设计'!$C$85:$E$101,3,FALSE))*$F18,IF($J18="",0,VLOOKUP($J18,'⚪设计'!$C$85:$E$101,3,FALSE))*$K18,IF($O18="",0,VLOOKUP($O18,'⚪设计'!$C$85:$E$101,3,FALSE))*$P18,IF($T18="",0,VLOOKUP($T18,'⚪设计'!$C$85:$E$101,3,FALSE))*$U18)*VLOOKUP(J18,'⚪设计'!$C$85:$E$101,3,FALSE),0))</f>
        <v>234621</v>
      </c>
      <c r="N18" s="88">
        <f>ROUND(战斗节奏!$B$3/SUM(IF(无限模式!$E18="",0,VLOOKUP(无限模式!$E18,'⚪设计'!$C$85:$G$101,4,FALSE)*无限模式!$F18),IF(无限模式!$J18="",0,VLOOKUP(无限模式!$J18,'⚪设计'!$C$85:$G$101,4,FALSE)*无限模式!$K18),IF(无限模式!$O18="",0,VLOOKUP(无限模式!$O18,'⚪设计'!$C$85:$G$101,4,FALSE)*无限模式!$P18),IF(无限模式!$T18="",0,VLOOKUP(无限模式!$T18,'⚪设计'!$C$85:$G$101,4,FALSE)*无限模式!$U18))*IF(J18="",0,VLOOKUP(J18,'⚪设计'!$C$85:$G$101,4,FALSE)),0)</f>
        <v>53</v>
      </c>
      <c r="O18" s="71" t="str">
        <f>IF(VLOOKUP(A18,'⚪设计'!$A$193:$G$212,6,FALSE)="","",VLOOKUP(VLOOKUP(A18,'⚪设计'!$A$193:$G$212,6,FALSE),'⚪设计'!$B$85:$D$101,2,FALSE))</f>
        <v/>
      </c>
      <c r="P18" s="88">
        <f t="shared" si="2"/>
        <v>0</v>
      </c>
      <c r="Q18" s="7"/>
      <c r="R18" s="88">
        <f>IF(O18="",0,ROUND(VLOOKUP($A18,'⚪设计'!$A$193:$B$212,2,FALSE)*$B18/SUM(IF($E18="",0,VLOOKUP($E18,'⚪设计'!$C$85:$E$101,3,FALSE))*$F18,IF($J18="",0,VLOOKUP($J18,'⚪设计'!$C$85:$E$101,3,FALSE))*$K18,IF($O18="",0,VLOOKUP($O18,'⚪设计'!$C$85:$E$101,3,FALSE))*$P18,IF($T18="",0,VLOOKUP($T18,'⚪设计'!$C$85:$E$101,3,FALSE))*$U18)*VLOOKUP(O18,'⚪设计'!$C$85:$E$101,3,FALSE),0))</f>
        <v>0</v>
      </c>
      <c r="S18" s="88">
        <f>ROUND(战斗节奏!$B$3/SUM(IF(无限模式!$E18="",0,VLOOKUP(无限模式!$E18,'⚪设计'!$C$85:$G$101,4,FALSE)*无限模式!$F18),IF(无限模式!$J18="",0,VLOOKUP(无限模式!$J18,'⚪设计'!$C$85:$G$101,4,FALSE)*无限模式!$K18),IF(无限模式!$O18="",0,VLOOKUP(无限模式!$O18,'⚪设计'!$C$85:$G$101,4,FALSE)*无限模式!$P18),IF(无限模式!$T18="",0,VLOOKUP(无限模式!$T18,'⚪设计'!$C$85:$G$101,4,FALSE)*无限模式!$U18))*IF(O18="",0,VLOOKUP(O18,'⚪设计'!$C$85:$G$101,4,FALSE)),0)</f>
        <v>0</v>
      </c>
      <c r="T18" s="88" t="str">
        <f>IF(VLOOKUP(A18,'⚪设计'!$A$193:$G$212,7,FALSE)="","",VLOOKUP(VLOOKUP(A18,'⚪设计'!$A$193:$G$212,7,FALSE),'⚪设计'!$B$85:$D$101,2,FALSE))</f>
        <v/>
      </c>
      <c r="U18" s="88">
        <f t="shared" si="3"/>
        <v>0</v>
      </c>
      <c r="V18" s="7"/>
      <c r="W18" s="88">
        <f>IF(T18="",0,ROUND(VLOOKUP($A18,'⚪设计'!$A$193:$B$212,2,FALSE)*$B18/SUM(IF($E18="",0,VLOOKUP($E18,'⚪设计'!$C$85:$E$101,3,FALSE))*$F18,IF($J18="",0,VLOOKUP($J18,'⚪设计'!$C$85:$E$101,3,FALSE))*$K18,IF($O18="",0,VLOOKUP($O18,'⚪设计'!$C$85:$E$101,3,FALSE))*$P18,IF($T18="",0,VLOOKUP($T18,'⚪设计'!$C$85:$E$101,3,FALSE))*$U18)*VLOOKUP(T18,'⚪设计'!$C$85:$E$101,3,FALSE),0))</f>
        <v>0</v>
      </c>
      <c r="X18" s="88">
        <f>ROUND(战斗节奏!$B$3/SUM(IF(无限模式!$E18="",0,VLOOKUP(无限模式!$E18,'⚪设计'!$C$85:$G$101,4,FALSE)*无限模式!$F18),IF(无限模式!$J18="",0,VLOOKUP(无限模式!$J18,'⚪设计'!$C$85:$G$101,4,FALSE)*无限模式!$K18),IF(无限模式!$O18="",0,VLOOKUP(无限模式!$O18,'⚪设计'!$C$85:$G$101,4,FALSE)*无限模式!$P18),IF(无限模式!$T18="",0,VLOOKUP(无限模式!$T18,'⚪设计'!$C$85:$G$101,4,FALSE)*无限模式!$U18))*IF(T18="",0,VLOOKUP(T18,'⚪设计'!$C$85:$G$101,4,FALSE)),0)</f>
        <v>0</v>
      </c>
    </row>
    <row r="19" spans="1:24" x14ac:dyDescent="0.2">
      <c r="A19" s="84">
        <v>17</v>
      </c>
      <c r="B19" s="88">
        <f>MAX(MIN(战斗节奏!$C$3-INT(A19/'⚪设计'!$C$55),MOD(A19,'⚪设计'!$C$55)),0)*'⚪设计'!$C$79*防御塔!$C$2+MIN(INT(A19/'⚪设计'!$C$55),战斗节奏!$C$3)*'⚪设计'!$C$80*防御塔!$C$2</f>
        <v>19800</v>
      </c>
      <c r="C19" s="7">
        <v>1.8</v>
      </c>
      <c r="D19" s="7">
        <v>26</v>
      </c>
      <c r="E19" s="71" t="str">
        <f>IF(VLOOKUP(A19,'⚪设计'!$A$193:$G$212,4,FALSE)="","",VLOOKUP(VLOOKUP(A19,'⚪设计'!$A$193:$G$212,4,FALSE),'⚪设计'!$B$85:$D$101,2,FALSE))</f>
        <v>ResUnit_Dan1</v>
      </c>
      <c r="F19" s="88">
        <f t="shared" si="0"/>
        <v>35</v>
      </c>
      <c r="G19" s="7">
        <v>0.75</v>
      </c>
      <c r="H19" s="88">
        <f>IF(E19="",0,ROUND(VLOOKUP($A19,'⚪设计'!$A$193:$B$212,2,FALSE)*$B19/SUM(IF($E19="",0,VLOOKUP($E19,'⚪设计'!$C$85:$E$101,3,FALSE))*$F19,IF($J19="",0,VLOOKUP($J19,'⚪设计'!$C$85:$E$101,3,FALSE))*$K19,IF($O19="",0,VLOOKUP($O19,'⚪设计'!$C$85:$E$101,3,FALSE))*$P19,IF($T19="",0,VLOOKUP($T19,'⚪设计'!$C$85:$E$101,3,FALSE))*$U19)*VLOOKUP(E19,'⚪设计'!$C$85:$E$101,3,FALSE),0))</f>
        <v>26151</v>
      </c>
      <c r="I19" s="88">
        <f>ROUND(战斗节奏!$B$3/SUM(IF(无限模式!$E19="",0,VLOOKUP(无限模式!$E19,'⚪设计'!$C$85:$G$101,4,FALSE)*无限模式!$F19),IF(无限模式!$J19="",0,VLOOKUP(无限模式!$J19,'⚪设计'!$C$85:$G$101,4,FALSE)*无限模式!$K19),IF(无限模式!$O19="",0,VLOOKUP(无限模式!$O19,'⚪设计'!$C$85:$G$101,4,FALSE)*无限模式!$P19),IF(无限模式!$T19="",0,VLOOKUP(无限模式!$T19,'⚪设计'!$C$85:$G$101,4,FALSE)*无限模式!$U19))*IF(E19="",0,VLOOKUP(E19,'⚪设计'!$C$85:$G$101,4,FALSE)),0)</f>
        <v>16</v>
      </c>
      <c r="J19" s="88" t="str">
        <f>IF(VLOOKUP(A19,'⚪设计'!$A$193:$G$212,5,FALSE)="","",VLOOKUP(VLOOKUP(A19,'⚪设计'!$A$193:$G$212,5,FALSE),'⚪设计'!$B$85:$D$101,2,FALSE))</f>
        <v>ResUnit_Dan2</v>
      </c>
      <c r="K19" s="88">
        <f t="shared" si="1"/>
        <v>9</v>
      </c>
      <c r="L19" s="7">
        <v>3</v>
      </c>
      <c r="M19" s="88">
        <f>IF(J19="",0,ROUND(VLOOKUP($A19,'⚪设计'!$A$193:$B$212,2,FALSE)*$B19/SUM(IF($E19="",0,VLOOKUP($E19,'⚪设计'!$C$85:$E$101,3,FALSE))*$F19,IF($J19="",0,VLOOKUP($J19,'⚪设计'!$C$85:$E$101,3,FALSE))*$K19,IF($O19="",0,VLOOKUP($O19,'⚪设计'!$C$85:$E$101,3,FALSE))*$P19,IF($T19="",0,VLOOKUP($T19,'⚪设计'!$C$85:$E$101,3,FALSE))*$U19)*VLOOKUP(J19,'⚪设计'!$C$85:$E$101,3,FALSE),0))</f>
        <v>52302</v>
      </c>
      <c r="N19" s="88">
        <f>ROUND(战斗节奏!$B$3/SUM(IF(无限模式!$E19="",0,VLOOKUP(无限模式!$E19,'⚪设计'!$C$85:$G$101,4,FALSE)*无限模式!$F19),IF(无限模式!$J19="",0,VLOOKUP(无限模式!$J19,'⚪设计'!$C$85:$G$101,4,FALSE)*无限模式!$K19),IF(无限模式!$O19="",0,VLOOKUP(无限模式!$O19,'⚪设计'!$C$85:$G$101,4,FALSE)*无限模式!$P19),IF(无限模式!$T19="",0,VLOOKUP(无限模式!$T19,'⚪设计'!$C$85:$G$101,4,FALSE)*无限模式!$U19))*IF(J19="",0,VLOOKUP(J19,'⚪设计'!$C$85:$G$101,4,FALSE)),0)</f>
        <v>16</v>
      </c>
      <c r="O19" s="71" t="str">
        <f>IF(VLOOKUP(A19,'⚪设计'!$A$193:$G$212,6,FALSE)="","",VLOOKUP(VLOOKUP(A19,'⚪设计'!$A$193:$G$212,6,FALSE),'⚪设计'!$B$85:$D$101,2,FALSE))</f>
        <v/>
      </c>
      <c r="P19" s="88">
        <f t="shared" si="2"/>
        <v>0</v>
      </c>
      <c r="Q19" s="7"/>
      <c r="R19" s="88">
        <f>IF(O19="",0,ROUND(VLOOKUP($A19,'⚪设计'!$A$193:$B$212,2,FALSE)*$B19/SUM(IF($E19="",0,VLOOKUP($E19,'⚪设计'!$C$85:$E$101,3,FALSE))*$F19,IF($J19="",0,VLOOKUP($J19,'⚪设计'!$C$85:$E$101,3,FALSE))*$K19,IF($O19="",0,VLOOKUP($O19,'⚪设计'!$C$85:$E$101,3,FALSE))*$P19,IF($T19="",0,VLOOKUP($T19,'⚪设计'!$C$85:$E$101,3,FALSE))*$U19)*VLOOKUP(O19,'⚪设计'!$C$85:$E$101,3,FALSE),0))</f>
        <v>0</v>
      </c>
      <c r="S19" s="88">
        <f>ROUND(战斗节奏!$B$3/SUM(IF(无限模式!$E19="",0,VLOOKUP(无限模式!$E19,'⚪设计'!$C$85:$G$101,4,FALSE)*无限模式!$F19),IF(无限模式!$J19="",0,VLOOKUP(无限模式!$J19,'⚪设计'!$C$85:$G$101,4,FALSE)*无限模式!$K19),IF(无限模式!$O19="",0,VLOOKUP(无限模式!$O19,'⚪设计'!$C$85:$G$101,4,FALSE)*无限模式!$P19),IF(无限模式!$T19="",0,VLOOKUP(无限模式!$T19,'⚪设计'!$C$85:$G$101,4,FALSE)*无限模式!$U19))*IF(O19="",0,VLOOKUP(O19,'⚪设计'!$C$85:$G$101,4,FALSE)),0)</f>
        <v>0</v>
      </c>
      <c r="T19" s="88" t="str">
        <f>IF(VLOOKUP(A19,'⚪设计'!$A$193:$G$212,7,FALSE)="","",VLOOKUP(VLOOKUP(A19,'⚪设计'!$A$193:$G$212,7,FALSE),'⚪设计'!$B$85:$D$101,2,FALSE))</f>
        <v/>
      </c>
      <c r="U19" s="88">
        <f t="shared" si="3"/>
        <v>0</v>
      </c>
      <c r="V19" s="7"/>
      <c r="W19" s="88">
        <f>IF(T19="",0,ROUND(VLOOKUP($A19,'⚪设计'!$A$193:$B$212,2,FALSE)*$B19/SUM(IF($E19="",0,VLOOKUP($E19,'⚪设计'!$C$85:$E$101,3,FALSE))*$F19,IF($J19="",0,VLOOKUP($J19,'⚪设计'!$C$85:$E$101,3,FALSE))*$K19,IF($O19="",0,VLOOKUP($O19,'⚪设计'!$C$85:$E$101,3,FALSE))*$P19,IF($T19="",0,VLOOKUP($T19,'⚪设计'!$C$85:$E$101,3,FALSE))*$U19)*VLOOKUP(T19,'⚪设计'!$C$85:$E$101,3,FALSE),0))</f>
        <v>0</v>
      </c>
      <c r="X19" s="88">
        <f>ROUND(战斗节奏!$B$3/SUM(IF(无限模式!$E19="",0,VLOOKUP(无限模式!$E19,'⚪设计'!$C$85:$G$101,4,FALSE)*无限模式!$F19),IF(无限模式!$J19="",0,VLOOKUP(无限模式!$J19,'⚪设计'!$C$85:$G$101,4,FALSE)*无限模式!$K19),IF(无限模式!$O19="",0,VLOOKUP(无限模式!$O19,'⚪设计'!$C$85:$G$101,4,FALSE)*无限模式!$P19),IF(无限模式!$T19="",0,VLOOKUP(无限模式!$T19,'⚪设计'!$C$85:$G$101,4,FALSE)*无限模式!$U19))*IF(T19="",0,VLOOKUP(T19,'⚪设计'!$C$85:$G$101,4,FALSE)),0)</f>
        <v>0</v>
      </c>
    </row>
    <row r="20" spans="1:24" x14ac:dyDescent="0.2">
      <c r="A20" s="84">
        <v>18</v>
      </c>
      <c r="B20" s="88">
        <f>MAX(MIN(战斗节奏!$C$3-INT(A20/'⚪设计'!$C$55),MOD(A20,'⚪设计'!$C$55)),0)*'⚪设计'!$C$79*防御塔!$C$2+MIN(INT(A20/'⚪设计'!$C$55),战斗节奏!$C$3)*'⚪设计'!$C$80*防御塔!$C$2</f>
        <v>21600</v>
      </c>
      <c r="C20" s="7">
        <v>1.85</v>
      </c>
      <c r="D20" s="7">
        <v>27</v>
      </c>
      <c r="E20" s="71" t="str">
        <f>IF(VLOOKUP(A20,'⚪设计'!$A$193:$G$212,4,FALSE)="","",VLOOKUP(VLOOKUP(A20,'⚪设计'!$A$193:$G$212,4,FALSE),'⚪设计'!$B$85:$D$101,2,FALSE))</f>
        <v>ResUnit_Dan2</v>
      </c>
      <c r="F20" s="88">
        <f t="shared" si="0"/>
        <v>18</v>
      </c>
      <c r="G20" s="7">
        <v>1.5</v>
      </c>
      <c r="H20" s="88">
        <f>IF(E20="",0,ROUND(VLOOKUP($A20,'⚪设计'!$A$193:$B$212,2,FALSE)*$B20/SUM(IF($E20="",0,VLOOKUP($E20,'⚪设计'!$C$85:$E$101,3,FALSE))*$F20,IF($J20="",0,VLOOKUP($J20,'⚪设计'!$C$85:$E$101,3,FALSE))*$K20,IF($O20="",0,VLOOKUP($O20,'⚪设计'!$C$85:$E$101,3,FALSE))*$P20,IF($T20="",0,VLOOKUP($T20,'⚪设计'!$C$85:$E$101,3,FALSE))*$U20)*VLOOKUP(E20,'⚪设计'!$C$85:$E$101,3,FALSE),0))</f>
        <v>48000</v>
      </c>
      <c r="I20" s="88">
        <f>ROUND(战斗节奏!$B$3/SUM(IF(无限模式!$E20="",0,VLOOKUP(无限模式!$E20,'⚪设计'!$C$85:$G$101,4,FALSE)*无限模式!$F20),IF(无限模式!$J20="",0,VLOOKUP(无限模式!$J20,'⚪设计'!$C$85:$G$101,4,FALSE)*无限模式!$K20),IF(无限模式!$O20="",0,VLOOKUP(无限模式!$O20,'⚪设计'!$C$85:$G$101,4,FALSE)*无限模式!$P20),IF(无限模式!$T20="",0,VLOOKUP(无限模式!$T20,'⚪设计'!$C$85:$G$101,4,FALSE)*无限模式!$U20))*IF(E20="",0,VLOOKUP(E20,'⚪设计'!$C$85:$G$101,4,FALSE)),0)</f>
        <v>20</v>
      </c>
      <c r="J20" s="88" t="str">
        <f>IF(VLOOKUP(A20,'⚪设计'!$A$193:$G$212,5,FALSE)="","",VLOOKUP(VLOOKUP(A20,'⚪设计'!$A$193:$G$212,5,FALSE),'⚪设计'!$B$85:$D$101,2,FALSE))</f>
        <v>ResUnit_ZhiZhu2</v>
      </c>
      <c r="K20" s="88">
        <f t="shared" si="1"/>
        <v>36</v>
      </c>
      <c r="L20" s="7">
        <v>0.75</v>
      </c>
      <c r="M20" s="88">
        <f>IF(J20="",0,ROUND(VLOOKUP($A20,'⚪设计'!$A$193:$B$212,2,FALSE)*$B20/SUM(IF($E20="",0,VLOOKUP($E20,'⚪设计'!$C$85:$E$101,3,FALSE))*$F20,IF($J20="",0,VLOOKUP($J20,'⚪设计'!$C$85:$E$101,3,FALSE))*$K20,IF($O20="",0,VLOOKUP($O20,'⚪设计'!$C$85:$E$101,3,FALSE))*$P20,IF($T20="",0,VLOOKUP($T20,'⚪设计'!$C$85:$E$101,3,FALSE))*$U20)*VLOOKUP(J20,'⚪设计'!$C$85:$E$101,3,FALSE),0))</f>
        <v>24000</v>
      </c>
      <c r="N20" s="88">
        <f>ROUND(战斗节奏!$B$3/SUM(IF(无限模式!$E20="",0,VLOOKUP(无限模式!$E20,'⚪设计'!$C$85:$G$101,4,FALSE)*无限模式!$F20),IF(无限模式!$J20="",0,VLOOKUP(无限模式!$J20,'⚪设计'!$C$85:$G$101,4,FALSE)*无限模式!$K20),IF(无限模式!$O20="",0,VLOOKUP(无限模式!$O20,'⚪设计'!$C$85:$G$101,4,FALSE)*无限模式!$P20),IF(无限模式!$T20="",0,VLOOKUP(无限模式!$T20,'⚪设计'!$C$85:$G$101,4,FALSE)*无限模式!$U20))*IF(J20="",0,VLOOKUP(J20,'⚪设计'!$C$85:$G$101,4,FALSE)),0)</f>
        <v>10</v>
      </c>
      <c r="O20" s="71" t="str">
        <f>IF(VLOOKUP(A20,'⚪设计'!$A$193:$G$212,6,FALSE)="","",VLOOKUP(VLOOKUP(A20,'⚪设计'!$A$193:$G$212,6,FALSE),'⚪设计'!$B$85:$D$101,2,FALSE))</f>
        <v/>
      </c>
      <c r="P20" s="88">
        <f t="shared" si="2"/>
        <v>0</v>
      </c>
      <c r="Q20" s="7"/>
      <c r="R20" s="88">
        <f>IF(O20="",0,ROUND(VLOOKUP($A20,'⚪设计'!$A$193:$B$212,2,FALSE)*$B20/SUM(IF($E20="",0,VLOOKUP($E20,'⚪设计'!$C$85:$E$101,3,FALSE))*$F20,IF($J20="",0,VLOOKUP($J20,'⚪设计'!$C$85:$E$101,3,FALSE))*$K20,IF($O20="",0,VLOOKUP($O20,'⚪设计'!$C$85:$E$101,3,FALSE))*$P20,IF($T20="",0,VLOOKUP($T20,'⚪设计'!$C$85:$E$101,3,FALSE))*$U20)*VLOOKUP(O20,'⚪设计'!$C$85:$E$101,3,FALSE),0))</f>
        <v>0</v>
      </c>
      <c r="S20" s="88">
        <f>ROUND(战斗节奏!$B$3/SUM(IF(无限模式!$E20="",0,VLOOKUP(无限模式!$E20,'⚪设计'!$C$85:$G$101,4,FALSE)*无限模式!$F20),IF(无限模式!$J20="",0,VLOOKUP(无限模式!$J20,'⚪设计'!$C$85:$G$101,4,FALSE)*无限模式!$K20),IF(无限模式!$O20="",0,VLOOKUP(无限模式!$O20,'⚪设计'!$C$85:$G$101,4,FALSE)*无限模式!$P20),IF(无限模式!$T20="",0,VLOOKUP(无限模式!$T20,'⚪设计'!$C$85:$G$101,4,FALSE)*无限模式!$U20))*IF(O20="",0,VLOOKUP(O20,'⚪设计'!$C$85:$G$101,4,FALSE)),0)</f>
        <v>0</v>
      </c>
      <c r="T20" s="88" t="str">
        <f>IF(VLOOKUP(A20,'⚪设计'!$A$193:$G$212,7,FALSE)="","",VLOOKUP(VLOOKUP(A20,'⚪设计'!$A$193:$G$212,7,FALSE),'⚪设计'!$B$85:$D$101,2,FALSE))</f>
        <v/>
      </c>
      <c r="U20" s="88">
        <f t="shared" si="3"/>
        <v>0</v>
      </c>
      <c r="V20" s="7"/>
      <c r="W20" s="88">
        <f>IF(T20="",0,ROUND(VLOOKUP($A20,'⚪设计'!$A$193:$B$212,2,FALSE)*$B20/SUM(IF($E20="",0,VLOOKUP($E20,'⚪设计'!$C$85:$E$101,3,FALSE))*$F20,IF($J20="",0,VLOOKUP($J20,'⚪设计'!$C$85:$E$101,3,FALSE))*$K20,IF($O20="",0,VLOOKUP($O20,'⚪设计'!$C$85:$E$101,3,FALSE))*$P20,IF($T20="",0,VLOOKUP($T20,'⚪设计'!$C$85:$E$101,3,FALSE))*$U20)*VLOOKUP(T20,'⚪设计'!$C$85:$E$101,3,FALSE),0))</f>
        <v>0</v>
      </c>
      <c r="X20" s="88">
        <f>ROUND(战斗节奏!$B$3/SUM(IF(无限模式!$E20="",0,VLOOKUP(无限模式!$E20,'⚪设计'!$C$85:$G$101,4,FALSE)*无限模式!$F20),IF(无限模式!$J20="",0,VLOOKUP(无限模式!$J20,'⚪设计'!$C$85:$G$101,4,FALSE)*无限模式!$K20),IF(无限模式!$O20="",0,VLOOKUP(无限模式!$O20,'⚪设计'!$C$85:$G$101,4,FALSE)*无限模式!$P20),IF(无限模式!$T20="",0,VLOOKUP(无限模式!$T20,'⚪设计'!$C$85:$G$101,4,FALSE)*无限模式!$U20))*IF(T20="",0,VLOOKUP(T20,'⚪设计'!$C$85:$G$101,4,FALSE)),0)</f>
        <v>0</v>
      </c>
    </row>
    <row r="21" spans="1:24" x14ac:dyDescent="0.2">
      <c r="A21" s="84">
        <v>19</v>
      </c>
      <c r="B21" s="88">
        <f>MAX(MIN(战斗节奏!$C$3-INT(A21/'⚪设计'!$C$55),MOD(A21,'⚪设计'!$C$55)),0)*'⚪设计'!$C$79*防御塔!$C$2+MIN(INT(A21/'⚪设计'!$C$55),战斗节奏!$C$3)*'⚪设计'!$C$80*防御塔!$C$2</f>
        <v>22500</v>
      </c>
      <c r="C21" s="7">
        <v>1.9</v>
      </c>
      <c r="D21" s="7">
        <v>28</v>
      </c>
      <c r="E21" s="71" t="str">
        <f>IF(VLOOKUP(A21,'⚪设计'!$A$193:$G$212,4,FALSE)="","",VLOOKUP(VLOOKUP(A21,'⚪设计'!$A$193:$G$212,4,FALSE),'⚪设计'!$B$85:$D$101,2,FALSE))</f>
        <v>ResUnit_Dan2</v>
      </c>
      <c r="F21" s="88">
        <f t="shared" si="0"/>
        <v>19</v>
      </c>
      <c r="G21" s="7">
        <v>1.5</v>
      </c>
      <c r="H21" s="88">
        <f>IF(E21="",0,ROUND(VLOOKUP($A21,'⚪设计'!$A$193:$B$212,2,FALSE)*$B21/SUM(IF($E21="",0,VLOOKUP($E21,'⚪设计'!$C$85:$E$101,3,FALSE))*$F21,IF($J21="",0,VLOOKUP($J21,'⚪设计'!$C$85:$E$101,3,FALSE))*$K21,IF($O21="",0,VLOOKUP($O21,'⚪设计'!$C$85:$E$101,3,FALSE))*$P21,IF($T21="",0,VLOOKUP($T21,'⚪设计'!$C$85:$E$101,3,FALSE))*$U21)*VLOOKUP(E21,'⚪设计'!$C$85:$E$101,3,FALSE),0))</f>
        <v>34615</v>
      </c>
      <c r="I21" s="88">
        <f>ROUND(战斗节奏!$B$3/SUM(IF(无限模式!$E21="",0,VLOOKUP(无限模式!$E21,'⚪设计'!$C$85:$G$101,4,FALSE)*无限模式!$F21),IF(无限模式!$J21="",0,VLOOKUP(无限模式!$J21,'⚪设计'!$C$85:$G$101,4,FALSE)*无限模式!$K21),IF(无限模式!$O21="",0,VLOOKUP(无限模式!$O21,'⚪设计'!$C$85:$G$101,4,FALSE)*无限模式!$P21),IF(无限模式!$T21="",0,VLOOKUP(无限模式!$T21,'⚪设计'!$C$85:$G$101,4,FALSE)*无限模式!$U21))*IF(E21="",0,VLOOKUP(E21,'⚪设计'!$C$85:$G$101,4,FALSE)),0)</f>
        <v>14</v>
      </c>
      <c r="J21" s="88" t="str">
        <f>IF(VLOOKUP(A21,'⚪设计'!$A$193:$G$212,5,FALSE)="","",VLOOKUP(VLOOKUP(A21,'⚪设计'!$A$193:$G$212,5,FALSE),'⚪设计'!$B$85:$D$101,2,FALSE))</f>
        <v>ResUnit_ZhiZhu2</v>
      </c>
      <c r="K21" s="88">
        <f t="shared" si="1"/>
        <v>37</v>
      </c>
      <c r="L21" s="7">
        <v>0.75</v>
      </c>
      <c r="M21" s="88">
        <f>IF(J21="",0,ROUND(VLOOKUP($A21,'⚪设计'!$A$193:$B$212,2,FALSE)*$B21/SUM(IF($E21="",0,VLOOKUP($E21,'⚪设计'!$C$85:$E$101,3,FALSE))*$F21,IF($J21="",0,VLOOKUP($J21,'⚪设计'!$C$85:$E$101,3,FALSE))*$K21,IF($O21="",0,VLOOKUP($O21,'⚪设计'!$C$85:$E$101,3,FALSE))*$P21,IF($T21="",0,VLOOKUP($T21,'⚪设计'!$C$85:$E$101,3,FALSE))*$U21)*VLOOKUP(J21,'⚪设计'!$C$85:$E$101,3,FALSE),0))</f>
        <v>17308</v>
      </c>
      <c r="N21" s="88">
        <f>ROUND(战斗节奏!$B$3/SUM(IF(无限模式!$E21="",0,VLOOKUP(无限模式!$E21,'⚪设计'!$C$85:$G$101,4,FALSE)*无限模式!$F21),IF(无限模式!$J21="",0,VLOOKUP(无限模式!$J21,'⚪设计'!$C$85:$G$101,4,FALSE)*无限模式!$K21),IF(无限模式!$O21="",0,VLOOKUP(无限模式!$O21,'⚪设计'!$C$85:$G$101,4,FALSE)*无限模式!$P21),IF(无限模式!$T21="",0,VLOOKUP(无限模式!$T21,'⚪设计'!$C$85:$G$101,4,FALSE)*无限模式!$U21))*IF(J21="",0,VLOOKUP(J21,'⚪设计'!$C$85:$G$101,4,FALSE)),0)</f>
        <v>7</v>
      </c>
      <c r="O21" s="71" t="str">
        <f>IF(VLOOKUP(A21,'⚪设计'!$A$193:$G$212,6,FALSE)="","",VLOOKUP(VLOOKUP(A21,'⚪设计'!$A$193:$G$212,6,FALSE),'⚪设计'!$B$85:$D$101,2,FALSE))</f>
        <v>ResUnit_ZhongZi2</v>
      </c>
      <c r="P21" s="88">
        <f t="shared" si="2"/>
        <v>14</v>
      </c>
      <c r="Q21" s="7">
        <v>2</v>
      </c>
      <c r="R21" s="88">
        <f>IF(O21="",0,ROUND(VLOOKUP($A21,'⚪设计'!$A$193:$B$212,2,FALSE)*$B21/SUM(IF($E21="",0,VLOOKUP($E21,'⚪设计'!$C$85:$E$101,3,FALSE))*$F21,IF($J21="",0,VLOOKUP($J21,'⚪设计'!$C$85:$E$101,3,FALSE))*$K21,IF($O21="",0,VLOOKUP($O21,'⚪设计'!$C$85:$E$101,3,FALSE))*$P21,IF($T21="",0,VLOOKUP($T21,'⚪设计'!$C$85:$E$101,3,FALSE))*$U21)*VLOOKUP(O21,'⚪设计'!$C$85:$E$101,3,FALSE),0))</f>
        <v>51923</v>
      </c>
      <c r="S21" s="88">
        <f>ROUND(战斗节奏!$B$3/SUM(IF(无限模式!$E21="",0,VLOOKUP(无限模式!$E21,'⚪设计'!$C$85:$G$101,4,FALSE)*无限模式!$F21),IF(无限模式!$J21="",0,VLOOKUP(无限模式!$J21,'⚪设计'!$C$85:$G$101,4,FALSE)*无限模式!$K21),IF(无限模式!$O21="",0,VLOOKUP(无限模式!$O21,'⚪设计'!$C$85:$G$101,4,FALSE)*无限模式!$P21),IF(无限模式!$T21="",0,VLOOKUP(无限模式!$T21,'⚪设计'!$C$85:$G$101,4,FALSE)*无限模式!$U21))*IF(O21="",0,VLOOKUP(O21,'⚪设计'!$C$85:$G$101,4,FALSE)),0)</f>
        <v>14</v>
      </c>
      <c r="T21" s="88" t="str">
        <f>IF(VLOOKUP(A21,'⚪设计'!$A$193:$G$212,7,FALSE)="","",VLOOKUP(VLOOKUP(A21,'⚪设计'!$A$193:$G$212,7,FALSE),'⚪设计'!$B$85:$D$101,2,FALSE))</f>
        <v/>
      </c>
      <c r="U21" s="88">
        <f t="shared" si="3"/>
        <v>0</v>
      </c>
      <c r="V21" s="7"/>
      <c r="W21" s="88">
        <f>IF(T21="",0,ROUND(VLOOKUP($A21,'⚪设计'!$A$193:$B$212,2,FALSE)*$B21/SUM(IF($E21="",0,VLOOKUP($E21,'⚪设计'!$C$85:$E$101,3,FALSE))*$F21,IF($J21="",0,VLOOKUP($J21,'⚪设计'!$C$85:$E$101,3,FALSE))*$K21,IF($O21="",0,VLOOKUP($O21,'⚪设计'!$C$85:$E$101,3,FALSE))*$P21,IF($T21="",0,VLOOKUP($T21,'⚪设计'!$C$85:$E$101,3,FALSE))*$U21)*VLOOKUP(T21,'⚪设计'!$C$85:$E$101,3,FALSE),0))</f>
        <v>0</v>
      </c>
      <c r="X21" s="88">
        <f>ROUND(战斗节奏!$B$3/SUM(IF(无限模式!$E21="",0,VLOOKUP(无限模式!$E21,'⚪设计'!$C$85:$G$101,4,FALSE)*无限模式!$F21),IF(无限模式!$J21="",0,VLOOKUP(无限模式!$J21,'⚪设计'!$C$85:$G$101,4,FALSE)*无限模式!$K21),IF(无限模式!$O21="",0,VLOOKUP(无限模式!$O21,'⚪设计'!$C$85:$G$101,4,FALSE)*无限模式!$P21),IF(无限模式!$T21="",0,VLOOKUP(无限模式!$T21,'⚪设计'!$C$85:$G$101,4,FALSE)*无限模式!$U21))*IF(T21="",0,VLOOKUP(T21,'⚪设计'!$C$85:$G$101,4,FALSE)),0)</f>
        <v>0</v>
      </c>
    </row>
    <row r="22" spans="1:24" x14ac:dyDescent="0.2">
      <c r="A22" s="84">
        <v>20</v>
      </c>
      <c r="B22" s="88">
        <f>MAX(MIN(战斗节奏!$C$3-INT(A22/'⚪设计'!$C$55),MOD(A22,'⚪设计'!$C$55)),0)*'⚪设计'!$C$79*防御塔!$C$2+MIN(INT(A22/'⚪设计'!$C$55),战斗节奏!$C$3)*'⚪设计'!$C$80*防御塔!$C$2</f>
        <v>23400</v>
      </c>
      <c r="C22" s="7">
        <v>1.95</v>
      </c>
      <c r="D22" s="7">
        <v>29</v>
      </c>
      <c r="E22" s="71" t="str">
        <f>IF(VLOOKUP(A22,'⚪设计'!$A$193:$G$212,4,FALSE)="","",VLOOKUP(VLOOKUP(A22,'⚪设计'!$A$193:$G$212,4,FALSE),'⚪设计'!$B$85:$D$101,2,FALSE))</f>
        <v>ResUnit_Dan2</v>
      </c>
      <c r="F22" s="88">
        <f t="shared" si="0"/>
        <v>19</v>
      </c>
      <c r="G22" s="7">
        <v>1.5</v>
      </c>
      <c r="H22" s="88">
        <f>IF(E22="",0,ROUND(VLOOKUP($A22,'⚪设计'!$A$193:$B$212,2,FALSE)*$B22/SUM(IF($E22="",0,VLOOKUP($E22,'⚪设计'!$C$85:$E$101,3,FALSE))*$F22,IF($J22="",0,VLOOKUP($J22,'⚪设计'!$C$85:$E$101,3,FALSE))*$K22,IF($O22="",0,VLOOKUP($O22,'⚪设计'!$C$85:$E$101,3,FALSE))*$P22,IF($T22="",0,VLOOKUP($T22,'⚪设计'!$C$85:$E$101,3,FALSE))*$U22)*VLOOKUP(E22,'⚪设计'!$C$85:$E$101,3,FALSE),0))</f>
        <v>33065</v>
      </c>
      <c r="I22" s="88">
        <f>ROUND(战斗节奏!$B$3/SUM(IF(无限模式!$E22="",0,VLOOKUP(无限模式!$E22,'⚪设计'!$C$85:$G$101,4,FALSE)*无限模式!$F22),IF(无限模式!$J22="",0,VLOOKUP(无限模式!$J22,'⚪设计'!$C$85:$G$101,4,FALSE)*无限模式!$K22),IF(无限模式!$O22="",0,VLOOKUP(无限模式!$O22,'⚪设计'!$C$85:$G$101,4,FALSE)*无限模式!$P22),IF(无限模式!$T22="",0,VLOOKUP(无限模式!$T22,'⚪设计'!$C$85:$G$101,4,FALSE)*无限模式!$U22))*IF(E22="",0,VLOOKUP(E22,'⚪设计'!$C$85:$G$101,4,FALSE)),0)</f>
        <v>8</v>
      </c>
      <c r="J22" s="88" t="str">
        <f>IF(VLOOKUP(A22,'⚪设计'!$A$193:$G$212,5,FALSE)="","",VLOOKUP(VLOOKUP(A22,'⚪设计'!$A$193:$G$212,5,FALSE),'⚪设计'!$B$85:$D$101,2,FALSE))</f>
        <v>ResUnit_Gui2</v>
      </c>
      <c r="K22" s="88">
        <f t="shared" si="1"/>
        <v>39</v>
      </c>
      <c r="L22" s="7">
        <v>0.75</v>
      </c>
      <c r="M22" s="88">
        <f>IF(J22="",0,ROUND(VLOOKUP($A22,'⚪设计'!$A$193:$B$212,2,FALSE)*$B22/SUM(IF($E22="",0,VLOOKUP($E22,'⚪设计'!$C$85:$E$101,3,FALSE))*$F22,IF($J22="",0,VLOOKUP($J22,'⚪设计'!$C$85:$E$101,3,FALSE))*$K22,IF($O22="",0,VLOOKUP($O22,'⚪设计'!$C$85:$E$101,3,FALSE))*$P22,IF($T22="",0,VLOOKUP($T22,'⚪设计'!$C$85:$E$101,3,FALSE))*$U22)*VLOOKUP(J22,'⚪设计'!$C$85:$E$101,3,FALSE),0))</f>
        <v>16533</v>
      </c>
      <c r="N22" s="88">
        <f>ROUND(战斗节奏!$B$3/SUM(IF(无限模式!$E22="",0,VLOOKUP(无限模式!$E22,'⚪设计'!$C$85:$G$101,4,FALSE)*无限模式!$F22),IF(无限模式!$J22="",0,VLOOKUP(无限模式!$J22,'⚪设计'!$C$85:$G$101,4,FALSE)*无限模式!$K22),IF(无限模式!$O22="",0,VLOOKUP(无限模式!$O22,'⚪设计'!$C$85:$G$101,4,FALSE)*无限模式!$P22),IF(无限模式!$T22="",0,VLOOKUP(无限模式!$T22,'⚪设计'!$C$85:$G$101,4,FALSE)*无限模式!$U22))*IF(J22="",0,VLOOKUP(J22,'⚪设计'!$C$85:$G$101,4,FALSE)),0)</f>
        <v>4</v>
      </c>
      <c r="O22" s="71" t="str">
        <f>IF(VLOOKUP(A22,'⚪设计'!$A$193:$G$212,6,FALSE)="","",VLOOKUP(VLOOKUP(A22,'⚪设计'!$A$193:$G$212,6,FALSE),'⚪设计'!$B$85:$D$101,2,FALSE))</f>
        <v>ResUnit_ZhongZi2</v>
      </c>
      <c r="P22" s="88">
        <f t="shared" si="2"/>
        <v>29</v>
      </c>
      <c r="Q22" s="7">
        <v>1</v>
      </c>
      <c r="R22" s="88">
        <f>IF(O22="",0,ROUND(VLOOKUP($A22,'⚪设计'!$A$193:$B$212,2,FALSE)*$B22/SUM(IF($E22="",0,VLOOKUP($E22,'⚪设计'!$C$85:$E$101,3,FALSE))*$F22,IF($J22="",0,VLOOKUP($J22,'⚪设计'!$C$85:$E$101,3,FALSE))*$K22,IF($O22="",0,VLOOKUP($O22,'⚪设计'!$C$85:$E$101,3,FALSE))*$P22,IF($T22="",0,VLOOKUP($T22,'⚪设计'!$C$85:$E$101,3,FALSE))*$U22)*VLOOKUP(O22,'⚪设计'!$C$85:$E$101,3,FALSE),0))</f>
        <v>49598</v>
      </c>
      <c r="S22" s="88">
        <f>ROUND(战斗节奏!$B$3/SUM(IF(无限模式!$E22="",0,VLOOKUP(无限模式!$E22,'⚪设计'!$C$85:$G$101,4,FALSE)*无限模式!$F22),IF(无限模式!$J22="",0,VLOOKUP(无限模式!$J22,'⚪设计'!$C$85:$G$101,4,FALSE)*无限模式!$K22),IF(无限模式!$O22="",0,VLOOKUP(无限模式!$O22,'⚪设计'!$C$85:$G$101,4,FALSE)*无限模式!$P22),IF(无限模式!$T22="",0,VLOOKUP(无限模式!$T22,'⚪设计'!$C$85:$G$101,4,FALSE)*无限模式!$U22))*IF(O22="",0,VLOOKUP(O22,'⚪设计'!$C$85:$G$101,4,FALSE)),0)</f>
        <v>8</v>
      </c>
      <c r="T22" s="88" t="str">
        <f>IF(VLOOKUP(A22,'⚪设计'!$A$193:$G$212,7,FALSE)="","",VLOOKUP(VLOOKUP(A22,'⚪设计'!$A$193:$G$212,7,FALSE),'⚪设计'!$B$85:$D$101,2,FALSE))</f>
        <v>ResUnit_Dan3</v>
      </c>
      <c r="U22" s="88">
        <f t="shared" si="3"/>
        <v>1</v>
      </c>
      <c r="V22" s="7">
        <v>0</v>
      </c>
      <c r="W22" s="88">
        <f>IF(T22="",0,ROUND(VLOOKUP($A22,'⚪设计'!$A$193:$B$212,2,FALSE)*$B22/SUM(IF($E22="",0,VLOOKUP($E22,'⚪设计'!$C$85:$E$101,3,FALSE))*$F22,IF($J22="",0,VLOOKUP($J22,'⚪设计'!$C$85:$E$101,3,FALSE))*$K22,IF($O22="",0,VLOOKUP($O22,'⚪设计'!$C$85:$E$101,3,FALSE))*$P22,IF($T22="",0,VLOOKUP($T22,'⚪设计'!$C$85:$E$101,3,FALSE))*$U22)*VLOOKUP(T22,'⚪设计'!$C$85:$E$101,3,FALSE),0))</f>
        <v>330652</v>
      </c>
      <c r="X22" s="88">
        <f>ROUND(战斗节奏!$B$3/SUM(IF(无限模式!$E22="",0,VLOOKUP(无限模式!$E22,'⚪设计'!$C$85:$G$101,4,FALSE)*无限模式!$F22),IF(无限模式!$J22="",0,VLOOKUP(无限模式!$J22,'⚪设计'!$C$85:$G$101,4,FALSE)*无限模式!$K22),IF(无限模式!$O22="",0,VLOOKUP(无限模式!$O22,'⚪设计'!$C$85:$G$101,4,FALSE)*无限模式!$P22),IF(无限模式!$T22="",0,VLOOKUP(无限模式!$T22,'⚪设计'!$C$85:$G$101,4,FALSE)*无限模式!$U22))*IF(T22="",0,VLOOKUP(T22,'⚪设计'!$C$85:$G$101,4,FALSE)),0)</f>
        <v>165</v>
      </c>
    </row>
  </sheetData>
  <mergeCells count="8">
    <mergeCell ref="E1:I1"/>
    <mergeCell ref="J1:N1"/>
    <mergeCell ref="O1:S1"/>
    <mergeCell ref="T1:X1"/>
    <mergeCell ref="A1:A2"/>
    <mergeCell ref="D1:D2"/>
    <mergeCell ref="B1:B2"/>
    <mergeCell ref="C1:C2"/>
  </mergeCells>
  <phoneticPr fontId="4" type="noConversion"/>
  <conditionalFormatting sqref="A3:X22">
    <cfRule type="cellIs" dxfId="2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32A0-D707-4FA2-9EF7-6D9F93A96B32}">
  <dimension ref="A1:X22"/>
  <sheetViews>
    <sheetView zoomScale="85" zoomScaleNormal="85" workbookViewId="0">
      <selection activeCell="I8" sqref="I8"/>
    </sheetView>
  </sheetViews>
  <sheetFormatPr defaultColWidth="9" defaultRowHeight="14.25" x14ac:dyDescent="0.2"/>
  <cols>
    <col min="1" max="4" width="9" style="66"/>
    <col min="5" max="5" width="17.75" style="94" bestFit="1" customWidth="1"/>
    <col min="6" max="9" width="9" style="66"/>
    <col min="10" max="10" width="17.75" style="66" bestFit="1" customWidth="1"/>
    <col min="11" max="14" width="9" style="66"/>
    <col min="15" max="15" width="17.75" style="94" bestFit="1" customWidth="1"/>
    <col min="16" max="16384" width="9" style="66"/>
  </cols>
  <sheetData>
    <row r="1" spans="1:24" x14ac:dyDescent="0.2">
      <c r="A1" s="165" t="s">
        <v>380</v>
      </c>
      <c r="B1" s="165" t="s">
        <v>428</v>
      </c>
      <c r="C1" s="167" t="s">
        <v>430</v>
      </c>
      <c r="D1" s="167" t="s">
        <v>396</v>
      </c>
      <c r="E1" s="165" t="s">
        <v>400</v>
      </c>
      <c r="F1" s="166"/>
      <c r="G1" s="166"/>
      <c r="H1" s="166"/>
      <c r="I1" s="166"/>
      <c r="J1" s="165" t="s">
        <v>401</v>
      </c>
      <c r="K1" s="166"/>
      <c r="L1" s="166"/>
      <c r="M1" s="166"/>
      <c r="N1" s="166"/>
      <c r="O1" s="165" t="s">
        <v>402</v>
      </c>
      <c r="P1" s="166"/>
      <c r="Q1" s="166"/>
      <c r="R1" s="166"/>
      <c r="S1" s="166"/>
      <c r="T1" s="165" t="s">
        <v>403</v>
      </c>
      <c r="U1" s="166"/>
      <c r="V1" s="166"/>
      <c r="W1" s="166"/>
      <c r="X1" s="167"/>
    </row>
    <row r="2" spans="1:24" x14ac:dyDescent="0.2">
      <c r="A2" s="168"/>
      <c r="B2" s="168"/>
      <c r="C2" s="169"/>
      <c r="D2" s="169"/>
      <c r="E2" s="93" t="s">
        <v>397</v>
      </c>
      <c r="F2" s="87" t="s">
        <v>283</v>
      </c>
      <c r="G2" s="87" t="s">
        <v>404</v>
      </c>
      <c r="H2" s="87" t="s">
        <v>398</v>
      </c>
      <c r="I2" s="87" t="s">
        <v>399</v>
      </c>
      <c r="J2" s="85" t="s">
        <v>397</v>
      </c>
      <c r="K2" s="87" t="s">
        <v>283</v>
      </c>
      <c r="L2" s="87" t="s">
        <v>404</v>
      </c>
      <c r="M2" s="87" t="s">
        <v>398</v>
      </c>
      <c r="N2" s="87" t="s">
        <v>399</v>
      </c>
      <c r="O2" s="93" t="s">
        <v>397</v>
      </c>
      <c r="P2" s="87" t="s">
        <v>283</v>
      </c>
      <c r="Q2" s="87" t="s">
        <v>404</v>
      </c>
      <c r="R2" s="87" t="s">
        <v>398</v>
      </c>
      <c r="S2" s="87" t="s">
        <v>399</v>
      </c>
      <c r="T2" s="85" t="s">
        <v>397</v>
      </c>
      <c r="U2" s="87" t="s">
        <v>283</v>
      </c>
      <c r="V2" s="87" t="s">
        <v>404</v>
      </c>
      <c r="W2" s="87" t="s">
        <v>398</v>
      </c>
      <c r="X2" s="86" t="s">
        <v>399</v>
      </c>
    </row>
    <row r="3" spans="1:24" x14ac:dyDescent="0.2">
      <c r="A3" s="84">
        <v>1</v>
      </c>
      <c r="B3" s="88">
        <f>MAX(MIN(战斗节奏!$C$3-INT(A3/'⚪设计'!$C$55),MOD(A3,'⚪设计'!$C$55)),0)*'⚪设计'!$C$79*防御塔!$C$2+MIN(INT(A3/'⚪设计'!$C$55),战斗节奏!$C$3)*'⚪设计'!$C$80*防御塔!$C$2</f>
        <v>900</v>
      </c>
      <c r="C3" s="7">
        <v>1</v>
      </c>
      <c r="D3" s="7">
        <v>10</v>
      </c>
      <c r="E3" s="71" t="str">
        <f>IF(VLOOKUP(A3,'⚪设计'!$A$219:$G$238,4,FALSE)="","",VLOOKUP(VLOOKUP(A3,'⚪设计'!$A$219:$G$238,4,FALSE),'⚪设计'!$B$85:$D$101,2,FALSE))</f>
        <v>ResUnit_MiFeng1</v>
      </c>
      <c r="F3" s="88">
        <f>IF(E3="",0,IF(G3=0,1,ROUND($D3/G3,0)))</f>
        <v>13</v>
      </c>
      <c r="G3" s="7">
        <f>'⚪设计'!H219</f>
        <v>0.75</v>
      </c>
      <c r="H3" s="88">
        <f>IF(E3="",0,ROUND(VLOOKUP($A3,'⚪设计'!$A$219:$B$238,2,FALSE)*$B3/SUM(IF($E3="",0,VLOOKUP($E3,'⚪设计'!$C$85:$E$101,3,FALSE))*$F3,IF($J3="",0,VLOOKUP($J3,'⚪设计'!$C$85:$E$101,3,FALSE))*$K3,IF($O3="",0,VLOOKUP($O3,'⚪设计'!$C$85:$E$101,3,FALSE))*$P3,IF($T3="",0,VLOOKUP($T3,'⚪设计'!$C$85:$E$101,3,FALSE))*$U3)*VLOOKUP(E3,'⚪设计'!$C$85:$E$101,3,FALSE),0))</f>
        <v>346</v>
      </c>
      <c r="I3" s="88">
        <f>ROUND(战斗节奏!$B$3/SUM(IF(线下模式!$E3="",0,VLOOKUP(线下模式!$E3,'⚪设计'!$C$85:$G$101,4,FALSE)*线下模式!$F3),IF(线下模式!$J3="",0,VLOOKUP(线下模式!$J3,'⚪设计'!$C$85:$G$101,4,FALSE)*线下模式!$K3),IF(线下模式!$O3="",0,VLOOKUP(线下模式!$O3,'⚪设计'!$C$85:$G$101,4,FALSE)*线下模式!$P3),IF(线下模式!$T3="",0,VLOOKUP(线下模式!$T3,'⚪设计'!$C$85:$G$101,4,FALSE)*线下模式!$U3))*IF(E3="",0,VLOOKUP(E3,'⚪设计'!$C$85:$G$101,4,FALSE)),0)</f>
        <v>55</v>
      </c>
      <c r="J3" s="88" t="str">
        <f>IF(VLOOKUP(A3,'⚪设计'!$A$219:$G$238,5,FALSE)="","",VLOOKUP(VLOOKUP(A3,'⚪设计'!$A$219:$G$238,5,FALSE),'⚪设计'!$B$85:$D$101,2,FALSE))</f>
        <v/>
      </c>
      <c r="K3" s="88">
        <f>IF(J3="",0,IF(L3=0,1,ROUND($D3/L3,0)))</f>
        <v>0</v>
      </c>
      <c r="L3" s="7">
        <f>'⚪设计'!I219</f>
        <v>0</v>
      </c>
      <c r="M3" s="88">
        <f>IF(J3="",0,ROUND(VLOOKUP($A3,'⚪设计'!$A$219:$B$238,2,FALSE)*$B3/SUM(IF($E3="",0,VLOOKUP($E3,'⚪设计'!$C$85:$E$101,3,FALSE))*$F3,IF($J3="",0,VLOOKUP($J3,'⚪设计'!$C$85:$E$101,3,FALSE))*$K3,IF($O3="",0,VLOOKUP($O3,'⚪设计'!$C$85:$E$101,3,FALSE))*$P3,IF($T3="",0,VLOOKUP($T3,'⚪设计'!$C$85:$E$101,3,FALSE))*$U3)*VLOOKUP(J3,'⚪设计'!$C$85:$E$101,3,FALSE),0))</f>
        <v>0</v>
      </c>
      <c r="N3" s="88">
        <f>ROUND(战斗节奏!$B$3/SUM(IF(线下模式!$E3="",0,VLOOKUP(线下模式!$E3,'⚪设计'!$C$85:$G$101,4,FALSE)*线下模式!$F3),IF(线下模式!$J3="",0,VLOOKUP(线下模式!$J3,'⚪设计'!$C$85:$G$101,4,FALSE)*线下模式!$K3),IF(线下模式!$O3="",0,VLOOKUP(线下模式!$O3,'⚪设计'!$C$85:$G$101,4,FALSE)*线下模式!$P3),IF(线下模式!$T3="",0,VLOOKUP(线下模式!$T3,'⚪设计'!$C$85:$G$101,4,FALSE)*线下模式!$U3))*IF(J3="",0,VLOOKUP(J3,'⚪设计'!$C$85:$G$101,4,FALSE)),0)</f>
        <v>0</v>
      </c>
      <c r="O3" s="71" t="str">
        <f>IF(VLOOKUP(A3,'⚪设计'!$A$219:$G$238,6,FALSE)="","",VLOOKUP(VLOOKUP(A3,'⚪设计'!$A$219:$G$238,6,FALSE),'⚪设计'!$B$85:$D$101,2,FALSE))</f>
        <v/>
      </c>
      <c r="P3" s="88">
        <f>IF(O3="",0,IF(Q3=0,1,ROUND($D3/Q3,0)))</f>
        <v>0</v>
      </c>
      <c r="Q3" s="7">
        <f>'⚪设计'!J219</f>
        <v>0</v>
      </c>
      <c r="R3" s="88">
        <f>IF(O3="",0,ROUND(VLOOKUP($A3,'⚪设计'!$A$219:$B$238,2,FALSE)*$B3/SUM(IF($E3="",0,VLOOKUP($E3,'⚪设计'!$C$85:$E$101,3,FALSE))*$F3,IF($J3="",0,VLOOKUP($J3,'⚪设计'!$C$85:$E$101,3,FALSE))*$K3,IF($O3="",0,VLOOKUP($O3,'⚪设计'!$C$85:$E$101,3,FALSE))*$P3,IF($T3="",0,VLOOKUP($T3,'⚪设计'!$C$85:$E$101,3,FALSE))*$U3)*VLOOKUP(O3,'⚪设计'!$C$85:$E$101,3,FALSE),0))</f>
        <v>0</v>
      </c>
      <c r="S3" s="88">
        <f>ROUND(战斗节奏!$B$3/SUM(IF(线下模式!$E3="",0,VLOOKUP(线下模式!$E3,'⚪设计'!$C$85:$G$101,4,FALSE)*线下模式!$F3),IF(线下模式!$J3="",0,VLOOKUP(线下模式!$J3,'⚪设计'!$C$85:$G$101,4,FALSE)*线下模式!$K3),IF(线下模式!$O3="",0,VLOOKUP(线下模式!$O3,'⚪设计'!$C$85:$G$101,4,FALSE)*线下模式!$P3),IF(线下模式!$T3="",0,VLOOKUP(线下模式!$T3,'⚪设计'!$C$85:$G$101,4,FALSE)*线下模式!$U3))*IF(O3="",0,VLOOKUP(O3,'⚪设计'!$C$85:$G$101,4,FALSE)),0)</f>
        <v>0</v>
      </c>
      <c r="T3" s="88" t="str">
        <f>IF(VLOOKUP(A3,'⚪设计'!$A$219:$G$238,7,FALSE)="","",VLOOKUP(VLOOKUP(A3,'⚪设计'!$A$219:$G$238,7,FALSE),'⚪设计'!$B$85:$D$101,2,FALSE))</f>
        <v/>
      </c>
      <c r="U3" s="88">
        <f>IF(T3="",0,IF(V3=0,1,ROUND($D3/V3,0)))</f>
        <v>0</v>
      </c>
      <c r="V3" s="7">
        <f>'⚪设计'!K219</f>
        <v>0</v>
      </c>
      <c r="W3" s="88">
        <f>IF(T3="",0,ROUND(VLOOKUP($A3,'⚪设计'!$A$219:$B$238,2,FALSE)*$B3/SUM(IF($E3="",0,VLOOKUP($E3,'⚪设计'!$C$85:$E$101,3,FALSE))*$F3,IF($J3="",0,VLOOKUP($J3,'⚪设计'!$C$85:$E$101,3,FALSE))*$K3,IF($O3="",0,VLOOKUP($O3,'⚪设计'!$C$85:$E$101,3,FALSE))*$P3,IF($T3="",0,VLOOKUP($T3,'⚪设计'!$C$85:$E$101,3,FALSE))*$U3)*VLOOKUP(T3,'⚪设计'!$C$85:$E$101,3,FALSE),0))</f>
        <v>0</v>
      </c>
      <c r="X3" s="88">
        <f>ROUND(战斗节奏!$B$3/SUM(IF(线下模式!$E3="",0,VLOOKUP(线下模式!$E3,'⚪设计'!$C$85:$G$101,4,FALSE)*线下模式!$F3),IF(线下模式!$J3="",0,VLOOKUP(线下模式!$J3,'⚪设计'!$C$85:$G$101,4,FALSE)*线下模式!$K3),IF(线下模式!$O3="",0,VLOOKUP(线下模式!$O3,'⚪设计'!$C$85:$G$101,4,FALSE)*线下模式!$P3),IF(线下模式!$T3="",0,VLOOKUP(线下模式!$T3,'⚪设计'!$C$85:$G$101,4,FALSE)*线下模式!$U3))*IF(T3="",0,VLOOKUP(T3,'⚪设计'!$C$85:$G$101,4,FALSE)),0)</f>
        <v>0</v>
      </c>
    </row>
    <row r="4" spans="1:24" x14ac:dyDescent="0.2">
      <c r="A4" s="84">
        <v>2</v>
      </c>
      <c r="B4" s="88">
        <f>MAX(MIN(战斗节奏!$C$3-INT(A4/'⚪设计'!$C$55),MOD(A4,'⚪设计'!$C$55)),0)*'⚪设计'!$C$79*防御塔!$C$2+MIN(INT(A4/'⚪设计'!$C$55),战斗节奏!$C$3)*'⚪设计'!$C$80*防御塔!$C$2</f>
        <v>1800</v>
      </c>
      <c r="C4" s="7">
        <v>1.05</v>
      </c>
      <c r="D4" s="7">
        <v>11</v>
      </c>
      <c r="E4" s="71" t="str">
        <f>IF(VLOOKUP(A4,'⚪设计'!$A$219:$G$238,4,FALSE)="","",VLOOKUP(VLOOKUP(A4,'⚪设计'!$A$219:$G$238,4,FALSE),'⚪设计'!$B$85:$D$101,2,FALSE))</f>
        <v>ResUnit_MiFeng1</v>
      </c>
      <c r="F4" s="88">
        <f t="shared" ref="F4:F22" si="0">IF(E4="",0,IF(G4=0,1,ROUND($D4/G4,0)))</f>
        <v>15</v>
      </c>
      <c r="G4" s="7">
        <f>'⚪设计'!H220</f>
        <v>0.75</v>
      </c>
      <c r="H4" s="88">
        <f>IF(E4="",0,ROUND(VLOOKUP($A4,'⚪设计'!$A$219:$B$238,2,FALSE)*$B4/SUM(IF($E4="",0,VLOOKUP($E4,'⚪设计'!$C$85:$E$101,3,FALSE))*$F4,IF($J4="",0,VLOOKUP($J4,'⚪设计'!$C$85:$E$101,3,FALSE))*$K4,IF($O4="",0,VLOOKUP($O4,'⚪设计'!$C$85:$E$101,3,FALSE))*$P4,IF($T4="",0,VLOOKUP($T4,'⚪设计'!$C$85:$E$101,3,FALSE))*$U4)*VLOOKUP(E4,'⚪设计'!$C$85:$E$101,3,FALSE),0))</f>
        <v>322</v>
      </c>
      <c r="I4" s="88">
        <f>ROUND(战斗节奏!$B$3/SUM(IF(线下模式!$E4="",0,VLOOKUP(线下模式!$E4,'⚪设计'!$C$85:$G$101,4,FALSE)*线下模式!$F4),IF(线下模式!$J4="",0,VLOOKUP(线下模式!$J4,'⚪设计'!$C$85:$G$101,4,FALSE)*线下模式!$K4),IF(线下模式!$O4="",0,VLOOKUP(线下模式!$O4,'⚪设计'!$C$85:$G$101,4,FALSE)*线下模式!$P4),IF(线下模式!$T4="",0,VLOOKUP(线下模式!$T4,'⚪设计'!$C$85:$G$101,4,FALSE)*线下模式!$U4))*IF(E4="",0,VLOOKUP(E4,'⚪设计'!$C$85:$G$101,4,FALSE)),0)</f>
        <v>17</v>
      </c>
      <c r="J4" s="88" t="str">
        <f>IF(VLOOKUP(A4,'⚪设计'!$A$219:$G$238,5,FALSE)="","",VLOOKUP(VLOOKUP(A4,'⚪设计'!$A$219:$G$238,5,FALSE),'⚪设计'!$B$85:$D$101,2,FALSE))</f>
        <v>ResUnit_MiFeng2</v>
      </c>
      <c r="K4" s="88">
        <f t="shared" ref="K4:K22" si="1">IF(J4="",0,IF(L4=0,1,ROUND($D4/L4,0)))</f>
        <v>7</v>
      </c>
      <c r="L4" s="7">
        <f>'⚪设计'!I220</f>
        <v>1.5</v>
      </c>
      <c r="M4" s="88">
        <f>IF(J4="",0,ROUND(VLOOKUP($A4,'⚪设计'!$A$219:$B$238,2,FALSE)*$B4/SUM(IF($E4="",0,VLOOKUP($E4,'⚪设计'!$C$85:$E$101,3,FALSE))*$F4,IF($J4="",0,VLOOKUP($J4,'⚪设计'!$C$85:$E$101,3,FALSE))*$K4,IF($O4="",0,VLOOKUP($O4,'⚪设计'!$C$85:$E$101,3,FALSE))*$P4,IF($T4="",0,VLOOKUP($T4,'⚪设计'!$C$85:$E$101,3,FALSE))*$U4)*VLOOKUP(J4,'⚪设计'!$C$85:$E$101,3,FALSE),0))</f>
        <v>1289</v>
      </c>
      <c r="N4" s="88">
        <f>ROUND(战斗节奏!$B$3/SUM(IF(线下模式!$E4="",0,VLOOKUP(线下模式!$E4,'⚪设计'!$C$85:$G$101,4,FALSE)*线下模式!$F4),IF(线下模式!$J4="",0,VLOOKUP(线下模式!$J4,'⚪设计'!$C$85:$G$101,4,FALSE)*线下模式!$K4),IF(线下模式!$O4="",0,VLOOKUP(线下模式!$O4,'⚪设计'!$C$85:$G$101,4,FALSE)*线下模式!$P4),IF(线下模式!$T4="",0,VLOOKUP(线下模式!$T4,'⚪设计'!$C$85:$G$101,4,FALSE)*线下模式!$U4))*IF(J4="",0,VLOOKUP(J4,'⚪设计'!$C$85:$G$101,4,FALSE)),0)</f>
        <v>67</v>
      </c>
      <c r="O4" s="71" t="str">
        <f>IF(VLOOKUP(A4,'⚪设计'!$A$219:$G$238,6,FALSE)="","",VLOOKUP(VLOOKUP(A4,'⚪设计'!$A$219:$G$238,6,FALSE),'⚪设计'!$B$85:$D$101,2,FALSE))</f>
        <v/>
      </c>
      <c r="P4" s="88">
        <f t="shared" ref="P4:P22" si="2">IF(O4="",0,IF(Q4=0,1,ROUND($D4/Q4,0)))</f>
        <v>0</v>
      </c>
      <c r="Q4" s="7">
        <f>'⚪设计'!J220</f>
        <v>0</v>
      </c>
      <c r="R4" s="88">
        <f>IF(O4="",0,ROUND(VLOOKUP($A4,'⚪设计'!$A$219:$B$238,2,FALSE)*$B4/SUM(IF($E4="",0,VLOOKUP($E4,'⚪设计'!$C$85:$E$101,3,FALSE))*$F4,IF($J4="",0,VLOOKUP($J4,'⚪设计'!$C$85:$E$101,3,FALSE))*$K4,IF($O4="",0,VLOOKUP($O4,'⚪设计'!$C$85:$E$101,3,FALSE))*$P4,IF($T4="",0,VLOOKUP($T4,'⚪设计'!$C$85:$E$101,3,FALSE))*$U4)*VLOOKUP(O4,'⚪设计'!$C$85:$E$101,3,FALSE),0))</f>
        <v>0</v>
      </c>
      <c r="S4" s="88">
        <f>ROUND(战斗节奏!$B$3/SUM(IF(线下模式!$E4="",0,VLOOKUP(线下模式!$E4,'⚪设计'!$C$85:$G$101,4,FALSE)*线下模式!$F4),IF(线下模式!$J4="",0,VLOOKUP(线下模式!$J4,'⚪设计'!$C$85:$G$101,4,FALSE)*线下模式!$K4),IF(线下模式!$O4="",0,VLOOKUP(线下模式!$O4,'⚪设计'!$C$85:$G$101,4,FALSE)*线下模式!$P4),IF(线下模式!$T4="",0,VLOOKUP(线下模式!$T4,'⚪设计'!$C$85:$G$101,4,FALSE)*线下模式!$U4))*IF(O4="",0,VLOOKUP(O4,'⚪设计'!$C$85:$G$101,4,FALSE)),0)</f>
        <v>0</v>
      </c>
      <c r="T4" s="88" t="str">
        <f>IF(VLOOKUP(A4,'⚪设计'!$A$219:$G$238,7,FALSE)="","",VLOOKUP(VLOOKUP(A4,'⚪设计'!$A$219:$G$238,7,FALSE),'⚪设计'!$B$85:$D$101,2,FALSE))</f>
        <v/>
      </c>
      <c r="U4" s="88">
        <f t="shared" ref="U4:U22" si="3">IF(T4="",0,IF(V4=0,1,ROUND($D4/V4,0)))</f>
        <v>0</v>
      </c>
      <c r="V4" s="7">
        <f>'⚪设计'!K220</f>
        <v>0</v>
      </c>
      <c r="W4" s="88">
        <f>IF(T4="",0,ROUND(VLOOKUP($A4,'⚪设计'!$A$219:$B$238,2,FALSE)*$B4/SUM(IF($E4="",0,VLOOKUP($E4,'⚪设计'!$C$85:$E$101,3,FALSE))*$F4,IF($J4="",0,VLOOKUP($J4,'⚪设计'!$C$85:$E$101,3,FALSE))*$K4,IF($O4="",0,VLOOKUP($O4,'⚪设计'!$C$85:$E$101,3,FALSE))*$P4,IF($T4="",0,VLOOKUP($T4,'⚪设计'!$C$85:$E$101,3,FALSE))*$U4)*VLOOKUP(T4,'⚪设计'!$C$85:$E$101,3,FALSE),0))</f>
        <v>0</v>
      </c>
      <c r="X4" s="88">
        <f>ROUND(战斗节奏!$B$3/SUM(IF(线下模式!$E4="",0,VLOOKUP(线下模式!$E4,'⚪设计'!$C$85:$G$101,4,FALSE)*线下模式!$F4),IF(线下模式!$J4="",0,VLOOKUP(线下模式!$J4,'⚪设计'!$C$85:$G$101,4,FALSE)*线下模式!$K4),IF(线下模式!$O4="",0,VLOOKUP(线下模式!$O4,'⚪设计'!$C$85:$G$101,4,FALSE)*线下模式!$P4),IF(线下模式!$T4="",0,VLOOKUP(线下模式!$T4,'⚪设计'!$C$85:$G$101,4,FALSE)*线下模式!$U4))*IF(T4="",0,VLOOKUP(T4,'⚪设计'!$C$85:$G$101,4,FALSE)),0)</f>
        <v>0</v>
      </c>
    </row>
    <row r="5" spans="1:24" x14ac:dyDescent="0.2">
      <c r="A5" s="84">
        <v>3</v>
      </c>
      <c r="B5" s="88">
        <f>MAX(MIN(战斗节奏!$C$3-INT(A5/'⚪设计'!$C$55),MOD(A5,'⚪设计'!$C$55)),0)*'⚪设计'!$C$79*防御塔!$C$2+MIN(INT(A5/'⚪设计'!$C$55),战斗节奏!$C$3)*'⚪设计'!$C$80*防御塔!$C$2</f>
        <v>3600</v>
      </c>
      <c r="C5" s="7">
        <v>1.1000000000000001</v>
      </c>
      <c r="D5" s="7">
        <v>12</v>
      </c>
      <c r="E5" s="71" t="str">
        <f>IF(VLOOKUP(A5,'⚪设计'!$A$219:$G$238,4,FALSE)="","",VLOOKUP(VLOOKUP(A5,'⚪设计'!$A$219:$G$238,4,FALSE),'⚪设计'!$B$85:$D$101,2,FALSE))</f>
        <v>ResUnit_MiFeng2</v>
      </c>
      <c r="F5" s="88">
        <f t="shared" si="0"/>
        <v>8</v>
      </c>
      <c r="G5" s="7">
        <f>'⚪设计'!H221</f>
        <v>1.5</v>
      </c>
      <c r="H5" s="88">
        <f>IF(E5="",0,ROUND(VLOOKUP($A5,'⚪设计'!$A$219:$B$238,2,FALSE)*$B5/SUM(IF($E5="",0,VLOOKUP($E5,'⚪设计'!$C$85:$E$101,3,FALSE))*$F5,IF($J5="",0,VLOOKUP($J5,'⚪设计'!$C$85:$E$101,3,FALSE))*$K5,IF($O5="",0,VLOOKUP($O5,'⚪设计'!$C$85:$E$101,3,FALSE))*$P5,IF($T5="",0,VLOOKUP($T5,'⚪设计'!$C$85:$E$101,3,FALSE))*$U5)*VLOOKUP(E5,'⚪设计'!$C$85:$E$101,3,FALSE),0))</f>
        <v>1628</v>
      </c>
      <c r="I5" s="88">
        <f>ROUND(战斗节奏!$B$3/SUM(IF(线下模式!$E5="",0,VLOOKUP(线下模式!$E5,'⚪设计'!$C$85:$G$101,4,FALSE)*线下模式!$F5),IF(线下模式!$J5="",0,VLOOKUP(线下模式!$J5,'⚪设计'!$C$85:$G$101,4,FALSE)*线下模式!$K5),IF(线下模式!$O5="",0,VLOOKUP(线下模式!$O5,'⚪设计'!$C$85:$G$101,4,FALSE)*线下模式!$P5),IF(线下模式!$T5="",0,VLOOKUP(线下模式!$T5,'⚪设计'!$C$85:$G$101,4,FALSE)*线下模式!$U5))*IF(E5="",0,VLOOKUP(E5,'⚪设计'!$C$85:$G$101,4,FALSE)),0)</f>
        <v>31</v>
      </c>
      <c r="J5" s="88" t="str">
        <f>IF(VLOOKUP(A5,'⚪设计'!$A$219:$G$238,5,FALSE)="","",VLOOKUP(VLOOKUP(A5,'⚪设计'!$A$219:$G$238,5,FALSE),'⚪设计'!$B$85:$D$101,2,FALSE))</f>
        <v>ResUnit_BianFu1</v>
      </c>
      <c r="K5" s="88">
        <f t="shared" si="1"/>
        <v>60</v>
      </c>
      <c r="L5" s="7">
        <f>'⚪设计'!I221</f>
        <v>0.2</v>
      </c>
      <c r="M5" s="88">
        <f>IF(J5="",0,ROUND(VLOOKUP($A5,'⚪设计'!$A$219:$B$238,2,FALSE)*$B5/SUM(IF($E5="",0,VLOOKUP($E5,'⚪设计'!$C$85:$E$101,3,FALSE))*$F5,IF($J5="",0,VLOOKUP($J5,'⚪设计'!$C$85:$E$101,3,FALSE))*$K5,IF($O5="",0,VLOOKUP($O5,'⚪设计'!$C$85:$E$101,3,FALSE))*$P5,IF($T5="",0,VLOOKUP($T5,'⚪设计'!$C$85:$E$101,3,FALSE))*$U5)*VLOOKUP(J5,'⚪设计'!$C$85:$E$101,3,FALSE),0))</f>
        <v>407</v>
      </c>
      <c r="N5" s="88">
        <f>ROUND(战斗节奏!$B$3/SUM(IF(线下模式!$E5="",0,VLOOKUP(线下模式!$E5,'⚪设计'!$C$85:$G$101,4,FALSE)*线下模式!$F5),IF(线下模式!$J5="",0,VLOOKUP(线下模式!$J5,'⚪设计'!$C$85:$G$101,4,FALSE)*线下模式!$K5),IF(线下模式!$O5="",0,VLOOKUP(线下模式!$O5,'⚪设计'!$C$85:$G$101,4,FALSE)*线下模式!$P5),IF(线下模式!$T5="",0,VLOOKUP(线下模式!$T5,'⚪设计'!$C$85:$G$101,4,FALSE)*线下模式!$U5))*IF(J5="",0,VLOOKUP(J5,'⚪设计'!$C$85:$G$101,4,FALSE)),0)</f>
        <v>8</v>
      </c>
      <c r="O5" s="71" t="str">
        <f>IF(VLOOKUP(A5,'⚪设计'!$A$219:$G$238,6,FALSE)="","",VLOOKUP(VLOOKUP(A5,'⚪设计'!$A$219:$G$238,6,FALSE),'⚪设计'!$B$85:$D$101,2,FALSE))</f>
        <v/>
      </c>
      <c r="P5" s="88">
        <f t="shared" si="2"/>
        <v>0</v>
      </c>
      <c r="Q5" s="7">
        <f>'⚪设计'!J221</f>
        <v>0</v>
      </c>
      <c r="R5" s="88">
        <f>IF(O5="",0,ROUND(VLOOKUP($A5,'⚪设计'!$A$219:$B$238,2,FALSE)*$B5/SUM(IF($E5="",0,VLOOKUP($E5,'⚪设计'!$C$85:$E$101,3,FALSE))*$F5,IF($J5="",0,VLOOKUP($J5,'⚪设计'!$C$85:$E$101,3,FALSE))*$K5,IF($O5="",0,VLOOKUP($O5,'⚪设计'!$C$85:$E$101,3,FALSE))*$P5,IF($T5="",0,VLOOKUP($T5,'⚪设计'!$C$85:$E$101,3,FALSE))*$U5)*VLOOKUP(O5,'⚪设计'!$C$85:$E$101,3,FALSE),0))</f>
        <v>0</v>
      </c>
      <c r="S5" s="88">
        <f>ROUND(战斗节奏!$B$3/SUM(IF(线下模式!$E5="",0,VLOOKUP(线下模式!$E5,'⚪设计'!$C$85:$G$101,4,FALSE)*线下模式!$F5),IF(线下模式!$J5="",0,VLOOKUP(线下模式!$J5,'⚪设计'!$C$85:$G$101,4,FALSE)*线下模式!$K5),IF(线下模式!$O5="",0,VLOOKUP(线下模式!$O5,'⚪设计'!$C$85:$G$101,4,FALSE)*线下模式!$P5),IF(线下模式!$T5="",0,VLOOKUP(线下模式!$T5,'⚪设计'!$C$85:$G$101,4,FALSE)*线下模式!$U5))*IF(O5="",0,VLOOKUP(O5,'⚪设计'!$C$85:$G$101,4,FALSE)),0)</f>
        <v>0</v>
      </c>
      <c r="T5" s="88" t="str">
        <f>IF(VLOOKUP(A5,'⚪设计'!$A$219:$G$238,7,FALSE)="","",VLOOKUP(VLOOKUP(A5,'⚪设计'!$A$219:$G$238,7,FALSE),'⚪设计'!$B$85:$D$101,2,FALSE))</f>
        <v/>
      </c>
      <c r="U5" s="88">
        <f t="shared" si="3"/>
        <v>0</v>
      </c>
      <c r="V5" s="7">
        <f>'⚪设计'!K221</f>
        <v>0</v>
      </c>
      <c r="W5" s="88">
        <f>IF(T5="",0,ROUND(VLOOKUP($A5,'⚪设计'!$A$219:$B$238,2,FALSE)*$B5/SUM(IF($E5="",0,VLOOKUP($E5,'⚪设计'!$C$85:$E$101,3,FALSE))*$F5,IF($J5="",0,VLOOKUP($J5,'⚪设计'!$C$85:$E$101,3,FALSE))*$K5,IF($O5="",0,VLOOKUP($O5,'⚪设计'!$C$85:$E$101,3,FALSE))*$P5,IF($T5="",0,VLOOKUP($T5,'⚪设计'!$C$85:$E$101,3,FALSE))*$U5)*VLOOKUP(T5,'⚪设计'!$C$85:$E$101,3,FALSE),0))</f>
        <v>0</v>
      </c>
      <c r="X5" s="88">
        <f>ROUND(战斗节奏!$B$3/SUM(IF(线下模式!$E5="",0,VLOOKUP(线下模式!$E5,'⚪设计'!$C$85:$G$101,4,FALSE)*线下模式!$F5),IF(线下模式!$J5="",0,VLOOKUP(线下模式!$J5,'⚪设计'!$C$85:$G$101,4,FALSE)*线下模式!$K5),IF(线下模式!$O5="",0,VLOOKUP(线下模式!$O5,'⚪设计'!$C$85:$G$101,4,FALSE)*线下模式!$P5),IF(线下模式!$T5="",0,VLOOKUP(线下模式!$T5,'⚪设计'!$C$85:$G$101,4,FALSE)*线下模式!$U5))*IF(T5="",0,VLOOKUP(T5,'⚪设计'!$C$85:$G$101,4,FALSE)),0)</f>
        <v>0</v>
      </c>
    </row>
    <row r="6" spans="1:24" x14ac:dyDescent="0.2">
      <c r="A6" s="84">
        <v>4</v>
      </c>
      <c r="B6" s="88">
        <f>MAX(MIN(战斗节奏!$C$3-INT(A6/'⚪设计'!$C$55),MOD(A6,'⚪设计'!$C$55)),0)*'⚪设计'!$C$79*防御塔!$C$2+MIN(INT(A6/'⚪设计'!$C$55),战斗节奏!$C$3)*'⚪设计'!$C$80*防御塔!$C$2</f>
        <v>4500</v>
      </c>
      <c r="C6" s="7">
        <v>1.1499999999999999</v>
      </c>
      <c r="D6" s="7">
        <v>13</v>
      </c>
      <c r="E6" s="71" t="str">
        <f>IF(VLOOKUP(A6,'⚪设计'!$A$219:$G$238,4,FALSE)="","",VLOOKUP(VLOOKUP(A6,'⚪设计'!$A$219:$G$238,4,FALSE),'⚪设计'!$B$85:$D$101,2,FALSE))</f>
        <v>ResUnit_MiFeng1</v>
      </c>
      <c r="F6" s="88">
        <f t="shared" si="0"/>
        <v>17</v>
      </c>
      <c r="G6" s="7">
        <f>'⚪设计'!H222</f>
        <v>0.75</v>
      </c>
      <c r="H6" s="88">
        <f>IF(E6="",0,ROUND(VLOOKUP($A6,'⚪设计'!$A$219:$B$238,2,FALSE)*$B6/SUM(IF($E6="",0,VLOOKUP($E6,'⚪设计'!$C$85:$E$101,3,FALSE))*$F6,IF($J6="",0,VLOOKUP($J6,'⚪设计'!$C$85:$E$101,3,FALSE))*$K6,IF($O6="",0,VLOOKUP($O6,'⚪设计'!$C$85:$E$101,3,FALSE))*$P6,IF($T6="",0,VLOOKUP($T6,'⚪设计'!$C$85:$E$101,3,FALSE))*$U6)*VLOOKUP(E6,'⚪设计'!$C$85:$E$101,3,FALSE),0))</f>
        <v>1371</v>
      </c>
      <c r="I6" s="88">
        <f>ROUND(战斗节奏!$B$3/SUM(IF(线下模式!$E6="",0,VLOOKUP(线下模式!$E6,'⚪设计'!$C$85:$G$101,4,FALSE)*线下模式!$F6),IF(线下模式!$J6="",0,VLOOKUP(线下模式!$J6,'⚪设计'!$C$85:$G$101,4,FALSE)*线下模式!$K6),IF(线下模式!$O6="",0,VLOOKUP(线下模式!$O6,'⚪设计'!$C$85:$G$101,4,FALSE)*线下模式!$P6),IF(线下模式!$T6="",0,VLOOKUP(线下模式!$T6,'⚪设计'!$C$85:$G$101,4,FALSE)*线下模式!$U6))*IF(E6="",0,VLOOKUP(E6,'⚪设计'!$C$85:$G$101,4,FALSE)),0)</f>
        <v>17</v>
      </c>
      <c r="J6" s="88" t="str">
        <f>IF(VLOOKUP(A6,'⚪设计'!$A$219:$G$238,5,FALSE)="","",VLOOKUP(VLOOKUP(A6,'⚪设计'!$A$219:$G$238,5,FALSE),'⚪设计'!$B$85:$D$101,2,FALSE))</f>
        <v>ResUnit_ZhiZhu1</v>
      </c>
      <c r="K6" s="88">
        <f t="shared" si="1"/>
        <v>13</v>
      </c>
      <c r="L6" s="7">
        <f>'⚪设计'!I222</f>
        <v>1</v>
      </c>
      <c r="M6" s="88">
        <f>IF(J6="",0,ROUND(VLOOKUP($A6,'⚪设计'!$A$219:$B$238,2,FALSE)*$B6/SUM(IF($E6="",0,VLOOKUP($E6,'⚪设计'!$C$85:$E$101,3,FALSE))*$F6,IF($J6="",0,VLOOKUP($J6,'⚪设计'!$C$85:$E$101,3,FALSE))*$K6,IF($O6="",0,VLOOKUP($O6,'⚪设计'!$C$85:$E$101,3,FALSE))*$P6,IF($T6="",0,VLOOKUP($T6,'⚪设计'!$C$85:$E$101,3,FALSE))*$U6)*VLOOKUP(J6,'⚪设计'!$C$85:$E$101,3,FALSE),0))</f>
        <v>2742</v>
      </c>
      <c r="N6" s="88">
        <f>ROUND(战斗节奏!$B$3/SUM(IF(线下模式!$E6="",0,VLOOKUP(线下模式!$E6,'⚪设计'!$C$85:$G$101,4,FALSE)*线下模式!$F6),IF(线下模式!$J6="",0,VLOOKUP(线下模式!$J6,'⚪设计'!$C$85:$G$101,4,FALSE)*线下模式!$K6),IF(线下模式!$O6="",0,VLOOKUP(线下模式!$O6,'⚪设计'!$C$85:$G$101,4,FALSE)*线下模式!$P6),IF(线下模式!$T6="",0,VLOOKUP(线下模式!$T6,'⚪设计'!$C$85:$G$101,4,FALSE)*线下模式!$U6))*IF(J6="",0,VLOOKUP(J6,'⚪设计'!$C$85:$G$101,4,FALSE)),0)</f>
        <v>33</v>
      </c>
      <c r="O6" s="71" t="str">
        <f>IF(VLOOKUP(A6,'⚪设计'!$A$219:$G$238,6,FALSE)="","",VLOOKUP(VLOOKUP(A6,'⚪设计'!$A$219:$G$238,6,FALSE),'⚪设计'!$B$85:$D$101,2,FALSE))</f>
        <v/>
      </c>
      <c r="P6" s="88">
        <f t="shared" si="2"/>
        <v>0</v>
      </c>
      <c r="Q6" s="7">
        <f>'⚪设计'!J222</f>
        <v>0</v>
      </c>
      <c r="R6" s="88">
        <f>IF(O6="",0,ROUND(VLOOKUP($A6,'⚪设计'!$A$219:$B$238,2,FALSE)*$B6/SUM(IF($E6="",0,VLOOKUP($E6,'⚪设计'!$C$85:$E$101,3,FALSE))*$F6,IF($J6="",0,VLOOKUP($J6,'⚪设计'!$C$85:$E$101,3,FALSE))*$K6,IF($O6="",0,VLOOKUP($O6,'⚪设计'!$C$85:$E$101,3,FALSE))*$P6,IF($T6="",0,VLOOKUP($T6,'⚪设计'!$C$85:$E$101,3,FALSE))*$U6)*VLOOKUP(O6,'⚪设计'!$C$85:$E$101,3,FALSE),0))</f>
        <v>0</v>
      </c>
      <c r="S6" s="88">
        <f>ROUND(战斗节奏!$B$3/SUM(IF(线下模式!$E6="",0,VLOOKUP(线下模式!$E6,'⚪设计'!$C$85:$G$101,4,FALSE)*线下模式!$F6),IF(线下模式!$J6="",0,VLOOKUP(线下模式!$J6,'⚪设计'!$C$85:$G$101,4,FALSE)*线下模式!$K6),IF(线下模式!$O6="",0,VLOOKUP(线下模式!$O6,'⚪设计'!$C$85:$G$101,4,FALSE)*线下模式!$P6),IF(线下模式!$T6="",0,VLOOKUP(线下模式!$T6,'⚪设计'!$C$85:$G$101,4,FALSE)*线下模式!$U6))*IF(O6="",0,VLOOKUP(O6,'⚪设计'!$C$85:$G$101,4,FALSE)),0)</f>
        <v>0</v>
      </c>
      <c r="T6" s="88" t="str">
        <f>IF(VLOOKUP(A6,'⚪设计'!$A$219:$G$238,7,FALSE)="","",VLOOKUP(VLOOKUP(A6,'⚪设计'!$A$219:$G$238,7,FALSE),'⚪设计'!$B$85:$D$101,2,FALSE))</f>
        <v/>
      </c>
      <c r="U6" s="88">
        <f t="shared" si="3"/>
        <v>0</v>
      </c>
      <c r="V6" s="7">
        <f>'⚪设计'!K222</f>
        <v>0</v>
      </c>
      <c r="W6" s="88">
        <f>IF(T6="",0,ROUND(VLOOKUP($A6,'⚪设计'!$A$219:$B$238,2,FALSE)*$B6/SUM(IF($E6="",0,VLOOKUP($E6,'⚪设计'!$C$85:$E$101,3,FALSE))*$F6,IF($J6="",0,VLOOKUP($J6,'⚪设计'!$C$85:$E$101,3,FALSE))*$K6,IF($O6="",0,VLOOKUP($O6,'⚪设计'!$C$85:$E$101,3,FALSE))*$P6,IF($T6="",0,VLOOKUP($T6,'⚪设计'!$C$85:$E$101,3,FALSE))*$U6)*VLOOKUP(T6,'⚪设计'!$C$85:$E$101,3,FALSE),0))</f>
        <v>0</v>
      </c>
      <c r="X6" s="88">
        <f>ROUND(战斗节奏!$B$3/SUM(IF(线下模式!$E6="",0,VLOOKUP(线下模式!$E6,'⚪设计'!$C$85:$G$101,4,FALSE)*线下模式!$F6),IF(线下模式!$J6="",0,VLOOKUP(线下模式!$J6,'⚪设计'!$C$85:$G$101,4,FALSE)*线下模式!$K6),IF(线下模式!$O6="",0,VLOOKUP(线下模式!$O6,'⚪设计'!$C$85:$G$101,4,FALSE)*线下模式!$P6),IF(线下模式!$T6="",0,VLOOKUP(线下模式!$T6,'⚪设计'!$C$85:$G$101,4,FALSE)*线下模式!$U6))*IF(T6="",0,VLOOKUP(T6,'⚪设计'!$C$85:$G$101,4,FALSE)),0)</f>
        <v>0</v>
      </c>
    </row>
    <row r="7" spans="1:24" x14ac:dyDescent="0.2">
      <c r="A7" s="84">
        <v>5</v>
      </c>
      <c r="B7" s="88">
        <f>MAX(MIN(战斗节奏!$C$3-INT(A7/'⚪设计'!$C$55),MOD(A7,'⚪设计'!$C$55)),0)*'⚪设计'!$C$79*防御塔!$C$2+MIN(INT(A7/'⚪设计'!$C$55),战斗节奏!$C$3)*'⚪设计'!$C$80*防御塔!$C$2</f>
        <v>5400</v>
      </c>
      <c r="C7" s="7">
        <v>1.2</v>
      </c>
      <c r="D7" s="7">
        <v>14</v>
      </c>
      <c r="E7" s="71" t="str">
        <f>IF(VLOOKUP(A7,'⚪设计'!$A$219:$G$238,4,FALSE)="","",VLOOKUP(VLOOKUP(A7,'⚪设计'!$A$219:$G$238,4,FALSE),'⚪设计'!$B$85:$D$101,2,FALSE))</f>
        <v>ResUnit_MiFeng3</v>
      </c>
      <c r="F7" s="88">
        <f t="shared" si="0"/>
        <v>1</v>
      </c>
      <c r="G7" s="7">
        <f>'⚪设计'!H223</f>
        <v>0</v>
      </c>
      <c r="H7" s="88">
        <f>IF(E7="",0,ROUND(VLOOKUP($A7,'⚪设计'!$A$219:$B$238,2,FALSE)*$B7/SUM(IF($E7="",0,VLOOKUP($E7,'⚪设计'!$C$85:$E$101,3,FALSE))*$F7,IF($J7="",0,VLOOKUP($J7,'⚪设计'!$C$85:$E$101,3,FALSE))*$K7,IF($O7="",0,VLOOKUP($O7,'⚪设计'!$C$85:$E$101,3,FALSE))*$P7,IF($T7="",0,VLOOKUP($T7,'⚪设计'!$C$85:$E$101,3,FALSE))*$U7)*VLOOKUP(E7,'⚪设计'!$C$85:$E$101,3,FALSE),0))</f>
        <v>161906</v>
      </c>
      <c r="I7" s="88">
        <f>ROUND(战斗节奏!$B$3/SUM(IF(线下模式!$E7="",0,VLOOKUP(线下模式!$E7,'⚪设计'!$C$85:$G$101,4,FALSE)*线下模式!$F7),IF(线下模式!$J7="",0,VLOOKUP(线下模式!$J7,'⚪设计'!$C$85:$G$101,4,FALSE)*线下模式!$K7),IF(线下模式!$O7="",0,VLOOKUP(线下模式!$O7,'⚪设计'!$C$85:$G$101,4,FALSE)*线下模式!$P7),IF(线下模式!$T7="",0,VLOOKUP(线下模式!$T7,'⚪设计'!$C$85:$G$101,4,FALSE)*线下模式!$U7))*IF(E7="",0,VLOOKUP(E7,'⚪设计'!$C$85:$G$101,4,FALSE)),0)</f>
        <v>501</v>
      </c>
      <c r="J7" s="88" t="str">
        <f>IF(VLOOKUP(A7,'⚪设计'!$A$219:$G$238,5,FALSE)="","",VLOOKUP(VLOOKUP(A7,'⚪设计'!$A$219:$G$238,5,FALSE),'⚪设计'!$B$85:$D$101,2,FALSE))</f>
        <v>ResUnit_BianFu1</v>
      </c>
      <c r="K7" s="88">
        <f t="shared" si="1"/>
        <v>35</v>
      </c>
      <c r="L7" s="7">
        <f>'⚪设计'!I223</f>
        <v>0.4</v>
      </c>
      <c r="M7" s="88">
        <f>IF(J7="",0,ROUND(VLOOKUP($A7,'⚪设计'!$A$219:$B$238,2,FALSE)*$B7/SUM(IF($E7="",0,VLOOKUP($E7,'⚪设计'!$C$85:$E$101,3,FALSE))*$F7,IF($J7="",0,VLOOKUP($J7,'⚪设计'!$C$85:$E$101,3,FALSE))*$K7,IF($O7="",0,VLOOKUP($O7,'⚪设计'!$C$85:$E$101,3,FALSE))*$P7,IF($T7="",0,VLOOKUP($T7,'⚪设计'!$C$85:$E$101,3,FALSE))*$U7)*VLOOKUP(J7,'⚪设计'!$C$85:$E$101,3,FALSE),0))</f>
        <v>2024</v>
      </c>
      <c r="N7" s="88">
        <f>ROUND(战斗节奏!$B$3/SUM(IF(线下模式!$E7="",0,VLOOKUP(线下模式!$E7,'⚪设计'!$C$85:$G$101,4,FALSE)*线下模式!$F7),IF(线下模式!$J7="",0,VLOOKUP(线下模式!$J7,'⚪设计'!$C$85:$G$101,4,FALSE)*线下模式!$K7),IF(线下模式!$O7="",0,VLOOKUP(线下模式!$O7,'⚪设计'!$C$85:$G$101,4,FALSE)*线下模式!$P7),IF(线下模式!$T7="",0,VLOOKUP(线下模式!$T7,'⚪设计'!$C$85:$G$101,4,FALSE)*线下模式!$U7))*IF(J7="",0,VLOOKUP(J7,'⚪设计'!$C$85:$G$101,4,FALSE)),0)</f>
        <v>6</v>
      </c>
      <c r="O7" s="71" t="str">
        <f>IF(VLOOKUP(A7,'⚪设计'!$A$219:$G$238,6,FALSE)="","",VLOOKUP(VLOOKUP(A7,'⚪设计'!$A$219:$G$238,6,FALSE),'⚪设计'!$B$85:$D$101,2,FALSE))</f>
        <v/>
      </c>
      <c r="P7" s="88">
        <f t="shared" si="2"/>
        <v>0</v>
      </c>
      <c r="Q7" s="7">
        <f>'⚪设计'!J223</f>
        <v>0</v>
      </c>
      <c r="R7" s="88">
        <f>IF(O7="",0,ROUND(VLOOKUP($A7,'⚪设计'!$A$219:$B$238,2,FALSE)*$B7/SUM(IF($E7="",0,VLOOKUP($E7,'⚪设计'!$C$85:$E$101,3,FALSE))*$F7,IF($J7="",0,VLOOKUP($J7,'⚪设计'!$C$85:$E$101,3,FALSE))*$K7,IF($O7="",0,VLOOKUP($O7,'⚪设计'!$C$85:$E$101,3,FALSE))*$P7,IF($T7="",0,VLOOKUP($T7,'⚪设计'!$C$85:$E$101,3,FALSE))*$U7)*VLOOKUP(O7,'⚪设计'!$C$85:$E$101,3,FALSE),0))</f>
        <v>0</v>
      </c>
      <c r="S7" s="88">
        <f>ROUND(战斗节奏!$B$3/SUM(IF(线下模式!$E7="",0,VLOOKUP(线下模式!$E7,'⚪设计'!$C$85:$G$101,4,FALSE)*线下模式!$F7),IF(线下模式!$J7="",0,VLOOKUP(线下模式!$J7,'⚪设计'!$C$85:$G$101,4,FALSE)*线下模式!$K7),IF(线下模式!$O7="",0,VLOOKUP(线下模式!$O7,'⚪设计'!$C$85:$G$101,4,FALSE)*线下模式!$P7),IF(线下模式!$T7="",0,VLOOKUP(线下模式!$T7,'⚪设计'!$C$85:$G$101,4,FALSE)*线下模式!$U7))*IF(O7="",0,VLOOKUP(O7,'⚪设计'!$C$85:$G$101,4,FALSE)),0)</f>
        <v>0</v>
      </c>
      <c r="T7" s="88" t="str">
        <f>IF(VLOOKUP(A7,'⚪设计'!$A$219:$G$238,7,FALSE)="","",VLOOKUP(VLOOKUP(A7,'⚪设计'!$A$219:$G$238,7,FALSE),'⚪设计'!$B$85:$D$101,2,FALSE))</f>
        <v/>
      </c>
      <c r="U7" s="88">
        <f t="shared" si="3"/>
        <v>0</v>
      </c>
      <c r="V7" s="7">
        <f>'⚪设计'!K223</f>
        <v>0</v>
      </c>
      <c r="W7" s="88">
        <f>IF(T7="",0,ROUND(VLOOKUP($A7,'⚪设计'!$A$219:$B$238,2,FALSE)*$B7/SUM(IF($E7="",0,VLOOKUP($E7,'⚪设计'!$C$85:$E$101,3,FALSE))*$F7,IF($J7="",0,VLOOKUP($J7,'⚪设计'!$C$85:$E$101,3,FALSE))*$K7,IF($O7="",0,VLOOKUP($O7,'⚪设计'!$C$85:$E$101,3,FALSE))*$P7,IF($T7="",0,VLOOKUP($T7,'⚪设计'!$C$85:$E$101,3,FALSE))*$U7)*VLOOKUP(T7,'⚪设计'!$C$85:$E$101,3,FALSE),0))</f>
        <v>0</v>
      </c>
      <c r="X7" s="88">
        <f>ROUND(战斗节奏!$B$3/SUM(IF(线下模式!$E7="",0,VLOOKUP(线下模式!$E7,'⚪设计'!$C$85:$G$101,4,FALSE)*线下模式!$F7),IF(线下模式!$J7="",0,VLOOKUP(线下模式!$J7,'⚪设计'!$C$85:$G$101,4,FALSE)*线下模式!$K7),IF(线下模式!$O7="",0,VLOOKUP(线下模式!$O7,'⚪设计'!$C$85:$G$101,4,FALSE)*线下模式!$P7),IF(线下模式!$T7="",0,VLOOKUP(线下模式!$T7,'⚪设计'!$C$85:$G$101,4,FALSE)*线下模式!$U7))*IF(T7="",0,VLOOKUP(T7,'⚪设计'!$C$85:$G$101,4,FALSE)),0)</f>
        <v>0</v>
      </c>
    </row>
    <row r="8" spans="1:24" x14ac:dyDescent="0.2">
      <c r="A8" s="84">
        <v>6</v>
      </c>
      <c r="B8" s="88">
        <f>MAX(MIN(战斗节奏!$C$3-INT(A8/'⚪设计'!$C$55),MOD(A8,'⚪设计'!$C$55)),0)*'⚪设计'!$C$79*防御塔!$C$2+MIN(INT(A8/'⚪设计'!$C$55),战斗节奏!$C$3)*'⚪设计'!$C$80*防御塔!$C$2</f>
        <v>7200</v>
      </c>
      <c r="C8" s="7">
        <v>1.25</v>
      </c>
      <c r="D8" s="7">
        <v>15</v>
      </c>
      <c r="E8" s="71" t="str">
        <f>IF(VLOOKUP(A8,'⚪设计'!$A$219:$G$238,4,FALSE)="","",VLOOKUP(VLOOKUP(A8,'⚪设计'!$A$219:$G$238,4,FALSE),'⚪设计'!$B$85:$D$101,2,FALSE))</f>
        <v>ResUnit_MiFeng2</v>
      </c>
      <c r="F8" s="88">
        <f t="shared" si="0"/>
        <v>20</v>
      </c>
      <c r="G8" s="7">
        <f>'⚪设计'!H224</f>
        <v>0.75</v>
      </c>
      <c r="H8" s="88">
        <f>IF(E8="",0,ROUND(VLOOKUP($A8,'⚪设计'!$A$219:$B$238,2,FALSE)*$B8/SUM(IF($E8="",0,VLOOKUP($E8,'⚪设计'!$C$85:$E$101,3,FALSE))*$F8,IF($J8="",0,VLOOKUP($J8,'⚪设计'!$C$85:$E$101,3,FALSE))*$K8,IF($O8="",0,VLOOKUP($O8,'⚪设计'!$C$85:$E$101,3,FALSE))*$P8,IF($T8="",0,VLOOKUP($T8,'⚪设计'!$C$85:$E$101,3,FALSE))*$U8)*VLOOKUP(E8,'⚪设计'!$C$85:$E$101,3,FALSE),0))</f>
        <v>3600</v>
      </c>
      <c r="I8" s="88">
        <f>ROUND(战斗节奏!$B$3/SUM(IF(线下模式!$E8="",0,VLOOKUP(线下模式!$E8,'⚪设计'!$C$85:$G$101,4,FALSE)*线下模式!$F8),IF(线下模式!$J8="",0,VLOOKUP(线下模式!$J8,'⚪设计'!$C$85:$G$101,4,FALSE)*线下模式!$K8),IF(线下模式!$O8="",0,VLOOKUP(线下模式!$O8,'⚪设计'!$C$85:$G$101,4,FALSE)*线下模式!$P8),IF(线下模式!$T8="",0,VLOOKUP(线下模式!$T8,'⚪设计'!$C$85:$G$101,4,FALSE)*线下模式!$U8))*IF(E8="",0,VLOOKUP(E8,'⚪设计'!$C$85:$G$101,4,FALSE)),0)</f>
        <v>24</v>
      </c>
      <c r="J8" s="88" t="str">
        <f>IF(VLOOKUP(A8,'⚪设计'!$A$219:$G$238,5,FALSE)="","",VLOOKUP(VLOOKUP(A8,'⚪设计'!$A$219:$G$238,5,FALSE),'⚪设计'!$B$85:$D$101,2,FALSE))</f>
        <v>ResUnit_ZhiZhu1</v>
      </c>
      <c r="K8" s="88">
        <f t="shared" si="1"/>
        <v>20</v>
      </c>
      <c r="L8" s="7">
        <f>'⚪设计'!I224</f>
        <v>0.75</v>
      </c>
      <c r="M8" s="88">
        <f>IF(J8="",0,ROUND(VLOOKUP($A8,'⚪设计'!$A$219:$B$238,2,FALSE)*$B8/SUM(IF($E8="",0,VLOOKUP($E8,'⚪设计'!$C$85:$E$101,3,FALSE))*$F8,IF($J8="",0,VLOOKUP($J8,'⚪设计'!$C$85:$E$101,3,FALSE))*$K8,IF($O8="",0,VLOOKUP($O8,'⚪设计'!$C$85:$E$101,3,FALSE))*$P8,IF($T8="",0,VLOOKUP($T8,'⚪设计'!$C$85:$E$101,3,FALSE))*$U8)*VLOOKUP(J8,'⚪设计'!$C$85:$E$101,3,FALSE),0))</f>
        <v>1800</v>
      </c>
      <c r="N8" s="88">
        <f>ROUND(战斗节奏!$B$3/SUM(IF(线下模式!$E8="",0,VLOOKUP(线下模式!$E8,'⚪设计'!$C$85:$G$101,4,FALSE)*线下模式!$F8),IF(线下模式!$J8="",0,VLOOKUP(线下模式!$J8,'⚪设计'!$C$85:$G$101,4,FALSE)*线下模式!$K8),IF(线下模式!$O8="",0,VLOOKUP(线下模式!$O8,'⚪设计'!$C$85:$G$101,4,FALSE)*线下模式!$P8),IF(线下模式!$T8="",0,VLOOKUP(线下模式!$T8,'⚪设计'!$C$85:$G$101,4,FALSE)*线下模式!$U8))*IF(J8="",0,VLOOKUP(J8,'⚪设计'!$C$85:$G$101,4,FALSE)),0)</f>
        <v>12</v>
      </c>
      <c r="O8" s="71" t="str">
        <f>IF(VLOOKUP(A8,'⚪设计'!$A$219:$G$238,6,FALSE)="","",VLOOKUP(VLOOKUP(A8,'⚪设计'!$A$219:$G$238,6,FALSE),'⚪设计'!$B$85:$D$101,2,FALSE))</f>
        <v/>
      </c>
      <c r="P8" s="88">
        <f t="shared" si="2"/>
        <v>0</v>
      </c>
      <c r="Q8" s="7">
        <f>'⚪设计'!J224</f>
        <v>0</v>
      </c>
      <c r="R8" s="88">
        <f>IF(O8="",0,ROUND(VLOOKUP($A8,'⚪设计'!$A$219:$B$238,2,FALSE)*$B8/SUM(IF($E8="",0,VLOOKUP($E8,'⚪设计'!$C$85:$E$101,3,FALSE))*$F8,IF($J8="",0,VLOOKUP($J8,'⚪设计'!$C$85:$E$101,3,FALSE))*$K8,IF($O8="",0,VLOOKUP($O8,'⚪设计'!$C$85:$E$101,3,FALSE))*$P8,IF($T8="",0,VLOOKUP($T8,'⚪设计'!$C$85:$E$101,3,FALSE))*$U8)*VLOOKUP(O8,'⚪设计'!$C$85:$E$101,3,FALSE),0))</f>
        <v>0</v>
      </c>
      <c r="S8" s="88">
        <f>ROUND(战斗节奏!$B$3/SUM(IF(线下模式!$E8="",0,VLOOKUP(线下模式!$E8,'⚪设计'!$C$85:$G$101,4,FALSE)*线下模式!$F8),IF(线下模式!$J8="",0,VLOOKUP(线下模式!$J8,'⚪设计'!$C$85:$G$101,4,FALSE)*线下模式!$K8),IF(线下模式!$O8="",0,VLOOKUP(线下模式!$O8,'⚪设计'!$C$85:$G$101,4,FALSE)*线下模式!$P8),IF(线下模式!$T8="",0,VLOOKUP(线下模式!$T8,'⚪设计'!$C$85:$G$101,4,FALSE)*线下模式!$U8))*IF(O8="",0,VLOOKUP(O8,'⚪设计'!$C$85:$G$101,4,FALSE)),0)</f>
        <v>0</v>
      </c>
      <c r="T8" s="88" t="str">
        <f>IF(VLOOKUP(A8,'⚪设计'!$A$219:$G$238,7,FALSE)="","",VLOOKUP(VLOOKUP(A8,'⚪设计'!$A$219:$G$238,7,FALSE),'⚪设计'!$B$85:$D$101,2,FALSE))</f>
        <v/>
      </c>
      <c r="U8" s="88">
        <f t="shared" si="3"/>
        <v>0</v>
      </c>
      <c r="V8" s="7">
        <f>'⚪设计'!K224</f>
        <v>0</v>
      </c>
      <c r="W8" s="88">
        <f>IF(T8="",0,ROUND(VLOOKUP($A8,'⚪设计'!$A$219:$B$238,2,FALSE)*$B8/SUM(IF($E8="",0,VLOOKUP($E8,'⚪设计'!$C$85:$E$101,3,FALSE))*$F8,IF($J8="",0,VLOOKUP($J8,'⚪设计'!$C$85:$E$101,3,FALSE))*$K8,IF($O8="",0,VLOOKUP($O8,'⚪设计'!$C$85:$E$101,3,FALSE))*$P8,IF($T8="",0,VLOOKUP($T8,'⚪设计'!$C$85:$E$101,3,FALSE))*$U8)*VLOOKUP(T8,'⚪设计'!$C$85:$E$101,3,FALSE),0))</f>
        <v>0</v>
      </c>
      <c r="X8" s="88">
        <f>ROUND(战斗节奏!$B$3/SUM(IF(线下模式!$E8="",0,VLOOKUP(线下模式!$E8,'⚪设计'!$C$85:$G$101,4,FALSE)*线下模式!$F8),IF(线下模式!$J8="",0,VLOOKUP(线下模式!$J8,'⚪设计'!$C$85:$G$101,4,FALSE)*线下模式!$K8),IF(线下模式!$O8="",0,VLOOKUP(线下模式!$O8,'⚪设计'!$C$85:$G$101,4,FALSE)*线下模式!$P8),IF(线下模式!$T8="",0,VLOOKUP(线下模式!$T8,'⚪设计'!$C$85:$G$101,4,FALSE)*线下模式!$U8))*IF(T8="",0,VLOOKUP(T8,'⚪设计'!$C$85:$G$101,4,FALSE)),0)</f>
        <v>0</v>
      </c>
    </row>
    <row r="9" spans="1:24" x14ac:dyDescent="0.2">
      <c r="A9" s="84">
        <v>7</v>
      </c>
      <c r="B9" s="88">
        <f>MAX(MIN(战斗节奏!$C$3-INT(A9/'⚪设计'!$C$55),MOD(A9,'⚪设计'!$C$55)),0)*'⚪设计'!$C$79*防御塔!$C$2+MIN(INT(A9/'⚪设计'!$C$55),战斗节奏!$C$3)*'⚪设计'!$C$80*防御塔!$C$2</f>
        <v>8100</v>
      </c>
      <c r="C9" s="7">
        <v>1.3</v>
      </c>
      <c r="D9" s="7">
        <v>16</v>
      </c>
      <c r="E9" s="71" t="str">
        <f>IF(VLOOKUP(A9,'⚪设计'!$A$219:$G$238,4,FALSE)="","",VLOOKUP(VLOOKUP(A9,'⚪设计'!$A$219:$G$238,4,FALSE),'⚪设计'!$B$85:$D$101,2,FALSE))</f>
        <v>ResUnit_MiFeng2</v>
      </c>
      <c r="F9" s="88">
        <f t="shared" si="0"/>
        <v>32</v>
      </c>
      <c r="G9" s="7">
        <f>'⚪设计'!H225</f>
        <v>0.5</v>
      </c>
      <c r="H9" s="88">
        <f>IF(E9="",0,ROUND(VLOOKUP($A9,'⚪设计'!$A$219:$B$238,2,FALSE)*$B9/SUM(IF($E9="",0,VLOOKUP($E9,'⚪设计'!$C$85:$E$101,3,FALSE))*$F9,IF($J9="",0,VLOOKUP($J9,'⚪设计'!$C$85:$E$101,3,FALSE))*$K9,IF($O9="",0,VLOOKUP($O9,'⚪设计'!$C$85:$E$101,3,FALSE))*$P9,IF($T9="",0,VLOOKUP($T9,'⚪设计'!$C$85:$E$101,3,FALSE))*$U9)*VLOOKUP(E9,'⚪设计'!$C$85:$E$101,3,FALSE),0))</f>
        <v>3335</v>
      </c>
      <c r="I9" s="88">
        <f>ROUND(战斗节奏!$B$3/SUM(IF(线下模式!$E9="",0,VLOOKUP(线下模式!$E9,'⚪设计'!$C$85:$G$101,4,FALSE)*线下模式!$F9),IF(线下模式!$J9="",0,VLOOKUP(线下模式!$J9,'⚪设计'!$C$85:$G$101,4,FALSE)*线下模式!$K9),IF(线下模式!$O9="",0,VLOOKUP(线下模式!$O9,'⚪设计'!$C$85:$G$101,4,FALSE)*线下模式!$P9),IF(线下模式!$T9="",0,VLOOKUP(线下模式!$T9,'⚪设计'!$C$85:$G$101,4,FALSE)*线下模式!$U9))*IF(E9="",0,VLOOKUP(E9,'⚪设计'!$C$85:$G$101,4,FALSE)),0)</f>
        <v>17</v>
      </c>
      <c r="J9" s="88" t="str">
        <f>IF(VLOOKUP(A9,'⚪设计'!$A$219:$G$238,5,FALSE)="","",VLOOKUP(VLOOKUP(A9,'⚪设计'!$A$219:$G$238,5,FALSE),'⚪设计'!$B$85:$D$101,2,FALSE))</f>
        <v>ResUnit_ZhiZhu1</v>
      </c>
      <c r="K9" s="88">
        <f t="shared" si="1"/>
        <v>21</v>
      </c>
      <c r="L9" s="7">
        <f>'⚪设计'!I225</f>
        <v>0.75</v>
      </c>
      <c r="M9" s="88">
        <f>IF(J9="",0,ROUND(VLOOKUP($A9,'⚪设计'!$A$219:$B$238,2,FALSE)*$B9/SUM(IF($E9="",0,VLOOKUP($E9,'⚪设计'!$C$85:$E$101,3,FALSE))*$F9,IF($J9="",0,VLOOKUP($J9,'⚪设计'!$C$85:$E$101,3,FALSE))*$K9,IF($O9="",0,VLOOKUP($O9,'⚪设计'!$C$85:$E$101,3,FALSE))*$P9,IF($T9="",0,VLOOKUP($T9,'⚪设计'!$C$85:$E$101,3,FALSE))*$U9)*VLOOKUP(J9,'⚪设计'!$C$85:$E$101,3,FALSE),0))</f>
        <v>1668</v>
      </c>
      <c r="N9" s="88">
        <f>ROUND(战斗节奏!$B$3/SUM(IF(线下模式!$E9="",0,VLOOKUP(线下模式!$E9,'⚪设计'!$C$85:$G$101,4,FALSE)*线下模式!$F9),IF(线下模式!$J9="",0,VLOOKUP(线下模式!$J9,'⚪设计'!$C$85:$G$101,4,FALSE)*线下模式!$K9),IF(线下模式!$O9="",0,VLOOKUP(线下模式!$O9,'⚪设计'!$C$85:$G$101,4,FALSE)*线下模式!$P9),IF(线下模式!$T9="",0,VLOOKUP(线下模式!$T9,'⚪设计'!$C$85:$G$101,4,FALSE)*线下模式!$U9))*IF(J9="",0,VLOOKUP(J9,'⚪设计'!$C$85:$G$101,4,FALSE)),0)</f>
        <v>8</v>
      </c>
      <c r="O9" s="71" t="str">
        <f>IF(VLOOKUP(A9,'⚪设计'!$A$219:$G$238,6,FALSE)="","",VLOOKUP(VLOOKUP(A9,'⚪设计'!$A$219:$G$238,6,FALSE),'⚪设计'!$B$85:$D$101,2,FALSE))</f>
        <v/>
      </c>
      <c r="P9" s="88">
        <f t="shared" si="2"/>
        <v>0</v>
      </c>
      <c r="Q9" s="7">
        <f>'⚪设计'!J225</f>
        <v>0</v>
      </c>
      <c r="R9" s="88">
        <f>IF(O9="",0,ROUND(VLOOKUP($A9,'⚪设计'!$A$219:$B$238,2,FALSE)*$B9/SUM(IF($E9="",0,VLOOKUP($E9,'⚪设计'!$C$85:$E$101,3,FALSE))*$F9,IF($J9="",0,VLOOKUP($J9,'⚪设计'!$C$85:$E$101,3,FALSE))*$K9,IF($O9="",0,VLOOKUP($O9,'⚪设计'!$C$85:$E$101,3,FALSE))*$P9,IF($T9="",0,VLOOKUP($T9,'⚪设计'!$C$85:$E$101,3,FALSE))*$U9)*VLOOKUP(O9,'⚪设计'!$C$85:$E$101,3,FALSE),0))</f>
        <v>0</v>
      </c>
      <c r="S9" s="88">
        <f>ROUND(战斗节奏!$B$3/SUM(IF(线下模式!$E9="",0,VLOOKUP(线下模式!$E9,'⚪设计'!$C$85:$G$101,4,FALSE)*线下模式!$F9),IF(线下模式!$J9="",0,VLOOKUP(线下模式!$J9,'⚪设计'!$C$85:$G$101,4,FALSE)*线下模式!$K9),IF(线下模式!$O9="",0,VLOOKUP(线下模式!$O9,'⚪设计'!$C$85:$G$101,4,FALSE)*线下模式!$P9),IF(线下模式!$T9="",0,VLOOKUP(线下模式!$T9,'⚪设计'!$C$85:$G$101,4,FALSE)*线下模式!$U9))*IF(O9="",0,VLOOKUP(O9,'⚪设计'!$C$85:$G$101,4,FALSE)),0)</f>
        <v>0</v>
      </c>
      <c r="T9" s="88" t="str">
        <f>IF(VLOOKUP(A9,'⚪设计'!$A$219:$G$238,7,FALSE)="","",VLOOKUP(VLOOKUP(A9,'⚪设计'!$A$219:$G$238,7,FALSE),'⚪设计'!$B$85:$D$101,2,FALSE))</f>
        <v/>
      </c>
      <c r="U9" s="88">
        <f t="shared" si="3"/>
        <v>0</v>
      </c>
      <c r="V9" s="7">
        <f>'⚪设计'!K225</f>
        <v>0</v>
      </c>
      <c r="W9" s="88">
        <f>IF(T9="",0,ROUND(VLOOKUP($A9,'⚪设计'!$A$219:$B$238,2,FALSE)*$B9/SUM(IF($E9="",0,VLOOKUP($E9,'⚪设计'!$C$85:$E$101,3,FALSE))*$F9,IF($J9="",0,VLOOKUP($J9,'⚪设计'!$C$85:$E$101,3,FALSE))*$K9,IF($O9="",0,VLOOKUP($O9,'⚪设计'!$C$85:$E$101,3,FALSE))*$P9,IF($T9="",0,VLOOKUP($T9,'⚪设计'!$C$85:$E$101,3,FALSE))*$U9)*VLOOKUP(T9,'⚪设计'!$C$85:$E$101,3,FALSE),0))</f>
        <v>0</v>
      </c>
      <c r="X9" s="88">
        <f>ROUND(战斗节奏!$B$3/SUM(IF(线下模式!$E9="",0,VLOOKUP(线下模式!$E9,'⚪设计'!$C$85:$G$101,4,FALSE)*线下模式!$F9),IF(线下模式!$J9="",0,VLOOKUP(线下模式!$J9,'⚪设计'!$C$85:$G$101,4,FALSE)*线下模式!$K9),IF(线下模式!$O9="",0,VLOOKUP(线下模式!$O9,'⚪设计'!$C$85:$G$101,4,FALSE)*线下模式!$P9),IF(线下模式!$T9="",0,VLOOKUP(线下模式!$T9,'⚪设计'!$C$85:$G$101,4,FALSE)*线下模式!$U9))*IF(T9="",0,VLOOKUP(T9,'⚪设计'!$C$85:$G$101,4,FALSE)),0)</f>
        <v>0</v>
      </c>
    </row>
    <row r="10" spans="1:24" x14ac:dyDescent="0.2">
      <c r="A10" s="84">
        <v>8</v>
      </c>
      <c r="B10" s="88">
        <f>MAX(MIN(战斗节奏!$C$3-INT(A10/'⚪设计'!$C$55),MOD(A10,'⚪设计'!$C$55)),0)*'⚪设计'!$C$79*防御塔!$C$2+MIN(INT(A10/'⚪设计'!$C$55),战斗节奏!$C$3)*'⚪设计'!$C$80*防御塔!$C$2</f>
        <v>9000</v>
      </c>
      <c r="C10" s="7">
        <v>1.35</v>
      </c>
      <c r="D10" s="7">
        <v>17</v>
      </c>
      <c r="E10" s="71" t="str">
        <f>IF(VLOOKUP(A10,'⚪设计'!$A$219:$G$238,4,FALSE)="","",VLOOKUP(VLOOKUP(A10,'⚪设计'!$A$219:$G$238,4,FALSE),'⚪设计'!$B$85:$D$101,2,FALSE))</f>
        <v>ResUnit_MiFeng2</v>
      </c>
      <c r="F10" s="88">
        <f t="shared" si="0"/>
        <v>17</v>
      </c>
      <c r="G10" s="7">
        <f>'⚪设计'!H226</f>
        <v>1</v>
      </c>
      <c r="H10" s="88">
        <f>IF(E10="",0,ROUND(VLOOKUP($A10,'⚪设计'!$A$219:$B$238,2,FALSE)*$B10/SUM(IF($E10="",0,VLOOKUP($E10,'⚪设计'!$C$85:$E$101,3,FALSE))*$F10,IF($J10="",0,VLOOKUP($J10,'⚪设计'!$C$85:$E$101,3,FALSE))*$K10,IF($O10="",0,VLOOKUP($O10,'⚪设计'!$C$85:$E$101,3,FALSE))*$P10,IF($T10="",0,VLOOKUP($T10,'⚪设计'!$C$85:$E$101,3,FALSE))*$U10)*VLOOKUP(E10,'⚪设计'!$C$85:$E$101,3,FALSE),0))</f>
        <v>6923</v>
      </c>
      <c r="I10" s="88">
        <f>ROUND(战斗节奏!$B$3/SUM(IF(线下模式!$E10="",0,VLOOKUP(线下模式!$E10,'⚪设计'!$C$85:$G$101,4,FALSE)*线下模式!$F10),IF(线下模式!$J10="",0,VLOOKUP(线下模式!$J10,'⚪设计'!$C$85:$G$101,4,FALSE)*线下模式!$K10),IF(线下模式!$O10="",0,VLOOKUP(线下模式!$O10,'⚪设计'!$C$85:$G$101,4,FALSE)*线下模式!$P10),IF(线下模式!$T10="",0,VLOOKUP(线下模式!$T10,'⚪设计'!$C$85:$G$101,4,FALSE)*线下模式!$U10))*IF(E10="",0,VLOOKUP(E10,'⚪设计'!$C$85:$G$101,4,FALSE)),0)</f>
        <v>31</v>
      </c>
      <c r="J10" s="88" t="str">
        <f>IF(VLOOKUP(A10,'⚪设计'!$A$219:$G$238,5,FALSE)="","",VLOOKUP(VLOOKUP(A10,'⚪设计'!$A$219:$G$238,5,FALSE),'⚪设计'!$B$85:$D$101,2,FALSE))</f>
        <v>ResUnit_ZhongZi1</v>
      </c>
      <c r="K10" s="88">
        <f t="shared" si="1"/>
        <v>6</v>
      </c>
      <c r="L10" s="7">
        <f>'⚪设计'!I226</f>
        <v>3</v>
      </c>
      <c r="M10" s="88">
        <f>IF(J10="",0,ROUND(VLOOKUP($A10,'⚪设计'!$A$219:$B$238,2,FALSE)*$B10/SUM(IF($E10="",0,VLOOKUP($E10,'⚪设计'!$C$85:$E$101,3,FALSE))*$F10,IF($J10="",0,VLOOKUP($J10,'⚪设计'!$C$85:$E$101,3,FALSE))*$K10,IF($O10="",0,VLOOKUP($O10,'⚪设计'!$C$85:$E$101,3,FALSE))*$P10,IF($T10="",0,VLOOKUP($T10,'⚪设计'!$C$85:$E$101,3,FALSE))*$U10)*VLOOKUP(J10,'⚪设计'!$C$85:$E$101,3,FALSE),0))</f>
        <v>10385</v>
      </c>
      <c r="N10" s="88">
        <f>ROUND(战斗节奏!$B$3/SUM(IF(线下模式!$E10="",0,VLOOKUP(线下模式!$E10,'⚪设计'!$C$85:$G$101,4,FALSE)*线下模式!$F10),IF(线下模式!$J10="",0,VLOOKUP(线下模式!$J10,'⚪设计'!$C$85:$G$101,4,FALSE)*线下模式!$K10),IF(线下模式!$O10="",0,VLOOKUP(线下模式!$O10,'⚪设计'!$C$85:$G$101,4,FALSE)*线下模式!$P10),IF(线下模式!$T10="",0,VLOOKUP(线下模式!$T10,'⚪设计'!$C$85:$G$101,4,FALSE)*线下模式!$U10))*IF(J10="",0,VLOOKUP(J10,'⚪设计'!$C$85:$G$101,4,FALSE)),0)</f>
        <v>31</v>
      </c>
      <c r="O10" s="71" t="str">
        <f>IF(VLOOKUP(A10,'⚪设计'!$A$219:$G$238,6,FALSE)="","",VLOOKUP(VLOOKUP(A10,'⚪设计'!$A$219:$G$238,6,FALSE),'⚪设计'!$B$85:$D$101,2,FALSE))</f>
        <v/>
      </c>
      <c r="P10" s="88">
        <f t="shared" si="2"/>
        <v>0</v>
      </c>
      <c r="Q10" s="7">
        <f>'⚪设计'!J226</f>
        <v>0</v>
      </c>
      <c r="R10" s="88">
        <f>IF(O10="",0,ROUND(VLOOKUP($A10,'⚪设计'!$A$219:$B$238,2,FALSE)*$B10/SUM(IF($E10="",0,VLOOKUP($E10,'⚪设计'!$C$85:$E$101,3,FALSE))*$F10,IF($J10="",0,VLOOKUP($J10,'⚪设计'!$C$85:$E$101,3,FALSE))*$K10,IF($O10="",0,VLOOKUP($O10,'⚪设计'!$C$85:$E$101,3,FALSE))*$P10,IF($T10="",0,VLOOKUP($T10,'⚪设计'!$C$85:$E$101,3,FALSE))*$U10)*VLOOKUP(O10,'⚪设计'!$C$85:$E$101,3,FALSE),0))</f>
        <v>0</v>
      </c>
      <c r="S10" s="88">
        <f>ROUND(战斗节奏!$B$3/SUM(IF(线下模式!$E10="",0,VLOOKUP(线下模式!$E10,'⚪设计'!$C$85:$G$101,4,FALSE)*线下模式!$F10),IF(线下模式!$J10="",0,VLOOKUP(线下模式!$J10,'⚪设计'!$C$85:$G$101,4,FALSE)*线下模式!$K10),IF(线下模式!$O10="",0,VLOOKUP(线下模式!$O10,'⚪设计'!$C$85:$G$101,4,FALSE)*线下模式!$P10),IF(线下模式!$T10="",0,VLOOKUP(线下模式!$T10,'⚪设计'!$C$85:$G$101,4,FALSE)*线下模式!$U10))*IF(O10="",0,VLOOKUP(O10,'⚪设计'!$C$85:$G$101,4,FALSE)),0)</f>
        <v>0</v>
      </c>
      <c r="T10" s="88" t="str">
        <f>IF(VLOOKUP(A10,'⚪设计'!$A$219:$G$238,7,FALSE)="","",VLOOKUP(VLOOKUP(A10,'⚪设计'!$A$219:$G$238,7,FALSE),'⚪设计'!$B$85:$D$101,2,FALSE))</f>
        <v/>
      </c>
      <c r="U10" s="88">
        <f t="shared" si="3"/>
        <v>0</v>
      </c>
      <c r="V10" s="7">
        <f>'⚪设计'!K226</f>
        <v>0</v>
      </c>
      <c r="W10" s="88">
        <f>IF(T10="",0,ROUND(VLOOKUP($A10,'⚪设计'!$A$219:$B$238,2,FALSE)*$B10/SUM(IF($E10="",0,VLOOKUP($E10,'⚪设计'!$C$85:$E$101,3,FALSE))*$F10,IF($J10="",0,VLOOKUP($J10,'⚪设计'!$C$85:$E$101,3,FALSE))*$K10,IF($O10="",0,VLOOKUP($O10,'⚪设计'!$C$85:$E$101,3,FALSE))*$P10,IF($T10="",0,VLOOKUP($T10,'⚪设计'!$C$85:$E$101,3,FALSE))*$U10)*VLOOKUP(T10,'⚪设计'!$C$85:$E$101,3,FALSE),0))</f>
        <v>0</v>
      </c>
      <c r="X10" s="88">
        <f>ROUND(战斗节奏!$B$3/SUM(IF(线下模式!$E10="",0,VLOOKUP(线下模式!$E10,'⚪设计'!$C$85:$G$101,4,FALSE)*线下模式!$F10),IF(线下模式!$J10="",0,VLOOKUP(线下模式!$J10,'⚪设计'!$C$85:$G$101,4,FALSE)*线下模式!$K10),IF(线下模式!$O10="",0,VLOOKUP(线下模式!$O10,'⚪设计'!$C$85:$G$101,4,FALSE)*线下模式!$P10),IF(线下模式!$T10="",0,VLOOKUP(线下模式!$T10,'⚪设计'!$C$85:$G$101,4,FALSE)*线下模式!$U10))*IF(T10="",0,VLOOKUP(T10,'⚪设计'!$C$85:$G$101,4,FALSE)),0)</f>
        <v>0</v>
      </c>
    </row>
    <row r="11" spans="1:24" x14ac:dyDescent="0.2">
      <c r="A11" s="84">
        <v>9</v>
      </c>
      <c r="B11" s="88">
        <f>MAX(MIN(战斗节奏!$C$3-INT(A11/'⚪设计'!$C$55),MOD(A11,'⚪设计'!$C$55)),0)*'⚪设计'!$C$79*防御塔!$C$2+MIN(INT(A11/'⚪设计'!$C$55),战斗节奏!$C$3)*'⚪设计'!$C$80*防御塔!$C$2</f>
        <v>10800</v>
      </c>
      <c r="C11" s="7">
        <v>1.4</v>
      </c>
      <c r="D11" s="7">
        <v>18</v>
      </c>
      <c r="E11" s="71" t="str">
        <f>IF(VLOOKUP(A11,'⚪设计'!$A$219:$G$238,4,FALSE)="","",VLOOKUP(VLOOKUP(A11,'⚪设计'!$A$219:$G$238,4,FALSE),'⚪设计'!$B$85:$D$101,2,FALSE))</f>
        <v>ResUnit_MiFeng2</v>
      </c>
      <c r="F11" s="88">
        <f t="shared" si="0"/>
        <v>90</v>
      </c>
      <c r="G11" s="7">
        <f>'⚪设计'!H227</f>
        <v>0.2</v>
      </c>
      <c r="H11" s="88">
        <f>IF(E11="",0,ROUND(VLOOKUP($A11,'⚪设计'!$A$219:$B$238,2,FALSE)*$B11/SUM(IF($E11="",0,VLOOKUP($E11,'⚪设计'!$C$85:$E$101,3,FALSE))*$F11,IF($J11="",0,VLOOKUP($J11,'⚪设计'!$C$85:$E$101,3,FALSE))*$K11,IF($O11="",0,VLOOKUP($O11,'⚪设计'!$C$85:$E$101,3,FALSE))*$P11,IF($T11="",0,VLOOKUP($T11,'⚪设计'!$C$85:$E$101,3,FALSE))*$U11)*VLOOKUP(E11,'⚪设计'!$C$85:$E$101,3,FALSE),0))</f>
        <v>2455</v>
      </c>
      <c r="I11" s="88">
        <f>ROUND(战斗节奏!$B$3/SUM(IF(线下模式!$E11="",0,VLOOKUP(线下模式!$E11,'⚪设计'!$C$85:$G$101,4,FALSE)*线下模式!$F11),IF(线下模式!$J11="",0,VLOOKUP(线下模式!$J11,'⚪设计'!$C$85:$G$101,4,FALSE)*线下模式!$K11),IF(线下模式!$O11="",0,VLOOKUP(线下模式!$O11,'⚪设计'!$C$85:$G$101,4,FALSE)*线下模式!$P11),IF(线下模式!$T11="",0,VLOOKUP(线下模式!$T11,'⚪设计'!$C$85:$G$101,4,FALSE)*线下模式!$U11))*IF(E11="",0,VLOOKUP(E11,'⚪设计'!$C$85:$G$101,4,FALSE)),0)</f>
        <v>8</v>
      </c>
      <c r="J11" s="88" t="str">
        <f>IF(VLOOKUP(A11,'⚪设计'!$A$219:$G$238,5,FALSE)="","",VLOOKUP(VLOOKUP(A11,'⚪设计'!$A$219:$G$238,5,FALSE),'⚪设计'!$B$85:$D$101,2,FALSE))</f>
        <v>ResUnit_ZhongZi1</v>
      </c>
      <c r="K11" s="88">
        <f t="shared" si="1"/>
        <v>6</v>
      </c>
      <c r="L11" s="7">
        <f>'⚪设计'!I227</f>
        <v>3</v>
      </c>
      <c r="M11" s="88">
        <f>IF(J11="",0,ROUND(VLOOKUP($A11,'⚪设计'!$A$219:$B$238,2,FALSE)*$B11/SUM(IF($E11="",0,VLOOKUP($E11,'⚪设计'!$C$85:$E$101,3,FALSE))*$F11,IF($J11="",0,VLOOKUP($J11,'⚪设计'!$C$85:$E$101,3,FALSE))*$K11,IF($O11="",0,VLOOKUP($O11,'⚪设计'!$C$85:$E$101,3,FALSE))*$P11,IF($T11="",0,VLOOKUP($T11,'⚪设计'!$C$85:$E$101,3,FALSE))*$U11)*VLOOKUP(J11,'⚪设计'!$C$85:$E$101,3,FALSE),0))</f>
        <v>3682</v>
      </c>
      <c r="N11" s="88">
        <f>ROUND(战斗节奏!$B$3/SUM(IF(线下模式!$E11="",0,VLOOKUP(线下模式!$E11,'⚪设计'!$C$85:$G$101,4,FALSE)*线下模式!$F11),IF(线下模式!$J11="",0,VLOOKUP(线下模式!$J11,'⚪设计'!$C$85:$G$101,4,FALSE)*线下模式!$K11),IF(线下模式!$O11="",0,VLOOKUP(线下模式!$O11,'⚪设计'!$C$85:$G$101,4,FALSE)*线下模式!$P11),IF(线下模式!$T11="",0,VLOOKUP(线下模式!$T11,'⚪设计'!$C$85:$G$101,4,FALSE)*线下模式!$U11))*IF(J11="",0,VLOOKUP(J11,'⚪设计'!$C$85:$G$101,4,FALSE)),0)</f>
        <v>8</v>
      </c>
      <c r="O11" s="71" t="str">
        <f>IF(VLOOKUP(A11,'⚪设计'!$A$219:$G$238,6,FALSE)="","",VLOOKUP(VLOOKUP(A11,'⚪设计'!$A$219:$G$238,6,FALSE),'⚪设计'!$B$85:$D$101,2,FALSE))</f>
        <v/>
      </c>
      <c r="P11" s="88">
        <f t="shared" si="2"/>
        <v>0</v>
      </c>
      <c r="Q11" s="7">
        <f>'⚪设计'!J227</f>
        <v>0</v>
      </c>
      <c r="R11" s="88">
        <f>IF(O11="",0,ROUND(VLOOKUP($A11,'⚪设计'!$A$219:$B$238,2,FALSE)*$B11/SUM(IF($E11="",0,VLOOKUP($E11,'⚪设计'!$C$85:$E$101,3,FALSE))*$F11,IF($J11="",0,VLOOKUP($J11,'⚪设计'!$C$85:$E$101,3,FALSE))*$K11,IF($O11="",0,VLOOKUP($O11,'⚪设计'!$C$85:$E$101,3,FALSE))*$P11,IF($T11="",0,VLOOKUP($T11,'⚪设计'!$C$85:$E$101,3,FALSE))*$U11)*VLOOKUP(O11,'⚪设计'!$C$85:$E$101,3,FALSE),0))</f>
        <v>0</v>
      </c>
      <c r="S11" s="88">
        <f>ROUND(战斗节奏!$B$3/SUM(IF(线下模式!$E11="",0,VLOOKUP(线下模式!$E11,'⚪设计'!$C$85:$G$101,4,FALSE)*线下模式!$F11),IF(线下模式!$J11="",0,VLOOKUP(线下模式!$J11,'⚪设计'!$C$85:$G$101,4,FALSE)*线下模式!$K11),IF(线下模式!$O11="",0,VLOOKUP(线下模式!$O11,'⚪设计'!$C$85:$G$101,4,FALSE)*线下模式!$P11),IF(线下模式!$T11="",0,VLOOKUP(线下模式!$T11,'⚪设计'!$C$85:$G$101,4,FALSE)*线下模式!$U11))*IF(O11="",0,VLOOKUP(O11,'⚪设计'!$C$85:$G$101,4,FALSE)),0)</f>
        <v>0</v>
      </c>
      <c r="T11" s="88" t="str">
        <f>IF(VLOOKUP(A11,'⚪设计'!$A$219:$G$238,7,FALSE)="","",VLOOKUP(VLOOKUP(A11,'⚪设计'!$A$219:$G$238,7,FALSE),'⚪设计'!$B$85:$D$101,2,FALSE))</f>
        <v/>
      </c>
      <c r="U11" s="88">
        <f t="shared" si="3"/>
        <v>0</v>
      </c>
      <c r="V11" s="7">
        <f>'⚪设计'!K227</f>
        <v>0</v>
      </c>
      <c r="W11" s="88">
        <f>IF(T11="",0,ROUND(VLOOKUP($A11,'⚪设计'!$A$219:$B$238,2,FALSE)*$B11/SUM(IF($E11="",0,VLOOKUP($E11,'⚪设计'!$C$85:$E$101,3,FALSE))*$F11,IF($J11="",0,VLOOKUP($J11,'⚪设计'!$C$85:$E$101,3,FALSE))*$K11,IF($O11="",0,VLOOKUP($O11,'⚪设计'!$C$85:$E$101,3,FALSE))*$P11,IF($T11="",0,VLOOKUP($T11,'⚪设计'!$C$85:$E$101,3,FALSE))*$U11)*VLOOKUP(T11,'⚪设计'!$C$85:$E$101,3,FALSE),0))</f>
        <v>0</v>
      </c>
      <c r="X11" s="88">
        <f>ROUND(战斗节奏!$B$3/SUM(IF(线下模式!$E11="",0,VLOOKUP(线下模式!$E11,'⚪设计'!$C$85:$G$101,4,FALSE)*线下模式!$F11),IF(线下模式!$J11="",0,VLOOKUP(线下模式!$J11,'⚪设计'!$C$85:$G$101,4,FALSE)*线下模式!$K11),IF(线下模式!$O11="",0,VLOOKUP(线下模式!$O11,'⚪设计'!$C$85:$G$101,4,FALSE)*线下模式!$P11),IF(线下模式!$T11="",0,VLOOKUP(线下模式!$T11,'⚪设计'!$C$85:$G$101,4,FALSE)*线下模式!$U11))*IF(T11="",0,VLOOKUP(T11,'⚪设计'!$C$85:$G$101,4,FALSE)),0)</f>
        <v>0</v>
      </c>
    </row>
    <row r="12" spans="1:24" x14ac:dyDescent="0.2">
      <c r="A12" s="84">
        <v>10</v>
      </c>
      <c r="B12" s="88">
        <f>MAX(MIN(战斗节奏!$C$3-INT(A12/'⚪设计'!$C$55),MOD(A12,'⚪设计'!$C$55)),0)*'⚪设计'!$C$79*防御塔!$C$2+MIN(INT(A12/'⚪设计'!$C$55),战斗节奏!$C$3)*'⚪设计'!$C$80*防御塔!$C$2</f>
        <v>11700</v>
      </c>
      <c r="C12" s="7">
        <v>1.45</v>
      </c>
      <c r="D12" s="7">
        <v>19</v>
      </c>
      <c r="E12" s="71" t="str">
        <f>IF(VLOOKUP(A12,'⚪设计'!$A$219:$G$238,4,FALSE)="","",VLOOKUP(VLOOKUP(A12,'⚪设计'!$A$219:$G$238,4,FALSE),'⚪设计'!$B$85:$D$101,2,FALSE))</f>
        <v>ResUnit_ZhongZi1</v>
      </c>
      <c r="F12" s="88">
        <f t="shared" si="0"/>
        <v>6</v>
      </c>
      <c r="G12" s="7">
        <f>'⚪设计'!H228</f>
        <v>3</v>
      </c>
      <c r="H12" s="88">
        <f>IF(E12="",0,ROUND(VLOOKUP($A12,'⚪设计'!$A$219:$B$238,2,FALSE)*$B12/SUM(IF($E12="",0,VLOOKUP($E12,'⚪设计'!$C$85:$E$101,3,FALSE))*$F12,IF($J12="",0,VLOOKUP($J12,'⚪设计'!$C$85:$E$101,3,FALSE))*$K12,IF($O12="",0,VLOOKUP($O12,'⚪设计'!$C$85:$E$101,3,FALSE))*$P12,IF($T12="",0,VLOOKUP($T12,'⚪设计'!$C$85:$E$101,3,FALSE))*$U12)*VLOOKUP(E12,'⚪设计'!$C$85:$E$101,3,FALSE),0))</f>
        <v>39257</v>
      </c>
      <c r="I12" s="88">
        <f>ROUND(战斗节奏!$B$3/SUM(IF(线下模式!$E12="",0,VLOOKUP(线下模式!$E12,'⚪设计'!$C$85:$G$101,4,FALSE)*线下模式!$F12),IF(线下模式!$J12="",0,VLOOKUP(线下模式!$J12,'⚪设计'!$C$85:$G$101,4,FALSE)*线下模式!$K12),IF(线下模式!$O12="",0,VLOOKUP(线下模式!$O12,'⚪设计'!$C$85:$G$101,4,FALSE)*线下模式!$P12),IF(线下模式!$T12="",0,VLOOKUP(线下模式!$T12,'⚪设计'!$C$85:$G$101,4,FALSE)*线下模式!$U12))*IF(E12="",0,VLOOKUP(E12,'⚪设计'!$C$85:$G$101,4,FALSE)),0)</f>
        <v>45</v>
      </c>
      <c r="J12" s="88" t="str">
        <f>IF(VLOOKUP(A12,'⚪设计'!$A$219:$G$238,5,FALSE)="","",VLOOKUP(VLOOKUP(A12,'⚪设计'!$A$219:$G$238,5,FALSE),'⚪设计'!$B$85:$D$101,2,FALSE))</f>
        <v>ResUnit_ZhiZhu3</v>
      </c>
      <c r="K12" s="88">
        <f t="shared" si="1"/>
        <v>1</v>
      </c>
      <c r="L12" s="7">
        <f>'⚪设计'!I228</f>
        <v>0</v>
      </c>
      <c r="M12" s="88">
        <f>IF(J12="",0,ROUND(VLOOKUP($A12,'⚪设计'!$A$219:$B$238,2,FALSE)*$B12/SUM(IF($E12="",0,VLOOKUP($E12,'⚪设计'!$C$85:$E$101,3,FALSE))*$F12,IF($J12="",0,VLOOKUP($J12,'⚪设计'!$C$85:$E$101,3,FALSE))*$K12,IF($O12="",0,VLOOKUP($O12,'⚪设计'!$C$85:$E$101,3,FALSE))*$P12,IF($T12="",0,VLOOKUP($T12,'⚪设计'!$C$85:$E$101,3,FALSE))*$U12)*VLOOKUP(J12,'⚪设计'!$C$85:$E$101,3,FALSE),0))</f>
        <v>261711</v>
      </c>
      <c r="N12" s="88">
        <f>ROUND(战斗节奏!$B$3/SUM(IF(线下模式!$E12="",0,VLOOKUP(线下模式!$E12,'⚪设计'!$C$85:$G$101,4,FALSE)*线下模式!$F12),IF(线下模式!$J12="",0,VLOOKUP(线下模式!$J12,'⚪设计'!$C$85:$G$101,4,FALSE)*线下模式!$K12),IF(线下模式!$O12="",0,VLOOKUP(线下模式!$O12,'⚪设计'!$C$85:$G$101,4,FALSE)*线下模式!$P12),IF(线下模式!$T12="",0,VLOOKUP(线下模式!$T12,'⚪设计'!$C$85:$G$101,4,FALSE)*线下模式!$U12))*IF(J12="",0,VLOOKUP(J12,'⚪设计'!$C$85:$G$101,4,FALSE)),0)</f>
        <v>450</v>
      </c>
      <c r="O12" s="71" t="str">
        <f>IF(VLOOKUP(A12,'⚪设计'!$A$219:$G$238,6,FALSE)="","",VLOOKUP(VLOOKUP(A12,'⚪设计'!$A$219:$G$238,6,FALSE),'⚪设计'!$B$85:$D$101,2,FALSE))</f>
        <v/>
      </c>
      <c r="P12" s="88">
        <f t="shared" si="2"/>
        <v>0</v>
      </c>
      <c r="Q12" s="7">
        <f>'⚪设计'!J228</f>
        <v>0</v>
      </c>
      <c r="R12" s="88">
        <f>IF(O12="",0,ROUND(VLOOKUP($A12,'⚪设计'!$A$219:$B$238,2,FALSE)*$B12/SUM(IF($E12="",0,VLOOKUP($E12,'⚪设计'!$C$85:$E$101,3,FALSE))*$F12,IF($J12="",0,VLOOKUP($J12,'⚪设计'!$C$85:$E$101,3,FALSE))*$K12,IF($O12="",0,VLOOKUP($O12,'⚪设计'!$C$85:$E$101,3,FALSE))*$P12,IF($T12="",0,VLOOKUP($T12,'⚪设计'!$C$85:$E$101,3,FALSE))*$U12)*VLOOKUP(O12,'⚪设计'!$C$85:$E$101,3,FALSE),0))</f>
        <v>0</v>
      </c>
      <c r="S12" s="88">
        <f>ROUND(战斗节奏!$B$3/SUM(IF(线下模式!$E12="",0,VLOOKUP(线下模式!$E12,'⚪设计'!$C$85:$G$101,4,FALSE)*线下模式!$F12),IF(线下模式!$J12="",0,VLOOKUP(线下模式!$J12,'⚪设计'!$C$85:$G$101,4,FALSE)*线下模式!$K12),IF(线下模式!$O12="",0,VLOOKUP(线下模式!$O12,'⚪设计'!$C$85:$G$101,4,FALSE)*线下模式!$P12),IF(线下模式!$T12="",0,VLOOKUP(线下模式!$T12,'⚪设计'!$C$85:$G$101,4,FALSE)*线下模式!$U12))*IF(O12="",0,VLOOKUP(O12,'⚪设计'!$C$85:$G$101,4,FALSE)),0)</f>
        <v>0</v>
      </c>
      <c r="T12" s="88" t="str">
        <f>IF(VLOOKUP(A12,'⚪设计'!$A$219:$G$238,7,FALSE)="","",VLOOKUP(VLOOKUP(A12,'⚪设计'!$A$219:$G$238,7,FALSE),'⚪设计'!$B$85:$D$101,2,FALSE))</f>
        <v/>
      </c>
      <c r="U12" s="88">
        <f t="shared" si="3"/>
        <v>0</v>
      </c>
      <c r="V12" s="7">
        <f>'⚪设计'!K228</f>
        <v>0</v>
      </c>
      <c r="W12" s="88">
        <f>IF(T12="",0,ROUND(VLOOKUP($A12,'⚪设计'!$A$219:$B$238,2,FALSE)*$B12/SUM(IF($E12="",0,VLOOKUP($E12,'⚪设计'!$C$85:$E$101,3,FALSE))*$F12,IF($J12="",0,VLOOKUP($J12,'⚪设计'!$C$85:$E$101,3,FALSE))*$K12,IF($O12="",0,VLOOKUP($O12,'⚪设计'!$C$85:$E$101,3,FALSE))*$P12,IF($T12="",0,VLOOKUP($T12,'⚪设计'!$C$85:$E$101,3,FALSE))*$U12)*VLOOKUP(T12,'⚪设计'!$C$85:$E$101,3,FALSE),0))</f>
        <v>0</v>
      </c>
      <c r="X12" s="88">
        <f>ROUND(战斗节奏!$B$3/SUM(IF(线下模式!$E12="",0,VLOOKUP(线下模式!$E12,'⚪设计'!$C$85:$G$101,4,FALSE)*线下模式!$F12),IF(线下模式!$J12="",0,VLOOKUP(线下模式!$J12,'⚪设计'!$C$85:$G$101,4,FALSE)*线下模式!$K12),IF(线下模式!$O12="",0,VLOOKUP(线下模式!$O12,'⚪设计'!$C$85:$G$101,4,FALSE)*线下模式!$P12),IF(线下模式!$T12="",0,VLOOKUP(线下模式!$T12,'⚪设计'!$C$85:$G$101,4,FALSE)*线下模式!$U12))*IF(T12="",0,VLOOKUP(T12,'⚪设计'!$C$85:$G$101,4,FALSE)),0)</f>
        <v>0</v>
      </c>
    </row>
    <row r="13" spans="1:24" x14ac:dyDescent="0.2">
      <c r="A13" s="84">
        <v>11</v>
      </c>
      <c r="B13" s="88">
        <f>MAX(MIN(战斗节奏!$C$3-INT(A13/'⚪设计'!$C$55),MOD(A13,'⚪设计'!$C$55)),0)*'⚪设计'!$C$79*防御塔!$C$2+MIN(INT(A13/'⚪设计'!$C$55),战斗节奏!$C$3)*'⚪设计'!$C$80*防御塔!$C$2</f>
        <v>12600</v>
      </c>
      <c r="C13" s="7">
        <v>1.5</v>
      </c>
      <c r="D13" s="7">
        <v>20</v>
      </c>
      <c r="E13" s="71" t="str">
        <f>IF(VLOOKUP(A13,'⚪设计'!$A$219:$G$238,4,FALSE)="","",VLOOKUP(VLOOKUP(A13,'⚪设计'!$A$219:$G$238,4,FALSE),'⚪设计'!$B$85:$D$101,2,FALSE))</f>
        <v>ResUnit_ZhongZi1</v>
      </c>
      <c r="F13" s="88">
        <f t="shared" si="0"/>
        <v>10</v>
      </c>
      <c r="G13" s="7">
        <f>'⚪设计'!H229</f>
        <v>2</v>
      </c>
      <c r="H13" s="88">
        <f>IF(E13="",0,ROUND(VLOOKUP($A13,'⚪设计'!$A$219:$B$238,2,FALSE)*$B13/SUM(IF($E13="",0,VLOOKUP($E13,'⚪设计'!$C$85:$E$101,3,FALSE))*$F13,IF($J13="",0,VLOOKUP($J13,'⚪设计'!$C$85:$E$101,3,FALSE))*$K13,IF($O13="",0,VLOOKUP($O13,'⚪设计'!$C$85:$E$101,3,FALSE))*$P13,IF($T13="",0,VLOOKUP($T13,'⚪设计'!$C$85:$E$101,3,FALSE))*$U13)*VLOOKUP(E13,'⚪设计'!$C$85:$E$101,3,FALSE),0))</f>
        <v>47250</v>
      </c>
      <c r="I13" s="88">
        <f>ROUND(战斗节奏!$B$3/SUM(IF(线下模式!$E13="",0,VLOOKUP(线下模式!$E13,'⚪设计'!$C$85:$G$101,4,FALSE)*线下模式!$F13),IF(线下模式!$J13="",0,VLOOKUP(线下模式!$J13,'⚪设计'!$C$85:$G$101,4,FALSE)*线下模式!$K13),IF(线下模式!$O13="",0,VLOOKUP(线下模式!$O13,'⚪设计'!$C$85:$G$101,4,FALSE)*线下模式!$P13),IF(线下模式!$T13="",0,VLOOKUP(线下模式!$T13,'⚪设计'!$C$85:$G$101,4,FALSE)*线下模式!$U13))*IF(E13="",0,VLOOKUP(E13,'⚪设计'!$C$85:$G$101,4,FALSE)),0)</f>
        <v>69</v>
      </c>
      <c r="J13" s="88" t="str">
        <f>IF(VLOOKUP(A13,'⚪设计'!$A$219:$G$238,5,FALSE)="","",VLOOKUP(VLOOKUP(A13,'⚪设计'!$A$219:$G$238,5,FALSE),'⚪设计'!$B$85:$D$101,2,FALSE))</f>
        <v>ResUnit_ZhiZhu2</v>
      </c>
      <c r="K13" s="88">
        <f t="shared" si="1"/>
        <v>1</v>
      </c>
      <c r="L13" s="7">
        <f>'⚪设计'!I229</f>
        <v>0</v>
      </c>
      <c r="M13" s="88">
        <f>IF(J13="",0,ROUND(VLOOKUP($A13,'⚪设计'!$A$219:$B$238,2,FALSE)*$B13/SUM(IF($E13="",0,VLOOKUP($E13,'⚪设计'!$C$85:$E$101,3,FALSE))*$F13,IF($J13="",0,VLOOKUP($J13,'⚪设计'!$C$85:$E$101,3,FALSE))*$K13,IF($O13="",0,VLOOKUP($O13,'⚪设计'!$C$85:$E$101,3,FALSE))*$P13,IF($T13="",0,VLOOKUP($T13,'⚪设计'!$C$85:$E$101,3,FALSE))*$U13)*VLOOKUP(J13,'⚪设计'!$C$85:$E$101,3,FALSE),0))</f>
        <v>31500</v>
      </c>
      <c r="N13" s="88">
        <f>ROUND(战斗节奏!$B$3/SUM(IF(线下模式!$E13="",0,VLOOKUP(线下模式!$E13,'⚪设计'!$C$85:$G$101,4,FALSE)*线下模式!$F13),IF(线下模式!$J13="",0,VLOOKUP(线下模式!$J13,'⚪设计'!$C$85:$G$101,4,FALSE)*线下模式!$K13),IF(线下模式!$O13="",0,VLOOKUP(线下模式!$O13,'⚪设计'!$C$85:$G$101,4,FALSE)*线下模式!$P13),IF(线下模式!$T13="",0,VLOOKUP(线下模式!$T13,'⚪设计'!$C$85:$G$101,4,FALSE)*线下模式!$U13))*IF(J13="",0,VLOOKUP(J13,'⚪设计'!$C$85:$G$101,4,FALSE)),0)</f>
        <v>34</v>
      </c>
      <c r="O13" s="71" t="str">
        <f>IF(VLOOKUP(A13,'⚪设计'!$A$219:$G$238,6,FALSE)="","",VLOOKUP(VLOOKUP(A13,'⚪设计'!$A$219:$G$238,6,FALSE),'⚪设计'!$B$85:$D$101,2,FALSE))</f>
        <v/>
      </c>
      <c r="P13" s="88">
        <f t="shared" si="2"/>
        <v>0</v>
      </c>
      <c r="Q13" s="7">
        <f>'⚪设计'!J229</f>
        <v>0</v>
      </c>
      <c r="R13" s="88">
        <f>IF(O13="",0,ROUND(VLOOKUP($A13,'⚪设计'!$A$219:$B$238,2,FALSE)*$B13/SUM(IF($E13="",0,VLOOKUP($E13,'⚪设计'!$C$85:$E$101,3,FALSE))*$F13,IF($J13="",0,VLOOKUP($J13,'⚪设计'!$C$85:$E$101,3,FALSE))*$K13,IF($O13="",0,VLOOKUP($O13,'⚪设计'!$C$85:$E$101,3,FALSE))*$P13,IF($T13="",0,VLOOKUP($T13,'⚪设计'!$C$85:$E$101,3,FALSE))*$U13)*VLOOKUP(O13,'⚪设计'!$C$85:$E$101,3,FALSE),0))</f>
        <v>0</v>
      </c>
      <c r="S13" s="88">
        <f>ROUND(战斗节奏!$B$3/SUM(IF(线下模式!$E13="",0,VLOOKUP(线下模式!$E13,'⚪设计'!$C$85:$G$101,4,FALSE)*线下模式!$F13),IF(线下模式!$J13="",0,VLOOKUP(线下模式!$J13,'⚪设计'!$C$85:$G$101,4,FALSE)*线下模式!$K13),IF(线下模式!$O13="",0,VLOOKUP(线下模式!$O13,'⚪设计'!$C$85:$G$101,4,FALSE)*线下模式!$P13),IF(线下模式!$T13="",0,VLOOKUP(线下模式!$T13,'⚪设计'!$C$85:$G$101,4,FALSE)*线下模式!$U13))*IF(O13="",0,VLOOKUP(O13,'⚪设计'!$C$85:$G$101,4,FALSE)),0)</f>
        <v>0</v>
      </c>
      <c r="T13" s="88" t="str">
        <f>IF(VLOOKUP(A13,'⚪设计'!$A$219:$G$238,7,FALSE)="","",VLOOKUP(VLOOKUP(A13,'⚪设计'!$A$219:$G$238,7,FALSE),'⚪设计'!$B$85:$D$101,2,FALSE))</f>
        <v/>
      </c>
      <c r="U13" s="88">
        <f t="shared" si="3"/>
        <v>0</v>
      </c>
      <c r="V13" s="7">
        <f>'⚪设计'!K229</f>
        <v>0</v>
      </c>
      <c r="W13" s="88">
        <f>IF(T13="",0,ROUND(VLOOKUP($A13,'⚪设计'!$A$219:$B$238,2,FALSE)*$B13/SUM(IF($E13="",0,VLOOKUP($E13,'⚪设计'!$C$85:$E$101,3,FALSE))*$F13,IF($J13="",0,VLOOKUP($J13,'⚪设计'!$C$85:$E$101,3,FALSE))*$K13,IF($O13="",0,VLOOKUP($O13,'⚪设计'!$C$85:$E$101,3,FALSE))*$P13,IF($T13="",0,VLOOKUP($T13,'⚪设计'!$C$85:$E$101,3,FALSE))*$U13)*VLOOKUP(T13,'⚪设计'!$C$85:$E$101,3,FALSE),0))</f>
        <v>0</v>
      </c>
      <c r="X13" s="88">
        <f>ROUND(战斗节奏!$B$3/SUM(IF(线下模式!$E13="",0,VLOOKUP(线下模式!$E13,'⚪设计'!$C$85:$G$101,4,FALSE)*线下模式!$F13),IF(线下模式!$J13="",0,VLOOKUP(线下模式!$J13,'⚪设计'!$C$85:$G$101,4,FALSE)*线下模式!$K13),IF(线下模式!$O13="",0,VLOOKUP(线下模式!$O13,'⚪设计'!$C$85:$G$101,4,FALSE)*线下模式!$P13),IF(线下模式!$T13="",0,VLOOKUP(线下模式!$T13,'⚪设计'!$C$85:$G$101,4,FALSE)*线下模式!$U13))*IF(T13="",0,VLOOKUP(T13,'⚪设计'!$C$85:$G$101,4,FALSE)),0)</f>
        <v>0</v>
      </c>
    </row>
    <row r="14" spans="1:24" x14ac:dyDescent="0.2">
      <c r="A14" s="84">
        <v>12</v>
      </c>
      <c r="B14" s="88">
        <f>MAX(MIN(战斗节奏!$C$3-INT(A14/'⚪设计'!$C$55),MOD(A14,'⚪设计'!$C$55)),0)*'⚪设计'!$C$79*防御塔!$C$2+MIN(INT(A14/'⚪设计'!$C$55),战斗节奏!$C$3)*'⚪设计'!$C$80*防御塔!$C$2</f>
        <v>14400</v>
      </c>
      <c r="C14" s="7">
        <v>1.55</v>
      </c>
      <c r="D14" s="7">
        <v>21</v>
      </c>
      <c r="E14" s="71" t="str">
        <f>IF(VLOOKUP(A14,'⚪设计'!$A$219:$G$238,4,FALSE)="","",VLOOKUP(VLOOKUP(A14,'⚪设计'!$A$219:$G$238,4,FALSE),'⚪设计'!$B$85:$D$101,2,FALSE))</f>
        <v>ResUnit_Gui1</v>
      </c>
      <c r="F14" s="88">
        <f t="shared" si="0"/>
        <v>14</v>
      </c>
      <c r="G14" s="7">
        <f>'⚪设计'!H230</f>
        <v>1.5</v>
      </c>
      <c r="H14" s="88">
        <f>IF(E14="",0,ROUND(VLOOKUP($A14,'⚪设计'!$A$219:$B$238,2,FALSE)*$B14/SUM(IF($E14="",0,VLOOKUP($E14,'⚪设计'!$C$85:$E$101,3,FALSE))*$F14,IF($J14="",0,VLOOKUP($J14,'⚪设计'!$C$85:$E$101,3,FALSE))*$K14,IF($O14="",0,VLOOKUP($O14,'⚪设计'!$C$85:$E$101,3,FALSE))*$P14,IF($T14="",0,VLOOKUP($T14,'⚪设计'!$C$85:$E$101,3,FALSE))*$U14)*VLOOKUP(E14,'⚪设计'!$C$85:$E$101,3,FALSE),0))</f>
        <v>46286</v>
      </c>
      <c r="I14" s="88">
        <f>ROUND(战斗节奏!$B$3/SUM(IF(线下模式!$E14="",0,VLOOKUP(线下模式!$E14,'⚪设计'!$C$85:$G$101,4,FALSE)*线下模式!$F14),IF(线下模式!$J14="",0,VLOOKUP(线下模式!$J14,'⚪设计'!$C$85:$G$101,4,FALSE)*线下模式!$K14),IF(线下模式!$O14="",0,VLOOKUP(线下模式!$O14,'⚪设计'!$C$85:$G$101,4,FALSE)*线下模式!$P14),IF(线下模式!$T14="",0,VLOOKUP(线下模式!$T14,'⚪设计'!$C$85:$G$101,4,FALSE)*线下模式!$U14))*IF(E14="",0,VLOOKUP(E14,'⚪设计'!$C$85:$G$101,4,FALSE)),0)</f>
        <v>51</v>
      </c>
      <c r="J14" s="88" t="str">
        <f>IF(VLOOKUP(A14,'⚪设计'!$A$219:$G$238,5,FALSE)="","",VLOOKUP(VLOOKUP(A14,'⚪设计'!$A$219:$G$238,5,FALSE),'⚪设计'!$B$85:$D$101,2,FALSE))</f>
        <v/>
      </c>
      <c r="K14" s="88">
        <f t="shared" si="1"/>
        <v>0</v>
      </c>
      <c r="L14" s="7">
        <f>'⚪设计'!I230</f>
        <v>0</v>
      </c>
      <c r="M14" s="88">
        <f>IF(J14="",0,ROUND(VLOOKUP($A14,'⚪设计'!$A$219:$B$238,2,FALSE)*$B14/SUM(IF($E14="",0,VLOOKUP($E14,'⚪设计'!$C$85:$E$101,3,FALSE))*$F14,IF($J14="",0,VLOOKUP($J14,'⚪设计'!$C$85:$E$101,3,FALSE))*$K14,IF($O14="",0,VLOOKUP($O14,'⚪设计'!$C$85:$E$101,3,FALSE))*$P14,IF($T14="",0,VLOOKUP($T14,'⚪设计'!$C$85:$E$101,3,FALSE))*$U14)*VLOOKUP(J14,'⚪设计'!$C$85:$E$101,3,FALSE),0))</f>
        <v>0</v>
      </c>
      <c r="N14" s="88">
        <f>ROUND(战斗节奏!$B$3/SUM(IF(线下模式!$E14="",0,VLOOKUP(线下模式!$E14,'⚪设计'!$C$85:$G$101,4,FALSE)*线下模式!$F14),IF(线下模式!$J14="",0,VLOOKUP(线下模式!$J14,'⚪设计'!$C$85:$G$101,4,FALSE)*线下模式!$K14),IF(线下模式!$O14="",0,VLOOKUP(线下模式!$O14,'⚪设计'!$C$85:$G$101,4,FALSE)*线下模式!$P14),IF(线下模式!$T14="",0,VLOOKUP(线下模式!$T14,'⚪设计'!$C$85:$G$101,4,FALSE)*线下模式!$U14))*IF(J14="",0,VLOOKUP(J14,'⚪设计'!$C$85:$G$101,4,FALSE)),0)</f>
        <v>0</v>
      </c>
      <c r="O14" s="71" t="str">
        <f>IF(VLOOKUP(A14,'⚪设计'!$A$219:$G$238,6,FALSE)="","",VLOOKUP(VLOOKUP(A14,'⚪设计'!$A$219:$G$238,6,FALSE),'⚪设计'!$B$85:$D$101,2,FALSE))</f>
        <v/>
      </c>
      <c r="P14" s="88">
        <f t="shared" si="2"/>
        <v>0</v>
      </c>
      <c r="Q14" s="7">
        <f>'⚪设计'!J230</f>
        <v>0</v>
      </c>
      <c r="R14" s="88">
        <f>IF(O14="",0,ROUND(VLOOKUP($A14,'⚪设计'!$A$219:$B$238,2,FALSE)*$B14/SUM(IF($E14="",0,VLOOKUP($E14,'⚪设计'!$C$85:$E$101,3,FALSE))*$F14,IF($J14="",0,VLOOKUP($J14,'⚪设计'!$C$85:$E$101,3,FALSE))*$K14,IF($O14="",0,VLOOKUP($O14,'⚪设计'!$C$85:$E$101,3,FALSE))*$P14,IF($T14="",0,VLOOKUP($T14,'⚪设计'!$C$85:$E$101,3,FALSE))*$U14)*VLOOKUP(O14,'⚪设计'!$C$85:$E$101,3,FALSE),0))</f>
        <v>0</v>
      </c>
      <c r="S14" s="88">
        <f>ROUND(战斗节奏!$B$3/SUM(IF(线下模式!$E14="",0,VLOOKUP(线下模式!$E14,'⚪设计'!$C$85:$G$101,4,FALSE)*线下模式!$F14),IF(线下模式!$J14="",0,VLOOKUP(线下模式!$J14,'⚪设计'!$C$85:$G$101,4,FALSE)*线下模式!$K14),IF(线下模式!$O14="",0,VLOOKUP(线下模式!$O14,'⚪设计'!$C$85:$G$101,4,FALSE)*线下模式!$P14),IF(线下模式!$T14="",0,VLOOKUP(线下模式!$T14,'⚪设计'!$C$85:$G$101,4,FALSE)*线下模式!$U14))*IF(O14="",0,VLOOKUP(O14,'⚪设计'!$C$85:$G$101,4,FALSE)),0)</f>
        <v>0</v>
      </c>
      <c r="T14" s="88" t="str">
        <f>IF(VLOOKUP(A14,'⚪设计'!$A$219:$G$238,7,FALSE)="","",VLOOKUP(VLOOKUP(A14,'⚪设计'!$A$219:$G$238,7,FALSE),'⚪设计'!$B$85:$D$101,2,FALSE))</f>
        <v/>
      </c>
      <c r="U14" s="88">
        <f t="shared" si="3"/>
        <v>0</v>
      </c>
      <c r="V14" s="7">
        <f>'⚪设计'!K230</f>
        <v>0</v>
      </c>
      <c r="W14" s="88">
        <f>IF(T14="",0,ROUND(VLOOKUP($A14,'⚪设计'!$A$219:$B$238,2,FALSE)*$B14/SUM(IF($E14="",0,VLOOKUP($E14,'⚪设计'!$C$85:$E$101,3,FALSE))*$F14,IF($J14="",0,VLOOKUP($J14,'⚪设计'!$C$85:$E$101,3,FALSE))*$K14,IF($O14="",0,VLOOKUP($O14,'⚪设计'!$C$85:$E$101,3,FALSE))*$P14,IF($T14="",0,VLOOKUP($T14,'⚪设计'!$C$85:$E$101,3,FALSE))*$U14)*VLOOKUP(T14,'⚪设计'!$C$85:$E$101,3,FALSE),0))</f>
        <v>0</v>
      </c>
      <c r="X14" s="88">
        <f>ROUND(战斗节奏!$B$3/SUM(IF(线下模式!$E14="",0,VLOOKUP(线下模式!$E14,'⚪设计'!$C$85:$G$101,4,FALSE)*线下模式!$F14),IF(线下模式!$J14="",0,VLOOKUP(线下模式!$J14,'⚪设计'!$C$85:$G$101,4,FALSE)*线下模式!$K14),IF(线下模式!$O14="",0,VLOOKUP(线下模式!$O14,'⚪设计'!$C$85:$G$101,4,FALSE)*线下模式!$P14),IF(线下模式!$T14="",0,VLOOKUP(线下模式!$T14,'⚪设计'!$C$85:$G$101,4,FALSE)*线下模式!$U14))*IF(T14="",0,VLOOKUP(T14,'⚪设计'!$C$85:$G$101,4,FALSE)),0)</f>
        <v>0</v>
      </c>
    </row>
    <row r="15" spans="1:24" x14ac:dyDescent="0.2">
      <c r="A15" s="84">
        <v>13</v>
      </c>
      <c r="B15" s="88">
        <f>MAX(MIN(战斗节奏!$C$3-INT(A15/'⚪设计'!$C$55),MOD(A15,'⚪设计'!$C$55)),0)*'⚪设计'!$C$79*防御塔!$C$2+MIN(INT(A15/'⚪设计'!$C$55),战斗节奏!$C$3)*'⚪设计'!$C$80*防御塔!$C$2</f>
        <v>15300</v>
      </c>
      <c r="C15" s="7">
        <v>1.6</v>
      </c>
      <c r="D15" s="7">
        <v>22</v>
      </c>
      <c r="E15" s="71" t="str">
        <f>IF(VLOOKUP(A15,'⚪设计'!$A$219:$G$238,4,FALSE)="","",VLOOKUP(VLOOKUP(A15,'⚪设计'!$A$219:$G$238,4,FALSE),'⚪设计'!$B$85:$D$101,2,FALSE))</f>
        <v>ResUnit_Gui1</v>
      </c>
      <c r="F15" s="88">
        <f t="shared" si="0"/>
        <v>15</v>
      </c>
      <c r="G15" s="7">
        <f>'⚪设计'!H231</f>
        <v>1.5</v>
      </c>
      <c r="H15" s="88">
        <f>IF(E15="",0,ROUND(VLOOKUP($A15,'⚪设计'!$A$219:$B$238,2,FALSE)*$B15/SUM(IF($E15="",0,VLOOKUP($E15,'⚪设计'!$C$85:$E$101,3,FALSE))*$F15,IF($J15="",0,VLOOKUP($J15,'⚪设计'!$C$85:$E$101,3,FALSE))*$K15,IF($O15="",0,VLOOKUP($O15,'⚪设计'!$C$85:$E$101,3,FALSE))*$P15,IF($T15="",0,VLOOKUP($T15,'⚪设计'!$C$85:$E$101,3,FALSE))*$U15)*VLOOKUP(E15,'⚪设计'!$C$85:$E$101,3,FALSE),0))</f>
        <v>17000</v>
      </c>
      <c r="I15" s="88">
        <f>ROUND(战斗节奏!$B$3/SUM(IF(线下模式!$E15="",0,VLOOKUP(线下模式!$E15,'⚪设计'!$C$85:$G$101,4,FALSE)*线下模式!$F15),IF(线下模式!$J15="",0,VLOOKUP(线下模式!$J15,'⚪设计'!$C$85:$G$101,4,FALSE)*线下模式!$K15),IF(线下模式!$O15="",0,VLOOKUP(线下模式!$O15,'⚪设计'!$C$85:$G$101,4,FALSE)*线下模式!$P15),IF(线下模式!$T15="",0,VLOOKUP(线下模式!$T15,'⚪设计'!$C$85:$G$101,4,FALSE)*线下模式!$U15))*IF(E15="",0,VLOOKUP(E15,'⚪设计'!$C$85:$G$101,4,FALSE)),0)</f>
        <v>24</v>
      </c>
      <c r="J15" s="88" t="str">
        <f>IF(VLOOKUP(A15,'⚪设计'!$A$219:$G$238,5,FALSE)="","",VLOOKUP(VLOOKUP(A15,'⚪设计'!$A$219:$G$238,5,FALSE),'⚪设计'!$B$85:$D$101,2,FALSE))</f>
        <v>ResUnit_ZhiZhu2</v>
      </c>
      <c r="K15" s="88">
        <f t="shared" si="1"/>
        <v>15</v>
      </c>
      <c r="L15" s="7">
        <f>'⚪设计'!I231</f>
        <v>1.5</v>
      </c>
      <c r="M15" s="88">
        <f>IF(J15="",0,ROUND(VLOOKUP($A15,'⚪设计'!$A$219:$B$238,2,FALSE)*$B15/SUM(IF($E15="",0,VLOOKUP($E15,'⚪设计'!$C$85:$E$101,3,FALSE))*$F15,IF($J15="",0,VLOOKUP($J15,'⚪设计'!$C$85:$E$101,3,FALSE))*$K15,IF($O15="",0,VLOOKUP($O15,'⚪设计'!$C$85:$E$101,3,FALSE))*$P15,IF($T15="",0,VLOOKUP($T15,'⚪设计'!$C$85:$E$101,3,FALSE))*$U15)*VLOOKUP(J15,'⚪设计'!$C$85:$E$101,3,FALSE),0))</f>
        <v>34000</v>
      </c>
      <c r="N15" s="88">
        <f>ROUND(战斗节奏!$B$3/SUM(IF(线下模式!$E15="",0,VLOOKUP(线下模式!$E15,'⚪设计'!$C$85:$G$101,4,FALSE)*线下模式!$F15),IF(线下模式!$J15="",0,VLOOKUP(线下模式!$J15,'⚪设计'!$C$85:$G$101,4,FALSE)*线下模式!$K15),IF(线下模式!$O15="",0,VLOOKUP(线下模式!$O15,'⚪设计'!$C$85:$G$101,4,FALSE)*线下模式!$P15),IF(线下模式!$T15="",0,VLOOKUP(线下模式!$T15,'⚪设计'!$C$85:$G$101,4,FALSE)*线下模式!$U15))*IF(J15="",0,VLOOKUP(J15,'⚪设计'!$C$85:$G$101,4,FALSE)),0)</f>
        <v>24</v>
      </c>
      <c r="O15" s="71" t="str">
        <f>IF(VLOOKUP(A15,'⚪设计'!$A$219:$G$238,6,FALSE)="","",VLOOKUP(VLOOKUP(A15,'⚪设计'!$A$219:$G$238,6,FALSE),'⚪设计'!$B$85:$D$101,2,FALSE))</f>
        <v/>
      </c>
      <c r="P15" s="88">
        <f t="shared" si="2"/>
        <v>0</v>
      </c>
      <c r="Q15" s="7">
        <f>'⚪设计'!J231</f>
        <v>0</v>
      </c>
      <c r="R15" s="88">
        <f>IF(O15="",0,ROUND(VLOOKUP($A15,'⚪设计'!$A$219:$B$238,2,FALSE)*$B15/SUM(IF($E15="",0,VLOOKUP($E15,'⚪设计'!$C$85:$E$101,3,FALSE))*$F15,IF($J15="",0,VLOOKUP($J15,'⚪设计'!$C$85:$E$101,3,FALSE))*$K15,IF($O15="",0,VLOOKUP($O15,'⚪设计'!$C$85:$E$101,3,FALSE))*$P15,IF($T15="",0,VLOOKUP($T15,'⚪设计'!$C$85:$E$101,3,FALSE))*$U15)*VLOOKUP(O15,'⚪设计'!$C$85:$E$101,3,FALSE),0))</f>
        <v>0</v>
      </c>
      <c r="S15" s="88">
        <f>ROUND(战斗节奏!$B$3/SUM(IF(线下模式!$E15="",0,VLOOKUP(线下模式!$E15,'⚪设计'!$C$85:$G$101,4,FALSE)*线下模式!$F15),IF(线下模式!$J15="",0,VLOOKUP(线下模式!$J15,'⚪设计'!$C$85:$G$101,4,FALSE)*线下模式!$K15),IF(线下模式!$O15="",0,VLOOKUP(线下模式!$O15,'⚪设计'!$C$85:$G$101,4,FALSE)*线下模式!$P15),IF(线下模式!$T15="",0,VLOOKUP(线下模式!$T15,'⚪设计'!$C$85:$G$101,4,FALSE)*线下模式!$U15))*IF(O15="",0,VLOOKUP(O15,'⚪设计'!$C$85:$G$101,4,FALSE)),0)</f>
        <v>0</v>
      </c>
      <c r="T15" s="88" t="str">
        <f>IF(VLOOKUP(A15,'⚪设计'!$A$219:$G$238,7,FALSE)="","",VLOOKUP(VLOOKUP(A15,'⚪设计'!$A$219:$G$238,7,FALSE),'⚪设计'!$B$85:$D$101,2,FALSE))</f>
        <v/>
      </c>
      <c r="U15" s="88">
        <f t="shared" si="3"/>
        <v>0</v>
      </c>
      <c r="V15" s="7">
        <f>'⚪设计'!K231</f>
        <v>0</v>
      </c>
      <c r="W15" s="88">
        <f>IF(T15="",0,ROUND(VLOOKUP($A15,'⚪设计'!$A$219:$B$238,2,FALSE)*$B15/SUM(IF($E15="",0,VLOOKUP($E15,'⚪设计'!$C$85:$E$101,3,FALSE))*$F15,IF($J15="",0,VLOOKUP($J15,'⚪设计'!$C$85:$E$101,3,FALSE))*$K15,IF($O15="",0,VLOOKUP($O15,'⚪设计'!$C$85:$E$101,3,FALSE))*$P15,IF($T15="",0,VLOOKUP($T15,'⚪设计'!$C$85:$E$101,3,FALSE))*$U15)*VLOOKUP(T15,'⚪设计'!$C$85:$E$101,3,FALSE),0))</f>
        <v>0</v>
      </c>
      <c r="X15" s="88">
        <f>ROUND(战斗节奏!$B$3/SUM(IF(线下模式!$E15="",0,VLOOKUP(线下模式!$E15,'⚪设计'!$C$85:$G$101,4,FALSE)*线下模式!$F15),IF(线下模式!$J15="",0,VLOOKUP(线下模式!$J15,'⚪设计'!$C$85:$G$101,4,FALSE)*线下模式!$K15),IF(线下模式!$O15="",0,VLOOKUP(线下模式!$O15,'⚪设计'!$C$85:$G$101,4,FALSE)*线下模式!$P15),IF(线下模式!$T15="",0,VLOOKUP(线下模式!$T15,'⚪设计'!$C$85:$G$101,4,FALSE)*线下模式!$U15))*IF(T15="",0,VLOOKUP(T15,'⚪设计'!$C$85:$G$101,4,FALSE)),0)</f>
        <v>0</v>
      </c>
    </row>
    <row r="16" spans="1:24" x14ac:dyDescent="0.2">
      <c r="A16" s="84">
        <v>14</v>
      </c>
      <c r="B16" s="88">
        <f>MAX(MIN(战斗节奏!$C$3-INT(A16/'⚪设计'!$C$55),MOD(A16,'⚪设计'!$C$55)),0)*'⚪设计'!$C$79*防御塔!$C$2+MIN(INT(A16/'⚪设计'!$C$55),战斗节奏!$C$3)*'⚪设计'!$C$80*防御塔!$C$2</f>
        <v>16200</v>
      </c>
      <c r="C16" s="7">
        <v>1.65</v>
      </c>
      <c r="D16" s="7">
        <v>23</v>
      </c>
      <c r="E16" s="71" t="str">
        <f>IF(VLOOKUP(A16,'⚪设计'!$A$219:$G$238,4,FALSE)="","",VLOOKUP(VLOOKUP(A16,'⚪设计'!$A$219:$G$238,4,FALSE),'⚪设计'!$B$85:$D$101,2,FALSE))</f>
        <v>ResUnit_Gui1</v>
      </c>
      <c r="F16" s="88">
        <f t="shared" si="0"/>
        <v>31</v>
      </c>
      <c r="G16" s="7">
        <f>'⚪设计'!H232</f>
        <v>0.75</v>
      </c>
      <c r="H16" s="88">
        <f>IF(E16="",0,ROUND(VLOOKUP($A16,'⚪设计'!$A$219:$B$238,2,FALSE)*$B16/SUM(IF($E16="",0,VLOOKUP($E16,'⚪设计'!$C$85:$E$101,3,FALSE))*$F16,IF($J16="",0,VLOOKUP($J16,'⚪设计'!$C$85:$E$101,3,FALSE))*$K16,IF($O16="",0,VLOOKUP($O16,'⚪设计'!$C$85:$E$101,3,FALSE))*$P16,IF($T16="",0,VLOOKUP($T16,'⚪设计'!$C$85:$E$101,3,FALSE))*$U16)*VLOOKUP(E16,'⚪设计'!$C$85:$E$101,3,FALSE),0))</f>
        <v>11278</v>
      </c>
      <c r="I16" s="88">
        <f>ROUND(战斗节奏!$B$3/SUM(IF(线下模式!$E16="",0,VLOOKUP(线下模式!$E16,'⚪设计'!$C$85:$G$101,4,FALSE)*线下模式!$F16),IF(线下模式!$J16="",0,VLOOKUP(线下模式!$J16,'⚪设计'!$C$85:$G$101,4,FALSE)*线下模式!$K16),IF(线下模式!$O16="",0,VLOOKUP(线下模式!$O16,'⚪设计'!$C$85:$G$101,4,FALSE)*线下模式!$P16),IF(线下模式!$T16="",0,VLOOKUP(线下模式!$T16,'⚪设计'!$C$85:$G$101,4,FALSE)*线下模式!$U16))*IF(E16="",0,VLOOKUP(E16,'⚪设计'!$C$85:$G$101,4,FALSE)),0)</f>
        <v>15</v>
      </c>
      <c r="J16" s="88" t="str">
        <f>IF(VLOOKUP(A16,'⚪设计'!$A$219:$G$238,5,FALSE)="","",VLOOKUP(VLOOKUP(A16,'⚪设计'!$A$219:$G$238,5,FALSE),'⚪设计'!$B$85:$D$101,2,FALSE))</f>
        <v>ResUnit_ZhongZi2</v>
      </c>
      <c r="K16" s="88">
        <f t="shared" si="1"/>
        <v>8</v>
      </c>
      <c r="L16" s="7">
        <f>'⚪设计'!I232</f>
        <v>3</v>
      </c>
      <c r="M16" s="88">
        <f>IF(J16="",0,ROUND(VLOOKUP($A16,'⚪设计'!$A$219:$B$238,2,FALSE)*$B16/SUM(IF($E16="",0,VLOOKUP($E16,'⚪设计'!$C$85:$E$101,3,FALSE))*$F16,IF($J16="",0,VLOOKUP($J16,'⚪设计'!$C$85:$E$101,3,FALSE))*$K16,IF($O16="",0,VLOOKUP($O16,'⚪设计'!$C$85:$E$101,3,FALSE))*$P16,IF($T16="",0,VLOOKUP($T16,'⚪设计'!$C$85:$E$101,3,FALSE))*$U16)*VLOOKUP(J16,'⚪设计'!$C$85:$E$101,3,FALSE),0))</f>
        <v>67671</v>
      </c>
      <c r="N16" s="88">
        <f>ROUND(战斗节奏!$B$3/SUM(IF(线下模式!$E16="",0,VLOOKUP(线下模式!$E16,'⚪设计'!$C$85:$G$101,4,FALSE)*线下模式!$F16),IF(线下模式!$J16="",0,VLOOKUP(线下模式!$J16,'⚪设计'!$C$85:$G$101,4,FALSE)*线下模式!$K16),IF(线下模式!$O16="",0,VLOOKUP(线下模式!$O16,'⚪设计'!$C$85:$G$101,4,FALSE)*线下模式!$P16),IF(线下模式!$T16="",0,VLOOKUP(线下模式!$T16,'⚪设计'!$C$85:$G$101,4,FALSE)*线下模式!$U16))*IF(J16="",0,VLOOKUP(J16,'⚪设计'!$C$85:$G$101,4,FALSE)),0)</f>
        <v>31</v>
      </c>
      <c r="O16" s="71" t="str">
        <f>IF(VLOOKUP(A16,'⚪设计'!$A$219:$G$238,6,FALSE)="","",VLOOKUP(VLOOKUP(A16,'⚪设计'!$A$219:$G$238,6,FALSE),'⚪设计'!$B$85:$D$101,2,FALSE))</f>
        <v/>
      </c>
      <c r="P16" s="88">
        <f t="shared" si="2"/>
        <v>0</v>
      </c>
      <c r="Q16" s="7">
        <f>'⚪设计'!J232</f>
        <v>0</v>
      </c>
      <c r="R16" s="88">
        <f>IF(O16="",0,ROUND(VLOOKUP($A16,'⚪设计'!$A$219:$B$238,2,FALSE)*$B16/SUM(IF($E16="",0,VLOOKUP($E16,'⚪设计'!$C$85:$E$101,3,FALSE))*$F16,IF($J16="",0,VLOOKUP($J16,'⚪设计'!$C$85:$E$101,3,FALSE))*$K16,IF($O16="",0,VLOOKUP($O16,'⚪设计'!$C$85:$E$101,3,FALSE))*$P16,IF($T16="",0,VLOOKUP($T16,'⚪设计'!$C$85:$E$101,3,FALSE))*$U16)*VLOOKUP(O16,'⚪设计'!$C$85:$E$101,3,FALSE),0))</f>
        <v>0</v>
      </c>
      <c r="S16" s="88">
        <f>ROUND(战斗节奏!$B$3/SUM(IF(线下模式!$E16="",0,VLOOKUP(线下模式!$E16,'⚪设计'!$C$85:$G$101,4,FALSE)*线下模式!$F16),IF(线下模式!$J16="",0,VLOOKUP(线下模式!$J16,'⚪设计'!$C$85:$G$101,4,FALSE)*线下模式!$K16),IF(线下模式!$O16="",0,VLOOKUP(线下模式!$O16,'⚪设计'!$C$85:$G$101,4,FALSE)*线下模式!$P16),IF(线下模式!$T16="",0,VLOOKUP(线下模式!$T16,'⚪设计'!$C$85:$G$101,4,FALSE)*线下模式!$U16))*IF(O16="",0,VLOOKUP(O16,'⚪设计'!$C$85:$G$101,4,FALSE)),0)</f>
        <v>0</v>
      </c>
      <c r="T16" s="88" t="str">
        <f>IF(VLOOKUP(A16,'⚪设计'!$A$219:$G$238,7,FALSE)="","",VLOOKUP(VLOOKUP(A16,'⚪设计'!$A$219:$G$238,7,FALSE),'⚪设计'!$B$85:$D$101,2,FALSE))</f>
        <v/>
      </c>
      <c r="U16" s="88">
        <f t="shared" si="3"/>
        <v>0</v>
      </c>
      <c r="V16" s="7">
        <f>'⚪设计'!K232</f>
        <v>0</v>
      </c>
      <c r="W16" s="88">
        <f>IF(T16="",0,ROUND(VLOOKUP($A16,'⚪设计'!$A$219:$B$238,2,FALSE)*$B16/SUM(IF($E16="",0,VLOOKUP($E16,'⚪设计'!$C$85:$E$101,3,FALSE))*$F16,IF($J16="",0,VLOOKUP($J16,'⚪设计'!$C$85:$E$101,3,FALSE))*$K16,IF($O16="",0,VLOOKUP($O16,'⚪设计'!$C$85:$E$101,3,FALSE))*$P16,IF($T16="",0,VLOOKUP($T16,'⚪设计'!$C$85:$E$101,3,FALSE))*$U16)*VLOOKUP(T16,'⚪设计'!$C$85:$E$101,3,FALSE),0))</f>
        <v>0</v>
      </c>
      <c r="X16" s="88">
        <f>ROUND(战斗节奏!$B$3/SUM(IF(线下模式!$E16="",0,VLOOKUP(线下模式!$E16,'⚪设计'!$C$85:$G$101,4,FALSE)*线下模式!$F16),IF(线下模式!$J16="",0,VLOOKUP(线下模式!$J16,'⚪设计'!$C$85:$G$101,4,FALSE)*线下模式!$K16),IF(线下模式!$O16="",0,VLOOKUP(线下模式!$O16,'⚪设计'!$C$85:$G$101,4,FALSE)*线下模式!$P16),IF(线下模式!$T16="",0,VLOOKUP(线下模式!$T16,'⚪设计'!$C$85:$G$101,4,FALSE)*线下模式!$U16))*IF(T16="",0,VLOOKUP(T16,'⚪设计'!$C$85:$G$101,4,FALSE)),0)</f>
        <v>0</v>
      </c>
    </row>
    <row r="17" spans="1:24" x14ac:dyDescent="0.2">
      <c r="A17" s="84">
        <v>15</v>
      </c>
      <c r="B17" s="88">
        <f>MAX(MIN(战斗节奏!$C$3-INT(A17/'⚪设计'!$C$55),MOD(A17,'⚪设计'!$C$55)),0)*'⚪设计'!$C$79*防御塔!$C$2+MIN(INT(A17/'⚪设计'!$C$55),战斗节奏!$C$3)*'⚪设计'!$C$80*防御塔!$C$2</f>
        <v>18000</v>
      </c>
      <c r="C17" s="7">
        <v>1.7</v>
      </c>
      <c r="D17" s="7">
        <v>24</v>
      </c>
      <c r="E17" s="71" t="str">
        <f>IF(VLOOKUP(A17,'⚪设计'!$A$219:$G$238,4,FALSE)="","",VLOOKUP(VLOOKUP(A17,'⚪设计'!$A$219:$G$238,4,FALSE),'⚪设计'!$B$85:$D$101,2,FALSE))</f>
        <v>ResUnit_MiFeng2</v>
      </c>
      <c r="F17" s="88">
        <f t="shared" si="0"/>
        <v>120</v>
      </c>
      <c r="G17" s="7">
        <f>'⚪设计'!H233</f>
        <v>0.2</v>
      </c>
      <c r="H17" s="88">
        <f>IF(E17="",0,ROUND(VLOOKUP($A17,'⚪设计'!$A$219:$B$238,2,FALSE)*$B17/SUM(IF($E17="",0,VLOOKUP($E17,'⚪设计'!$C$85:$E$101,3,FALSE))*$F17,IF($J17="",0,VLOOKUP($J17,'⚪设计'!$C$85:$E$101,3,FALSE))*$K17,IF($O17="",0,VLOOKUP($O17,'⚪设计'!$C$85:$E$101,3,FALSE))*$P17,IF($T17="",0,VLOOKUP($T17,'⚪设计'!$C$85:$E$101,3,FALSE))*$U17)*VLOOKUP(E17,'⚪设计'!$C$85:$E$101,3,FALSE),0))</f>
        <v>8882</v>
      </c>
      <c r="I17" s="88">
        <f>ROUND(战斗节奏!$B$3/SUM(IF(线下模式!$E17="",0,VLOOKUP(线下模式!$E17,'⚪设计'!$C$85:$G$101,4,FALSE)*线下模式!$F17),IF(线下模式!$J17="",0,VLOOKUP(线下模式!$J17,'⚪设计'!$C$85:$G$101,4,FALSE)*线下模式!$K17),IF(线下模式!$O17="",0,VLOOKUP(线下模式!$O17,'⚪设计'!$C$85:$G$101,4,FALSE)*线下模式!$P17),IF(线下模式!$T17="",0,VLOOKUP(线下模式!$T17,'⚪设计'!$C$85:$G$101,4,FALSE)*线下模式!$U17))*IF(E17="",0,VLOOKUP(E17,'⚪设计'!$C$85:$G$101,4,FALSE)),0)</f>
        <v>5</v>
      </c>
      <c r="J17" s="88" t="str">
        <f>IF(VLOOKUP(A17,'⚪设计'!$A$219:$G$238,5,FALSE)="","",VLOOKUP(VLOOKUP(A17,'⚪设计'!$A$219:$G$238,5,FALSE),'⚪设计'!$B$85:$D$101,2,FALSE))</f>
        <v>ResUnit_ZhongZi1</v>
      </c>
      <c r="K17" s="88">
        <f t="shared" si="1"/>
        <v>8</v>
      </c>
      <c r="L17" s="7">
        <f>'⚪设计'!I233</f>
        <v>3</v>
      </c>
      <c r="M17" s="88">
        <f>IF(J17="",0,ROUND(VLOOKUP($A17,'⚪设计'!$A$219:$B$238,2,FALSE)*$B17/SUM(IF($E17="",0,VLOOKUP($E17,'⚪设计'!$C$85:$E$101,3,FALSE))*$F17,IF($J17="",0,VLOOKUP($J17,'⚪设计'!$C$85:$E$101,3,FALSE))*$K17,IF($O17="",0,VLOOKUP($O17,'⚪设计'!$C$85:$E$101,3,FALSE))*$P17,IF($T17="",0,VLOOKUP($T17,'⚪设计'!$C$85:$E$101,3,FALSE))*$U17)*VLOOKUP(J17,'⚪设计'!$C$85:$E$101,3,FALSE),0))</f>
        <v>13322</v>
      </c>
      <c r="N17" s="88">
        <f>ROUND(战斗节奏!$B$3/SUM(IF(线下模式!$E17="",0,VLOOKUP(线下模式!$E17,'⚪设计'!$C$85:$G$101,4,FALSE)*线下模式!$F17),IF(线下模式!$J17="",0,VLOOKUP(线下模式!$J17,'⚪设计'!$C$85:$G$101,4,FALSE)*线下模式!$K17),IF(线下模式!$O17="",0,VLOOKUP(线下模式!$O17,'⚪设计'!$C$85:$G$101,4,FALSE)*线下模式!$P17),IF(线下模式!$T17="",0,VLOOKUP(线下模式!$T17,'⚪设计'!$C$85:$G$101,4,FALSE)*线下模式!$U17))*IF(J17="",0,VLOOKUP(J17,'⚪设计'!$C$85:$G$101,4,FALSE)),0)</f>
        <v>5</v>
      </c>
      <c r="O17" s="71" t="str">
        <f>IF(VLOOKUP(A17,'⚪设计'!$A$219:$G$238,6,FALSE)="","",VLOOKUP(VLOOKUP(A17,'⚪设计'!$A$219:$G$238,6,FALSE),'⚪设计'!$B$85:$D$101,2,FALSE))</f>
        <v>ResUnit_ZhongZi3</v>
      </c>
      <c r="P17" s="88">
        <f t="shared" si="2"/>
        <v>1</v>
      </c>
      <c r="Q17" s="7">
        <f>'⚪设计'!J233</f>
        <v>0</v>
      </c>
      <c r="R17" s="88">
        <f>IF(O17="",0,ROUND(VLOOKUP($A17,'⚪设计'!$A$219:$B$238,2,FALSE)*$B17/SUM(IF($E17="",0,VLOOKUP($E17,'⚪设计'!$C$85:$E$101,3,FALSE))*$F17,IF($J17="",0,VLOOKUP($J17,'⚪设计'!$C$85:$E$101,3,FALSE))*$K17,IF($O17="",0,VLOOKUP($O17,'⚪设计'!$C$85:$E$101,3,FALSE))*$P17,IF($T17="",0,VLOOKUP($T17,'⚪设计'!$C$85:$E$101,3,FALSE))*$U17)*VLOOKUP(O17,'⚪设计'!$C$85:$E$101,3,FALSE),0))</f>
        <v>177632</v>
      </c>
      <c r="S17" s="88">
        <f>ROUND(战斗节奏!$B$3/SUM(IF(线下模式!$E17="",0,VLOOKUP(线下模式!$E17,'⚪设计'!$C$85:$G$101,4,FALSE)*线下模式!$F17),IF(线下模式!$J17="",0,VLOOKUP(线下模式!$J17,'⚪设计'!$C$85:$G$101,4,FALSE)*线下模式!$K17),IF(线下模式!$O17="",0,VLOOKUP(线下模式!$O17,'⚪设计'!$C$85:$G$101,4,FALSE)*线下模式!$P17),IF(线下模式!$T17="",0,VLOOKUP(线下模式!$T17,'⚪设计'!$C$85:$G$101,4,FALSE)*线下模式!$U17))*IF(O17="",0,VLOOKUP(O17,'⚪设计'!$C$85:$G$101,4,FALSE)),0)</f>
        <v>97</v>
      </c>
      <c r="T17" s="88" t="str">
        <f>IF(VLOOKUP(A17,'⚪设计'!$A$219:$G$238,7,FALSE)="","",VLOOKUP(VLOOKUP(A17,'⚪设计'!$A$219:$G$238,7,FALSE),'⚪设计'!$B$85:$D$101,2,FALSE))</f>
        <v/>
      </c>
      <c r="U17" s="88">
        <f t="shared" si="3"/>
        <v>0</v>
      </c>
      <c r="V17" s="7">
        <f>'⚪设计'!K233</f>
        <v>0</v>
      </c>
      <c r="W17" s="88">
        <f>IF(T17="",0,ROUND(VLOOKUP($A17,'⚪设计'!$A$219:$B$238,2,FALSE)*$B17/SUM(IF($E17="",0,VLOOKUP($E17,'⚪设计'!$C$85:$E$101,3,FALSE))*$F17,IF($J17="",0,VLOOKUP($J17,'⚪设计'!$C$85:$E$101,3,FALSE))*$K17,IF($O17="",0,VLOOKUP($O17,'⚪设计'!$C$85:$E$101,3,FALSE))*$P17,IF($T17="",0,VLOOKUP($T17,'⚪设计'!$C$85:$E$101,3,FALSE))*$U17)*VLOOKUP(T17,'⚪设计'!$C$85:$E$101,3,FALSE),0))</f>
        <v>0</v>
      </c>
      <c r="X17" s="88">
        <f>ROUND(战斗节奏!$B$3/SUM(IF(线下模式!$E17="",0,VLOOKUP(线下模式!$E17,'⚪设计'!$C$85:$G$101,4,FALSE)*线下模式!$F17),IF(线下模式!$J17="",0,VLOOKUP(线下模式!$J17,'⚪设计'!$C$85:$G$101,4,FALSE)*线下模式!$K17),IF(线下模式!$O17="",0,VLOOKUP(线下模式!$O17,'⚪设计'!$C$85:$G$101,4,FALSE)*线下模式!$P17),IF(线下模式!$T17="",0,VLOOKUP(线下模式!$T17,'⚪设计'!$C$85:$G$101,4,FALSE)*线下模式!$U17))*IF(T17="",0,VLOOKUP(T17,'⚪设计'!$C$85:$G$101,4,FALSE)),0)</f>
        <v>0</v>
      </c>
    </row>
    <row r="18" spans="1:24" x14ac:dyDescent="0.2">
      <c r="A18" s="84">
        <v>16</v>
      </c>
      <c r="B18" s="88">
        <f>MAX(MIN(战斗节奏!$C$3-INT(A18/'⚪设计'!$C$55),MOD(A18,'⚪设计'!$C$55)),0)*'⚪设计'!$C$79*防御塔!$C$2+MIN(INT(A18/'⚪设计'!$C$55),战斗节奏!$C$3)*'⚪设计'!$C$80*防御塔!$C$2</f>
        <v>18900</v>
      </c>
      <c r="C18" s="7">
        <v>1.75</v>
      </c>
      <c r="D18" s="7">
        <v>25</v>
      </c>
      <c r="E18" s="71" t="str">
        <f>IF(VLOOKUP(A18,'⚪设计'!$A$219:$G$238,4,FALSE)="","",VLOOKUP(VLOOKUP(A18,'⚪设计'!$A$219:$G$238,4,FALSE),'⚪设计'!$B$85:$D$101,2,FALSE))</f>
        <v>ResUnit_Dan1</v>
      </c>
      <c r="F18" s="88">
        <f t="shared" si="0"/>
        <v>33</v>
      </c>
      <c r="G18" s="7">
        <f>'⚪设计'!H234</f>
        <v>0.75</v>
      </c>
      <c r="H18" s="88">
        <f>IF(E18="",0,ROUND(VLOOKUP($A18,'⚪设计'!$A$219:$B$238,2,FALSE)*$B18/SUM(IF($E18="",0,VLOOKUP($E18,'⚪设计'!$C$85:$E$101,3,FALSE))*$F18,IF($J18="",0,VLOOKUP($J18,'⚪设计'!$C$85:$E$101,3,FALSE))*$K18,IF($O18="",0,VLOOKUP($O18,'⚪设计'!$C$85:$E$101,3,FALSE))*$P18,IF($T18="",0,VLOOKUP($T18,'⚪设计'!$C$85:$E$101,3,FALSE))*$U18)*VLOOKUP(E18,'⚪设计'!$C$85:$E$101,3,FALSE),0))</f>
        <v>23143</v>
      </c>
      <c r="I18" s="88">
        <f>ROUND(战斗节奏!$B$3/SUM(IF(线下模式!$E18="",0,VLOOKUP(线下模式!$E18,'⚪设计'!$C$85:$G$101,4,FALSE)*线下模式!$F18),IF(线下模式!$J18="",0,VLOOKUP(线下模式!$J18,'⚪设计'!$C$85:$G$101,4,FALSE)*线下模式!$K18),IF(线下模式!$O18="",0,VLOOKUP(线下模式!$O18,'⚪设计'!$C$85:$G$101,4,FALSE)*线下模式!$P18),IF(线下模式!$T18="",0,VLOOKUP(线下模式!$T18,'⚪设计'!$C$85:$G$101,4,FALSE)*线下模式!$U18))*IF(E18="",0,VLOOKUP(E18,'⚪设计'!$C$85:$G$101,4,FALSE)),0)</f>
        <v>18</v>
      </c>
      <c r="J18" s="88" t="str">
        <f>IF(VLOOKUP(A18,'⚪设计'!$A$219:$G$238,5,FALSE)="","",VLOOKUP(VLOOKUP(A18,'⚪设计'!$A$219:$G$238,5,FALSE),'⚪设计'!$B$85:$D$101,2,FALSE))</f>
        <v>ResUnit_Dan2</v>
      </c>
      <c r="K18" s="88">
        <f t="shared" si="1"/>
        <v>8</v>
      </c>
      <c r="L18" s="7">
        <f>'⚪设计'!I234</f>
        <v>3</v>
      </c>
      <c r="M18" s="88">
        <f>IF(J18="",0,ROUND(VLOOKUP($A18,'⚪设计'!$A$219:$B$238,2,FALSE)*$B18/SUM(IF($E18="",0,VLOOKUP($E18,'⚪设计'!$C$85:$E$101,3,FALSE))*$F18,IF($J18="",0,VLOOKUP($J18,'⚪设计'!$C$85:$E$101,3,FALSE))*$K18,IF($O18="",0,VLOOKUP($O18,'⚪设计'!$C$85:$E$101,3,FALSE))*$P18,IF($T18="",0,VLOOKUP($T18,'⚪设计'!$C$85:$E$101,3,FALSE))*$U18)*VLOOKUP(J18,'⚪设计'!$C$85:$E$101,3,FALSE),0))</f>
        <v>46286</v>
      </c>
      <c r="N18" s="88">
        <f>ROUND(战斗节奏!$B$3/SUM(IF(线下模式!$E18="",0,VLOOKUP(线下模式!$E18,'⚪设计'!$C$85:$G$101,4,FALSE)*线下模式!$F18),IF(线下模式!$J18="",0,VLOOKUP(线下模式!$J18,'⚪设计'!$C$85:$G$101,4,FALSE)*线下模式!$K18),IF(线下模式!$O18="",0,VLOOKUP(线下模式!$O18,'⚪设计'!$C$85:$G$101,4,FALSE)*线下模式!$P18),IF(线下模式!$T18="",0,VLOOKUP(线下模式!$T18,'⚪设计'!$C$85:$G$101,4,FALSE)*线下模式!$U18))*IF(J18="",0,VLOOKUP(J18,'⚪设计'!$C$85:$G$101,4,FALSE)),0)</f>
        <v>18</v>
      </c>
      <c r="O18" s="71" t="str">
        <f>IF(VLOOKUP(A18,'⚪设计'!$A$219:$G$238,6,FALSE)="","",VLOOKUP(VLOOKUP(A18,'⚪设计'!$A$219:$G$238,6,FALSE),'⚪设计'!$B$85:$D$101,2,FALSE))</f>
        <v/>
      </c>
      <c r="P18" s="88">
        <f t="shared" si="2"/>
        <v>0</v>
      </c>
      <c r="Q18" s="7">
        <f>'⚪设计'!J234</f>
        <v>0</v>
      </c>
      <c r="R18" s="88">
        <f>IF(O18="",0,ROUND(VLOOKUP($A18,'⚪设计'!$A$219:$B$238,2,FALSE)*$B18/SUM(IF($E18="",0,VLOOKUP($E18,'⚪设计'!$C$85:$E$101,3,FALSE))*$F18,IF($J18="",0,VLOOKUP($J18,'⚪设计'!$C$85:$E$101,3,FALSE))*$K18,IF($O18="",0,VLOOKUP($O18,'⚪设计'!$C$85:$E$101,3,FALSE))*$P18,IF($T18="",0,VLOOKUP($T18,'⚪设计'!$C$85:$E$101,3,FALSE))*$U18)*VLOOKUP(O18,'⚪设计'!$C$85:$E$101,3,FALSE),0))</f>
        <v>0</v>
      </c>
      <c r="S18" s="88">
        <f>ROUND(战斗节奏!$B$3/SUM(IF(线下模式!$E18="",0,VLOOKUP(线下模式!$E18,'⚪设计'!$C$85:$G$101,4,FALSE)*线下模式!$F18),IF(线下模式!$J18="",0,VLOOKUP(线下模式!$J18,'⚪设计'!$C$85:$G$101,4,FALSE)*线下模式!$K18),IF(线下模式!$O18="",0,VLOOKUP(线下模式!$O18,'⚪设计'!$C$85:$G$101,4,FALSE)*线下模式!$P18),IF(线下模式!$T18="",0,VLOOKUP(线下模式!$T18,'⚪设计'!$C$85:$G$101,4,FALSE)*线下模式!$U18))*IF(O18="",0,VLOOKUP(O18,'⚪设计'!$C$85:$G$101,4,FALSE)),0)</f>
        <v>0</v>
      </c>
      <c r="T18" s="88" t="str">
        <f>IF(VLOOKUP(A18,'⚪设计'!$A$219:$G$238,7,FALSE)="","",VLOOKUP(VLOOKUP(A18,'⚪设计'!$A$219:$G$238,7,FALSE),'⚪设计'!$B$85:$D$101,2,FALSE))</f>
        <v/>
      </c>
      <c r="U18" s="88">
        <f t="shared" si="3"/>
        <v>0</v>
      </c>
      <c r="V18" s="7">
        <f>'⚪设计'!K234</f>
        <v>0</v>
      </c>
      <c r="W18" s="88">
        <f>IF(T18="",0,ROUND(VLOOKUP($A18,'⚪设计'!$A$219:$B$238,2,FALSE)*$B18/SUM(IF($E18="",0,VLOOKUP($E18,'⚪设计'!$C$85:$E$101,3,FALSE))*$F18,IF($J18="",0,VLOOKUP($J18,'⚪设计'!$C$85:$E$101,3,FALSE))*$K18,IF($O18="",0,VLOOKUP($O18,'⚪设计'!$C$85:$E$101,3,FALSE))*$P18,IF($T18="",0,VLOOKUP($T18,'⚪设计'!$C$85:$E$101,3,FALSE))*$U18)*VLOOKUP(T18,'⚪设计'!$C$85:$E$101,3,FALSE),0))</f>
        <v>0</v>
      </c>
      <c r="X18" s="88">
        <f>ROUND(战斗节奏!$B$3/SUM(IF(线下模式!$E18="",0,VLOOKUP(线下模式!$E18,'⚪设计'!$C$85:$G$101,4,FALSE)*线下模式!$F18),IF(线下模式!$J18="",0,VLOOKUP(线下模式!$J18,'⚪设计'!$C$85:$G$101,4,FALSE)*线下模式!$K18),IF(线下模式!$O18="",0,VLOOKUP(线下模式!$O18,'⚪设计'!$C$85:$G$101,4,FALSE)*线下模式!$P18),IF(线下模式!$T18="",0,VLOOKUP(线下模式!$T18,'⚪设计'!$C$85:$G$101,4,FALSE)*线下模式!$U18))*IF(T18="",0,VLOOKUP(T18,'⚪设计'!$C$85:$G$101,4,FALSE)),0)</f>
        <v>0</v>
      </c>
    </row>
    <row r="19" spans="1:24" x14ac:dyDescent="0.2">
      <c r="A19" s="84">
        <v>17</v>
      </c>
      <c r="B19" s="88">
        <f>MAX(MIN(战斗节奏!$C$3-INT(A19/'⚪设计'!$C$55),MOD(A19,'⚪设计'!$C$55)),0)*'⚪设计'!$C$79*防御塔!$C$2+MIN(INT(A19/'⚪设计'!$C$55),战斗节奏!$C$3)*'⚪设计'!$C$80*防御塔!$C$2</f>
        <v>19800</v>
      </c>
      <c r="C19" s="7">
        <v>1.8</v>
      </c>
      <c r="D19" s="7">
        <v>26</v>
      </c>
      <c r="E19" s="71" t="str">
        <f>IF(VLOOKUP(A19,'⚪设计'!$A$219:$G$238,4,FALSE)="","",VLOOKUP(VLOOKUP(A19,'⚪设计'!$A$219:$G$238,4,FALSE),'⚪设计'!$B$85:$D$101,2,FALSE))</f>
        <v>ResUnit_Dan2</v>
      </c>
      <c r="F19" s="88">
        <f t="shared" si="0"/>
        <v>17</v>
      </c>
      <c r="G19" s="7">
        <f>'⚪设计'!H235</f>
        <v>1.5</v>
      </c>
      <c r="H19" s="88">
        <f>IF(E19="",0,ROUND(VLOOKUP($A19,'⚪设计'!$A$219:$B$238,2,FALSE)*$B19/SUM(IF($E19="",0,VLOOKUP($E19,'⚪设计'!$C$85:$E$101,3,FALSE))*$F19,IF($J19="",0,VLOOKUP($J19,'⚪设计'!$C$85:$E$101,3,FALSE))*$K19,IF($O19="",0,VLOOKUP($O19,'⚪设计'!$C$85:$E$101,3,FALSE))*$P19,IF($T19="",0,VLOOKUP($T19,'⚪设计'!$C$85:$E$101,3,FALSE))*$U19)*VLOOKUP(E19,'⚪设计'!$C$85:$E$101,3,FALSE),0))</f>
        <v>40174</v>
      </c>
      <c r="I19" s="88">
        <f>ROUND(战斗节奏!$B$3/SUM(IF(线下模式!$E19="",0,VLOOKUP(线下模式!$E19,'⚪设计'!$C$85:$G$101,4,FALSE)*线下模式!$F19),IF(线下模式!$J19="",0,VLOOKUP(线下模式!$J19,'⚪设计'!$C$85:$G$101,4,FALSE)*线下模式!$K19),IF(线下模式!$O19="",0,VLOOKUP(线下模式!$O19,'⚪设计'!$C$85:$G$101,4,FALSE)*线下模式!$P19),IF(线下模式!$T19="",0,VLOOKUP(线下模式!$T19,'⚪设计'!$C$85:$G$101,4,FALSE)*线下模式!$U19))*IF(E19="",0,VLOOKUP(E19,'⚪设计'!$C$85:$G$101,4,FALSE)),0)</f>
        <v>21</v>
      </c>
      <c r="J19" s="88" t="str">
        <f>IF(VLOOKUP(A19,'⚪设计'!$A$219:$G$238,5,FALSE)="","",VLOOKUP(VLOOKUP(A19,'⚪设计'!$A$219:$G$238,5,FALSE),'⚪设计'!$B$85:$D$101,2,FALSE))</f>
        <v>ResUnit_ZhiZhu2</v>
      </c>
      <c r="K19" s="88">
        <f t="shared" si="1"/>
        <v>35</v>
      </c>
      <c r="L19" s="7">
        <f>'⚪设计'!I235</f>
        <v>0.75</v>
      </c>
      <c r="M19" s="88">
        <f>IF(J19="",0,ROUND(VLOOKUP($A19,'⚪设计'!$A$219:$B$238,2,FALSE)*$B19/SUM(IF($E19="",0,VLOOKUP($E19,'⚪设计'!$C$85:$E$101,3,FALSE))*$F19,IF($J19="",0,VLOOKUP($J19,'⚪设计'!$C$85:$E$101,3,FALSE))*$K19,IF($O19="",0,VLOOKUP($O19,'⚪设计'!$C$85:$E$101,3,FALSE))*$P19,IF($T19="",0,VLOOKUP($T19,'⚪设计'!$C$85:$E$101,3,FALSE))*$U19)*VLOOKUP(J19,'⚪设计'!$C$85:$E$101,3,FALSE),0))</f>
        <v>20087</v>
      </c>
      <c r="N19" s="88">
        <f>ROUND(战斗节奏!$B$3/SUM(IF(线下模式!$E19="",0,VLOOKUP(线下模式!$E19,'⚪设计'!$C$85:$G$101,4,FALSE)*线下模式!$F19),IF(线下模式!$J19="",0,VLOOKUP(线下模式!$J19,'⚪设计'!$C$85:$G$101,4,FALSE)*线下模式!$K19),IF(线下模式!$O19="",0,VLOOKUP(线下模式!$O19,'⚪设计'!$C$85:$G$101,4,FALSE)*线下模式!$P19),IF(线下模式!$T19="",0,VLOOKUP(线下模式!$T19,'⚪设计'!$C$85:$G$101,4,FALSE)*线下模式!$U19))*IF(J19="",0,VLOOKUP(J19,'⚪设计'!$C$85:$G$101,4,FALSE)),0)</f>
        <v>10</v>
      </c>
      <c r="O19" s="71" t="str">
        <f>IF(VLOOKUP(A19,'⚪设计'!$A$219:$G$238,6,FALSE)="","",VLOOKUP(VLOOKUP(A19,'⚪设计'!$A$219:$G$238,6,FALSE),'⚪设计'!$B$85:$D$101,2,FALSE))</f>
        <v/>
      </c>
      <c r="P19" s="88">
        <f t="shared" si="2"/>
        <v>0</v>
      </c>
      <c r="Q19" s="7">
        <f>'⚪设计'!J235</f>
        <v>0</v>
      </c>
      <c r="R19" s="88">
        <f>IF(O19="",0,ROUND(VLOOKUP($A19,'⚪设计'!$A$219:$B$238,2,FALSE)*$B19/SUM(IF($E19="",0,VLOOKUP($E19,'⚪设计'!$C$85:$E$101,3,FALSE))*$F19,IF($J19="",0,VLOOKUP($J19,'⚪设计'!$C$85:$E$101,3,FALSE))*$K19,IF($O19="",0,VLOOKUP($O19,'⚪设计'!$C$85:$E$101,3,FALSE))*$P19,IF($T19="",0,VLOOKUP($T19,'⚪设计'!$C$85:$E$101,3,FALSE))*$U19)*VLOOKUP(O19,'⚪设计'!$C$85:$E$101,3,FALSE),0))</f>
        <v>0</v>
      </c>
      <c r="S19" s="88">
        <f>ROUND(战斗节奏!$B$3/SUM(IF(线下模式!$E19="",0,VLOOKUP(线下模式!$E19,'⚪设计'!$C$85:$G$101,4,FALSE)*线下模式!$F19),IF(线下模式!$J19="",0,VLOOKUP(线下模式!$J19,'⚪设计'!$C$85:$G$101,4,FALSE)*线下模式!$K19),IF(线下模式!$O19="",0,VLOOKUP(线下模式!$O19,'⚪设计'!$C$85:$G$101,4,FALSE)*线下模式!$P19),IF(线下模式!$T19="",0,VLOOKUP(线下模式!$T19,'⚪设计'!$C$85:$G$101,4,FALSE)*线下模式!$U19))*IF(O19="",0,VLOOKUP(O19,'⚪设计'!$C$85:$G$101,4,FALSE)),0)</f>
        <v>0</v>
      </c>
      <c r="T19" s="88" t="str">
        <f>IF(VLOOKUP(A19,'⚪设计'!$A$219:$G$238,7,FALSE)="","",VLOOKUP(VLOOKUP(A19,'⚪设计'!$A$219:$G$238,7,FALSE),'⚪设计'!$B$85:$D$101,2,FALSE))</f>
        <v/>
      </c>
      <c r="U19" s="88">
        <f t="shared" si="3"/>
        <v>0</v>
      </c>
      <c r="V19" s="7">
        <f>'⚪设计'!K235</f>
        <v>0</v>
      </c>
      <c r="W19" s="88">
        <f>IF(T19="",0,ROUND(VLOOKUP($A19,'⚪设计'!$A$219:$B$238,2,FALSE)*$B19/SUM(IF($E19="",0,VLOOKUP($E19,'⚪设计'!$C$85:$E$101,3,FALSE))*$F19,IF($J19="",0,VLOOKUP($J19,'⚪设计'!$C$85:$E$101,3,FALSE))*$K19,IF($O19="",0,VLOOKUP($O19,'⚪设计'!$C$85:$E$101,3,FALSE))*$P19,IF($T19="",0,VLOOKUP($T19,'⚪设计'!$C$85:$E$101,3,FALSE))*$U19)*VLOOKUP(T19,'⚪设计'!$C$85:$E$101,3,FALSE),0))</f>
        <v>0</v>
      </c>
      <c r="X19" s="88">
        <f>ROUND(战斗节奏!$B$3/SUM(IF(线下模式!$E19="",0,VLOOKUP(线下模式!$E19,'⚪设计'!$C$85:$G$101,4,FALSE)*线下模式!$F19),IF(线下模式!$J19="",0,VLOOKUP(线下模式!$J19,'⚪设计'!$C$85:$G$101,4,FALSE)*线下模式!$K19),IF(线下模式!$O19="",0,VLOOKUP(线下模式!$O19,'⚪设计'!$C$85:$G$101,4,FALSE)*线下模式!$P19),IF(线下模式!$T19="",0,VLOOKUP(线下模式!$T19,'⚪设计'!$C$85:$G$101,4,FALSE)*线下模式!$U19))*IF(T19="",0,VLOOKUP(T19,'⚪设计'!$C$85:$G$101,4,FALSE)),0)</f>
        <v>0</v>
      </c>
    </row>
    <row r="20" spans="1:24" x14ac:dyDescent="0.2">
      <c r="A20" s="84">
        <v>18</v>
      </c>
      <c r="B20" s="88">
        <f>MAX(MIN(战斗节奏!$C$3-INT(A20/'⚪设计'!$C$55),MOD(A20,'⚪设计'!$C$55)),0)*'⚪设计'!$C$79*防御塔!$C$2+MIN(INT(A20/'⚪设计'!$C$55),战斗节奏!$C$3)*'⚪设计'!$C$80*防御塔!$C$2</f>
        <v>21600</v>
      </c>
      <c r="C20" s="7">
        <v>1.85</v>
      </c>
      <c r="D20" s="7">
        <v>27</v>
      </c>
      <c r="E20" s="71" t="str">
        <f>IF(VLOOKUP(A20,'⚪设计'!$A$219:$G$238,4,FALSE)="","",VLOOKUP(VLOOKUP(A20,'⚪设计'!$A$219:$G$238,4,FALSE),'⚪设计'!$B$85:$D$101,2,FALSE))</f>
        <v>ResUnit_Dan2</v>
      </c>
      <c r="F20" s="88">
        <f t="shared" si="0"/>
        <v>18</v>
      </c>
      <c r="G20" s="7">
        <f>'⚪设计'!H236</f>
        <v>1.5</v>
      </c>
      <c r="H20" s="88">
        <f>IF(E20="",0,ROUND(VLOOKUP($A20,'⚪设计'!$A$219:$B$238,2,FALSE)*$B20/SUM(IF($E20="",0,VLOOKUP($E20,'⚪设计'!$C$85:$E$101,3,FALSE))*$F20,IF($J20="",0,VLOOKUP($J20,'⚪设计'!$C$85:$E$101,3,FALSE))*$K20,IF($O20="",0,VLOOKUP($O20,'⚪设计'!$C$85:$E$101,3,FALSE))*$P20,IF($T20="",0,VLOOKUP($T20,'⚪设计'!$C$85:$E$101,3,FALSE))*$U20)*VLOOKUP(E20,'⚪设计'!$C$85:$E$101,3,FALSE),0))</f>
        <v>30316</v>
      </c>
      <c r="I20" s="88">
        <f>ROUND(战斗节奏!$B$3/SUM(IF(线下模式!$E20="",0,VLOOKUP(线下模式!$E20,'⚪设计'!$C$85:$G$101,4,FALSE)*线下模式!$F20),IF(线下模式!$J20="",0,VLOOKUP(线下模式!$J20,'⚪设计'!$C$85:$G$101,4,FALSE)*线下模式!$K20),IF(线下模式!$O20="",0,VLOOKUP(线下模式!$O20,'⚪设计'!$C$85:$G$101,4,FALSE)*线下模式!$P20),IF(线下模式!$T20="",0,VLOOKUP(线下模式!$T20,'⚪设计'!$C$85:$G$101,4,FALSE)*线下模式!$U20))*IF(E20="",0,VLOOKUP(E20,'⚪设计'!$C$85:$G$101,4,FALSE)),0)</f>
        <v>14</v>
      </c>
      <c r="J20" s="88" t="str">
        <f>IF(VLOOKUP(A20,'⚪设计'!$A$219:$G$238,5,FALSE)="","",VLOOKUP(VLOOKUP(A20,'⚪设计'!$A$219:$G$238,5,FALSE),'⚪设计'!$B$85:$D$101,2,FALSE))</f>
        <v>ResUnit_ZhiZhu2</v>
      </c>
      <c r="K20" s="88">
        <f t="shared" si="1"/>
        <v>36</v>
      </c>
      <c r="L20" s="7">
        <f>'⚪设计'!I236</f>
        <v>0.75</v>
      </c>
      <c r="M20" s="88">
        <f>IF(J20="",0,ROUND(VLOOKUP($A20,'⚪设计'!$A$219:$B$238,2,FALSE)*$B20/SUM(IF($E20="",0,VLOOKUP($E20,'⚪设计'!$C$85:$E$101,3,FALSE))*$F20,IF($J20="",0,VLOOKUP($J20,'⚪设计'!$C$85:$E$101,3,FALSE))*$K20,IF($O20="",0,VLOOKUP($O20,'⚪设计'!$C$85:$E$101,3,FALSE))*$P20,IF($T20="",0,VLOOKUP($T20,'⚪设计'!$C$85:$E$101,3,FALSE))*$U20)*VLOOKUP(J20,'⚪设计'!$C$85:$E$101,3,FALSE),0))</f>
        <v>15158</v>
      </c>
      <c r="N20" s="88">
        <f>ROUND(战斗节奏!$B$3/SUM(IF(线下模式!$E20="",0,VLOOKUP(线下模式!$E20,'⚪设计'!$C$85:$G$101,4,FALSE)*线下模式!$F20),IF(线下模式!$J20="",0,VLOOKUP(线下模式!$J20,'⚪设计'!$C$85:$G$101,4,FALSE)*线下模式!$K20),IF(线下模式!$O20="",0,VLOOKUP(线下模式!$O20,'⚪设计'!$C$85:$G$101,4,FALSE)*线下模式!$P20),IF(线下模式!$T20="",0,VLOOKUP(线下模式!$T20,'⚪设计'!$C$85:$G$101,4,FALSE)*线下模式!$U20))*IF(J20="",0,VLOOKUP(J20,'⚪设计'!$C$85:$G$101,4,FALSE)),0)</f>
        <v>7</v>
      </c>
      <c r="O20" s="71" t="str">
        <f>IF(VLOOKUP(A20,'⚪设计'!$A$219:$G$238,6,FALSE)="","",VLOOKUP(VLOOKUP(A20,'⚪设计'!$A$219:$G$238,6,FALSE),'⚪设计'!$B$85:$D$101,2,FALSE))</f>
        <v>ResUnit_ZhongZi2</v>
      </c>
      <c r="P20" s="88">
        <f t="shared" si="2"/>
        <v>14</v>
      </c>
      <c r="Q20" s="7">
        <f>'⚪设计'!J236</f>
        <v>2</v>
      </c>
      <c r="R20" s="88">
        <f>IF(O20="",0,ROUND(VLOOKUP($A20,'⚪设计'!$A$219:$B$238,2,FALSE)*$B20/SUM(IF($E20="",0,VLOOKUP($E20,'⚪设计'!$C$85:$E$101,3,FALSE))*$F20,IF($J20="",0,VLOOKUP($J20,'⚪设计'!$C$85:$E$101,3,FALSE))*$K20,IF($O20="",0,VLOOKUP($O20,'⚪设计'!$C$85:$E$101,3,FALSE))*$P20,IF($T20="",0,VLOOKUP($T20,'⚪设计'!$C$85:$E$101,3,FALSE))*$U20)*VLOOKUP(O20,'⚪设计'!$C$85:$E$101,3,FALSE),0))</f>
        <v>45474</v>
      </c>
      <c r="S20" s="88">
        <f>ROUND(战斗节奏!$B$3/SUM(IF(线下模式!$E20="",0,VLOOKUP(线下模式!$E20,'⚪设计'!$C$85:$G$101,4,FALSE)*线下模式!$F20),IF(线下模式!$J20="",0,VLOOKUP(线下模式!$J20,'⚪设计'!$C$85:$G$101,4,FALSE)*线下模式!$K20),IF(线下模式!$O20="",0,VLOOKUP(线下模式!$O20,'⚪设计'!$C$85:$G$101,4,FALSE)*线下模式!$P20),IF(线下模式!$T20="",0,VLOOKUP(线下模式!$T20,'⚪设计'!$C$85:$G$101,4,FALSE)*线下模式!$U20))*IF(O20="",0,VLOOKUP(O20,'⚪设计'!$C$85:$G$101,4,FALSE)),0)</f>
        <v>14</v>
      </c>
      <c r="T20" s="88" t="str">
        <f>IF(VLOOKUP(A20,'⚪设计'!$A$219:$G$238,7,FALSE)="","",VLOOKUP(VLOOKUP(A20,'⚪设计'!$A$219:$G$238,7,FALSE),'⚪设计'!$B$85:$D$101,2,FALSE))</f>
        <v/>
      </c>
      <c r="U20" s="88">
        <f t="shared" si="3"/>
        <v>0</v>
      </c>
      <c r="V20" s="7">
        <f>'⚪设计'!K236</f>
        <v>0</v>
      </c>
      <c r="W20" s="88">
        <f>IF(T20="",0,ROUND(VLOOKUP($A20,'⚪设计'!$A$219:$B$238,2,FALSE)*$B20/SUM(IF($E20="",0,VLOOKUP($E20,'⚪设计'!$C$85:$E$101,3,FALSE))*$F20,IF($J20="",0,VLOOKUP($J20,'⚪设计'!$C$85:$E$101,3,FALSE))*$K20,IF($O20="",0,VLOOKUP($O20,'⚪设计'!$C$85:$E$101,3,FALSE))*$P20,IF($T20="",0,VLOOKUP($T20,'⚪设计'!$C$85:$E$101,3,FALSE))*$U20)*VLOOKUP(T20,'⚪设计'!$C$85:$E$101,3,FALSE),0))</f>
        <v>0</v>
      </c>
      <c r="X20" s="88">
        <f>ROUND(战斗节奏!$B$3/SUM(IF(线下模式!$E20="",0,VLOOKUP(线下模式!$E20,'⚪设计'!$C$85:$G$101,4,FALSE)*线下模式!$F20),IF(线下模式!$J20="",0,VLOOKUP(线下模式!$J20,'⚪设计'!$C$85:$G$101,4,FALSE)*线下模式!$K20),IF(线下模式!$O20="",0,VLOOKUP(线下模式!$O20,'⚪设计'!$C$85:$G$101,4,FALSE)*线下模式!$P20),IF(线下模式!$T20="",0,VLOOKUP(线下模式!$T20,'⚪设计'!$C$85:$G$101,4,FALSE)*线下模式!$U20))*IF(T20="",0,VLOOKUP(T20,'⚪设计'!$C$85:$G$101,4,FALSE)),0)</f>
        <v>0</v>
      </c>
    </row>
    <row r="21" spans="1:24" x14ac:dyDescent="0.2">
      <c r="A21" s="84">
        <v>19</v>
      </c>
      <c r="B21" s="88">
        <f>MAX(MIN(战斗节奏!$C$3-INT(A21/'⚪设计'!$C$55),MOD(A21,'⚪设计'!$C$55)),0)*'⚪设计'!$C$79*防御塔!$C$2+MIN(INT(A21/'⚪设计'!$C$55),战斗节奏!$C$3)*'⚪设计'!$C$80*防御塔!$C$2</f>
        <v>22500</v>
      </c>
      <c r="C21" s="7">
        <v>1.9</v>
      </c>
      <c r="D21" s="7">
        <v>28</v>
      </c>
      <c r="E21" s="71" t="str">
        <f>IF(VLOOKUP(A21,'⚪设计'!$A$219:$G$238,4,FALSE)="","",VLOOKUP(VLOOKUP(A21,'⚪设计'!$A$219:$G$238,4,FALSE),'⚪设计'!$B$85:$D$101,2,FALSE))</f>
        <v>ResUnit_Dan2</v>
      </c>
      <c r="F21" s="88">
        <f t="shared" si="0"/>
        <v>19</v>
      </c>
      <c r="G21" s="7">
        <f>'⚪设计'!H237</f>
        <v>1.5</v>
      </c>
      <c r="H21" s="88">
        <f>IF(E21="",0,ROUND(VLOOKUP($A21,'⚪设计'!$A$219:$B$238,2,FALSE)*$B21/SUM(IF($E21="",0,VLOOKUP($E21,'⚪设计'!$C$85:$E$101,3,FALSE))*$F21,IF($J21="",0,VLOOKUP($J21,'⚪设计'!$C$85:$E$101,3,FALSE))*$K21,IF($O21="",0,VLOOKUP($O21,'⚪设计'!$C$85:$E$101,3,FALSE))*$P21,IF($T21="",0,VLOOKUP($T21,'⚪设计'!$C$85:$E$101,3,FALSE))*$U21)*VLOOKUP(E21,'⚪设计'!$C$85:$E$101,3,FALSE),0))</f>
        <v>25472</v>
      </c>
      <c r="I21" s="88">
        <f>ROUND(战斗节奏!$B$3/SUM(IF(线下模式!$E21="",0,VLOOKUP(线下模式!$E21,'⚪设计'!$C$85:$G$101,4,FALSE)*线下模式!$F21),IF(线下模式!$J21="",0,VLOOKUP(线下模式!$J21,'⚪设计'!$C$85:$G$101,4,FALSE)*线下模式!$K21),IF(线下模式!$O21="",0,VLOOKUP(线下模式!$O21,'⚪设计'!$C$85:$G$101,4,FALSE)*线下模式!$P21),IF(线下模式!$T21="",0,VLOOKUP(线下模式!$T21,'⚪设计'!$C$85:$G$101,4,FALSE)*线下模式!$U21))*IF(E21="",0,VLOOKUP(E21,'⚪设计'!$C$85:$G$101,4,FALSE)),0)</f>
        <v>11</v>
      </c>
      <c r="J21" s="88" t="str">
        <f>IF(VLOOKUP(A21,'⚪设计'!$A$219:$G$238,5,FALSE)="","",VLOOKUP(VLOOKUP(A21,'⚪设计'!$A$219:$G$238,5,FALSE),'⚪设计'!$B$85:$D$101,2,FALSE))</f>
        <v>ResUnit_Gui2</v>
      </c>
      <c r="K21" s="88">
        <f t="shared" si="1"/>
        <v>37</v>
      </c>
      <c r="L21" s="7">
        <f>'⚪设计'!I237</f>
        <v>0.75</v>
      </c>
      <c r="M21" s="88">
        <f>IF(J21="",0,ROUND(VLOOKUP($A21,'⚪设计'!$A$219:$B$238,2,FALSE)*$B21/SUM(IF($E21="",0,VLOOKUP($E21,'⚪设计'!$C$85:$E$101,3,FALSE))*$F21,IF($J21="",0,VLOOKUP($J21,'⚪设计'!$C$85:$E$101,3,FALSE))*$K21,IF($O21="",0,VLOOKUP($O21,'⚪设计'!$C$85:$E$101,3,FALSE))*$P21,IF($T21="",0,VLOOKUP($T21,'⚪设计'!$C$85:$E$101,3,FALSE))*$U21)*VLOOKUP(J21,'⚪设计'!$C$85:$E$101,3,FALSE),0))</f>
        <v>12736</v>
      </c>
      <c r="N21" s="88">
        <f>ROUND(战斗节奏!$B$3/SUM(IF(线下模式!$E21="",0,VLOOKUP(线下模式!$E21,'⚪设计'!$C$85:$G$101,4,FALSE)*线下模式!$F21),IF(线下模式!$J21="",0,VLOOKUP(线下模式!$J21,'⚪设计'!$C$85:$G$101,4,FALSE)*线下模式!$K21),IF(线下模式!$O21="",0,VLOOKUP(线下模式!$O21,'⚪设计'!$C$85:$G$101,4,FALSE)*线下模式!$P21),IF(线下模式!$T21="",0,VLOOKUP(线下模式!$T21,'⚪设计'!$C$85:$G$101,4,FALSE)*线下模式!$U21))*IF(J21="",0,VLOOKUP(J21,'⚪设计'!$C$85:$G$101,4,FALSE)),0)</f>
        <v>5</v>
      </c>
      <c r="O21" s="71" t="str">
        <f>IF(VLOOKUP(A21,'⚪设计'!$A$219:$G$238,6,FALSE)="","",VLOOKUP(VLOOKUP(A21,'⚪设计'!$A$219:$G$238,6,FALSE),'⚪设计'!$B$85:$D$101,2,FALSE))</f>
        <v>ResUnit_ZhongZi2</v>
      </c>
      <c r="P21" s="88">
        <f t="shared" si="2"/>
        <v>28</v>
      </c>
      <c r="Q21" s="7">
        <f>'⚪设计'!J237</f>
        <v>1</v>
      </c>
      <c r="R21" s="88">
        <f>IF(O21="",0,ROUND(VLOOKUP($A21,'⚪设计'!$A$219:$B$238,2,FALSE)*$B21/SUM(IF($E21="",0,VLOOKUP($E21,'⚪设计'!$C$85:$E$101,3,FALSE))*$F21,IF($J21="",0,VLOOKUP($J21,'⚪设计'!$C$85:$E$101,3,FALSE))*$K21,IF($O21="",0,VLOOKUP($O21,'⚪设计'!$C$85:$E$101,3,FALSE))*$P21,IF($T21="",0,VLOOKUP($T21,'⚪设计'!$C$85:$E$101,3,FALSE))*$U21)*VLOOKUP(O21,'⚪设计'!$C$85:$E$101,3,FALSE),0))</f>
        <v>38208</v>
      </c>
      <c r="S21" s="88">
        <f>ROUND(战斗节奏!$B$3/SUM(IF(线下模式!$E21="",0,VLOOKUP(线下模式!$E21,'⚪设计'!$C$85:$G$101,4,FALSE)*线下模式!$F21),IF(线下模式!$J21="",0,VLOOKUP(线下模式!$J21,'⚪设计'!$C$85:$G$101,4,FALSE)*线下模式!$K21),IF(线下模式!$O21="",0,VLOOKUP(线下模式!$O21,'⚪设计'!$C$85:$G$101,4,FALSE)*线下模式!$P21),IF(线下模式!$T21="",0,VLOOKUP(线下模式!$T21,'⚪设计'!$C$85:$G$101,4,FALSE)*线下模式!$U21))*IF(O21="",0,VLOOKUP(O21,'⚪设计'!$C$85:$G$101,4,FALSE)),0)</f>
        <v>11</v>
      </c>
      <c r="T21" s="88" t="str">
        <f>IF(VLOOKUP(A21,'⚪设计'!$A$219:$G$238,7,FALSE)="","",VLOOKUP(VLOOKUP(A21,'⚪设计'!$A$219:$G$238,7,FALSE),'⚪设计'!$B$85:$D$101,2,FALSE))</f>
        <v/>
      </c>
      <c r="U21" s="88">
        <f t="shared" si="3"/>
        <v>0</v>
      </c>
      <c r="V21" s="7">
        <f>'⚪设计'!K237</f>
        <v>0</v>
      </c>
      <c r="W21" s="88">
        <f>IF(T21="",0,ROUND(VLOOKUP($A21,'⚪设计'!$A$219:$B$238,2,FALSE)*$B21/SUM(IF($E21="",0,VLOOKUP($E21,'⚪设计'!$C$85:$E$101,3,FALSE))*$F21,IF($J21="",0,VLOOKUP($J21,'⚪设计'!$C$85:$E$101,3,FALSE))*$K21,IF($O21="",0,VLOOKUP($O21,'⚪设计'!$C$85:$E$101,3,FALSE))*$P21,IF($T21="",0,VLOOKUP($T21,'⚪设计'!$C$85:$E$101,3,FALSE))*$U21)*VLOOKUP(T21,'⚪设计'!$C$85:$E$101,3,FALSE),0))</f>
        <v>0</v>
      </c>
      <c r="X21" s="88">
        <f>ROUND(战斗节奏!$B$3/SUM(IF(线下模式!$E21="",0,VLOOKUP(线下模式!$E21,'⚪设计'!$C$85:$G$101,4,FALSE)*线下模式!$F21),IF(线下模式!$J21="",0,VLOOKUP(线下模式!$J21,'⚪设计'!$C$85:$G$101,4,FALSE)*线下模式!$K21),IF(线下模式!$O21="",0,VLOOKUP(线下模式!$O21,'⚪设计'!$C$85:$G$101,4,FALSE)*线下模式!$P21),IF(线下模式!$T21="",0,VLOOKUP(线下模式!$T21,'⚪设计'!$C$85:$G$101,4,FALSE)*线下模式!$U21))*IF(T21="",0,VLOOKUP(T21,'⚪设计'!$C$85:$G$101,4,FALSE)),0)</f>
        <v>0</v>
      </c>
    </row>
    <row r="22" spans="1:24" x14ac:dyDescent="0.2">
      <c r="A22" s="84">
        <v>20</v>
      </c>
      <c r="B22" s="88">
        <f>MAX(MIN(战斗节奏!$C$3-INT(A22/'⚪设计'!$C$55),MOD(A22,'⚪设计'!$C$55)),0)*'⚪设计'!$C$79*防御塔!$C$2+MIN(INT(A22/'⚪设计'!$C$55),战斗节奏!$C$3)*'⚪设计'!$C$80*防御塔!$C$2</f>
        <v>23400</v>
      </c>
      <c r="C22" s="7">
        <v>1.95</v>
      </c>
      <c r="D22" s="7">
        <v>29</v>
      </c>
      <c r="E22" s="71" t="str">
        <f>IF(VLOOKUP(A22,'⚪设计'!$A$219:$G$238,4,FALSE)="","",VLOOKUP(VLOOKUP(A22,'⚪设计'!$A$219:$G$238,4,FALSE),'⚪设计'!$B$85:$D$101,2,FALSE))</f>
        <v>ResUnit_MiFeng2</v>
      </c>
      <c r="F22" s="88">
        <f t="shared" si="0"/>
        <v>145</v>
      </c>
      <c r="G22" s="7">
        <f>'⚪设计'!H238</f>
        <v>0.2</v>
      </c>
      <c r="H22" s="88">
        <f>IF(E22="",0,ROUND(VLOOKUP($A22,'⚪设计'!$A$219:$B$238,2,FALSE)*$B22/SUM(IF($E22="",0,VLOOKUP($E22,'⚪设计'!$C$85:$E$101,3,FALSE))*$F22,IF($J22="",0,VLOOKUP($J22,'⚪设计'!$C$85:$E$101,3,FALSE))*$K22,IF($O22="",0,VLOOKUP($O22,'⚪设计'!$C$85:$E$101,3,FALSE))*$P22,IF($T22="",0,VLOOKUP($T22,'⚪设计'!$C$85:$E$101,3,FALSE))*$U22)*VLOOKUP(E22,'⚪设计'!$C$85:$E$101,3,FALSE),0))</f>
        <v>12071</v>
      </c>
      <c r="I22" s="88">
        <f>ROUND(战斗节奏!$B$3/SUM(IF(线下模式!$E22="",0,VLOOKUP(线下模式!$E22,'⚪设计'!$C$85:$G$101,4,FALSE)*线下模式!$F22),IF(线下模式!$J22="",0,VLOOKUP(线下模式!$J22,'⚪设计'!$C$85:$G$101,4,FALSE)*线下模式!$K22),IF(线下模式!$O22="",0,VLOOKUP(线下模式!$O22,'⚪设计'!$C$85:$G$101,4,FALSE)*线下模式!$P22),IF(线下模式!$T22="",0,VLOOKUP(线下模式!$T22,'⚪设计'!$C$85:$G$101,4,FALSE)*线下模式!$U22))*IF(E22="",0,VLOOKUP(E22,'⚪设计'!$C$85:$G$101,4,FALSE)),0)</f>
        <v>4</v>
      </c>
      <c r="J22" s="88" t="str">
        <f>IF(VLOOKUP(A22,'⚪设计'!$A$219:$G$238,5,FALSE)="","",VLOOKUP(VLOOKUP(A22,'⚪设计'!$A$219:$G$238,5,FALSE),'⚪设计'!$B$85:$D$101,2,FALSE))</f>
        <v>ResUnit_Gui3</v>
      </c>
      <c r="K22" s="88">
        <f t="shared" si="1"/>
        <v>1</v>
      </c>
      <c r="L22" s="7">
        <f>'⚪设计'!I238</f>
        <v>0</v>
      </c>
      <c r="M22" s="88">
        <f>IF(J22="",0,ROUND(VLOOKUP($A22,'⚪设计'!$A$219:$B$238,2,FALSE)*$B22/SUM(IF($E22="",0,VLOOKUP($E22,'⚪设计'!$C$85:$E$101,3,FALSE))*$F22,IF($J22="",0,VLOOKUP($J22,'⚪设计'!$C$85:$E$101,3,FALSE))*$K22,IF($O22="",0,VLOOKUP($O22,'⚪设计'!$C$85:$E$101,3,FALSE))*$P22,IF($T22="",0,VLOOKUP($T22,'⚪设计'!$C$85:$E$101,3,FALSE))*$U22)*VLOOKUP(J22,'⚪设计'!$C$85:$E$101,3,FALSE),0))</f>
        <v>241429</v>
      </c>
      <c r="N22" s="88">
        <f>ROUND(战斗节奏!$B$3/SUM(IF(线下模式!$E22="",0,VLOOKUP(线下模式!$E22,'⚪设计'!$C$85:$G$101,4,FALSE)*线下模式!$F22),IF(线下模式!$J22="",0,VLOOKUP(线下模式!$J22,'⚪设计'!$C$85:$G$101,4,FALSE)*线下模式!$K22),IF(线下模式!$O22="",0,VLOOKUP(线下模式!$O22,'⚪设计'!$C$85:$G$101,4,FALSE)*线下模式!$P22),IF(线下模式!$T22="",0,VLOOKUP(线下模式!$T22,'⚪设计'!$C$85:$G$101,4,FALSE)*线下模式!$U22))*IF(J22="",0,VLOOKUP(J22,'⚪设计'!$C$85:$G$101,4,FALSE)),0)</f>
        <v>39</v>
      </c>
      <c r="O22" s="71" t="str">
        <f>IF(VLOOKUP(A22,'⚪设计'!$A$219:$G$238,6,FALSE)="","",VLOOKUP(VLOOKUP(A22,'⚪设计'!$A$219:$G$238,6,FALSE),'⚪设计'!$B$85:$D$101,2,FALSE))</f>
        <v>ResUnit_ZhongZi2</v>
      </c>
      <c r="P22" s="88">
        <f t="shared" si="2"/>
        <v>29</v>
      </c>
      <c r="Q22" s="7">
        <f>'⚪设计'!J238</f>
        <v>1</v>
      </c>
      <c r="R22" s="88">
        <f>IF(O22="",0,ROUND(VLOOKUP($A22,'⚪设计'!$A$219:$B$238,2,FALSE)*$B22/SUM(IF($E22="",0,VLOOKUP($E22,'⚪设计'!$C$85:$E$101,3,FALSE))*$F22,IF($J22="",0,VLOOKUP($J22,'⚪设计'!$C$85:$E$101,3,FALSE))*$K22,IF($O22="",0,VLOOKUP($O22,'⚪设计'!$C$85:$E$101,3,FALSE))*$P22,IF($T22="",0,VLOOKUP($T22,'⚪设计'!$C$85:$E$101,3,FALSE))*$U22)*VLOOKUP(O22,'⚪设计'!$C$85:$E$101,3,FALSE),0))</f>
        <v>36214</v>
      </c>
      <c r="S22" s="88">
        <f>ROUND(战斗节奏!$B$3/SUM(IF(线下模式!$E22="",0,VLOOKUP(线下模式!$E22,'⚪设计'!$C$85:$G$101,4,FALSE)*线下模式!$F22),IF(线下模式!$J22="",0,VLOOKUP(线下模式!$J22,'⚪设计'!$C$85:$G$101,4,FALSE)*线下模式!$K22),IF(线下模式!$O22="",0,VLOOKUP(线下模式!$O22,'⚪设计'!$C$85:$G$101,4,FALSE)*线下模式!$P22),IF(线下模式!$T22="",0,VLOOKUP(线下模式!$T22,'⚪设计'!$C$85:$G$101,4,FALSE)*线下模式!$U22))*IF(O22="",0,VLOOKUP(O22,'⚪设计'!$C$85:$G$101,4,FALSE)),0)</f>
        <v>4</v>
      </c>
      <c r="T22" s="88" t="str">
        <f>IF(VLOOKUP(A22,'⚪设计'!$A$219:$G$238,7,FALSE)="","",VLOOKUP(VLOOKUP(A22,'⚪设计'!$A$219:$G$238,7,FALSE),'⚪设计'!$B$85:$D$101,2,FALSE))</f>
        <v/>
      </c>
      <c r="U22" s="88">
        <f t="shared" si="3"/>
        <v>0</v>
      </c>
      <c r="V22" s="7">
        <f>'⚪设计'!K238</f>
        <v>0</v>
      </c>
      <c r="W22" s="88">
        <f>IF(T22="",0,ROUND(VLOOKUP($A22,'⚪设计'!$A$219:$B$238,2,FALSE)*$B22/SUM(IF($E22="",0,VLOOKUP($E22,'⚪设计'!$C$85:$E$101,3,FALSE))*$F22,IF($J22="",0,VLOOKUP($J22,'⚪设计'!$C$85:$E$101,3,FALSE))*$K22,IF($O22="",0,VLOOKUP($O22,'⚪设计'!$C$85:$E$101,3,FALSE))*$P22,IF($T22="",0,VLOOKUP($T22,'⚪设计'!$C$85:$E$101,3,FALSE))*$U22)*VLOOKUP(T22,'⚪设计'!$C$85:$E$101,3,FALSE),0))</f>
        <v>0</v>
      </c>
      <c r="X22" s="88">
        <f>ROUND(战斗节奏!$B$3/SUM(IF(线下模式!$E22="",0,VLOOKUP(线下模式!$E22,'⚪设计'!$C$85:$G$101,4,FALSE)*线下模式!$F22),IF(线下模式!$J22="",0,VLOOKUP(线下模式!$J22,'⚪设计'!$C$85:$G$101,4,FALSE)*线下模式!$K22),IF(线下模式!$O22="",0,VLOOKUP(线下模式!$O22,'⚪设计'!$C$85:$G$101,4,FALSE)*线下模式!$P22),IF(线下模式!$T22="",0,VLOOKUP(线下模式!$T22,'⚪设计'!$C$85:$G$101,4,FALSE)*线下模式!$U22))*IF(T22="",0,VLOOKUP(T22,'⚪设计'!$C$85:$G$101,4,FALSE)),0)</f>
        <v>0</v>
      </c>
    </row>
  </sheetData>
  <mergeCells count="8">
    <mergeCell ref="O1:S1"/>
    <mergeCell ref="T1:X1"/>
    <mergeCell ref="A1:A2"/>
    <mergeCell ref="B1:B2"/>
    <mergeCell ref="C1:C2"/>
    <mergeCell ref="D1:D2"/>
    <mergeCell ref="E1:I1"/>
    <mergeCell ref="J1:N1"/>
  </mergeCells>
  <phoneticPr fontId="4" type="noConversion"/>
  <conditionalFormatting sqref="A3:X22">
    <cfRule type="cellIs" dxfId="19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⚪概述</vt:lpstr>
      <vt:lpstr>⚪设计</vt:lpstr>
      <vt:lpstr>引导</vt:lpstr>
      <vt:lpstr>战斗节奏</vt:lpstr>
      <vt:lpstr>防御塔</vt:lpstr>
      <vt:lpstr>新手关卡</vt:lpstr>
      <vt:lpstr>挑战模式</vt:lpstr>
      <vt:lpstr>无限模式</vt:lpstr>
      <vt:lpstr>线下模式</vt:lpstr>
      <vt:lpstr>GamePlayTowerDefenseCfg</vt:lpstr>
      <vt:lpstr>SkillCfg</vt:lpstr>
      <vt:lpstr>ActionCfg_DamageUnit</vt:lpstr>
      <vt:lpstr>TowerCfg</vt:lpstr>
      <vt:lpstr>MonsterWaveCallRuleCfg</vt:lpstr>
      <vt:lpstr>UnitCfg</vt:lpstr>
      <vt:lpstr>UnitPropertyCfg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Xx</dc:creator>
  <cp:lastModifiedBy>song Xx</cp:lastModifiedBy>
  <dcterms:created xsi:type="dcterms:W3CDTF">2015-06-05T18:19:34Z</dcterms:created>
  <dcterms:modified xsi:type="dcterms:W3CDTF">2024-05-21T05:58:57Z</dcterms:modified>
</cp:coreProperties>
</file>